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665" windowWidth="20730" windowHeight="8415" activeTab="4"/>
  </bookViews>
  <sheets>
    <sheet name="ENERO 2015" sheetId="1" r:id="rId1"/>
    <sheet name="FEBRERO 2015" sheetId="2" r:id="rId2"/>
    <sheet name="MARZO    2015  " sheetId="3" r:id="rId3"/>
    <sheet name="A B R I L  2015" sheetId="4" r:id="rId4"/>
    <sheet name="MAYO   2015" sheetId="5" r:id="rId5"/>
    <sheet name="Hoja6" sheetId="7" r:id="rId6"/>
    <sheet name="Hoja7" sheetId="8" r:id="rId7"/>
    <sheet name="Hoja1" sheetId="9" r:id="rId8"/>
    <sheet name="Hoja2" sheetId="10" r:id="rId9"/>
    <sheet name="Hoja3" sheetId="11" r:id="rId10"/>
    <sheet name="Hoja8" sheetId="12" r:id="rId11"/>
    <sheet name="Hoja9" sheetId="13" r:id="rId12"/>
  </sheets>
  <calcPr calcId="144525"/>
</workbook>
</file>

<file path=xl/calcChain.xml><?xml version="1.0" encoding="utf-8"?>
<calcChain xmlns="http://schemas.openxmlformats.org/spreadsheetml/2006/main">
  <c r="F519" i="5" l="1"/>
  <c r="F3161" i="5" l="1"/>
  <c r="G2403" i="1" l="1"/>
  <c r="F2885" i="5" l="1"/>
  <c r="F2648" i="5" l="1"/>
  <c r="F3080" i="5" l="1"/>
  <c r="F3017" i="5" l="1"/>
  <c r="F2846" i="5"/>
  <c r="F1714" i="5"/>
  <c r="F1508" i="5"/>
  <c r="F3123" i="5" l="1"/>
  <c r="F1742" i="5" l="1"/>
  <c r="F1713" i="5"/>
  <c r="F2953" i="5" l="1"/>
  <c r="F2142" i="5" l="1"/>
  <c r="F2228" i="5" l="1"/>
  <c r="F2643" i="5" l="1"/>
  <c r="F2141" i="4"/>
  <c r="F3076" i="5" l="1"/>
  <c r="D3287" i="5" l="1"/>
  <c r="G3286" i="5"/>
  <c r="G3285" i="5"/>
  <c r="S3284" i="5"/>
  <c r="G3284" i="5"/>
  <c r="S3283" i="5"/>
  <c r="G3283" i="5"/>
  <c r="S3282" i="5"/>
  <c r="G3282" i="5"/>
  <c r="S3281" i="5"/>
  <c r="G3281" i="5"/>
  <c r="S3280" i="5"/>
  <c r="G3280" i="5"/>
  <c r="S3279" i="5"/>
  <c r="G3279" i="5"/>
  <c r="S3278" i="5"/>
  <c r="G3278" i="5"/>
  <c r="S3277" i="5"/>
  <c r="G3277" i="5"/>
  <c r="S3276" i="5"/>
  <c r="G3276" i="5"/>
  <c r="S3275" i="5"/>
  <c r="G3275" i="5"/>
  <c r="S3274" i="5"/>
  <c r="G3274" i="5"/>
  <c r="S3273" i="5"/>
  <c r="G3273" i="5"/>
  <c r="S3272" i="5"/>
  <c r="G3272" i="5"/>
  <c r="S3271" i="5"/>
  <c r="G3271" i="5"/>
  <c r="S3270" i="5"/>
  <c r="G3270" i="5"/>
  <c r="S3269" i="5"/>
  <c r="G3269" i="5"/>
  <c r="S3268" i="5"/>
  <c r="G3268" i="5"/>
  <c r="S3267" i="5"/>
  <c r="G3267" i="5"/>
  <c r="S3266" i="5"/>
  <c r="G3266" i="5"/>
  <c r="S3265" i="5"/>
  <c r="G3265" i="5"/>
  <c r="S3264" i="5"/>
  <c r="G3264" i="5"/>
  <c r="S3263" i="5"/>
  <c r="G3263" i="5"/>
  <c r="S3262" i="5"/>
  <c r="G3262" i="5"/>
  <c r="S3261" i="5"/>
  <c r="G3261" i="5"/>
  <c r="S3260" i="5"/>
  <c r="G3260" i="5"/>
  <c r="S3259" i="5"/>
  <c r="G3259" i="5"/>
  <c r="S3258" i="5"/>
  <c r="G3258" i="5"/>
  <c r="S3257" i="5"/>
  <c r="G3257" i="5"/>
  <c r="S3256" i="5"/>
  <c r="G3256" i="5"/>
  <c r="S3255" i="5"/>
  <c r="G3255" i="5"/>
  <c r="S3254" i="5"/>
  <c r="G3254" i="5"/>
  <c r="S3253" i="5"/>
  <c r="G3253" i="5"/>
  <c r="S3252" i="5"/>
  <c r="G3252" i="5"/>
  <c r="S3251" i="5"/>
  <c r="G3251" i="5"/>
  <c r="S3250" i="5"/>
  <c r="G3250" i="5"/>
  <c r="S3249" i="5"/>
  <c r="G3249" i="5"/>
  <c r="S3248" i="5"/>
  <c r="G3248" i="5"/>
  <c r="S3247" i="5"/>
  <c r="G3247" i="5"/>
  <c r="S3246" i="5"/>
  <c r="G3246" i="5"/>
  <c r="S3245" i="5"/>
  <c r="G3245" i="5"/>
  <c r="S3244" i="5"/>
  <c r="G3244" i="5"/>
  <c r="S3243" i="5"/>
  <c r="G3243" i="5"/>
  <c r="S3242" i="5"/>
  <c r="G3242" i="5"/>
  <c r="S3241" i="5"/>
  <c r="G3241" i="5"/>
  <c r="S3240" i="5"/>
  <c r="G3240" i="5"/>
  <c r="S3239" i="5"/>
  <c r="G3239" i="5"/>
  <c r="S3238" i="5"/>
  <c r="G3238" i="5"/>
  <c r="S3237" i="5"/>
  <c r="G3237" i="5"/>
  <c r="S3236" i="5"/>
  <c r="G3236" i="5"/>
  <c r="S3235" i="5"/>
  <c r="G3235" i="5"/>
  <c r="S3234" i="5"/>
  <c r="G3234" i="5"/>
  <c r="S3233" i="5"/>
  <c r="G3233" i="5"/>
  <c r="S3232" i="5"/>
  <c r="G3232" i="5"/>
  <c r="R3231" i="5"/>
  <c r="S3231" i="5" s="1"/>
  <c r="G3231" i="5"/>
  <c r="S3230" i="5"/>
  <c r="G3230" i="5"/>
  <c r="S3229" i="5"/>
  <c r="G3229" i="5"/>
  <c r="S3228" i="5"/>
  <c r="G3228" i="5"/>
  <c r="S3227" i="5"/>
  <c r="G3227" i="5"/>
  <c r="S3226" i="5"/>
  <c r="G3226" i="5"/>
  <c r="S3225" i="5"/>
  <c r="G3225" i="5"/>
  <c r="S3224" i="5"/>
  <c r="G3224" i="5"/>
  <c r="S3223" i="5"/>
  <c r="G3223" i="5"/>
  <c r="S3222" i="5"/>
  <c r="G3222" i="5"/>
  <c r="S3221" i="5"/>
  <c r="G3221" i="5"/>
  <c r="S3220" i="5"/>
  <c r="G3220" i="5"/>
  <c r="S3219" i="5"/>
  <c r="G3219" i="5"/>
  <c r="S3218" i="5"/>
  <c r="G3218" i="5"/>
  <c r="S3217" i="5"/>
  <c r="G3217" i="5"/>
  <c r="S3216" i="5"/>
  <c r="G3216" i="5"/>
  <c r="S3215" i="5"/>
  <c r="G3215" i="5"/>
  <c r="S3214" i="5"/>
  <c r="G3214" i="5"/>
  <c r="S3213" i="5"/>
  <c r="G3213" i="5"/>
  <c r="S3212" i="5"/>
  <c r="G3212" i="5"/>
  <c r="S3211" i="5"/>
  <c r="G3211" i="5"/>
  <c r="S3210" i="5"/>
  <c r="G3210" i="5"/>
  <c r="S3209" i="5"/>
  <c r="G3209" i="5"/>
  <c r="S3208" i="5"/>
  <c r="G3208" i="5"/>
  <c r="S3207" i="5"/>
  <c r="G3207" i="5"/>
  <c r="S3206" i="5"/>
  <c r="G3206" i="5"/>
  <c r="S3205" i="5"/>
  <c r="G3205" i="5"/>
  <c r="S3204" i="5"/>
  <c r="G3204" i="5"/>
  <c r="S3203" i="5"/>
  <c r="G3203" i="5"/>
  <c r="S3202" i="5"/>
  <c r="G3202" i="5"/>
  <c r="S3201" i="5"/>
  <c r="G3201" i="5"/>
  <c r="S3200" i="5"/>
  <c r="G3200" i="5"/>
  <c r="S3199" i="5"/>
  <c r="G3199" i="5"/>
  <c r="S3198" i="5"/>
  <c r="G3198" i="5"/>
  <c r="S3197" i="5"/>
  <c r="G3197" i="5"/>
  <c r="S3196" i="5"/>
  <c r="G3196" i="5"/>
  <c r="S3195" i="5"/>
  <c r="G3195" i="5"/>
  <c r="S3194" i="5"/>
  <c r="G3194" i="5"/>
  <c r="S3193" i="5"/>
  <c r="G3193" i="5"/>
  <c r="S3192" i="5"/>
  <c r="G3192" i="5"/>
  <c r="S3191" i="5"/>
  <c r="G3191" i="5"/>
  <c r="S3190" i="5"/>
  <c r="G3190" i="5"/>
  <c r="S3189" i="5"/>
  <c r="G3189" i="5"/>
  <c r="S3188" i="5"/>
  <c r="G3188" i="5"/>
  <c r="S3187" i="5"/>
  <c r="G3187" i="5"/>
  <c r="S3186" i="5"/>
  <c r="G3186" i="5"/>
  <c r="S3185" i="5"/>
  <c r="G3185" i="5"/>
  <c r="S3184" i="5"/>
  <c r="G3184" i="5"/>
  <c r="S3183" i="5"/>
  <c r="G3183" i="5"/>
  <c r="S3182" i="5"/>
  <c r="G3182" i="5"/>
  <c r="S3181" i="5"/>
  <c r="G3181" i="5"/>
  <c r="S3180" i="5"/>
  <c r="G3180" i="5"/>
  <c r="S3179" i="5"/>
  <c r="G3179" i="5"/>
  <c r="S3178" i="5"/>
  <c r="G3178" i="5"/>
  <c r="S3177" i="5"/>
  <c r="G3177" i="5"/>
  <c r="S3176" i="5"/>
  <c r="G3176" i="5"/>
  <c r="S3175" i="5"/>
  <c r="G3175" i="5"/>
  <c r="S3174" i="5"/>
  <c r="G3174" i="5"/>
  <c r="S3173" i="5"/>
  <c r="G3173" i="5"/>
  <c r="S3172" i="5"/>
  <c r="G3172" i="5"/>
  <c r="S3171" i="5"/>
  <c r="G3171" i="5"/>
  <c r="S3170" i="5"/>
  <c r="G3170" i="5"/>
  <c r="S3169" i="5"/>
  <c r="G3169" i="5"/>
  <c r="S3168" i="5"/>
  <c r="G3168" i="5"/>
  <c r="S3167" i="5"/>
  <c r="G3167" i="5"/>
  <c r="S3166" i="5"/>
  <c r="G3166" i="5"/>
  <c r="S3165" i="5"/>
  <c r="G3165" i="5"/>
  <c r="S3164" i="5"/>
  <c r="G3164" i="5"/>
  <c r="R3163" i="5"/>
  <c r="S3163" i="5" s="1"/>
  <c r="G3163" i="5"/>
  <c r="S3162" i="5"/>
  <c r="G3162" i="5"/>
  <c r="S3161" i="5"/>
  <c r="G3161" i="5"/>
  <c r="S3160" i="5"/>
  <c r="G3160" i="5"/>
  <c r="S3159" i="5"/>
  <c r="G3159" i="5"/>
  <c r="S3158" i="5"/>
  <c r="G3158" i="5"/>
  <c r="S3157" i="5"/>
  <c r="G3157" i="5"/>
  <c r="S3156" i="5"/>
  <c r="G3156" i="5"/>
  <c r="S3155" i="5"/>
  <c r="G3155" i="5"/>
  <c r="S3154" i="5"/>
  <c r="G3154" i="5"/>
  <c r="S3153" i="5"/>
  <c r="G3153" i="5"/>
  <c r="S3152" i="5"/>
  <c r="G3152" i="5"/>
  <c r="S3151" i="5"/>
  <c r="G3151" i="5"/>
  <c r="S3150" i="5"/>
  <c r="G3150" i="5"/>
  <c r="S3149" i="5"/>
  <c r="G3149" i="5"/>
  <c r="S3148" i="5"/>
  <c r="G3148" i="5"/>
  <c r="S3147" i="5"/>
  <c r="G3147" i="5"/>
  <c r="S3146" i="5"/>
  <c r="G3146" i="5"/>
  <c r="S3145" i="5"/>
  <c r="G3145" i="5"/>
  <c r="S3144" i="5"/>
  <c r="G3144" i="5"/>
  <c r="S3143" i="5"/>
  <c r="G3143" i="5"/>
  <c r="S3142" i="5"/>
  <c r="G3142" i="5"/>
  <c r="S3141" i="5"/>
  <c r="G3141" i="5"/>
  <c r="S3140" i="5"/>
  <c r="G3140" i="5"/>
  <c r="S3139" i="5"/>
  <c r="G3139" i="5"/>
  <c r="S3138" i="5"/>
  <c r="G3138" i="5"/>
  <c r="S3137" i="5"/>
  <c r="G3137" i="5"/>
  <c r="S3136" i="5"/>
  <c r="G3136" i="5"/>
  <c r="S3135" i="5"/>
  <c r="G3135" i="5"/>
  <c r="S3134" i="5"/>
  <c r="G3134" i="5"/>
  <c r="S3133" i="5"/>
  <c r="G3133" i="5"/>
  <c r="S3132" i="5"/>
  <c r="G3132" i="5"/>
  <c r="S3131" i="5"/>
  <c r="G3131" i="5"/>
  <c r="S3130" i="5"/>
  <c r="G3130" i="5"/>
  <c r="S3129" i="5"/>
  <c r="G3129" i="5"/>
  <c r="S3128" i="5"/>
  <c r="G3128" i="5"/>
  <c r="S3127" i="5"/>
  <c r="G3127" i="5"/>
  <c r="S3126" i="5"/>
  <c r="G3126" i="5"/>
  <c r="S3125" i="5"/>
  <c r="G3125" i="5"/>
  <c r="S3124" i="5"/>
  <c r="G3124" i="5"/>
  <c r="S3123" i="5"/>
  <c r="G3123" i="5"/>
  <c r="S3122" i="5"/>
  <c r="G3122" i="5"/>
  <c r="S3121" i="5"/>
  <c r="G3121" i="5"/>
  <c r="S3120" i="5"/>
  <c r="G3120" i="5"/>
  <c r="S3119" i="5"/>
  <c r="G3119" i="5"/>
  <c r="S3118" i="5"/>
  <c r="G3118" i="5"/>
  <c r="R3117" i="5"/>
  <c r="S3117" i="5" s="1"/>
  <c r="G3117" i="5"/>
  <c r="R3116" i="5"/>
  <c r="S3116" i="5" s="1"/>
  <c r="G3116" i="5"/>
  <c r="R3115" i="5"/>
  <c r="S3115" i="5" s="1"/>
  <c r="G3115" i="5"/>
  <c r="S3114" i="5"/>
  <c r="G3114" i="5"/>
  <c r="R3113" i="5"/>
  <c r="S3113" i="5" s="1"/>
  <c r="G3113" i="5"/>
  <c r="S3112" i="5"/>
  <c r="G3112" i="5"/>
  <c r="S3111" i="5"/>
  <c r="G3111" i="5"/>
  <c r="S3110" i="5"/>
  <c r="G3110" i="5"/>
  <c r="S3109" i="5"/>
  <c r="G3109" i="5"/>
  <c r="R3108" i="5"/>
  <c r="S3108" i="5" s="1"/>
  <c r="G3108" i="5"/>
  <c r="S3107" i="5"/>
  <c r="G3107" i="5"/>
  <c r="R3106" i="5"/>
  <c r="S3106" i="5" s="1"/>
  <c r="G3106" i="5"/>
  <c r="S3105" i="5"/>
  <c r="G3105" i="5"/>
  <c r="S3104" i="5"/>
  <c r="G3104" i="5"/>
  <c r="S3103" i="5"/>
  <c r="G3103" i="5"/>
  <c r="S3102" i="5"/>
  <c r="G3102" i="5"/>
  <c r="S3101" i="5"/>
  <c r="G3101" i="5"/>
  <c r="S3100" i="5"/>
  <c r="G3100" i="5"/>
  <c r="R3099" i="5"/>
  <c r="S3099" i="5" s="1"/>
  <c r="G3099" i="5"/>
  <c r="R3098" i="5"/>
  <c r="S3098" i="5" s="1"/>
  <c r="F3098" i="5"/>
  <c r="G3098" i="5" s="1"/>
  <c r="S3097" i="5"/>
  <c r="G3097" i="5"/>
  <c r="S3096" i="5"/>
  <c r="G3096" i="5"/>
  <c r="S3095" i="5"/>
  <c r="G3095" i="5"/>
  <c r="S3094" i="5"/>
  <c r="G3094" i="5"/>
  <c r="S3093" i="5"/>
  <c r="G3093" i="5"/>
  <c r="S3092" i="5"/>
  <c r="G3092" i="5"/>
  <c r="S3091" i="5"/>
  <c r="G3091" i="5"/>
  <c r="S3090" i="5"/>
  <c r="G3090" i="5"/>
  <c r="S3089" i="5"/>
  <c r="G3089" i="5"/>
  <c r="S3088" i="5"/>
  <c r="G3088" i="5"/>
  <c r="S3087" i="5"/>
  <c r="G3087" i="5"/>
  <c r="S3086" i="5"/>
  <c r="G3086" i="5"/>
  <c r="S3085" i="5"/>
  <c r="G3085" i="5"/>
  <c r="S3084" i="5"/>
  <c r="G3084" i="5"/>
  <c r="S3083" i="5"/>
  <c r="G3083" i="5"/>
  <c r="S3082" i="5"/>
  <c r="G3082" i="5"/>
  <c r="S3081" i="5"/>
  <c r="G3081" i="5"/>
  <c r="S3080" i="5"/>
  <c r="G3080" i="5"/>
  <c r="S3079" i="5"/>
  <c r="G3079" i="5"/>
  <c r="S3078" i="5"/>
  <c r="G3078" i="5"/>
  <c r="S3077" i="5"/>
  <c r="G3077" i="5"/>
  <c r="S3076" i="5"/>
  <c r="G3076" i="5"/>
  <c r="S3075" i="5"/>
  <c r="G3075" i="5"/>
  <c r="S3074" i="5"/>
  <c r="G3074" i="5"/>
  <c r="S3073" i="5"/>
  <c r="G3073" i="5"/>
  <c r="S3072" i="5"/>
  <c r="G3072" i="5"/>
  <c r="S3071" i="5"/>
  <c r="G3071" i="5"/>
  <c r="S3070" i="5"/>
  <c r="G3070" i="5"/>
  <c r="S3069" i="5"/>
  <c r="G3069" i="5"/>
  <c r="S3068" i="5"/>
  <c r="G3068" i="5"/>
  <c r="S3067" i="5"/>
  <c r="G3067" i="5"/>
  <c r="S3066" i="5"/>
  <c r="G3066" i="5"/>
  <c r="S3065" i="5"/>
  <c r="G3065" i="5"/>
  <c r="S3064" i="5"/>
  <c r="G3064" i="5"/>
  <c r="S3063" i="5"/>
  <c r="G3063" i="5"/>
  <c r="S3062" i="5"/>
  <c r="G3062" i="5"/>
  <c r="S3061" i="5"/>
  <c r="G3061" i="5"/>
  <c r="S3060" i="5"/>
  <c r="G3060" i="5"/>
  <c r="S3059" i="5"/>
  <c r="G3059" i="5"/>
  <c r="S3058" i="5"/>
  <c r="G3058" i="5"/>
  <c r="S3057" i="5"/>
  <c r="G3057" i="5"/>
  <c r="S3056" i="5"/>
  <c r="G3056" i="5"/>
  <c r="S3055" i="5"/>
  <c r="G3055" i="5"/>
  <c r="S3054" i="5"/>
  <c r="G3054" i="5"/>
  <c r="S3053" i="5"/>
  <c r="G3053" i="5"/>
  <c r="S3052" i="5"/>
  <c r="G3052" i="5"/>
  <c r="S3051" i="5"/>
  <c r="G3051" i="5"/>
  <c r="S3050" i="5"/>
  <c r="G3050" i="5"/>
  <c r="S3049" i="5"/>
  <c r="G3049" i="5"/>
  <c r="S3048" i="5"/>
  <c r="G3048" i="5"/>
  <c r="S3047" i="5"/>
  <c r="G3047" i="5"/>
  <c r="S3046" i="5"/>
  <c r="G3046" i="5"/>
  <c r="S3045" i="5"/>
  <c r="G3045" i="5"/>
  <c r="S3044" i="5"/>
  <c r="G3044" i="5"/>
  <c r="S3043" i="5"/>
  <c r="G3043" i="5"/>
  <c r="S3042" i="5"/>
  <c r="G3042" i="5"/>
  <c r="S3041" i="5"/>
  <c r="G3041" i="5"/>
  <c r="S3040" i="5"/>
  <c r="G3040" i="5"/>
  <c r="S3039" i="5"/>
  <c r="G3039" i="5"/>
  <c r="S3038" i="5"/>
  <c r="G3038" i="5"/>
  <c r="S3037" i="5"/>
  <c r="G3037" i="5"/>
  <c r="S3036" i="5"/>
  <c r="G3036" i="5"/>
  <c r="S3035" i="5"/>
  <c r="G3035" i="5"/>
  <c r="S3034" i="5"/>
  <c r="G3034" i="5"/>
  <c r="S3033" i="5"/>
  <c r="G3033" i="5"/>
  <c r="S3032" i="5"/>
  <c r="G3032" i="5"/>
  <c r="S3031" i="5"/>
  <c r="G3031" i="5"/>
  <c r="S3030" i="5"/>
  <c r="G3030" i="5"/>
  <c r="R3029" i="5"/>
  <c r="S3029" i="5" s="1"/>
  <c r="G3029" i="5"/>
  <c r="S3028" i="5"/>
  <c r="G3028" i="5"/>
  <c r="S3027" i="5"/>
  <c r="G3027" i="5"/>
  <c r="S3026" i="5"/>
  <c r="G3026" i="5"/>
  <c r="S3025" i="5"/>
  <c r="G3025" i="5"/>
  <c r="S3024" i="5"/>
  <c r="G3024" i="5"/>
  <c r="S3023" i="5"/>
  <c r="G3023" i="5"/>
  <c r="S3022" i="5"/>
  <c r="G3022" i="5"/>
  <c r="S3021" i="5"/>
  <c r="G3021" i="5"/>
  <c r="S3020" i="5"/>
  <c r="G3020" i="5"/>
  <c r="S3019" i="5"/>
  <c r="G3019" i="5"/>
  <c r="R3018" i="5"/>
  <c r="S3018" i="5" s="1"/>
  <c r="G3018" i="5"/>
  <c r="S3017" i="5"/>
  <c r="G3017" i="5"/>
  <c r="S3016" i="5"/>
  <c r="G3016" i="5"/>
  <c r="S3015" i="5"/>
  <c r="G3015" i="5"/>
  <c r="S3014" i="5"/>
  <c r="G3014" i="5"/>
  <c r="S3013" i="5"/>
  <c r="G3013" i="5"/>
  <c r="S3012" i="5"/>
  <c r="G3012" i="5"/>
  <c r="S3011" i="5"/>
  <c r="G3011" i="5"/>
  <c r="S3010" i="5"/>
  <c r="G3010" i="5"/>
  <c r="S3009" i="5"/>
  <c r="G3009" i="5"/>
  <c r="S3008" i="5"/>
  <c r="G3008" i="5"/>
  <c r="S3007" i="5"/>
  <c r="G3007" i="5"/>
  <c r="S3006" i="5"/>
  <c r="G3006" i="5"/>
  <c r="S3005" i="5"/>
  <c r="G3005" i="5"/>
  <c r="S3004" i="5"/>
  <c r="G3004" i="5"/>
  <c r="S3003" i="5"/>
  <c r="G3003" i="5"/>
  <c r="S3002" i="5"/>
  <c r="G3002" i="5"/>
  <c r="S3001" i="5"/>
  <c r="G3001" i="5"/>
  <c r="S3000" i="5"/>
  <c r="G3000" i="5"/>
  <c r="S2999" i="5"/>
  <c r="G2999" i="5"/>
  <c r="S2998" i="5"/>
  <c r="G2998" i="5"/>
  <c r="S2997" i="5"/>
  <c r="G2997" i="5"/>
  <c r="S2996" i="5"/>
  <c r="G2996" i="5"/>
  <c r="S2995" i="5"/>
  <c r="G2995" i="5"/>
  <c r="S2994" i="5"/>
  <c r="G2994" i="5"/>
  <c r="S2993" i="5"/>
  <c r="G2993" i="5"/>
  <c r="S2992" i="5"/>
  <c r="G2992" i="5"/>
  <c r="S2991" i="5"/>
  <c r="G2991" i="5"/>
  <c r="S2990" i="5"/>
  <c r="G2990" i="5"/>
  <c r="S2989" i="5"/>
  <c r="G2989" i="5"/>
  <c r="S2988" i="5"/>
  <c r="G2988" i="5"/>
  <c r="S2987" i="5"/>
  <c r="G2987" i="5"/>
  <c r="S2986" i="5"/>
  <c r="G2986" i="5"/>
  <c r="S2985" i="5"/>
  <c r="G2985" i="5"/>
  <c r="S2984" i="5"/>
  <c r="G2984" i="5"/>
  <c r="S2983" i="5"/>
  <c r="G2983" i="5"/>
  <c r="S2982" i="5"/>
  <c r="G2982" i="5"/>
  <c r="S2981" i="5"/>
  <c r="G2981" i="5"/>
  <c r="S2980" i="5"/>
  <c r="G2980" i="5"/>
  <c r="S2979" i="5"/>
  <c r="G2979" i="5"/>
  <c r="S2978" i="5"/>
  <c r="G2978" i="5"/>
  <c r="S2977" i="5"/>
  <c r="F2977" i="5"/>
  <c r="G2977" i="5" s="1"/>
  <c r="S2976" i="5"/>
  <c r="G2976" i="5"/>
  <c r="S2975" i="5"/>
  <c r="G2975" i="5"/>
  <c r="S2974" i="5"/>
  <c r="G2974" i="5"/>
  <c r="S2973" i="5"/>
  <c r="G2973" i="5"/>
  <c r="S2972" i="5"/>
  <c r="G2972" i="5"/>
  <c r="S2971" i="5"/>
  <c r="G2971" i="5"/>
  <c r="S2970" i="5"/>
  <c r="G2970" i="5"/>
  <c r="S2969" i="5"/>
  <c r="G2969" i="5"/>
  <c r="S2968" i="5"/>
  <c r="G2968" i="5"/>
  <c r="S2967" i="5"/>
  <c r="G2967" i="5"/>
  <c r="S2966" i="5"/>
  <c r="G2966" i="5"/>
  <c r="S2965" i="5"/>
  <c r="G2965" i="5"/>
  <c r="S2964" i="5"/>
  <c r="G2964" i="5"/>
  <c r="S2963" i="5"/>
  <c r="G2963" i="5"/>
  <c r="S2962" i="5"/>
  <c r="G2962" i="5"/>
  <c r="S2961" i="5"/>
  <c r="G2961" i="5"/>
  <c r="S2960" i="5"/>
  <c r="G2960" i="5"/>
  <c r="S2959" i="5"/>
  <c r="G2959" i="5"/>
  <c r="S2958" i="5"/>
  <c r="G2958" i="5"/>
  <c r="S2957" i="5"/>
  <c r="G2957" i="5"/>
  <c r="S2956" i="5"/>
  <c r="G2956" i="5"/>
  <c r="S2955" i="5"/>
  <c r="G2955" i="5"/>
  <c r="S2954" i="5"/>
  <c r="G2954" i="5"/>
  <c r="S2953" i="5"/>
  <c r="G2953" i="5"/>
  <c r="S2952" i="5"/>
  <c r="G2952" i="5"/>
  <c r="S2951" i="5"/>
  <c r="G2951" i="5"/>
  <c r="S2950" i="5"/>
  <c r="G2950" i="5"/>
  <c r="S2949" i="5"/>
  <c r="G2949" i="5"/>
  <c r="S2948" i="5"/>
  <c r="G2948" i="5"/>
  <c r="S2947" i="5"/>
  <c r="G2947" i="5"/>
  <c r="S2946" i="5"/>
  <c r="G2946" i="5"/>
  <c r="S2945" i="5"/>
  <c r="G2945" i="5"/>
  <c r="S2944" i="5"/>
  <c r="G2944" i="5"/>
  <c r="S2943" i="5"/>
  <c r="G2943" i="5"/>
  <c r="S2942" i="5"/>
  <c r="G2942" i="5"/>
  <c r="S2941" i="5"/>
  <c r="G2941" i="5"/>
  <c r="S2940" i="5"/>
  <c r="G2940" i="5"/>
  <c r="S2939" i="5"/>
  <c r="G2939" i="5"/>
  <c r="S2938" i="5"/>
  <c r="G2938" i="5"/>
  <c r="S2937" i="5"/>
  <c r="G2937" i="5"/>
  <c r="S2936" i="5"/>
  <c r="G2936" i="5"/>
  <c r="S2935" i="5"/>
  <c r="G2935" i="5"/>
  <c r="S2934" i="5"/>
  <c r="G2934" i="5"/>
  <c r="S2933" i="5"/>
  <c r="G2933" i="5"/>
  <c r="S2932" i="5"/>
  <c r="G2932" i="5"/>
  <c r="S2931" i="5"/>
  <c r="G2931" i="5"/>
  <c r="S2930" i="5"/>
  <c r="G2930" i="5"/>
  <c r="S2929" i="5"/>
  <c r="G2929" i="5"/>
  <c r="S2928" i="5"/>
  <c r="G2928" i="5"/>
  <c r="S2927" i="5"/>
  <c r="G2927" i="5"/>
  <c r="S2926" i="5"/>
  <c r="G2926" i="5"/>
  <c r="S2925" i="5"/>
  <c r="G2925" i="5"/>
  <c r="S2924" i="5"/>
  <c r="G2924" i="5"/>
  <c r="S2923" i="5"/>
  <c r="G2923" i="5"/>
  <c r="S2922" i="5"/>
  <c r="G2922" i="5"/>
  <c r="S2921" i="5"/>
  <c r="G2921" i="5"/>
  <c r="S2920" i="5"/>
  <c r="G2920" i="5"/>
  <c r="S2919" i="5"/>
  <c r="G2919" i="5"/>
  <c r="S2918" i="5"/>
  <c r="G2918" i="5"/>
  <c r="S2917" i="5"/>
  <c r="G2917" i="5"/>
  <c r="S2916" i="5"/>
  <c r="G2916" i="5"/>
  <c r="S2915" i="5"/>
  <c r="G2915" i="5"/>
  <c r="S2914" i="5"/>
  <c r="G2914" i="5"/>
  <c r="S2913" i="5"/>
  <c r="G2913" i="5"/>
  <c r="S2912" i="5"/>
  <c r="G2912" i="5"/>
  <c r="S2911" i="5"/>
  <c r="G2911" i="5"/>
  <c r="S2910" i="5"/>
  <c r="G2910" i="5"/>
  <c r="S2909" i="5"/>
  <c r="G2909" i="5"/>
  <c r="S2908" i="5"/>
  <c r="G2908" i="5"/>
  <c r="S2907" i="5"/>
  <c r="G2907" i="5"/>
  <c r="S2906" i="5"/>
  <c r="G2906" i="5"/>
  <c r="S2905" i="5"/>
  <c r="G2905" i="5"/>
  <c r="S2904" i="5"/>
  <c r="G2904" i="5"/>
  <c r="S2903" i="5"/>
  <c r="G2903" i="5"/>
  <c r="S2902" i="5"/>
  <c r="G2902" i="5"/>
  <c r="S2901" i="5"/>
  <c r="G2901" i="5"/>
  <c r="S2900" i="5"/>
  <c r="G2900" i="5"/>
  <c r="S2899" i="5"/>
  <c r="G2899" i="5"/>
  <c r="S2898" i="5"/>
  <c r="G2898" i="5"/>
  <c r="S2897" i="5"/>
  <c r="G2897" i="5"/>
  <c r="S2896" i="5"/>
  <c r="G2896" i="5"/>
  <c r="S2895" i="5"/>
  <c r="G2895" i="5"/>
  <c r="S2894" i="5"/>
  <c r="G2894" i="5"/>
  <c r="S2893" i="5"/>
  <c r="G2893" i="5"/>
  <c r="S2892" i="5"/>
  <c r="G2892" i="5"/>
  <c r="S2891" i="5"/>
  <c r="G2891" i="5"/>
  <c r="S2890" i="5"/>
  <c r="G2890" i="5"/>
  <c r="S2889" i="5"/>
  <c r="G2889" i="5"/>
  <c r="S2888" i="5"/>
  <c r="G2888" i="5"/>
  <c r="S2887" i="5"/>
  <c r="G2887" i="5"/>
  <c r="S2886" i="5"/>
  <c r="G2886" i="5"/>
  <c r="S2885" i="5"/>
  <c r="G2885" i="5"/>
  <c r="S2884" i="5"/>
  <c r="G2884" i="5"/>
  <c r="S2883" i="5"/>
  <c r="G2883" i="5"/>
  <c r="S2882" i="5"/>
  <c r="G2882" i="5"/>
  <c r="S2881" i="5"/>
  <c r="G2881" i="5"/>
  <c r="S2880" i="5"/>
  <c r="G2880" i="5"/>
  <c r="S2879" i="5"/>
  <c r="G2879" i="5"/>
  <c r="S2878" i="5"/>
  <c r="G2878" i="5"/>
  <c r="S2877" i="5"/>
  <c r="G2877" i="5"/>
  <c r="S2876" i="5"/>
  <c r="G2876" i="5"/>
  <c r="S2875" i="5"/>
  <c r="G2875" i="5"/>
  <c r="S2874" i="5"/>
  <c r="G2874" i="5"/>
  <c r="S2873" i="5"/>
  <c r="G2873" i="5"/>
  <c r="S2872" i="5"/>
  <c r="G2872" i="5"/>
  <c r="S2871" i="5"/>
  <c r="G2871" i="5"/>
  <c r="S2870" i="5"/>
  <c r="G2870" i="5"/>
  <c r="S2869" i="5"/>
  <c r="G2869" i="5"/>
  <c r="S2868" i="5"/>
  <c r="G2868" i="5"/>
  <c r="S2867" i="5"/>
  <c r="G2867" i="5"/>
  <c r="S2866" i="5"/>
  <c r="G2866" i="5"/>
  <c r="S2865" i="5"/>
  <c r="G2865" i="5"/>
  <c r="S2864" i="5"/>
  <c r="G2864" i="5"/>
  <c r="S2863" i="5"/>
  <c r="G2863" i="5"/>
  <c r="S2862" i="5"/>
  <c r="G2862" i="5"/>
  <c r="S2861" i="5"/>
  <c r="G2861" i="5"/>
  <c r="S2860" i="5"/>
  <c r="G2860" i="5"/>
  <c r="S2859" i="5"/>
  <c r="G2859" i="5"/>
  <c r="S2858" i="5"/>
  <c r="G2858" i="5"/>
  <c r="S2857" i="5"/>
  <c r="G2857" i="5"/>
  <c r="S2856" i="5"/>
  <c r="G2856" i="5"/>
  <c r="S2855" i="5"/>
  <c r="G2855" i="5"/>
  <c r="S2854" i="5"/>
  <c r="G2854" i="5"/>
  <c r="S2853" i="5"/>
  <c r="G2853" i="5"/>
  <c r="S2852" i="5"/>
  <c r="G2852" i="5"/>
  <c r="S2851" i="5"/>
  <c r="G2851" i="5"/>
  <c r="S2850" i="5"/>
  <c r="G2850" i="5"/>
  <c r="S2849" i="5"/>
  <c r="G2849" i="5"/>
  <c r="S2848" i="5"/>
  <c r="G2848" i="5"/>
  <c r="S2847" i="5"/>
  <c r="G2847" i="5"/>
  <c r="S2846" i="5"/>
  <c r="G2846" i="5"/>
  <c r="S2845" i="5"/>
  <c r="G2845" i="5"/>
  <c r="S2844" i="5"/>
  <c r="G2844" i="5"/>
  <c r="S2843" i="5"/>
  <c r="G2843" i="5"/>
  <c r="S2842" i="5"/>
  <c r="G2842" i="5"/>
  <c r="S2841" i="5"/>
  <c r="G2841" i="5"/>
  <c r="S2840" i="5"/>
  <c r="G2840" i="5"/>
  <c r="S2839" i="5"/>
  <c r="G2839" i="5"/>
  <c r="S2838" i="5"/>
  <c r="G2838" i="5"/>
  <c r="S2837" i="5"/>
  <c r="G2837" i="5"/>
  <c r="S2836" i="5"/>
  <c r="G2836" i="5"/>
  <c r="S2835" i="5"/>
  <c r="G2835" i="5"/>
  <c r="S2834" i="5"/>
  <c r="G2834" i="5"/>
  <c r="S2833" i="5"/>
  <c r="G2833" i="5"/>
  <c r="S2832" i="5"/>
  <c r="G2832" i="5"/>
  <c r="S2831" i="5"/>
  <c r="G2831" i="5"/>
  <c r="S2830" i="5"/>
  <c r="G2830" i="5"/>
  <c r="S2829" i="5"/>
  <c r="G2829" i="5"/>
  <c r="S2828" i="5"/>
  <c r="G2828" i="5"/>
  <c r="S2827" i="5"/>
  <c r="G2827" i="5"/>
  <c r="S2826" i="5"/>
  <c r="G2826" i="5"/>
  <c r="S2825" i="5"/>
  <c r="G2825" i="5"/>
  <c r="S2824" i="5"/>
  <c r="G2824" i="5"/>
  <c r="S2823" i="5"/>
  <c r="G2823" i="5"/>
  <c r="S2822" i="5"/>
  <c r="G2822" i="5"/>
  <c r="S2821" i="5"/>
  <c r="G2821" i="5"/>
  <c r="S2820" i="5"/>
  <c r="G2820" i="5"/>
  <c r="S2819" i="5"/>
  <c r="G2819" i="5"/>
  <c r="S2818" i="5"/>
  <c r="G2818" i="5"/>
  <c r="S2817" i="5"/>
  <c r="G2817" i="5"/>
  <c r="S2816" i="5"/>
  <c r="G2816" i="5"/>
  <c r="S2815" i="5"/>
  <c r="G2815" i="5"/>
  <c r="S2814" i="5"/>
  <c r="G2814" i="5"/>
  <c r="S2813" i="5"/>
  <c r="G2813" i="5"/>
  <c r="S2812" i="5"/>
  <c r="G2812" i="5"/>
  <c r="S2811" i="5"/>
  <c r="G2811" i="5"/>
  <c r="S2810" i="5"/>
  <c r="G2810" i="5"/>
  <c r="S2809" i="5"/>
  <c r="G2809" i="5"/>
  <c r="S2808" i="5"/>
  <c r="G2808" i="5"/>
  <c r="S2807" i="5"/>
  <c r="G2807" i="5"/>
  <c r="S2806" i="5"/>
  <c r="G2806" i="5"/>
  <c r="S2805" i="5"/>
  <c r="G2805" i="5"/>
  <c r="S2804" i="5"/>
  <c r="G2804" i="5"/>
  <c r="S2803" i="5"/>
  <c r="G2803" i="5"/>
  <c r="S2802" i="5"/>
  <c r="G2802" i="5"/>
  <c r="S2801" i="5"/>
  <c r="G2801" i="5"/>
  <c r="S2800" i="5"/>
  <c r="G2800" i="5"/>
  <c r="S2799" i="5"/>
  <c r="G2799" i="5"/>
  <c r="S2798" i="5"/>
  <c r="G2798" i="5"/>
  <c r="S2797" i="5"/>
  <c r="G2797" i="5"/>
  <c r="S2796" i="5"/>
  <c r="G2796" i="5"/>
  <c r="S2795" i="5"/>
  <c r="G2795" i="5"/>
  <c r="S2794" i="5"/>
  <c r="G2794" i="5"/>
  <c r="S2793" i="5"/>
  <c r="G2793" i="5"/>
  <c r="S2792" i="5"/>
  <c r="G2792" i="5"/>
  <c r="S2791" i="5"/>
  <c r="G2791" i="5"/>
  <c r="S2790" i="5"/>
  <c r="G2790" i="5"/>
  <c r="S2789" i="5"/>
  <c r="G2789" i="5"/>
  <c r="S2788" i="5"/>
  <c r="G2788" i="5"/>
  <c r="S2787" i="5"/>
  <c r="G2787" i="5"/>
  <c r="S2786" i="5"/>
  <c r="G2786" i="5"/>
  <c r="S2785" i="5"/>
  <c r="G2785" i="5"/>
  <c r="S2784" i="5"/>
  <c r="G2784" i="5"/>
  <c r="S2783" i="5"/>
  <c r="G2783" i="5"/>
  <c r="S2782" i="5"/>
  <c r="G2782" i="5"/>
  <c r="S2781" i="5"/>
  <c r="G2781" i="5"/>
  <c r="S2780" i="5"/>
  <c r="G2780" i="5"/>
  <c r="S2779" i="5"/>
  <c r="G2779" i="5"/>
  <c r="S2778" i="5"/>
  <c r="G2778" i="5"/>
  <c r="S2777" i="5"/>
  <c r="G2777" i="5"/>
  <c r="S2776" i="5"/>
  <c r="G2776" i="5"/>
  <c r="S2775" i="5"/>
  <c r="G2775" i="5"/>
  <c r="S2774" i="5"/>
  <c r="G2774" i="5"/>
  <c r="S2773" i="5"/>
  <c r="G2773" i="5"/>
  <c r="S2772" i="5"/>
  <c r="G2772" i="5"/>
  <c r="S2771" i="5"/>
  <c r="G2771" i="5"/>
  <c r="S2770" i="5"/>
  <c r="G2770" i="5"/>
  <c r="S2769" i="5"/>
  <c r="G2769" i="5"/>
  <c r="S2768" i="5"/>
  <c r="G2768" i="5"/>
  <c r="S2767" i="5"/>
  <c r="G2767" i="5"/>
  <c r="S2766" i="5"/>
  <c r="G2766" i="5"/>
  <c r="S2765" i="5"/>
  <c r="G2765" i="5"/>
  <c r="S2764" i="5"/>
  <c r="G2764" i="5"/>
  <c r="S2763" i="5"/>
  <c r="G2763" i="5"/>
  <c r="S2762" i="5"/>
  <c r="G2762" i="5"/>
  <c r="S2761" i="5"/>
  <c r="G2761" i="5"/>
  <c r="S2760" i="5"/>
  <c r="G2760" i="5"/>
  <c r="S2759" i="5"/>
  <c r="G2759" i="5"/>
  <c r="S2758" i="5"/>
  <c r="G2758" i="5"/>
  <c r="S2757" i="5"/>
  <c r="G2757" i="5"/>
  <c r="S2756" i="5"/>
  <c r="G2756" i="5"/>
  <c r="S2755" i="5"/>
  <c r="G2755" i="5"/>
  <c r="S2754" i="5"/>
  <c r="G2754" i="5"/>
  <c r="S2753" i="5"/>
  <c r="G2753" i="5"/>
  <c r="S2752" i="5"/>
  <c r="G2752" i="5"/>
  <c r="S2751" i="5"/>
  <c r="G2751" i="5"/>
  <c r="S2750" i="5"/>
  <c r="G2750" i="5"/>
  <c r="S2749" i="5"/>
  <c r="G2749" i="5"/>
  <c r="S2748" i="5"/>
  <c r="G2748" i="5"/>
  <c r="S2747" i="5"/>
  <c r="G2747" i="5"/>
  <c r="S2746" i="5"/>
  <c r="G2746" i="5"/>
  <c r="S2745" i="5"/>
  <c r="G2745" i="5"/>
  <c r="S2744" i="5"/>
  <c r="G2744" i="5"/>
  <c r="S2743" i="5"/>
  <c r="G2743" i="5"/>
  <c r="S2742" i="5"/>
  <c r="G2742" i="5"/>
  <c r="S2741" i="5"/>
  <c r="G2741" i="5"/>
  <c r="S2740" i="5"/>
  <c r="G2740" i="5"/>
  <c r="S2739" i="5"/>
  <c r="G2739" i="5"/>
  <c r="S2738" i="5"/>
  <c r="G2738" i="5"/>
  <c r="S2737" i="5"/>
  <c r="G2737" i="5"/>
  <c r="S2736" i="5"/>
  <c r="G2736" i="5"/>
  <c r="S2735" i="5"/>
  <c r="G2735" i="5"/>
  <c r="S2734" i="5"/>
  <c r="G2734" i="5"/>
  <c r="S2733" i="5"/>
  <c r="G2733" i="5"/>
  <c r="S2732" i="5"/>
  <c r="G2732" i="5"/>
  <c r="S2731" i="5"/>
  <c r="G2731" i="5"/>
  <c r="S2730" i="5"/>
  <c r="G2730" i="5"/>
  <c r="S2729" i="5"/>
  <c r="G2729" i="5"/>
  <c r="S2728" i="5"/>
  <c r="G2728" i="5"/>
  <c r="S2727" i="5"/>
  <c r="G2727" i="5"/>
  <c r="S2726" i="5"/>
  <c r="G2726" i="5"/>
  <c r="S2725" i="5"/>
  <c r="G2725" i="5"/>
  <c r="S2724" i="5"/>
  <c r="G2724" i="5"/>
  <c r="S2723" i="5"/>
  <c r="G2723" i="5"/>
  <c r="S2722" i="5"/>
  <c r="G2722" i="5"/>
  <c r="S2721" i="5"/>
  <c r="G2721" i="5"/>
  <c r="S2720" i="5"/>
  <c r="G2720" i="5"/>
  <c r="S2719" i="5"/>
  <c r="G2719" i="5"/>
  <c r="S2718" i="5"/>
  <c r="G2718" i="5"/>
  <c r="S2717" i="5"/>
  <c r="G2717" i="5"/>
  <c r="S2716" i="5"/>
  <c r="G2716" i="5"/>
  <c r="S2715" i="5"/>
  <c r="G2715" i="5"/>
  <c r="S2714" i="5"/>
  <c r="G2714" i="5"/>
  <c r="S2713" i="5"/>
  <c r="G2713" i="5"/>
  <c r="S2712" i="5"/>
  <c r="G2712" i="5"/>
  <c r="S2711" i="5"/>
  <c r="G2711" i="5"/>
  <c r="S2710" i="5"/>
  <c r="G2710" i="5"/>
  <c r="S2709" i="5"/>
  <c r="G2709" i="5"/>
  <c r="S2708" i="5"/>
  <c r="G2708" i="5"/>
  <c r="S2707" i="5"/>
  <c r="G2707" i="5"/>
  <c r="S2706" i="5"/>
  <c r="G2706" i="5"/>
  <c r="S2705" i="5"/>
  <c r="G2705" i="5"/>
  <c r="S2704" i="5"/>
  <c r="G2704" i="5"/>
  <c r="S2703" i="5"/>
  <c r="G2703" i="5"/>
  <c r="S2702" i="5"/>
  <c r="G2702" i="5"/>
  <c r="S2701" i="5"/>
  <c r="G2701" i="5"/>
  <c r="S2700" i="5"/>
  <c r="G2700" i="5"/>
  <c r="S2699" i="5"/>
  <c r="G2699" i="5"/>
  <c r="S2698" i="5"/>
  <c r="G2698" i="5"/>
  <c r="S2697" i="5"/>
  <c r="G2697" i="5"/>
  <c r="S2696" i="5"/>
  <c r="G2696" i="5"/>
  <c r="S2695" i="5"/>
  <c r="G2695" i="5"/>
  <c r="S2694" i="5"/>
  <c r="G2694" i="5"/>
  <c r="S2693" i="5"/>
  <c r="G2693" i="5"/>
  <c r="S2692" i="5"/>
  <c r="G2692" i="5"/>
  <c r="S2691" i="5"/>
  <c r="G2691" i="5"/>
  <c r="R2690" i="5"/>
  <c r="S2690" i="5" s="1"/>
  <c r="G2690" i="5"/>
  <c r="S2689" i="5"/>
  <c r="G2689" i="5"/>
  <c r="R2688" i="5"/>
  <c r="S2688" i="5" s="1"/>
  <c r="G2688" i="5"/>
  <c r="R2687" i="5"/>
  <c r="S2687" i="5" s="1"/>
  <c r="G2687" i="5"/>
  <c r="S2686" i="5"/>
  <c r="G2686" i="5"/>
  <c r="S2685" i="5"/>
  <c r="G2685" i="5"/>
  <c r="S2684" i="5"/>
  <c r="G2684" i="5"/>
  <c r="S2683" i="5"/>
  <c r="G2683" i="5"/>
  <c r="S2682" i="5"/>
  <c r="G2682" i="5"/>
  <c r="S2681" i="5"/>
  <c r="G2681" i="5"/>
  <c r="S2680" i="5"/>
  <c r="G2680" i="5"/>
  <c r="S2679" i="5"/>
  <c r="G2679" i="5"/>
  <c r="S2678" i="5"/>
  <c r="G2678" i="5"/>
  <c r="S2677" i="5"/>
  <c r="G2677" i="5"/>
  <c r="S2676" i="5"/>
  <c r="G2676" i="5"/>
  <c r="S2675" i="5"/>
  <c r="G2675" i="5"/>
  <c r="S2674" i="5"/>
  <c r="G2674" i="5"/>
  <c r="S2673" i="5"/>
  <c r="G2673" i="5"/>
  <c r="S2672" i="5"/>
  <c r="G2672" i="5"/>
  <c r="S2671" i="5"/>
  <c r="G2671" i="5"/>
  <c r="S2670" i="5"/>
  <c r="G2670" i="5"/>
  <c r="S2669" i="5"/>
  <c r="G2669" i="5"/>
  <c r="S2668" i="5"/>
  <c r="G2668" i="5"/>
  <c r="S2667" i="5"/>
  <c r="G2667" i="5"/>
  <c r="S2666" i="5"/>
  <c r="G2666" i="5"/>
  <c r="S2665" i="5"/>
  <c r="G2665" i="5"/>
  <c r="S2664" i="5"/>
  <c r="G2664" i="5"/>
  <c r="S2663" i="5"/>
  <c r="G2663" i="5"/>
  <c r="S2662" i="5"/>
  <c r="G2662" i="5"/>
  <c r="S2661" i="5"/>
  <c r="G2661" i="5"/>
  <c r="S2660" i="5"/>
  <c r="G2660" i="5"/>
  <c r="S2659" i="5"/>
  <c r="G2659" i="5"/>
  <c r="S2658" i="5"/>
  <c r="G2658" i="5"/>
  <c r="S2657" i="5"/>
  <c r="G2657" i="5"/>
  <c r="S2656" i="5"/>
  <c r="G2656" i="5"/>
  <c r="S2655" i="5"/>
  <c r="G2655" i="5"/>
  <c r="S2654" i="5"/>
  <c r="G2654" i="5"/>
  <c r="S2653" i="5"/>
  <c r="G2653" i="5"/>
  <c r="S2652" i="5"/>
  <c r="G2652" i="5"/>
  <c r="S2651" i="5"/>
  <c r="G2651" i="5"/>
  <c r="S2650" i="5"/>
  <c r="G2650" i="5"/>
  <c r="S2649" i="5"/>
  <c r="G2649" i="5"/>
  <c r="S2648" i="5"/>
  <c r="G2648" i="5"/>
  <c r="S2647" i="5"/>
  <c r="G2647" i="5"/>
  <c r="S2646" i="5"/>
  <c r="G2646" i="5"/>
  <c r="S2645" i="5"/>
  <c r="F2645" i="5"/>
  <c r="G2645" i="5" s="1"/>
  <c r="S2644" i="5"/>
  <c r="G2644" i="5"/>
  <c r="S2643" i="5"/>
  <c r="G2643" i="5"/>
  <c r="S2642" i="5"/>
  <c r="G2642" i="5"/>
  <c r="S2641" i="5"/>
  <c r="G2641" i="5"/>
  <c r="S2640" i="5"/>
  <c r="G2640" i="5"/>
  <c r="S2639" i="5"/>
  <c r="G2639" i="5"/>
  <c r="S2638" i="5"/>
  <c r="G2638" i="5"/>
  <c r="S2637" i="5"/>
  <c r="G2637" i="5"/>
  <c r="S2636" i="5"/>
  <c r="G2636" i="5"/>
  <c r="S2635" i="5"/>
  <c r="G2635" i="5"/>
  <c r="S2634" i="5"/>
  <c r="G2634" i="5"/>
  <c r="S2633" i="5"/>
  <c r="G2633" i="5"/>
  <c r="S2632" i="5"/>
  <c r="G2632" i="5"/>
  <c r="S2631" i="5"/>
  <c r="G2631" i="5"/>
  <c r="S2630" i="5"/>
  <c r="G2630" i="5"/>
  <c r="S2629" i="5"/>
  <c r="G2629" i="5"/>
  <c r="S2628" i="5"/>
  <c r="G2628" i="5"/>
  <c r="S2627" i="5"/>
  <c r="G2627" i="5"/>
  <c r="S2626" i="5"/>
  <c r="G2626" i="5"/>
  <c r="S2625" i="5"/>
  <c r="G2625" i="5"/>
  <c r="S2624" i="5"/>
  <c r="G2624" i="5"/>
  <c r="S2623" i="5"/>
  <c r="G2623" i="5"/>
  <c r="S2622" i="5"/>
  <c r="G2622" i="5"/>
  <c r="S2621" i="5"/>
  <c r="G2621" i="5"/>
  <c r="S2620" i="5"/>
  <c r="G2620" i="5"/>
  <c r="S2619" i="5"/>
  <c r="G2619" i="5"/>
  <c r="S2618" i="5"/>
  <c r="G2618" i="5"/>
  <c r="S2617" i="5"/>
  <c r="G2617" i="5"/>
  <c r="S2616" i="5"/>
  <c r="G2616" i="5"/>
  <c r="S2615" i="5"/>
  <c r="G2615" i="5"/>
  <c r="S2614" i="5"/>
  <c r="G2614" i="5"/>
  <c r="S2613" i="5"/>
  <c r="G2613" i="5"/>
  <c r="S2612" i="5"/>
  <c r="G2612" i="5"/>
  <c r="S2611" i="5"/>
  <c r="G2611" i="5"/>
  <c r="S2610" i="5"/>
  <c r="G2610" i="5"/>
  <c r="S2609" i="5"/>
  <c r="G2609" i="5"/>
  <c r="S2608" i="5"/>
  <c r="G2608" i="5"/>
  <c r="S2607" i="5"/>
  <c r="G2607" i="5"/>
  <c r="S2606" i="5"/>
  <c r="G2606" i="5"/>
  <c r="S2605" i="5"/>
  <c r="G2605" i="5"/>
  <c r="S2604" i="5"/>
  <c r="G2604" i="5"/>
  <c r="S2603" i="5"/>
  <c r="G2603" i="5"/>
  <c r="S2602" i="5"/>
  <c r="G2602" i="5"/>
  <c r="S2601" i="5"/>
  <c r="G2601" i="5"/>
  <c r="S2600" i="5"/>
  <c r="G2600" i="5"/>
  <c r="S2599" i="5"/>
  <c r="G2599" i="5"/>
  <c r="S2598" i="5"/>
  <c r="G2598" i="5"/>
  <c r="S2597" i="5"/>
  <c r="G2597" i="5"/>
  <c r="S2596" i="5"/>
  <c r="G2596" i="5"/>
  <c r="S2595" i="5"/>
  <c r="G2595" i="5"/>
  <c r="S2594" i="5"/>
  <c r="G2594" i="5"/>
  <c r="S2593" i="5"/>
  <c r="G2593" i="5"/>
  <c r="S2592" i="5"/>
  <c r="G2592" i="5"/>
  <c r="S2591" i="5"/>
  <c r="G2591" i="5"/>
  <c r="S2590" i="5"/>
  <c r="G2590" i="5"/>
  <c r="S2589" i="5"/>
  <c r="G2589" i="5"/>
  <c r="S2588" i="5"/>
  <c r="G2588" i="5"/>
  <c r="S2587" i="5"/>
  <c r="G2587" i="5"/>
  <c r="S2586" i="5"/>
  <c r="G2586" i="5"/>
  <c r="S2585" i="5"/>
  <c r="G2585" i="5"/>
  <c r="S2584" i="5"/>
  <c r="G2584" i="5"/>
  <c r="S2583" i="5"/>
  <c r="G2583" i="5"/>
  <c r="S2582" i="5"/>
  <c r="G2582" i="5"/>
  <c r="S2581" i="5"/>
  <c r="G2581" i="5"/>
  <c r="S2580" i="5"/>
  <c r="G2580" i="5"/>
  <c r="S2579" i="5"/>
  <c r="G2579" i="5"/>
  <c r="S2578" i="5"/>
  <c r="G2578" i="5"/>
  <c r="S2577" i="5"/>
  <c r="G2577" i="5"/>
  <c r="S2576" i="5"/>
  <c r="G2576" i="5"/>
  <c r="S2575" i="5"/>
  <c r="G2575" i="5"/>
  <c r="S2574" i="5"/>
  <c r="G2574" i="5"/>
  <c r="S2573" i="5"/>
  <c r="G2573" i="5"/>
  <c r="S2572" i="5"/>
  <c r="G2572" i="5"/>
  <c r="S2571" i="5"/>
  <c r="G2571" i="5"/>
  <c r="S2570" i="5"/>
  <c r="G2570" i="5"/>
  <c r="S2569" i="5"/>
  <c r="G2569" i="5"/>
  <c r="S2568" i="5"/>
  <c r="G2568" i="5"/>
  <c r="S2567" i="5"/>
  <c r="G2567" i="5"/>
  <c r="S2566" i="5"/>
  <c r="G2566" i="5"/>
  <c r="S2565" i="5"/>
  <c r="G2565" i="5"/>
  <c r="S2564" i="5"/>
  <c r="G2564" i="5"/>
  <c r="S2563" i="5"/>
  <c r="G2563" i="5"/>
  <c r="S2562" i="5"/>
  <c r="G2562" i="5"/>
  <c r="S2561" i="5"/>
  <c r="G2561" i="5"/>
  <c r="S2560" i="5"/>
  <c r="G2560" i="5"/>
  <c r="S2559" i="5"/>
  <c r="G2559" i="5"/>
  <c r="S2558" i="5"/>
  <c r="G2558" i="5"/>
  <c r="S2557" i="5"/>
  <c r="G2557" i="5"/>
  <c r="S2556" i="5"/>
  <c r="G2556" i="5"/>
  <c r="S2555" i="5"/>
  <c r="G2555" i="5"/>
  <c r="S2554" i="5"/>
  <c r="G2554" i="5"/>
  <c r="S2553" i="5"/>
  <c r="G2553" i="5"/>
  <c r="S2552" i="5"/>
  <c r="G2552" i="5"/>
  <c r="S2551" i="5"/>
  <c r="G2551" i="5"/>
  <c r="S2550" i="5"/>
  <c r="G2550" i="5"/>
  <c r="S2549" i="5"/>
  <c r="G2549" i="5"/>
  <c r="S2548" i="5"/>
  <c r="F2548" i="5"/>
  <c r="G2548" i="5" s="1"/>
  <c r="S2547" i="5"/>
  <c r="G2547" i="5"/>
  <c r="S2546" i="5"/>
  <c r="G2546" i="5"/>
  <c r="S2545" i="5"/>
  <c r="G2545" i="5"/>
  <c r="S2544" i="5"/>
  <c r="G2544" i="5"/>
  <c r="S2543" i="5"/>
  <c r="G2543" i="5"/>
  <c r="S2542" i="5"/>
  <c r="G2542" i="5"/>
  <c r="S2541" i="5"/>
  <c r="G2541" i="5"/>
  <c r="S2540" i="5"/>
  <c r="G2540" i="5"/>
  <c r="S2539" i="5"/>
  <c r="G2539" i="5"/>
  <c r="S2538" i="5"/>
  <c r="G2538" i="5"/>
  <c r="S2537" i="5"/>
  <c r="G2537" i="5"/>
  <c r="S2536" i="5"/>
  <c r="G2536" i="5"/>
  <c r="S2535" i="5"/>
  <c r="G2535" i="5"/>
  <c r="S2534" i="5"/>
  <c r="G2534" i="5"/>
  <c r="S2533" i="5"/>
  <c r="G2533" i="5"/>
  <c r="S2532" i="5"/>
  <c r="G2532" i="5"/>
  <c r="S2531" i="5"/>
  <c r="G2531" i="5"/>
  <c r="S2530" i="5"/>
  <c r="G2530" i="5"/>
  <c r="S2529" i="5"/>
  <c r="G2529" i="5"/>
  <c r="S2528" i="5"/>
  <c r="G2528" i="5"/>
  <c r="S2527" i="5"/>
  <c r="G2527" i="5"/>
  <c r="S2526" i="5"/>
  <c r="G2526" i="5"/>
  <c r="S2525" i="5"/>
  <c r="G2525" i="5"/>
  <c r="S2524" i="5"/>
  <c r="G2524" i="5"/>
  <c r="S2523" i="5"/>
  <c r="G2523" i="5"/>
  <c r="S2522" i="5"/>
  <c r="G2522" i="5"/>
  <c r="S2521" i="5"/>
  <c r="G2521" i="5"/>
  <c r="S2520" i="5"/>
  <c r="G2520" i="5"/>
  <c r="R2519" i="5"/>
  <c r="S2519" i="5" s="1"/>
  <c r="G2519" i="5"/>
  <c r="S2518" i="5"/>
  <c r="G2518" i="5"/>
  <c r="S2517" i="5"/>
  <c r="G2517" i="5"/>
  <c r="S2516" i="5"/>
  <c r="G2516" i="5"/>
  <c r="S2515" i="5"/>
  <c r="G2515" i="5"/>
  <c r="S2514" i="5"/>
  <c r="G2514" i="5"/>
  <c r="S2513" i="5"/>
  <c r="G2513" i="5"/>
  <c r="S2512" i="5"/>
  <c r="G2512" i="5"/>
  <c r="R2511" i="5"/>
  <c r="S2511" i="5" s="1"/>
  <c r="G2511" i="5"/>
  <c r="S2510" i="5"/>
  <c r="G2510" i="5"/>
  <c r="R2509" i="5"/>
  <c r="S2509" i="5" s="1"/>
  <c r="G2509" i="5"/>
  <c r="S2508" i="5"/>
  <c r="G2508" i="5"/>
  <c r="R2507" i="5"/>
  <c r="S2507" i="5" s="1"/>
  <c r="G2507" i="5"/>
  <c r="S2506" i="5"/>
  <c r="G2506" i="5"/>
  <c r="S2505" i="5"/>
  <c r="G2505" i="5"/>
  <c r="S2504" i="5"/>
  <c r="G2504" i="5"/>
  <c r="S2503" i="5"/>
  <c r="G2503" i="5"/>
  <c r="R2502" i="5"/>
  <c r="S2502" i="5" s="1"/>
  <c r="G2502" i="5"/>
  <c r="S2501" i="5"/>
  <c r="G2501" i="5"/>
  <c r="S2500" i="5"/>
  <c r="G2500" i="5"/>
  <c r="S2499" i="5"/>
  <c r="G2499" i="5"/>
  <c r="S2498" i="5"/>
  <c r="G2498" i="5"/>
  <c r="R2497" i="5"/>
  <c r="S2497" i="5" s="1"/>
  <c r="G2497" i="5"/>
  <c r="S2496" i="5"/>
  <c r="G2496" i="5"/>
  <c r="R2495" i="5"/>
  <c r="S2495" i="5" s="1"/>
  <c r="G2495" i="5"/>
  <c r="S2494" i="5"/>
  <c r="G2494" i="5"/>
  <c r="R2493" i="5"/>
  <c r="S2493" i="5" s="1"/>
  <c r="F2493" i="5"/>
  <c r="G2493" i="5" s="1"/>
  <c r="S2492" i="5"/>
  <c r="G2492" i="5"/>
  <c r="S2491" i="5"/>
  <c r="G2491" i="5"/>
  <c r="S2490" i="5"/>
  <c r="G2490" i="5"/>
  <c r="S2489" i="5"/>
  <c r="G2489" i="5"/>
  <c r="S2488" i="5"/>
  <c r="G2488" i="5"/>
  <c r="S2487" i="5"/>
  <c r="G2487" i="5"/>
  <c r="S2486" i="5"/>
  <c r="G2486" i="5"/>
  <c r="S2485" i="5"/>
  <c r="G2485" i="5"/>
  <c r="S2484" i="5"/>
  <c r="G2484" i="5"/>
  <c r="S2483" i="5"/>
  <c r="G2483" i="5"/>
  <c r="S2482" i="5"/>
  <c r="G2482" i="5"/>
  <c r="S2481" i="5"/>
  <c r="G2481" i="5"/>
  <c r="S2480" i="5"/>
  <c r="G2480" i="5"/>
  <c r="S2479" i="5"/>
  <c r="G2479" i="5"/>
  <c r="S2478" i="5"/>
  <c r="G2478" i="5"/>
  <c r="S2477" i="5"/>
  <c r="G2477" i="5"/>
  <c r="S2476" i="5"/>
  <c r="G2476" i="5"/>
  <c r="S2475" i="5"/>
  <c r="G2475" i="5"/>
  <c r="S2474" i="5"/>
  <c r="G2474" i="5"/>
  <c r="S2473" i="5"/>
  <c r="G2473" i="5"/>
  <c r="S2472" i="5"/>
  <c r="G2472" i="5"/>
  <c r="S2471" i="5"/>
  <c r="G2471" i="5"/>
  <c r="S2470" i="5"/>
  <c r="G2470" i="5"/>
  <c r="S2469" i="5"/>
  <c r="G2469" i="5"/>
  <c r="S2468" i="5"/>
  <c r="G2468" i="5"/>
  <c r="S2467" i="5"/>
  <c r="G2467" i="5"/>
  <c r="S2466" i="5"/>
  <c r="G2466" i="5"/>
  <c r="S2465" i="5"/>
  <c r="G2465" i="5"/>
  <c r="S2464" i="5"/>
  <c r="F2464" i="5"/>
  <c r="G2464" i="5" s="1"/>
  <c r="S2463" i="5"/>
  <c r="G2463" i="5"/>
  <c r="S2462" i="5"/>
  <c r="G2462" i="5"/>
  <c r="S2461" i="5"/>
  <c r="G2461" i="5"/>
  <c r="S2460" i="5"/>
  <c r="G2460" i="5"/>
  <c r="S2459" i="5"/>
  <c r="G2459" i="5"/>
  <c r="S2458" i="5"/>
  <c r="G2458" i="5"/>
  <c r="S2457" i="5"/>
  <c r="G2457" i="5"/>
  <c r="S2456" i="5"/>
  <c r="G2456" i="5"/>
  <c r="S2455" i="5"/>
  <c r="G2455" i="5"/>
  <c r="S2454" i="5"/>
  <c r="G2454" i="5"/>
  <c r="S2453" i="5"/>
  <c r="G2453" i="5"/>
  <c r="S2452" i="5"/>
  <c r="G2452" i="5"/>
  <c r="S2451" i="5"/>
  <c r="G2451" i="5"/>
  <c r="S2450" i="5"/>
  <c r="G2450" i="5"/>
  <c r="S2449" i="5"/>
  <c r="G2449" i="5"/>
  <c r="S2448" i="5"/>
  <c r="G2448" i="5"/>
  <c r="S2447" i="5"/>
  <c r="G2447" i="5"/>
  <c r="S2446" i="5"/>
  <c r="G2446" i="5"/>
  <c r="S2445" i="5"/>
  <c r="G2445" i="5"/>
  <c r="S2444" i="5"/>
  <c r="G2444" i="5"/>
  <c r="S2443" i="5"/>
  <c r="G2443" i="5"/>
  <c r="S2442" i="5"/>
  <c r="G2442" i="5"/>
  <c r="S2441" i="5"/>
  <c r="G2441" i="5"/>
  <c r="S2440" i="5"/>
  <c r="G2440" i="5"/>
  <c r="S2439" i="5"/>
  <c r="G2439" i="5"/>
  <c r="S2438" i="5"/>
  <c r="G2438" i="5"/>
  <c r="S2437" i="5"/>
  <c r="G2437" i="5"/>
  <c r="S2436" i="5"/>
  <c r="G2436" i="5"/>
  <c r="S2435" i="5"/>
  <c r="G2435" i="5"/>
  <c r="S2434" i="5"/>
  <c r="G2434" i="5"/>
  <c r="S2433" i="5"/>
  <c r="G2433" i="5"/>
  <c r="S2432" i="5"/>
  <c r="G2432" i="5"/>
  <c r="S2431" i="5"/>
  <c r="G2431" i="5"/>
  <c r="S2430" i="5"/>
  <c r="G2430" i="5"/>
  <c r="S2429" i="5"/>
  <c r="G2429" i="5"/>
  <c r="S2428" i="5"/>
  <c r="G2428" i="5"/>
  <c r="S2427" i="5"/>
  <c r="G2427" i="5"/>
  <c r="S2426" i="5"/>
  <c r="G2426" i="5"/>
  <c r="S2425" i="5"/>
  <c r="G2425" i="5"/>
  <c r="S2424" i="5"/>
  <c r="G2424" i="5"/>
  <c r="S2423" i="5"/>
  <c r="G2423" i="5"/>
  <c r="S2422" i="5"/>
  <c r="G2422" i="5"/>
  <c r="S2421" i="5"/>
  <c r="G2421" i="5"/>
  <c r="S2420" i="5"/>
  <c r="G2420" i="5"/>
  <c r="S2419" i="5"/>
  <c r="G2419" i="5"/>
  <c r="R2418" i="5"/>
  <c r="S2418" i="5" s="1"/>
  <c r="G2418" i="5"/>
  <c r="S2417" i="5"/>
  <c r="G2417" i="5"/>
  <c r="S2416" i="5"/>
  <c r="G2416" i="5"/>
  <c r="S2415" i="5"/>
  <c r="G2415" i="5"/>
  <c r="S2414" i="5"/>
  <c r="G2414" i="5"/>
  <c r="S2413" i="5"/>
  <c r="G2413" i="5"/>
  <c r="S2412" i="5"/>
  <c r="G2412" i="5"/>
  <c r="S2411" i="5"/>
  <c r="G2411" i="5"/>
  <c r="S2410" i="5"/>
  <c r="G2410" i="5"/>
  <c r="S2409" i="5"/>
  <c r="G2409" i="5"/>
  <c r="S2408" i="5"/>
  <c r="G2408" i="5"/>
  <c r="S2407" i="5"/>
  <c r="G2407" i="5"/>
  <c r="S2406" i="5"/>
  <c r="G2406" i="5"/>
  <c r="S2405" i="5"/>
  <c r="G2405" i="5"/>
  <c r="S2404" i="5"/>
  <c r="F2404" i="5"/>
  <c r="G2404" i="5" s="1"/>
  <c r="S2403" i="5"/>
  <c r="F2403" i="5"/>
  <c r="G2403" i="5" s="1"/>
  <c r="S2402" i="5"/>
  <c r="G2402" i="5"/>
  <c r="S2401" i="5"/>
  <c r="G2401" i="5"/>
  <c r="S2400" i="5"/>
  <c r="G2400" i="5"/>
  <c r="S2399" i="5"/>
  <c r="G2399" i="5"/>
  <c r="S2398" i="5"/>
  <c r="G2398" i="5"/>
  <c r="S2397" i="5"/>
  <c r="G2397" i="5"/>
  <c r="S2396" i="5"/>
  <c r="G2396" i="5"/>
  <c r="S2395" i="5"/>
  <c r="G2395" i="5"/>
  <c r="S2394" i="5"/>
  <c r="G2394" i="5"/>
  <c r="S2393" i="5"/>
  <c r="G2393" i="5"/>
  <c r="S2392" i="5"/>
  <c r="F2392" i="5"/>
  <c r="G2392" i="5" s="1"/>
  <c r="S2391" i="5"/>
  <c r="G2391" i="5"/>
  <c r="S2390" i="5"/>
  <c r="G2390" i="5"/>
  <c r="S2389" i="5"/>
  <c r="G2389" i="5"/>
  <c r="S2388" i="5"/>
  <c r="G2388" i="5"/>
  <c r="S2387" i="5"/>
  <c r="G2387" i="5"/>
  <c r="S2386" i="5"/>
  <c r="G2386" i="5"/>
  <c r="S2385" i="5"/>
  <c r="G2385" i="5"/>
  <c r="S2384" i="5"/>
  <c r="G2384" i="5"/>
  <c r="S2383" i="5"/>
  <c r="G2383" i="5"/>
  <c r="S2382" i="5"/>
  <c r="G2382" i="5"/>
  <c r="S2381" i="5"/>
  <c r="G2381" i="5"/>
  <c r="S2380" i="5"/>
  <c r="G2380" i="5"/>
  <c r="S2379" i="5"/>
  <c r="G2379" i="5"/>
  <c r="S2378" i="5"/>
  <c r="G2378" i="5"/>
  <c r="S2377" i="5"/>
  <c r="G2377" i="5"/>
  <c r="S2376" i="5"/>
  <c r="G2376" i="5"/>
  <c r="S2375" i="5"/>
  <c r="G2375" i="5"/>
  <c r="S2374" i="5"/>
  <c r="G2374" i="5"/>
  <c r="S2373" i="5"/>
  <c r="G2373" i="5"/>
  <c r="S2372" i="5"/>
  <c r="G2372" i="5"/>
  <c r="S2371" i="5"/>
  <c r="G2371" i="5"/>
  <c r="S2370" i="5"/>
  <c r="G2370" i="5"/>
  <c r="S2369" i="5"/>
  <c r="G2369" i="5"/>
  <c r="S2368" i="5"/>
  <c r="G2368" i="5"/>
  <c r="S2367" i="5"/>
  <c r="G2367" i="5"/>
  <c r="S2366" i="5"/>
  <c r="F2366" i="5"/>
  <c r="G2366" i="5" s="1"/>
  <c r="S2365" i="5"/>
  <c r="G2365" i="5"/>
  <c r="S2364" i="5"/>
  <c r="G2364" i="5"/>
  <c r="S2363" i="5"/>
  <c r="G2363" i="5"/>
  <c r="S2362" i="5"/>
  <c r="G2362" i="5"/>
  <c r="S2361" i="5"/>
  <c r="G2361" i="5"/>
  <c r="S2360" i="5"/>
  <c r="G2360" i="5"/>
  <c r="S2359" i="5"/>
  <c r="G2359" i="5"/>
  <c r="S2358" i="5"/>
  <c r="G2358" i="5"/>
  <c r="S2357" i="5"/>
  <c r="G2357" i="5"/>
  <c r="S2356" i="5"/>
  <c r="G2356" i="5"/>
  <c r="S2355" i="5"/>
  <c r="G2355" i="5"/>
  <c r="S2354" i="5"/>
  <c r="G2354" i="5"/>
  <c r="S2353" i="5"/>
  <c r="G2353" i="5"/>
  <c r="S2352" i="5"/>
  <c r="G2352" i="5"/>
  <c r="S2351" i="5"/>
  <c r="G2351" i="5"/>
  <c r="S2350" i="5"/>
  <c r="G2350" i="5"/>
  <c r="S2349" i="5"/>
  <c r="G2349" i="5"/>
  <c r="S2348" i="5"/>
  <c r="G2348" i="5"/>
  <c r="S2347" i="5"/>
  <c r="G2347" i="5"/>
  <c r="S2346" i="5"/>
  <c r="G2346" i="5"/>
  <c r="S2345" i="5"/>
  <c r="G2345" i="5"/>
  <c r="S2344" i="5"/>
  <c r="G2344" i="5"/>
  <c r="S2343" i="5"/>
  <c r="G2343" i="5"/>
  <c r="S2342" i="5"/>
  <c r="G2342" i="5"/>
  <c r="S2341" i="5"/>
  <c r="G2341" i="5"/>
  <c r="S2340" i="5"/>
  <c r="G2340" i="5"/>
  <c r="S2339" i="5"/>
  <c r="G2339" i="5"/>
  <c r="S2338" i="5"/>
  <c r="G2338" i="5"/>
  <c r="S2337" i="5"/>
  <c r="G2337" i="5"/>
  <c r="S2336" i="5"/>
  <c r="G2336" i="5"/>
  <c r="S2335" i="5"/>
  <c r="G2335" i="5"/>
  <c r="S2334" i="5"/>
  <c r="G2334" i="5"/>
  <c r="S2333" i="5"/>
  <c r="G2333" i="5"/>
  <c r="S2332" i="5"/>
  <c r="G2332" i="5"/>
  <c r="S2331" i="5"/>
  <c r="G2331" i="5"/>
  <c r="S2330" i="5"/>
  <c r="G2330" i="5"/>
  <c r="S2329" i="5"/>
  <c r="G2329" i="5"/>
  <c r="S2328" i="5"/>
  <c r="G2328" i="5"/>
  <c r="S2327" i="5"/>
  <c r="G2327" i="5"/>
  <c r="S2326" i="5"/>
  <c r="G2326" i="5"/>
  <c r="S2325" i="5"/>
  <c r="G2325" i="5"/>
  <c r="S2324" i="5"/>
  <c r="G2324" i="5"/>
  <c r="S2323" i="5"/>
  <c r="G2323" i="5"/>
  <c r="S2322" i="5"/>
  <c r="G2322" i="5"/>
  <c r="S2321" i="5"/>
  <c r="G2321" i="5"/>
  <c r="S2320" i="5"/>
  <c r="G2320" i="5"/>
  <c r="S2319" i="5"/>
  <c r="G2319" i="5"/>
  <c r="S2318" i="5"/>
  <c r="G2318" i="5"/>
  <c r="S2317" i="5"/>
  <c r="G2317" i="5"/>
  <c r="S2316" i="5"/>
  <c r="G2316" i="5"/>
  <c r="S2315" i="5"/>
  <c r="G2315" i="5"/>
  <c r="S2314" i="5"/>
  <c r="G2314" i="5"/>
  <c r="S2313" i="5"/>
  <c r="G2313" i="5"/>
  <c r="S2312" i="5"/>
  <c r="G2312" i="5"/>
  <c r="S2311" i="5"/>
  <c r="G2311" i="5"/>
  <c r="S2310" i="5"/>
  <c r="G2310" i="5"/>
  <c r="S2309" i="5"/>
  <c r="G2309" i="5"/>
  <c r="S2308" i="5"/>
  <c r="G2308" i="5"/>
  <c r="S2307" i="5"/>
  <c r="G2307" i="5"/>
  <c r="S2306" i="5"/>
  <c r="G2306" i="5"/>
  <c r="S2305" i="5"/>
  <c r="G2305" i="5"/>
  <c r="S2304" i="5"/>
  <c r="G2304" i="5"/>
  <c r="S2303" i="5"/>
  <c r="G2303" i="5"/>
  <c r="S2302" i="5"/>
  <c r="G2302" i="5"/>
  <c r="S2301" i="5"/>
  <c r="G2301" i="5"/>
  <c r="S2300" i="5"/>
  <c r="G2300" i="5"/>
  <c r="S2299" i="5"/>
  <c r="G2299" i="5"/>
  <c r="S2298" i="5"/>
  <c r="G2298" i="5"/>
  <c r="S2297" i="5"/>
  <c r="G2297" i="5"/>
  <c r="S2296" i="5"/>
  <c r="G2296" i="5"/>
  <c r="S2295" i="5"/>
  <c r="G2295" i="5"/>
  <c r="S2294" i="5"/>
  <c r="G2294" i="5"/>
  <c r="S2293" i="5"/>
  <c r="G2293" i="5"/>
  <c r="S2292" i="5"/>
  <c r="G2292" i="5"/>
  <c r="S2291" i="5"/>
  <c r="G2291" i="5"/>
  <c r="S2290" i="5"/>
  <c r="G2290" i="5"/>
  <c r="S2289" i="5"/>
  <c r="G2289" i="5"/>
  <c r="S2288" i="5"/>
  <c r="G2288" i="5"/>
  <c r="S2287" i="5"/>
  <c r="G2287" i="5"/>
  <c r="S2286" i="5"/>
  <c r="G2286" i="5"/>
  <c r="S2285" i="5"/>
  <c r="G2285" i="5"/>
  <c r="S2284" i="5"/>
  <c r="G2284" i="5"/>
  <c r="S2283" i="5"/>
  <c r="G2283" i="5"/>
  <c r="S2282" i="5"/>
  <c r="G2282" i="5"/>
  <c r="S2281" i="5"/>
  <c r="G2281" i="5"/>
  <c r="S2280" i="5"/>
  <c r="G2280" i="5"/>
  <c r="S2279" i="5"/>
  <c r="G2279" i="5"/>
  <c r="S2278" i="5"/>
  <c r="G2278" i="5"/>
  <c r="S2277" i="5"/>
  <c r="G2277" i="5"/>
  <c r="S2276" i="5"/>
  <c r="G2276" i="5"/>
  <c r="S2275" i="5"/>
  <c r="G2275" i="5"/>
  <c r="S2274" i="5"/>
  <c r="G2274" i="5"/>
  <c r="S2273" i="5"/>
  <c r="G2273" i="5"/>
  <c r="S2272" i="5"/>
  <c r="G2272" i="5"/>
  <c r="S2271" i="5"/>
  <c r="G2271" i="5"/>
  <c r="S2270" i="5"/>
  <c r="G2270" i="5"/>
  <c r="S2269" i="5"/>
  <c r="G2269" i="5"/>
  <c r="S2268" i="5"/>
  <c r="G2268" i="5"/>
  <c r="S2267" i="5"/>
  <c r="G2267" i="5"/>
  <c r="S2266" i="5"/>
  <c r="G2266" i="5"/>
  <c r="S2265" i="5"/>
  <c r="G2265" i="5"/>
  <c r="S2264" i="5"/>
  <c r="G2264" i="5"/>
  <c r="S2263" i="5"/>
  <c r="G2263" i="5"/>
  <c r="S2262" i="5"/>
  <c r="G2262" i="5"/>
  <c r="S2261" i="5"/>
  <c r="G2261" i="5"/>
  <c r="S2260" i="5"/>
  <c r="G2260" i="5"/>
  <c r="S2259" i="5"/>
  <c r="G2259" i="5"/>
  <c r="S2258" i="5"/>
  <c r="G2258" i="5"/>
  <c r="S2257" i="5"/>
  <c r="G2257" i="5"/>
  <c r="S2256" i="5"/>
  <c r="G2256" i="5"/>
  <c r="S2255" i="5"/>
  <c r="G2255" i="5"/>
  <c r="S2254" i="5"/>
  <c r="G2254" i="5"/>
  <c r="S2253" i="5"/>
  <c r="G2253" i="5"/>
  <c r="S2252" i="5"/>
  <c r="G2252" i="5"/>
  <c r="S2251" i="5"/>
  <c r="G2251" i="5"/>
  <c r="S2250" i="5"/>
  <c r="G2250" i="5"/>
  <c r="S2249" i="5"/>
  <c r="G2249" i="5"/>
  <c r="S2248" i="5"/>
  <c r="G2248" i="5"/>
  <c r="S2247" i="5"/>
  <c r="G2247" i="5"/>
  <c r="S2246" i="5"/>
  <c r="G2246" i="5"/>
  <c r="S2245" i="5"/>
  <c r="G2245" i="5"/>
  <c r="S2244" i="5"/>
  <c r="G2244" i="5"/>
  <c r="S2243" i="5"/>
  <c r="G2243" i="5"/>
  <c r="S2242" i="5"/>
  <c r="G2242" i="5"/>
  <c r="S2241" i="5"/>
  <c r="G2241" i="5"/>
  <c r="S2240" i="5"/>
  <c r="G2240" i="5"/>
  <c r="S2239" i="5"/>
  <c r="G2239" i="5"/>
  <c r="S2238" i="5"/>
  <c r="G2238" i="5"/>
  <c r="S2237" i="5"/>
  <c r="G2237" i="5"/>
  <c r="S2236" i="5"/>
  <c r="G2236" i="5"/>
  <c r="S2235" i="5"/>
  <c r="G2235" i="5"/>
  <c r="S2234" i="5"/>
  <c r="G2234" i="5"/>
  <c r="S2233" i="5"/>
  <c r="G2233" i="5"/>
  <c r="S2232" i="5"/>
  <c r="G2232" i="5"/>
  <c r="S2231" i="5"/>
  <c r="G2231" i="5"/>
  <c r="S2230" i="5"/>
  <c r="G2230" i="5"/>
  <c r="S2229" i="5"/>
  <c r="G2229" i="5"/>
  <c r="S2228" i="5"/>
  <c r="G2228" i="5"/>
  <c r="S2227" i="5"/>
  <c r="G2227" i="5"/>
  <c r="S2226" i="5"/>
  <c r="G2226" i="5"/>
  <c r="S2225" i="5"/>
  <c r="G2225" i="5"/>
  <c r="S2224" i="5"/>
  <c r="G2224" i="5"/>
  <c r="S2223" i="5"/>
  <c r="G2223" i="5"/>
  <c r="S2222" i="5"/>
  <c r="G2222" i="5"/>
  <c r="S2221" i="5"/>
  <c r="G2221" i="5"/>
  <c r="S2220" i="5"/>
  <c r="G2220" i="5"/>
  <c r="S2219" i="5"/>
  <c r="G2219" i="5"/>
  <c r="S2218" i="5"/>
  <c r="G2218" i="5"/>
  <c r="S2217" i="5"/>
  <c r="G2217" i="5"/>
  <c r="S2216" i="5"/>
  <c r="G2216" i="5"/>
  <c r="S2215" i="5"/>
  <c r="G2215" i="5"/>
  <c r="S2214" i="5"/>
  <c r="G2214" i="5"/>
  <c r="S2213" i="5"/>
  <c r="G2213" i="5"/>
  <c r="S2212" i="5"/>
  <c r="F2212" i="5"/>
  <c r="G2212" i="5" s="1"/>
  <c r="S2211" i="5"/>
  <c r="G2211" i="5"/>
  <c r="S2210" i="5"/>
  <c r="G2210" i="5"/>
  <c r="S2209" i="5"/>
  <c r="G2209" i="5"/>
  <c r="S2208" i="5"/>
  <c r="G2208" i="5"/>
  <c r="S2207" i="5"/>
  <c r="G2207" i="5"/>
  <c r="S2206" i="5"/>
  <c r="G2206" i="5"/>
  <c r="S2205" i="5"/>
  <c r="G2205" i="5"/>
  <c r="S2204" i="5"/>
  <c r="G2204" i="5"/>
  <c r="S2203" i="5"/>
  <c r="G2203" i="5"/>
  <c r="S2202" i="5"/>
  <c r="G2202" i="5"/>
  <c r="S2201" i="5"/>
  <c r="G2201" i="5"/>
  <c r="S2200" i="5"/>
  <c r="G2200" i="5"/>
  <c r="S2199" i="5"/>
  <c r="G2199" i="5"/>
  <c r="S2198" i="5"/>
  <c r="G2198" i="5"/>
  <c r="S2197" i="5"/>
  <c r="G2197" i="5"/>
  <c r="S2196" i="5"/>
  <c r="G2196" i="5"/>
  <c r="S2195" i="5"/>
  <c r="G2195" i="5"/>
  <c r="S2194" i="5"/>
  <c r="G2194" i="5"/>
  <c r="S2193" i="5"/>
  <c r="G2193" i="5"/>
  <c r="S2192" i="5"/>
  <c r="G2192" i="5"/>
  <c r="S2191" i="5"/>
  <c r="G2191" i="5"/>
  <c r="S2190" i="5"/>
  <c r="G2190" i="5"/>
  <c r="S2189" i="5"/>
  <c r="G2189" i="5"/>
  <c r="S2188" i="5"/>
  <c r="G2188" i="5"/>
  <c r="S2187" i="5"/>
  <c r="G2187" i="5"/>
  <c r="S2186" i="5"/>
  <c r="G2186" i="5"/>
  <c r="S2185" i="5"/>
  <c r="G2185" i="5"/>
  <c r="S2184" i="5"/>
  <c r="G2184" i="5"/>
  <c r="S2183" i="5"/>
  <c r="G2183" i="5"/>
  <c r="S2182" i="5"/>
  <c r="G2182" i="5"/>
  <c r="S2181" i="5"/>
  <c r="G2181" i="5"/>
  <c r="S2180" i="5"/>
  <c r="G2180" i="5"/>
  <c r="S2179" i="5"/>
  <c r="G2179" i="5"/>
  <c r="S2178" i="5"/>
  <c r="G2178" i="5"/>
  <c r="S2177" i="5"/>
  <c r="G2177" i="5"/>
  <c r="S2176" i="5"/>
  <c r="G2176" i="5"/>
  <c r="S2175" i="5"/>
  <c r="G2175" i="5"/>
  <c r="S2174" i="5"/>
  <c r="G2174" i="5"/>
  <c r="S2173" i="5"/>
  <c r="G2173" i="5"/>
  <c r="S2172" i="5"/>
  <c r="G2172" i="5"/>
  <c r="S2171" i="5"/>
  <c r="G2171" i="5"/>
  <c r="S2170" i="5"/>
  <c r="G2170" i="5"/>
  <c r="S2169" i="5"/>
  <c r="G2169" i="5"/>
  <c r="S2168" i="5"/>
  <c r="G2168" i="5"/>
  <c r="S2167" i="5"/>
  <c r="G2167" i="5"/>
  <c r="S2166" i="5"/>
  <c r="G2166" i="5"/>
  <c r="S2165" i="5"/>
  <c r="G2165" i="5"/>
  <c r="S2164" i="5"/>
  <c r="G2164" i="5"/>
  <c r="S2163" i="5"/>
  <c r="G2163" i="5"/>
  <c r="S2162" i="5"/>
  <c r="G2162" i="5"/>
  <c r="S2161" i="5"/>
  <c r="G2161" i="5"/>
  <c r="R2160" i="5"/>
  <c r="S2160" i="5" s="1"/>
  <c r="G2160" i="5"/>
  <c r="R2159" i="5"/>
  <c r="S2159" i="5" s="1"/>
  <c r="G2159" i="5"/>
  <c r="R2158" i="5"/>
  <c r="S2158" i="5" s="1"/>
  <c r="G2158" i="5"/>
  <c r="S2157" i="5"/>
  <c r="G2157" i="5"/>
  <c r="S2156" i="5"/>
  <c r="G2156" i="5"/>
  <c r="R2155" i="5"/>
  <c r="S2155" i="5" s="1"/>
  <c r="G2155" i="5"/>
  <c r="R2154" i="5"/>
  <c r="S2154" i="5" s="1"/>
  <c r="G2154" i="5"/>
  <c r="S2153" i="5"/>
  <c r="G2153" i="5"/>
  <c r="R2152" i="5"/>
  <c r="S2152" i="5" s="1"/>
  <c r="G2152" i="5"/>
  <c r="S2151" i="5"/>
  <c r="G2151" i="5"/>
  <c r="S2150" i="5"/>
  <c r="G2150" i="5"/>
  <c r="S2149" i="5"/>
  <c r="G2149" i="5"/>
  <c r="S2148" i="5"/>
  <c r="G2148" i="5"/>
  <c r="R2147" i="5"/>
  <c r="S2147" i="5" s="1"/>
  <c r="G2147" i="5"/>
  <c r="S2146" i="5"/>
  <c r="G2146" i="5"/>
  <c r="S2145" i="5"/>
  <c r="G2145" i="5"/>
  <c r="S2144" i="5"/>
  <c r="G2144" i="5"/>
  <c r="S2143" i="5"/>
  <c r="G2143" i="5"/>
  <c r="R2142" i="5"/>
  <c r="S2142" i="5" s="1"/>
  <c r="G2142" i="5"/>
  <c r="S2141" i="5"/>
  <c r="G2141" i="5"/>
  <c r="S2140" i="5"/>
  <c r="G2140" i="5"/>
  <c r="S2139" i="5"/>
  <c r="G2139" i="5"/>
  <c r="S2138" i="5"/>
  <c r="G2138" i="5"/>
  <c r="S2137" i="5"/>
  <c r="G2137" i="5"/>
  <c r="S2136" i="5"/>
  <c r="G2136" i="5"/>
  <c r="S2135" i="5"/>
  <c r="G2135" i="5"/>
  <c r="S2134" i="5"/>
  <c r="G2134" i="5"/>
  <c r="S2133" i="5"/>
  <c r="G2133" i="5"/>
  <c r="S2132" i="5"/>
  <c r="G2132" i="5"/>
  <c r="S2131" i="5"/>
  <c r="G2131" i="5"/>
  <c r="S2130" i="5"/>
  <c r="G2130" i="5"/>
  <c r="S2129" i="5"/>
  <c r="G2129" i="5"/>
  <c r="S2128" i="5"/>
  <c r="G2128" i="5"/>
  <c r="S2127" i="5"/>
  <c r="G2127" i="5"/>
  <c r="S2126" i="5"/>
  <c r="G2126" i="5"/>
  <c r="S2125" i="5"/>
  <c r="G2125" i="5"/>
  <c r="S2124" i="5"/>
  <c r="G2124" i="5"/>
  <c r="S2123" i="5"/>
  <c r="G2123" i="5"/>
  <c r="S2122" i="5"/>
  <c r="G2122" i="5"/>
  <c r="S2121" i="5"/>
  <c r="G2121" i="5"/>
  <c r="S2120" i="5"/>
  <c r="F2120" i="5"/>
  <c r="G2120" i="5" s="1"/>
  <c r="S2119" i="5"/>
  <c r="G2119" i="5"/>
  <c r="S2118" i="5"/>
  <c r="G2118" i="5"/>
  <c r="S2117" i="5"/>
  <c r="G2117" i="5"/>
  <c r="S2116" i="5"/>
  <c r="G2116" i="5"/>
  <c r="S2115" i="5"/>
  <c r="G2115" i="5"/>
  <c r="S2114" i="5"/>
  <c r="G2114" i="5"/>
  <c r="S2113" i="5"/>
  <c r="G2113" i="5"/>
  <c r="S2112" i="5"/>
  <c r="G2112" i="5"/>
  <c r="S2111" i="5"/>
  <c r="G2111" i="5"/>
  <c r="S2110" i="5"/>
  <c r="G2110" i="5"/>
  <c r="S2109" i="5"/>
  <c r="G2109" i="5"/>
  <c r="S2108" i="5"/>
  <c r="G2108" i="5"/>
  <c r="S2107" i="5"/>
  <c r="G2107" i="5"/>
  <c r="S2106" i="5"/>
  <c r="G2106" i="5"/>
  <c r="S2105" i="5"/>
  <c r="G2105" i="5"/>
  <c r="S2104" i="5"/>
  <c r="G2104" i="5"/>
  <c r="S2103" i="5"/>
  <c r="G2103" i="5"/>
  <c r="S2102" i="5"/>
  <c r="G2102" i="5"/>
  <c r="S2101" i="5"/>
  <c r="G2101" i="5"/>
  <c r="S2100" i="5"/>
  <c r="G2100" i="5"/>
  <c r="S2099" i="5"/>
  <c r="G2099" i="5"/>
  <c r="S2098" i="5"/>
  <c r="G2098" i="5"/>
  <c r="S2097" i="5"/>
  <c r="G2097" i="5"/>
  <c r="S2096" i="5"/>
  <c r="G2096" i="5"/>
  <c r="S2095" i="5"/>
  <c r="G2095" i="5"/>
  <c r="S2094" i="5"/>
  <c r="G2094" i="5"/>
  <c r="S2093" i="5"/>
  <c r="G2093" i="5"/>
  <c r="S2092" i="5"/>
  <c r="G2092" i="5"/>
  <c r="S2091" i="5"/>
  <c r="G2091" i="5"/>
  <c r="S2090" i="5"/>
  <c r="G2090" i="5"/>
  <c r="S2089" i="5"/>
  <c r="G2089" i="5"/>
  <c r="S2088" i="5"/>
  <c r="G2088" i="5"/>
  <c r="S2087" i="5"/>
  <c r="G2087" i="5"/>
  <c r="S2086" i="5"/>
  <c r="G2086" i="5"/>
  <c r="S2085" i="5"/>
  <c r="G2085" i="5"/>
  <c r="S2084" i="5"/>
  <c r="G2084" i="5"/>
  <c r="S2083" i="5"/>
  <c r="G2083" i="5"/>
  <c r="S2082" i="5"/>
  <c r="G2082" i="5"/>
  <c r="S2081" i="5"/>
  <c r="G2081" i="5"/>
  <c r="R2080" i="5"/>
  <c r="S2080" i="5" s="1"/>
  <c r="G2080" i="5"/>
  <c r="R2079" i="5"/>
  <c r="S2079" i="5" s="1"/>
  <c r="G2079" i="5"/>
  <c r="S2078" i="5"/>
  <c r="G2078" i="5"/>
  <c r="S2077" i="5"/>
  <c r="G2077" i="5"/>
  <c r="S2076" i="5"/>
  <c r="G2076" i="5"/>
  <c r="S2075" i="5"/>
  <c r="G2075" i="5"/>
  <c r="S2074" i="5"/>
  <c r="G2074" i="5"/>
  <c r="S2073" i="5"/>
  <c r="G2073" i="5"/>
  <c r="S2072" i="5"/>
  <c r="G2072" i="5"/>
  <c r="S2071" i="5"/>
  <c r="G2071" i="5"/>
  <c r="S2070" i="5"/>
  <c r="G2070" i="5"/>
  <c r="S2069" i="5"/>
  <c r="G2069" i="5"/>
  <c r="S2068" i="5"/>
  <c r="G2068" i="5"/>
  <c r="R2067" i="5"/>
  <c r="S2067" i="5" s="1"/>
  <c r="G2067" i="5"/>
  <c r="R2066" i="5"/>
  <c r="S2066" i="5" s="1"/>
  <c r="G2066" i="5"/>
  <c r="S2065" i="5"/>
  <c r="G2065" i="5"/>
  <c r="S2064" i="5"/>
  <c r="G2064" i="5"/>
  <c r="S2063" i="5"/>
  <c r="G2063" i="5"/>
  <c r="S2062" i="5"/>
  <c r="G2062" i="5"/>
  <c r="S2061" i="5"/>
  <c r="G2061" i="5"/>
  <c r="R2060" i="5"/>
  <c r="S2060" i="5" s="1"/>
  <c r="G2060" i="5"/>
  <c r="S2059" i="5"/>
  <c r="G2059" i="5"/>
  <c r="S2058" i="5"/>
  <c r="G2058" i="5"/>
  <c r="S2057" i="5"/>
  <c r="G2057" i="5"/>
  <c r="S2056" i="5"/>
  <c r="F2056" i="5"/>
  <c r="G2056" i="5" s="1"/>
  <c r="S2055" i="5"/>
  <c r="G2055" i="5"/>
  <c r="R2054" i="5"/>
  <c r="S2054" i="5" s="1"/>
  <c r="G2054" i="5"/>
  <c r="R2053" i="5"/>
  <c r="S2053" i="5" s="1"/>
  <c r="G2053" i="5"/>
  <c r="S2052" i="5"/>
  <c r="G2052" i="5"/>
  <c r="S2051" i="5"/>
  <c r="G2051" i="5"/>
  <c r="S2050" i="5"/>
  <c r="G2050" i="5"/>
  <c r="S2049" i="5"/>
  <c r="G2049" i="5"/>
  <c r="S2048" i="5"/>
  <c r="G2048" i="5"/>
  <c r="S2047" i="5"/>
  <c r="G2047" i="5"/>
  <c r="S2046" i="5"/>
  <c r="G2046" i="5"/>
  <c r="S2045" i="5"/>
  <c r="G2045" i="5"/>
  <c r="S2044" i="5"/>
  <c r="G2044" i="5"/>
  <c r="S2043" i="5"/>
  <c r="G2043" i="5"/>
  <c r="S2042" i="5"/>
  <c r="G2042" i="5"/>
  <c r="S2041" i="5"/>
  <c r="G2041" i="5"/>
  <c r="S2040" i="5"/>
  <c r="G2040" i="5"/>
  <c r="S2039" i="5"/>
  <c r="G2039" i="5"/>
  <c r="S2038" i="5"/>
  <c r="G2038" i="5"/>
  <c r="S2037" i="5"/>
  <c r="G2037" i="5"/>
  <c r="S2036" i="5"/>
  <c r="G2036" i="5"/>
  <c r="S2035" i="5"/>
  <c r="G2035" i="5"/>
  <c r="S2034" i="5"/>
  <c r="G2034" i="5"/>
  <c r="S2033" i="5"/>
  <c r="G2033" i="5"/>
  <c r="S2032" i="5"/>
  <c r="G2032" i="5"/>
  <c r="S2031" i="5"/>
  <c r="G2031" i="5"/>
  <c r="S2030" i="5"/>
  <c r="G2030" i="5"/>
  <c r="S2029" i="5"/>
  <c r="G2029" i="5"/>
  <c r="S2028" i="5"/>
  <c r="G2028" i="5"/>
  <c r="S2027" i="5"/>
  <c r="G2027" i="5"/>
  <c r="S2026" i="5"/>
  <c r="G2026" i="5"/>
  <c r="S2025" i="5"/>
  <c r="G2025" i="5"/>
  <c r="S2024" i="5"/>
  <c r="G2024" i="5"/>
  <c r="S2023" i="5"/>
  <c r="G2023" i="5"/>
  <c r="S2022" i="5"/>
  <c r="G2022" i="5"/>
  <c r="S2021" i="5"/>
  <c r="G2021" i="5"/>
  <c r="S2020" i="5"/>
  <c r="G2020" i="5"/>
  <c r="S2019" i="5"/>
  <c r="G2019" i="5"/>
  <c r="S2018" i="5"/>
  <c r="G2018" i="5"/>
  <c r="S2017" i="5"/>
  <c r="G2017" i="5"/>
  <c r="S2016" i="5"/>
  <c r="G2016" i="5"/>
  <c r="S2015" i="5"/>
  <c r="G2015" i="5"/>
  <c r="S2014" i="5"/>
  <c r="G2014" i="5"/>
  <c r="S2013" i="5"/>
  <c r="G2013" i="5"/>
  <c r="S2012" i="5"/>
  <c r="G2012" i="5"/>
  <c r="S2011" i="5"/>
  <c r="G2011" i="5"/>
  <c r="S2010" i="5"/>
  <c r="G2010" i="5"/>
  <c r="S2009" i="5"/>
  <c r="G2009" i="5"/>
  <c r="S2008" i="5"/>
  <c r="G2008" i="5"/>
  <c r="S2007" i="5"/>
  <c r="G2007" i="5"/>
  <c r="S2006" i="5"/>
  <c r="G2006" i="5"/>
  <c r="S2005" i="5"/>
  <c r="G2005" i="5"/>
  <c r="S2004" i="5"/>
  <c r="G2004" i="5"/>
  <c r="S2003" i="5"/>
  <c r="G2003" i="5"/>
  <c r="S2002" i="5"/>
  <c r="G2002" i="5"/>
  <c r="S2001" i="5"/>
  <c r="F2001" i="5"/>
  <c r="G2001" i="5" s="1"/>
  <c r="S2000" i="5"/>
  <c r="G2000" i="5"/>
  <c r="S1999" i="5"/>
  <c r="G1999" i="5"/>
  <c r="S1998" i="5"/>
  <c r="G1998" i="5"/>
  <c r="S1997" i="5"/>
  <c r="G1997" i="5"/>
  <c r="S1996" i="5"/>
  <c r="G1996" i="5"/>
  <c r="S1995" i="5"/>
  <c r="G1995" i="5"/>
  <c r="S1994" i="5"/>
  <c r="G1994" i="5"/>
  <c r="S1993" i="5"/>
  <c r="G1993" i="5"/>
  <c r="S1992" i="5"/>
  <c r="G1992" i="5"/>
  <c r="S1991" i="5"/>
  <c r="G1991" i="5"/>
  <c r="S1990" i="5"/>
  <c r="G1990" i="5"/>
  <c r="S1989" i="5"/>
  <c r="G1989" i="5"/>
  <c r="S1988" i="5"/>
  <c r="G1988" i="5"/>
  <c r="S1987" i="5"/>
  <c r="G1987" i="5"/>
  <c r="S1986" i="5"/>
  <c r="G1986" i="5"/>
  <c r="S1985" i="5"/>
  <c r="G1985" i="5"/>
  <c r="S1984" i="5"/>
  <c r="G1984" i="5"/>
  <c r="S1983" i="5"/>
  <c r="G1983" i="5"/>
  <c r="S1982" i="5"/>
  <c r="G1982" i="5"/>
  <c r="S1981" i="5"/>
  <c r="G1981" i="5"/>
  <c r="S1980" i="5"/>
  <c r="G1980" i="5"/>
  <c r="S1979" i="5"/>
  <c r="G1979" i="5"/>
  <c r="S1978" i="5"/>
  <c r="G1978" i="5"/>
  <c r="S1977" i="5"/>
  <c r="G1977" i="5"/>
  <c r="S1976" i="5"/>
  <c r="G1976" i="5"/>
  <c r="S1975" i="5"/>
  <c r="G1975" i="5"/>
  <c r="S1974" i="5"/>
  <c r="G1974" i="5"/>
  <c r="S1973" i="5"/>
  <c r="G1973" i="5"/>
  <c r="S1972" i="5"/>
  <c r="G1972" i="5"/>
  <c r="S1971" i="5"/>
  <c r="G1971" i="5"/>
  <c r="S1970" i="5"/>
  <c r="G1970" i="5"/>
  <c r="S1969" i="5"/>
  <c r="G1969" i="5"/>
  <c r="S1968" i="5"/>
  <c r="G1968" i="5"/>
  <c r="S1967" i="5"/>
  <c r="G1967" i="5"/>
  <c r="S1966" i="5"/>
  <c r="G1966" i="5"/>
  <c r="S1965" i="5"/>
  <c r="G1965" i="5"/>
  <c r="S1964" i="5"/>
  <c r="G1964" i="5"/>
  <c r="S1963" i="5"/>
  <c r="G1963" i="5"/>
  <c r="S1962" i="5"/>
  <c r="G1962" i="5"/>
  <c r="S1961" i="5"/>
  <c r="G1961" i="5"/>
  <c r="S1960" i="5"/>
  <c r="G1960" i="5"/>
  <c r="S1959" i="5"/>
  <c r="G1959" i="5"/>
  <c r="S1958" i="5"/>
  <c r="G1958" i="5"/>
  <c r="S1957" i="5"/>
  <c r="G1957" i="5"/>
  <c r="S1956" i="5"/>
  <c r="G1956" i="5"/>
  <c r="S1955" i="5"/>
  <c r="G1955" i="5"/>
  <c r="S1954" i="5"/>
  <c r="G1954" i="5"/>
  <c r="S1953" i="5"/>
  <c r="G1953" i="5"/>
  <c r="S1952" i="5"/>
  <c r="G1952" i="5"/>
  <c r="S1951" i="5"/>
  <c r="G1951" i="5"/>
  <c r="S1950" i="5"/>
  <c r="G1950" i="5"/>
  <c r="S1949" i="5"/>
  <c r="F1949" i="5"/>
  <c r="G1949" i="5" s="1"/>
  <c r="S1948" i="5"/>
  <c r="G1948" i="5"/>
  <c r="S1947" i="5"/>
  <c r="G1947" i="5"/>
  <c r="S1946" i="5"/>
  <c r="G1946" i="5"/>
  <c r="S1945" i="5"/>
  <c r="G1945" i="5"/>
  <c r="S1944" i="5"/>
  <c r="G1944" i="5"/>
  <c r="S1943" i="5"/>
  <c r="G1943" i="5"/>
  <c r="S1942" i="5"/>
  <c r="G1942" i="5"/>
  <c r="S1941" i="5"/>
  <c r="G1941" i="5"/>
  <c r="S1940" i="5"/>
  <c r="F1940" i="5"/>
  <c r="G1940" i="5" s="1"/>
  <c r="S1939" i="5"/>
  <c r="G1939" i="5"/>
  <c r="S1938" i="5"/>
  <c r="G1938" i="5"/>
  <c r="R1937" i="5"/>
  <c r="S1937" i="5" s="1"/>
  <c r="G1937" i="5"/>
  <c r="S1936" i="5"/>
  <c r="G1936" i="5"/>
  <c r="S1935" i="5"/>
  <c r="G1935" i="5"/>
  <c r="S1934" i="5"/>
  <c r="G1934" i="5"/>
  <c r="S1933" i="5"/>
  <c r="G1933" i="5"/>
  <c r="S1932" i="5"/>
  <c r="G1932" i="5"/>
  <c r="S1931" i="5"/>
  <c r="G1931" i="5"/>
  <c r="S1930" i="5"/>
  <c r="G1930" i="5"/>
  <c r="S1929" i="5"/>
  <c r="G1929" i="5"/>
  <c r="S1928" i="5"/>
  <c r="G1928" i="5"/>
  <c r="S1927" i="5"/>
  <c r="G1927" i="5"/>
  <c r="S1926" i="5"/>
  <c r="G1926" i="5"/>
  <c r="S1925" i="5"/>
  <c r="G1925" i="5"/>
  <c r="S1924" i="5"/>
  <c r="G1924" i="5"/>
  <c r="S1923" i="5"/>
  <c r="G1923" i="5"/>
  <c r="S1922" i="5"/>
  <c r="G1922" i="5"/>
  <c r="S1921" i="5"/>
  <c r="G1921" i="5"/>
  <c r="S1920" i="5"/>
  <c r="G1920" i="5"/>
  <c r="S1919" i="5"/>
  <c r="G1919" i="5"/>
  <c r="S1918" i="5"/>
  <c r="G1918" i="5"/>
  <c r="S1917" i="5"/>
  <c r="G1917" i="5"/>
  <c r="S1916" i="5"/>
  <c r="G1916" i="5"/>
  <c r="S1915" i="5"/>
  <c r="G1915" i="5"/>
  <c r="S1914" i="5"/>
  <c r="G1914" i="5"/>
  <c r="S1913" i="5"/>
  <c r="G1913" i="5"/>
  <c r="S1912" i="5"/>
  <c r="G1912" i="5"/>
  <c r="S1911" i="5"/>
  <c r="G1911" i="5"/>
  <c r="S1910" i="5"/>
  <c r="G1910" i="5"/>
  <c r="S1909" i="5"/>
  <c r="G1909" i="5"/>
  <c r="S1908" i="5"/>
  <c r="G1908" i="5"/>
  <c r="S1907" i="5"/>
  <c r="G1907" i="5"/>
  <c r="S1906" i="5"/>
  <c r="G1906" i="5"/>
  <c r="S1905" i="5"/>
  <c r="G1905" i="5"/>
  <c r="S1904" i="5"/>
  <c r="G1904" i="5"/>
  <c r="S1903" i="5"/>
  <c r="G1903" i="5"/>
  <c r="S1902" i="5"/>
  <c r="G1902" i="5"/>
  <c r="S1901" i="5"/>
  <c r="G1901" i="5"/>
  <c r="S1900" i="5"/>
  <c r="G1900" i="5"/>
  <c r="S1899" i="5"/>
  <c r="F1899" i="5"/>
  <c r="G1899" i="5" s="1"/>
  <c r="S1898" i="5"/>
  <c r="G1898" i="5"/>
  <c r="S1897" i="5"/>
  <c r="G1897" i="5"/>
  <c r="S1896" i="5"/>
  <c r="G1896" i="5"/>
  <c r="S1895" i="5"/>
  <c r="G1895" i="5"/>
  <c r="S1894" i="5"/>
  <c r="G1894" i="5"/>
  <c r="S1893" i="5"/>
  <c r="G1893" i="5"/>
  <c r="S1892" i="5"/>
  <c r="G1892" i="5"/>
  <c r="S1891" i="5"/>
  <c r="G1891" i="5"/>
  <c r="S1890" i="5"/>
  <c r="G1890" i="5"/>
  <c r="S1889" i="5"/>
  <c r="G1889" i="5"/>
  <c r="S1888" i="5"/>
  <c r="G1888" i="5"/>
  <c r="S1887" i="5"/>
  <c r="G1887" i="5"/>
  <c r="S1886" i="5"/>
  <c r="G1886" i="5"/>
  <c r="S1885" i="5"/>
  <c r="G1885" i="5"/>
  <c r="S1884" i="5"/>
  <c r="G1884" i="5"/>
  <c r="S1883" i="5"/>
  <c r="G1883" i="5"/>
  <c r="S1882" i="5"/>
  <c r="G1882" i="5"/>
  <c r="S1881" i="5"/>
  <c r="G1881" i="5"/>
  <c r="S1880" i="5"/>
  <c r="G1880" i="5"/>
  <c r="S1879" i="5"/>
  <c r="G1879" i="5"/>
  <c r="S1878" i="5"/>
  <c r="G1878" i="5"/>
  <c r="S1877" i="5"/>
  <c r="G1877" i="5"/>
  <c r="S1876" i="5"/>
  <c r="G1876" i="5"/>
  <c r="S1875" i="5"/>
  <c r="G1875" i="5"/>
  <c r="S1874" i="5"/>
  <c r="G1874" i="5"/>
  <c r="S1873" i="5"/>
  <c r="G1873" i="5"/>
  <c r="S1872" i="5"/>
  <c r="G1872" i="5"/>
  <c r="S1871" i="5"/>
  <c r="G1871" i="5"/>
  <c r="S1870" i="5"/>
  <c r="G1870" i="5"/>
  <c r="S1869" i="5"/>
  <c r="F1869" i="5"/>
  <c r="G1869" i="5" s="1"/>
  <c r="S1868" i="5"/>
  <c r="G1868" i="5"/>
  <c r="S1867" i="5"/>
  <c r="G1867" i="5"/>
  <c r="S1866" i="5"/>
  <c r="G1866" i="5"/>
  <c r="S1865" i="5"/>
  <c r="G1865" i="5"/>
  <c r="S1864" i="5"/>
  <c r="G1864" i="5"/>
  <c r="S1863" i="5"/>
  <c r="G1863" i="5"/>
  <c r="S1862" i="5"/>
  <c r="G1862" i="5"/>
  <c r="S1861" i="5"/>
  <c r="G1861" i="5"/>
  <c r="S1860" i="5"/>
  <c r="G1860" i="5"/>
  <c r="S1859" i="5"/>
  <c r="G1859" i="5"/>
  <c r="S1858" i="5"/>
  <c r="G1858" i="5"/>
  <c r="S1857" i="5"/>
  <c r="G1857" i="5"/>
  <c r="S1856" i="5"/>
  <c r="G1856" i="5"/>
  <c r="S1855" i="5"/>
  <c r="G1855" i="5"/>
  <c r="S1854" i="5"/>
  <c r="G1854" i="5"/>
  <c r="S1853" i="5"/>
  <c r="G1853" i="5"/>
  <c r="S1852" i="5"/>
  <c r="G1852" i="5"/>
  <c r="S1851" i="5"/>
  <c r="G1851" i="5"/>
  <c r="S1850" i="5"/>
  <c r="G1850" i="5"/>
  <c r="S1849" i="5"/>
  <c r="G1849" i="5"/>
  <c r="S1848" i="5"/>
  <c r="G1848" i="5"/>
  <c r="S1847" i="5"/>
  <c r="G1847" i="5"/>
  <c r="S1846" i="5"/>
  <c r="G1846" i="5"/>
  <c r="S1845" i="5"/>
  <c r="G1845" i="5"/>
  <c r="S1844" i="5"/>
  <c r="G1844" i="5"/>
  <c r="S1843" i="5"/>
  <c r="G1843" i="5"/>
  <c r="S1842" i="5"/>
  <c r="G1842" i="5"/>
  <c r="S1841" i="5"/>
  <c r="G1841" i="5"/>
  <c r="S1840" i="5"/>
  <c r="G1840" i="5"/>
  <c r="S1839" i="5"/>
  <c r="G1839" i="5"/>
  <c r="S1838" i="5"/>
  <c r="G1838" i="5"/>
  <c r="S1837" i="5"/>
  <c r="G1837" i="5"/>
  <c r="S1836" i="5"/>
  <c r="G1836" i="5"/>
  <c r="S1835" i="5"/>
  <c r="G1835" i="5"/>
  <c r="S1834" i="5"/>
  <c r="G1834" i="5"/>
  <c r="S1833" i="5"/>
  <c r="G1833" i="5"/>
  <c r="S1832" i="5"/>
  <c r="G1832" i="5"/>
  <c r="S1831" i="5"/>
  <c r="G1831" i="5"/>
  <c r="S1830" i="5"/>
  <c r="G1830" i="5"/>
  <c r="S1829" i="5"/>
  <c r="G1829" i="5"/>
  <c r="S1828" i="5"/>
  <c r="G1828" i="5"/>
  <c r="S1827" i="5"/>
  <c r="G1827" i="5"/>
  <c r="S1826" i="5"/>
  <c r="G1826" i="5"/>
  <c r="S1825" i="5"/>
  <c r="G1825" i="5"/>
  <c r="S1824" i="5"/>
  <c r="G1824" i="5"/>
  <c r="S1823" i="5"/>
  <c r="G1823" i="5"/>
  <c r="S1822" i="5"/>
  <c r="G1822" i="5"/>
  <c r="S1821" i="5"/>
  <c r="G1821" i="5"/>
  <c r="S1820" i="5"/>
  <c r="G1820" i="5"/>
  <c r="S1819" i="5"/>
  <c r="G1819" i="5"/>
  <c r="S1818" i="5"/>
  <c r="G1818" i="5"/>
  <c r="S1817" i="5"/>
  <c r="G1817" i="5"/>
  <c r="S1816" i="5"/>
  <c r="G1816" i="5"/>
  <c r="S1815" i="5"/>
  <c r="G1815" i="5"/>
  <c r="S1814" i="5"/>
  <c r="G1814" i="5"/>
  <c r="S1813" i="5"/>
  <c r="G1813" i="5"/>
  <c r="S1812" i="5"/>
  <c r="G1812" i="5"/>
  <c r="S1811" i="5"/>
  <c r="G1811" i="5"/>
  <c r="S1810" i="5"/>
  <c r="G1810" i="5"/>
  <c r="S1809" i="5"/>
  <c r="G1809" i="5"/>
  <c r="S1808" i="5"/>
  <c r="G1808" i="5"/>
  <c r="S1807" i="5"/>
  <c r="G1807" i="5"/>
  <c r="S1806" i="5"/>
  <c r="G1806" i="5"/>
  <c r="S1805" i="5"/>
  <c r="G1805" i="5"/>
  <c r="S1804" i="5"/>
  <c r="G1804" i="5"/>
  <c r="S1803" i="5"/>
  <c r="G1803" i="5"/>
  <c r="S1802" i="5"/>
  <c r="G1802" i="5"/>
  <c r="S1801" i="5"/>
  <c r="G1801" i="5"/>
  <c r="S1800" i="5"/>
  <c r="G1800" i="5"/>
  <c r="S1799" i="5"/>
  <c r="F1799" i="5"/>
  <c r="G1799" i="5" s="1"/>
  <c r="S1798" i="5"/>
  <c r="G1798" i="5"/>
  <c r="S1797" i="5"/>
  <c r="G1797" i="5"/>
  <c r="S1796" i="5"/>
  <c r="G1796" i="5"/>
  <c r="S1795" i="5"/>
  <c r="G1795" i="5"/>
  <c r="S1794" i="5"/>
  <c r="G1794" i="5"/>
  <c r="S1793" i="5"/>
  <c r="G1793" i="5"/>
  <c r="S1792" i="5"/>
  <c r="G1792" i="5"/>
  <c r="S1791" i="5"/>
  <c r="F1791" i="5"/>
  <c r="G1791" i="5" s="1"/>
  <c r="S1790" i="5"/>
  <c r="G1790" i="5"/>
  <c r="S1789" i="5"/>
  <c r="G1789" i="5"/>
  <c r="S1788" i="5"/>
  <c r="G1788" i="5"/>
  <c r="S1787" i="5"/>
  <c r="G1787" i="5"/>
  <c r="S1786" i="5"/>
  <c r="F1786" i="5"/>
  <c r="G1786" i="5" s="1"/>
  <c r="S1785" i="5"/>
  <c r="G1785" i="5"/>
  <c r="S1784" i="5"/>
  <c r="G1784" i="5"/>
  <c r="S1783" i="5"/>
  <c r="G1783" i="5"/>
  <c r="R1782" i="5"/>
  <c r="S1782" i="5" s="1"/>
  <c r="G1782" i="5"/>
  <c r="S1781" i="5"/>
  <c r="G1781" i="5"/>
  <c r="S1780" i="5"/>
  <c r="G1780" i="5"/>
  <c r="S1779" i="5"/>
  <c r="G1779" i="5"/>
  <c r="S1778" i="5"/>
  <c r="G1778" i="5"/>
  <c r="S1777" i="5"/>
  <c r="G1777" i="5"/>
  <c r="S1776" i="5"/>
  <c r="G1776" i="5"/>
  <c r="R1775" i="5"/>
  <c r="S1775" i="5" s="1"/>
  <c r="G1775" i="5"/>
  <c r="R1774" i="5"/>
  <c r="S1774" i="5" s="1"/>
  <c r="G1774" i="5"/>
  <c r="S1773" i="5"/>
  <c r="G1773" i="5"/>
  <c r="S1772" i="5"/>
  <c r="G1772" i="5"/>
  <c r="S1771" i="5"/>
  <c r="G1771" i="5"/>
  <c r="S1770" i="5"/>
  <c r="G1770" i="5"/>
  <c r="S1769" i="5"/>
  <c r="G1769" i="5"/>
  <c r="S1768" i="5"/>
  <c r="G1768" i="5"/>
  <c r="R1767" i="5"/>
  <c r="S1767" i="5" s="1"/>
  <c r="G1767" i="5"/>
  <c r="R1766" i="5"/>
  <c r="S1766" i="5" s="1"/>
  <c r="G1766" i="5"/>
  <c r="S1765" i="5"/>
  <c r="G1765" i="5"/>
  <c r="R1764" i="5"/>
  <c r="S1764" i="5" s="1"/>
  <c r="G1764" i="5"/>
  <c r="S1763" i="5"/>
  <c r="G1763" i="5"/>
  <c r="S1762" i="5"/>
  <c r="G1762" i="5"/>
  <c r="S1761" i="5"/>
  <c r="G1761" i="5"/>
  <c r="S1760" i="5"/>
  <c r="G1760" i="5"/>
  <c r="S1759" i="5"/>
  <c r="G1759" i="5"/>
  <c r="S1758" i="5"/>
  <c r="G1758" i="5"/>
  <c r="S1757" i="5"/>
  <c r="G1757" i="5"/>
  <c r="S1756" i="5"/>
  <c r="G1756" i="5"/>
  <c r="S1755" i="5"/>
  <c r="G1755" i="5"/>
  <c r="S1754" i="5"/>
  <c r="G1754" i="5"/>
  <c r="S1753" i="5"/>
  <c r="G1753" i="5"/>
  <c r="S1752" i="5"/>
  <c r="G1752" i="5"/>
  <c r="S1751" i="5"/>
  <c r="G1751" i="5"/>
  <c r="S1750" i="5"/>
  <c r="G1750" i="5"/>
  <c r="S1749" i="5"/>
  <c r="G1749" i="5"/>
  <c r="S1748" i="5"/>
  <c r="G1748" i="5"/>
  <c r="S1747" i="5"/>
  <c r="G1747" i="5"/>
  <c r="S1746" i="5"/>
  <c r="G1746" i="5"/>
  <c r="S1745" i="5"/>
  <c r="G1745" i="5"/>
  <c r="S1744" i="5"/>
  <c r="G1744" i="5"/>
  <c r="S1743" i="5"/>
  <c r="G1743" i="5"/>
  <c r="S1742" i="5"/>
  <c r="G1742" i="5"/>
  <c r="S1741" i="5"/>
  <c r="G1741" i="5"/>
  <c r="S1740" i="5"/>
  <c r="G1740" i="5"/>
  <c r="S1739" i="5"/>
  <c r="G1739" i="5"/>
  <c r="S1738" i="5"/>
  <c r="G1738" i="5"/>
  <c r="S1737" i="5"/>
  <c r="G1737" i="5"/>
  <c r="S1736" i="5"/>
  <c r="G1736" i="5"/>
  <c r="S1735" i="5"/>
  <c r="G1735" i="5"/>
  <c r="S1734" i="5"/>
  <c r="G1734" i="5"/>
  <c r="S1733" i="5"/>
  <c r="G1733" i="5"/>
  <c r="S1732" i="5"/>
  <c r="G1732" i="5"/>
  <c r="S1731" i="5"/>
  <c r="G1731" i="5"/>
  <c r="S1730" i="5"/>
  <c r="G1730" i="5"/>
  <c r="S1729" i="5"/>
  <c r="F1729" i="5"/>
  <c r="G1729" i="5" s="1"/>
  <c r="S1728" i="5"/>
  <c r="G1728" i="5"/>
  <c r="S1727" i="5"/>
  <c r="G1727" i="5"/>
  <c r="S1726" i="5"/>
  <c r="G1726" i="5"/>
  <c r="S1725" i="5"/>
  <c r="F1725" i="5"/>
  <c r="G1725" i="5" s="1"/>
  <c r="S1724" i="5"/>
  <c r="G1724" i="5"/>
  <c r="S1723" i="5"/>
  <c r="G1723" i="5"/>
  <c r="S1722" i="5"/>
  <c r="G1722" i="5"/>
  <c r="S1721" i="5"/>
  <c r="G1721" i="5"/>
  <c r="S1720" i="5"/>
  <c r="G1720" i="5"/>
  <c r="S1719" i="5"/>
  <c r="G1719" i="5"/>
  <c r="S1718" i="5"/>
  <c r="G1718" i="5"/>
  <c r="S1717" i="5"/>
  <c r="G1717" i="5"/>
  <c r="S1716" i="5"/>
  <c r="G1716" i="5"/>
  <c r="S1715" i="5"/>
  <c r="G1715" i="5"/>
  <c r="S1714" i="5"/>
  <c r="G1714" i="5"/>
  <c r="S1713" i="5"/>
  <c r="G1713" i="5"/>
  <c r="S1712" i="5"/>
  <c r="G1712" i="5"/>
  <c r="S1711" i="5"/>
  <c r="G1711" i="5"/>
  <c r="S1710" i="5"/>
  <c r="G1710" i="5"/>
  <c r="S1709" i="5"/>
  <c r="G1709" i="5"/>
  <c r="S1708" i="5"/>
  <c r="G1708" i="5"/>
  <c r="S1707" i="5"/>
  <c r="G1707" i="5"/>
  <c r="S1706" i="5"/>
  <c r="G1706" i="5"/>
  <c r="S1705" i="5"/>
  <c r="G1705" i="5"/>
  <c r="S1704" i="5"/>
  <c r="G1704" i="5"/>
  <c r="S1703" i="5"/>
  <c r="G1703" i="5"/>
  <c r="S1702" i="5"/>
  <c r="G1702" i="5"/>
  <c r="S1701" i="5"/>
  <c r="G1701" i="5"/>
  <c r="S1700" i="5"/>
  <c r="G1700" i="5"/>
  <c r="S1699" i="5"/>
  <c r="G1699" i="5"/>
  <c r="S1698" i="5"/>
  <c r="G1698" i="5"/>
  <c r="S1697" i="5"/>
  <c r="G1697" i="5"/>
  <c r="S1696" i="5"/>
  <c r="G1696" i="5"/>
  <c r="S1695" i="5"/>
  <c r="G1695" i="5"/>
  <c r="S1694" i="5"/>
  <c r="G1694" i="5"/>
  <c r="S1693" i="5"/>
  <c r="G1693" i="5"/>
  <c r="S1692" i="5"/>
  <c r="G1692" i="5"/>
  <c r="S1691" i="5"/>
  <c r="G1691" i="5"/>
  <c r="S1690" i="5"/>
  <c r="G1690" i="5"/>
  <c r="S1689" i="5"/>
  <c r="G1689" i="5"/>
  <c r="S1688" i="5"/>
  <c r="G1688" i="5"/>
  <c r="S1687" i="5"/>
  <c r="G1687" i="5"/>
  <c r="S1686" i="5"/>
  <c r="G1686" i="5"/>
  <c r="S1685" i="5"/>
  <c r="G1685" i="5"/>
  <c r="S1684" i="5"/>
  <c r="G1684" i="5"/>
  <c r="S1683" i="5"/>
  <c r="G1683" i="5"/>
  <c r="S1682" i="5"/>
  <c r="G1682" i="5"/>
  <c r="S1681" i="5"/>
  <c r="G1681" i="5"/>
  <c r="S1680" i="5"/>
  <c r="G1680" i="5"/>
  <c r="S1679" i="5"/>
  <c r="G1679" i="5"/>
  <c r="S1678" i="5"/>
  <c r="G1678" i="5"/>
  <c r="S1677" i="5"/>
  <c r="G1677" i="5"/>
  <c r="S1676" i="5"/>
  <c r="G1676" i="5"/>
  <c r="S1675" i="5"/>
  <c r="G1675" i="5"/>
  <c r="S1674" i="5"/>
  <c r="G1674" i="5"/>
  <c r="S1673" i="5"/>
  <c r="G1673" i="5"/>
  <c r="S1672" i="5"/>
  <c r="G1672" i="5"/>
  <c r="S1671" i="5"/>
  <c r="G1671" i="5"/>
  <c r="S1670" i="5"/>
  <c r="G1670" i="5"/>
  <c r="S1669" i="5"/>
  <c r="G1669" i="5"/>
  <c r="S1668" i="5"/>
  <c r="F1668" i="5"/>
  <c r="G1668" i="5" s="1"/>
  <c r="S1667" i="5"/>
  <c r="G1667" i="5"/>
  <c r="S1666" i="5"/>
  <c r="G1666" i="5"/>
  <c r="S1665" i="5"/>
  <c r="G1665" i="5"/>
  <c r="S1664" i="5"/>
  <c r="G1664" i="5"/>
  <c r="S1663" i="5"/>
  <c r="G1663" i="5"/>
  <c r="S1662" i="5"/>
  <c r="G1662" i="5"/>
  <c r="S1661" i="5"/>
  <c r="G1661" i="5"/>
  <c r="S1660" i="5"/>
  <c r="G1660" i="5"/>
  <c r="S1659" i="5"/>
  <c r="G1659" i="5"/>
  <c r="S1658" i="5"/>
  <c r="G1658" i="5"/>
  <c r="S1657" i="5"/>
  <c r="G1657" i="5"/>
  <c r="S1656" i="5"/>
  <c r="G1656" i="5"/>
  <c r="S1655" i="5"/>
  <c r="G1655" i="5"/>
  <c r="S1654" i="5"/>
  <c r="G1654" i="5"/>
  <c r="S1653" i="5"/>
  <c r="G1653" i="5"/>
  <c r="S1652" i="5"/>
  <c r="G1652" i="5"/>
  <c r="S1651" i="5"/>
  <c r="G1651" i="5"/>
  <c r="S1650" i="5"/>
  <c r="G1650" i="5"/>
  <c r="S1649" i="5"/>
  <c r="G1649" i="5"/>
  <c r="S1648" i="5"/>
  <c r="G1648" i="5"/>
  <c r="S1647" i="5"/>
  <c r="G1647" i="5"/>
  <c r="S1646" i="5"/>
  <c r="G1646" i="5"/>
  <c r="S1645" i="5"/>
  <c r="F1645" i="5"/>
  <c r="G1645" i="5" s="1"/>
  <c r="S1644" i="5"/>
  <c r="G1644" i="5"/>
  <c r="S1643" i="5"/>
  <c r="G1643" i="5"/>
  <c r="S1642" i="5"/>
  <c r="G1642" i="5"/>
  <c r="S1641" i="5"/>
  <c r="G1641" i="5"/>
  <c r="S1640" i="5"/>
  <c r="G1640" i="5"/>
  <c r="S1639" i="5"/>
  <c r="G1639" i="5"/>
  <c r="S1638" i="5"/>
  <c r="G1638" i="5"/>
  <c r="S1637" i="5"/>
  <c r="G1637" i="5"/>
  <c r="S1636" i="5"/>
  <c r="G1636" i="5"/>
  <c r="S1635" i="5"/>
  <c r="G1635" i="5"/>
  <c r="S1634" i="5"/>
  <c r="G1634" i="5"/>
  <c r="S1633" i="5"/>
  <c r="G1633" i="5"/>
  <c r="S1632" i="5"/>
  <c r="G1632" i="5"/>
  <c r="S1631" i="5"/>
  <c r="G1631" i="5"/>
  <c r="S1630" i="5"/>
  <c r="G1630" i="5"/>
  <c r="S1629" i="5"/>
  <c r="F1629" i="5"/>
  <c r="G1629" i="5" s="1"/>
  <c r="S1628" i="5"/>
  <c r="G1628" i="5"/>
  <c r="S1627" i="5"/>
  <c r="G1627" i="5"/>
  <c r="S1626" i="5"/>
  <c r="G1626" i="5"/>
  <c r="S1625" i="5"/>
  <c r="G1625" i="5"/>
  <c r="S1624" i="5"/>
  <c r="G1624" i="5"/>
  <c r="S1623" i="5"/>
  <c r="F1623" i="5"/>
  <c r="G1623" i="5" s="1"/>
  <c r="S1622" i="5"/>
  <c r="G1622" i="5"/>
  <c r="S1621" i="5"/>
  <c r="G1621" i="5"/>
  <c r="S1620" i="5"/>
  <c r="G1620" i="5"/>
  <c r="S1619" i="5"/>
  <c r="G1619" i="5"/>
  <c r="S1618" i="5"/>
  <c r="G1618" i="5"/>
  <c r="S1617" i="5"/>
  <c r="G1617" i="5"/>
  <c r="S1616" i="5"/>
  <c r="G1616" i="5"/>
  <c r="S1615" i="5"/>
  <c r="G1615" i="5"/>
  <c r="S1614" i="5"/>
  <c r="G1614" i="5"/>
  <c r="S1613" i="5"/>
  <c r="G1613" i="5"/>
  <c r="S1612" i="5"/>
  <c r="G1612" i="5"/>
  <c r="S1611" i="5"/>
  <c r="G1611" i="5"/>
  <c r="S1610" i="5"/>
  <c r="G1610" i="5"/>
  <c r="S1609" i="5"/>
  <c r="G1609" i="5"/>
  <c r="S1608" i="5"/>
  <c r="G1608" i="5"/>
  <c r="S1607" i="5"/>
  <c r="G1607" i="5"/>
  <c r="S1606" i="5"/>
  <c r="G1606" i="5"/>
  <c r="S1605" i="5"/>
  <c r="G1605" i="5"/>
  <c r="S1604" i="5"/>
  <c r="G1604" i="5"/>
  <c r="S1603" i="5"/>
  <c r="G1603" i="5"/>
  <c r="S1602" i="5"/>
  <c r="G1602" i="5"/>
  <c r="S1601" i="5"/>
  <c r="G1601" i="5"/>
  <c r="S1600" i="5"/>
  <c r="G1600" i="5"/>
  <c r="S1599" i="5"/>
  <c r="G1599" i="5"/>
  <c r="S1598" i="5"/>
  <c r="G1598" i="5"/>
  <c r="S1597" i="5"/>
  <c r="G1597" i="5"/>
  <c r="S1596" i="5"/>
  <c r="G1596" i="5"/>
  <c r="S1595" i="5"/>
  <c r="G1595" i="5"/>
  <c r="S1594" i="5"/>
  <c r="G1594" i="5"/>
  <c r="S1593" i="5"/>
  <c r="G1593" i="5"/>
  <c r="S1592" i="5"/>
  <c r="G1592" i="5"/>
  <c r="S1591" i="5"/>
  <c r="G1591" i="5"/>
  <c r="S1590" i="5"/>
  <c r="G1590" i="5"/>
  <c r="S1589" i="5"/>
  <c r="G1589" i="5"/>
  <c r="S1588" i="5"/>
  <c r="G1588" i="5"/>
  <c r="S1587" i="5"/>
  <c r="G1587" i="5"/>
  <c r="S1586" i="5"/>
  <c r="G1586" i="5"/>
  <c r="S1585" i="5"/>
  <c r="G1585" i="5"/>
  <c r="S1584" i="5"/>
  <c r="G1584" i="5"/>
  <c r="S1583" i="5"/>
  <c r="G1583" i="5"/>
  <c r="S1582" i="5"/>
  <c r="G1582" i="5"/>
  <c r="S1581" i="5"/>
  <c r="G1581" i="5"/>
  <c r="S1580" i="5"/>
  <c r="G1580" i="5"/>
  <c r="S1579" i="5"/>
  <c r="G1579" i="5"/>
  <c r="S1578" i="5"/>
  <c r="G1578" i="5"/>
  <c r="S1577" i="5"/>
  <c r="G1577" i="5"/>
  <c r="S1576" i="5"/>
  <c r="G1576" i="5"/>
  <c r="S1575" i="5"/>
  <c r="G1575" i="5"/>
  <c r="S1574" i="5"/>
  <c r="G1574" i="5"/>
  <c r="S1573" i="5"/>
  <c r="G1573" i="5"/>
  <c r="S1572" i="5"/>
  <c r="G1572" i="5"/>
  <c r="S1571" i="5"/>
  <c r="G1571" i="5"/>
  <c r="S1570" i="5"/>
  <c r="G1570" i="5"/>
  <c r="S1569" i="5"/>
  <c r="G1569" i="5"/>
  <c r="S1568" i="5"/>
  <c r="G1568" i="5"/>
  <c r="S1567" i="5"/>
  <c r="G1567" i="5"/>
  <c r="S1566" i="5"/>
  <c r="G1566" i="5"/>
  <c r="S1565" i="5"/>
  <c r="G1565" i="5"/>
  <c r="S1564" i="5"/>
  <c r="G1564" i="5"/>
  <c r="S1563" i="5"/>
  <c r="G1563" i="5"/>
  <c r="S1562" i="5"/>
  <c r="G1562" i="5"/>
  <c r="S1561" i="5"/>
  <c r="G1561" i="5"/>
  <c r="S1560" i="5"/>
  <c r="G1560" i="5"/>
  <c r="S1559" i="5"/>
  <c r="G1559" i="5"/>
  <c r="S1558" i="5"/>
  <c r="G1558" i="5"/>
  <c r="S1557" i="5"/>
  <c r="G1557" i="5"/>
  <c r="S1556" i="5"/>
  <c r="G1556" i="5"/>
  <c r="S1555" i="5"/>
  <c r="G1555" i="5"/>
  <c r="S1554" i="5"/>
  <c r="G1554" i="5"/>
  <c r="S1553" i="5"/>
  <c r="G1553" i="5"/>
  <c r="S1552" i="5"/>
  <c r="G1552" i="5"/>
  <c r="S1551" i="5"/>
  <c r="G1551" i="5"/>
  <c r="S1550" i="5"/>
  <c r="G1550" i="5"/>
  <c r="S1549" i="5"/>
  <c r="G1549" i="5"/>
  <c r="S1548" i="5"/>
  <c r="G1548" i="5"/>
  <c r="S1547" i="5"/>
  <c r="G1547" i="5"/>
  <c r="S1546" i="5"/>
  <c r="G1546" i="5"/>
  <c r="S1545" i="5"/>
  <c r="G1545" i="5"/>
  <c r="S1544" i="5"/>
  <c r="G1544" i="5"/>
  <c r="S1543" i="5"/>
  <c r="G1543" i="5"/>
  <c r="S1542" i="5"/>
  <c r="G1542" i="5"/>
  <c r="S1541" i="5"/>
  <c r="G1541" i="5"/>
  <c r="S1540" i="5"/>
  <c r="G1540" i="5"/>
  <c r="S1539" i="5"/>
  <c r="G1539" i="5"/>
  <c r="S1538" i="5"/>
  <c r="G1538" i="5"/>
  <c r="S1537" i="5"/>
  <c r="G1537" i="5"/>
  <c r="S1536" i="5"/>
  <c r="G1536" i="5"/>
  <c r="S1535" i="5"/>
  <c r="G1535" i="5"/>
  <c r="S1534" i="5"/>
  <c r="G1534" i="5"/>
  <c r="S1533" i="5"/>
  <c r="G1533" i="5"/>
  <c r="S1532" i="5"/>
  <c r="G1532" i="5"/>
  <c r="S1531" i="5"/>
  <c r="G1531" i="5"/>
  <c r="S1530" i="5"/>
  <c r="G1530" i="5"/>
  <c r="S1529" i="5"/>
  <c r="G1529" i="5"/>
  <c r="S1528" i="5"/>
  <c r="G1528" i="5"/>
  <c r="S1527" i="5"/>
  <c r="G1527" i="5"/>
  <c r="S1526" i="5"/>
  <c r="G1526" i="5"/>
  <c r="S1525" i="5"/>
  <c r="G1525" i="5"/>
  <c r="S1524" i="5"/>
  <c r="G1524" i="5"/>
  <c r="S1523" i="5"/>
  <c r="G1523" i="5"/>
  <c r="S1522" i="5"/>
  <c r="G1522" i="5"/>
  <c r="S1521" i="5"/>
  <c r="G1521" i="5"/>
  <c r="S1520" i="5"/>
  <c r="G1520" i="5"/>
  <c r="S1519" i="5"/>
  <c r="G1519" i="5"/>
  <c r="S1518" i="5"/>
  <c r="G1518" i="5"/>
  <c r="S1517" i="5"/>
  <c r="G1517" i="5"/>
  <c r="S1516" i="5"/>
  <c r="G1516" i="5"/>
  <c r="S1515" i="5"/>
  <c r="G1515" i="5"/>
  <c r="S1514" i="5"/>
  <c r="G1514" i="5"/>
  <c r="S1513" i="5"/>
  <c r="G1513" i="5"/>
  <c r="S1512" i="5"/>
  <c r="G1512" i="5"/>
  <c r="S1511" i="5"/>
  <c r="G1511" i="5"/>
  <c r="S1510" i="5"/>
  <c r="G1510" i="5"/>
  <c r="S1509" i="5"/>
  <c r="G1509" i="5"/>
  <c r="S1508" i="5"/>
  <c r="G1508" i="5"/>
  <c r="S1507" i="5"/>
  <c r="G1507" i="5"/>
  <c r="S1506" i="5"/>
  <c r="G1506" i="5"/>
  <c r="S1505" i="5"/>
  <c r="G1505" i="5"/>
  <c r="S1504" i="5"/>
  <c r="G1504" i="5"/>
  <c r="S1503" i="5"/>
  <c r="G1503" i="5"/>
  <c r="S1502" i="5"/>
  <c r="G1502" i="5"/>
  <c r="S1501" i="5"/>
  <c r="G1501" i="5"/>
  <c r="S1500" i="5"/>
  <c r="G1500" i="5"/>
  <c r="S1499" i="5"/>
  <c r="G1499" i="5"/>
  <c r="S1498" i="5"/>
  <c r="G1498" i="5"/>
  <c r="S1497" i="5"/>
  <c r="G1497" i="5"/>
  <c r="S1496" i="5"/>
  <c r="G1496" i="5"/>
  <c r="S1495" i="5"/>
  <c r="G1495" i="5"/>
  <c r="S1494" i="5"/>
  <c r="G1494" i="5"/>
  <c r="S1493" i="5"/>
  <c r="G1493" i="5"/>
  <c r="S1492" i="5"/>
  <c r="G1492" i="5"/>
  <c r="S1491" i="5"/>
  <c r="G1491" i="5"/>
  <c r="S1490" i="5"/>
  <c r="G1490" i="5"/>
  <c r="S1489" i="5"/>
  <c r="G1489" i="5"/>
  <c r="S1488" i="5"/>
  <c r="G1488" i="5"/>
  <c r="S1487" i="5"/>
  <c r="G1487" i="5"/>
  <c r="S1486" i="5"/>
  <c r="G1486" i="5"/>
  <c r="S1485" i="5"/>
  <c r="G1485" i="5"/>
  <c r="S1484" i="5"/>
  <c r="G1484" i="5"/>
  <c r="S1483" i="5"/>
  <c r="G1483" i="5"/>
  <c r="S1482" i="5"/>
  <c r="G1482" i="5"/>
  <c r="S1481" i="5"/>
  <c r="G1481" i="5"/>
  <c r="S1480" i="5"/>
  <c r="G1480" i="5"/>
  <c r="S1479" i="5"/>
  <c r="G1479" i="5"/>
  <c r="S1478" i="5"/>
  <c r="G1478" i="5"/>
  <c r="S1477" i="5"/>
  <c r="G1477" i="5"/>
  <c r="S1476" i="5"/>
  <c r="G1476" i="5"/>
  <c r="S1475" i="5"/>
  <c r="F1475" i="5"/>
  <c r="G1475" i="5" s="1"/>
  <c r="S1474" i="5"/>
  <c r="G1474" i="5"/>
  <c r="S1473" i="5"/>
  <c r="G1473" i="5"/>
  <c r="S1472" i="5"/>
  <c r="G1472" i="5"/>
  <c r="S1471" i="5"/>
  <c r="G1471" i="5"/>
  <c r="S1470" i="5"/>
  <c r="G1470" i="5"/>
  <c r="S1469" i="5"/>
  <c r="G1469" i="5"/>
  <c r="S1468" i="5"/>
  <c r="G1468" i="5"/>
  <c r="S1467" i="5"/>
  <c r="G1467" i="5"/>
  <c r="S1466" i="5"/>
  <c r="G1466" i="5"/>
  <c r="S1465" i="5"/>
  <c r="G1465" i="5"/>
  <c r="S1464" i="5"/>
  <c r="G1464" i="5"/>
  <c r="S1463" i="5"/>
  <c r="G1463" i="5"/>
  <c r="S1462" i="5"/>
  <c r="G1462" i="5"/>
  <c r="S1461" i="5"/>
  <c r="G1461" i="5"/>
  <c r="S1460" i="5"/>
  <c r="G1460" i="5"/>
  <c r="S1459" i="5"/>
  <c r="G1459" i="5"/>
  <c r="S1458" i="5"/>
  <c r="G1458" i="5"/>
  <c r="S1457" i="5"/>
  <c r="G1457" i="5"/>
  <c r="S1456" i="5"/>
  <c r="F1456" i="5"/>
  <c r="G1456" i="5" s="1"/>
  <c r="S1455" i="5"/>
  <c r="G1455" i="5"/>
  <c r="S1454" i="5"/>
  <c r="G1454" i="5"/>
  <c r="S1453" i="5"/>
  <c r="G1453" i="5"/>
  <c r="S1452" i="5"/>
  <c r="G1452" i="5"/>
  <c r="S1451" i="5"/>
  <c r="G1451" i="5"/>
  <c r="S1450" i="5"/>
  <c r="G1450" i="5"/>
  <c r="S1449" i="5"/>
  <c r="G1449" i="5"/>
  <c r="S1448" i="5"/>
  <c r="G1448" i="5"/>
  <c r="S1447" i="5"/>
  <c r="G1447" i="5"/>
  <c r="S1446" i="5"/>
  <c r="G1446" i="5"/>
  <c r="S1445" i="5"/>
  <c r="G1445" i="5"/>
  <c r="S1444" i="5"/>
  <c r="G1444" i="5"/>
  <c r="S1443" i="5"/>
  <c r="G1443" i="5"/>
  <c r="R1442" i="5"/>
  <c r="S1442" i="5" s="1"/>
  <c r="G1442" i="5"/>
  <c r="S1441" i="5"/>
  <c r="G1441" i="5"/>
  <c r="S1440" i="5"/>
  <c r="G1440" i="5"/>
  <c r="S1439" i="5"/>
  <c r="G1439" i="5"/>
  <c r="S1438" i="5"/>
  <c r="G1438" i="5"/>
  <c r="S1437" i="5"/>
  <c r="G1437" i="5"/>
  <c r="S1436" i="5"/>
  <c r="G1436" i="5"/>
  <c r="S1435" i="5"/>
  <c r="G1435" i="5"/>
  <c r="S1434" i="5"/>
  <c r="G1434" i="5"/>
  <c r="S1433" i="5"/>
  <c r="G1433" i="5"/>
  <c r="S1432" i="5"/>
  <c r="G1432" i="5"/>
  <c r="S1431" i="5"/>
  <c r="G1431" i="5"/>
  <c r="S1430" i="5"/>
  <c r="G1430" i="5"/>
  <c r="S1429" i="5"/>
  <c r="G1429" i="5"/>
  <c r="S1428" i="5"/>
  <c r="G1428" i="5"/>
  <c r="S1427" i="5"/>
  <c r="G1427" i="5"/>
  <c r="S1426" i="5"/>
  <c r="G1426" i="5"/>
  <c r="S1425" i="5"/>
  <c r="G1425" i="5"/>
  <c r="S1424" i="5"/>
  <c r="G1424" i="5"/>
  <c r="S1423" i="5"/>
  <c r="G1423" i="5"/>
  <c r="S1422" i="5"/>
  <c r="G1422" i="5"/>
  <c r="S1421" i="5"/>
  <c r="G1421" i="5"/>
  <c r="S1420" i="5"/>
  <c r="G1420" i="5"/>
  <c r="S1419" i="5"/>
  <c r="G1419" i="5"/>
  <c r="S1418" i="5"/>
  <c r="G1418" i="5"/>
  <c r="S1417" i="5"/>
  <c r="G1417" i="5"/>
  <c r="S1416" i="5"/>
  <c r="G1416" i="5"/>
  <c r="S1415" i="5"/>
  <c r="G1415" i="5"/>
  <c r="S1414" i="5"/>
  <c r="G1414" i="5"/>
  <c r="S1413" i="5"/>
  <c r="G1413" i="5"/>
  <c r="S1412" i="5"/>
  <c r="G1412" i="5"/>
  <c r="S1411" i="5"/>
  <c r="G1411" i="5"/>
  <c r="S1410" i="5"/>
  <c r="G1410" i="5"/>
  <c r="S1409" i="5"/>
  <c r="G1409" i="5"/>
  <c r="S1408" i="5"/>
  <c r="G1408" i="5"/>
  <c r="S1407" i="5"/>
  <c r="G1407" i="5"/>
  <c r="S1406" i="5"/>
  <c r="G1406" i="5"/>
  <c r="S1405" i="5"/>
  <c r="G1405" i="5"/>
  <c r="S1404" i="5"/>
  <c r="G1404" i="5"/>
  <c r="S1403" i="5"/>
  <c r="G1403" i="5"/>
  <c r="S1402" i="5"/>
  <c r="G1402" i="5"/>
  <c r="S1401" i="5"/>
  <c r="G1401" i="5"/>
  <c r="S1400" i="5"/>
  <c r="G1400" i="5"/>
  <c r="S1399" i="5"/>
  <c r="G1399" i="5"/>
  <c r="S1398" i="5"/>
  <c r="G1398" i="5"/>
  <c r="S1397" i="5"/>
  <c r="G1397" i="5"/>
  <c r="S1396" i="5"/>
  <c r="G1396" i="5"/>
  <c r="S1395" i="5"/>
  <c r="G1395" i="5"/>
  <c r="S1394" i="5"/>
  <c r="G1394" i="5"/>
  <c r="S1393" i="5"/>
  <c r="G1393" i="5"/>
  <c r="S1392" i="5"/>
  <c r="G1392" i="5"/>
  <c r="S1391" i="5"/>
  <c r="G1391" i="5"/>
  <c r="S1390" i="5"/>
  <c r="G1390" i="5"/>
  <c r="S1389" i="5"/>
  <c r="G1389" i="5"/>
  <c r="S1388" i="5"/>
  <c r="F1388" i="5"/>
  <c r="G1388" i="5" s="1"/>
  <c r="S1387" i="5"/>
  <c r="G1387" i="5"/>
  <c r="S1386" i="5"/>
  <c r="G1386" i="5"/>
  <c r="S1385" i="5"/>
  <c r="G1385" i="5"/>
  <c r="S1384" i="5"/>
  <c r="G1384" i="5"/>
  <c r="S1383" i="5"/>
  <c r="G1383" i="5"/>
  <c r="S1382" i="5"/>
  <c r="G1382" i="5"/>
  <c r="S1381" i="5"/>
  <c r="G1381" i="5"/>
  <c r="S1380" i="5"/>
  <c r="G1380" i="5"/>
  <c r="S1379" i="5"/>
  <c r="F1379" i="5"/>
  <c r="G1379" i="5" s="1"/>
  <c r="S1378" i="5"/>
  <c r="G1378" i="5"/>
  <c r="S1377" i="5"/>
  <c r="G1377" i="5"/>
  <c r="S1376" i="5"/>
  <c r="G1376" i="5"/>
  <c r="S1375" i="5"/>
  <c r="F1375" i="5"/>
  <c r="G1375" i="5" s="1"/>
  <c r="S1374" i="5"/>
  <c r="G1374" i="5"/>
  <c r="S1373" i="5"/>
  <c r="G1373" i="5"/>
  <c r="S1372" i="5"/>
  <c r="G1372" i="5"/>
  <c r="S1371" i="5"/>
  <c r="G1371" i="5"/>
  <c r="S1370" i="5"/>
  <c r="G1370" i="5"/>
  <c r="S1369" i="5"/>
  <c r="G1369" i="5"/>
  <c r="S1368" i="5"/>
  <c r="G1368" i="5"/>
  <c r="S1367" i="5"/>
  <c r="G1367" i="5"/>
  <c r="S1366" i="5"/>
  <c r="G1366" i="5"/>
  <c r="S1365" i="5"/>
  <c r="G1365" i="5"/>
  <c r="S1364" i="5"/>
  <c r="G1364" i="5"/>
  <c r="S1363" i="5"/>
  <c r="G1363" i="5"/>
  <c r="S1362" i="5"/>
  <c r="G1362" i="5"/>
  <c r="S1361" i="5"/>
  <c r="G1361" i="5"/>
  <c r="S1360" i="5"/>
  <c r="G1360" i="5"/>
  <c r="S1359" i="5"/>
  <c r="G1359" i="5"/>
  <c r="S1358" i="5"/>
  <c r="G1358" i="5"/>
  <c r="S1357" i="5"/>
  <c r="F1357" i="5"/>
  <c r="G1357" i="5" s="1"/>
  <c r="S1356" i="5"/>
  <c r="G1356" i="5"/>
  <c r="S1355" i="5"/>
  <c r="G1355" i="5"/>
  <c r="S1354" i="5"/>
  <c r="G1354" i="5"/>
  <c r="S1353" i="5"/>
  <c r="G1353" i="5"/>
  <c r="S1352" i="5"/>
  <c r="G1352" i="5"/>
  <c r="S1351" i="5"/>
  <c r="G1351" i="5"/>
  <c r="S1350" i="5"/>
  <c r="G1350" i="5"/>
  <c r="S1349" i="5"/>
  <c r="G1349" i="5"/>
  <c r="S1348" i="5"/>
  <c r="G1348" i="5"/>
  <c r="S1347" i="5"/>
  <c r="G1347" i="5"/>
  <c r="S1346" i="5"/>
  <c r="G1346" i="5"/>
  <c r="S1345" i="5"/>
  <c r="G1345" i="5"/>
  <c r="S1344" i="5"/>
  <c r="G1344" i="5"/>
  <c r="S1343" i="5"/>
  <c r="G1343" i="5"/>
  <c r="S1342" i="5"/>
  <c r="G1342" i="5"/>
  <c r="S1341" i="5"/>
  <c r="G1341" i="5"/>
  <c r="S1340" i="5"/>
  <c r="G1340" i="5"/>
  <c r="S1339" i="5"/>
  <c r="G1339" i="5"/>
  <c r="S1338" i="5"/>
  <c r="G1338" i="5"/>
  <c r="S1337" i="5"/>
  <c r="G1337" i="5"/>
  <c r="S1336" i="5"/>
  <c r="G1336" i="5"/>
  <c r="S1335" i="5"/>
  <c r="G1335" i="5"/>
  <c r="S1334" i="5"/>
  <c r="G1334" i="5"/>
  <c r="S1333" i="5"/>
  <c r="G1333" i="5"/>
  <c r="S1332" i="5"/>
  <c r="G1332" i="5"/>
  <c r="S1331" i="5"/>
  <c r="G1331" i="5"/>
  <c r="S1330" i="5"/>
  <c r="G1330" i="5"/>
  <c r="S1329" i="5"/>
  <c r="G1329" i="5"/>
  <c r="S1328" i="5"/>
  <c r="G1328" i="5"/>
  <c r="S1327" i="5"/>
  <c r="G1327" i="5"/>
  <c r="S1326" i="5"/>
  <c r="G1326" i="5"/>
  <c r="S1325" i="5"/>
  <c r="G1325" i="5"/>
  <c r="S1324" i="5"/>
  <c r="G1324" i="5"/>
  <c r="S1323" i="5"/>
  <c r="G1323" i="5"/>
  <c r="S1322" i="5"/>
  <c r="G1322" i="5"/>
  <c r="S1321" i="5"/>
  <c r="G1321" i="5"/>
  <c r="S1320" i="5"/>
  <c r="G1320" i="5"/>
  <c r="S1319" i="5"/>
  <c r="G1319" i="5"/>
  <c r="S1318" i="5"/>
  <c r="F1318" i="5"/>
  <c r="G1318" i="5" s="1"/>
  <c r="S1317" i="5"/>
  <c r="G1317" i="5"/>
  <c r="S1316" i="5"/>
  <c r="G1316" i="5"/>
  <c r="S1315" i="5"/>
  <c r="G1315" i="5"/>
  <c r="S1314" i="5"/>
  <c r="G1314" i="5"/>
  <c r="S1313" i="5"/>
  <c r="G1313" i="5"/>
  <c r="S1312" i="5"/>
  <c r="G1312" i="5"/>
  <c r="S1311" i="5"/>
  <c r="G1311" i="5"/>
  <c r="S1310" i="5"/>
  <c r="F1310" i="5"/>
  <c r="G1310" i="5" s="1"/>
  <c r="S1309" i="5"/>
  <c r="G1309" i="5"/>
  <c r="S1308" i="5"/>
  <c r="G1308" i="5"/>
  <c r="S1307" i="5"/>
  <c r="G1307" i="5"/>
  <c r="S1306" i="5"/>
  <c r="G1306" i="5"/>
  <c r="S1305" i="5"/>
  <c r="G1305" i="5"/>
  <c r="S1304" i="5"/>
  <c r="G1304" i="5"/>
  <c r="S1303" i="5"/>
  <c r="G1303" i="5"/>
  <c r="S1302" i="5"/>
  <c r="F1302" i="5"/>
  <c r="G1302" i="5" s="1"/>
  <c r="S1301" i="5"/>
  <c r="G1301" i="5"/>
  <c r="S1300" i="5"/>
  <c r="G1300" i="5"/>
  <c r="S1299" i="5"/>
  <c r="G1299" i="5"/>
  <c r="S1298" i="5"/>
  <c r="G1298" i="5"/>
  <c r="S1297" i="5"/>
  <c r="G1297" i="5"/>
  <c r="S1296" i="5"/>
  <c r="G1296" i="5"/>
  <c r="S1295" i="5"/>
  <c r="G1295" i="5"/>
  <c r="S1294" i="5"/>
  <c r="G1294" i="5"/>
  <c r="S1293" i="5"/>
  <c r="G1293" i="5"/>
  <c r="S1292" i="5"/>
  <c r="G1292" i="5"/>
  <c r="S1291" i="5"/>
  <c r="G1291" i="5"/>
  <c r="S1290" i="5"/>
  <c r="G1290" i="5"/>
  <c r="S1289" i="5"/>
  <c r="G1289" i="5"/>
  <c r="S1288" i="5"/>
  <c r="G1288" i="5"/>
  <c r="S1287" i="5"/>
  <c r="G1287" i="5"/>
  <c r="S1286" i="5"/>
  <c r="G1286" i="5"/>
  <c r="S1285" i="5"/>
  <c r="G1285" i="5"/>
  <c r="S1284" i="5"/>
  <c r="G1284" i="5"/>
  <c r="S1283" i="5"/>
  <c r="G1283" i="5"/>
  <c r="S1282" i="5"/>
  <c r="G1282" i="5"/>
  <c r="S1281" i="5"/>
  <c r="G1281" i="5"/>
  <c r="S1280" i="5"/>
  <c r="G1280" i="5"/>
  <c r="S1279" i="5"/>
  <c r="G1279" i="5"/>
  <c r="S1278" i="5"/>
  <c r="G1278" i="5"/>
  <c r="S1277" i="5"/>
  <c r="G1277" i="5"/>
  <c r="S1276" i="5"/>
  <c r="G1276" i="5"/>
  <c r="S1275" i="5"/>
  <c r="G1275" i="5"/>
  <c r="S1274" i="5"/>
  <c r="G1274" i="5"/>
  <c r="S1273" i="5"/>
  <c r="G1273" i="5"/>
  <c r="S1272" i="5"/>
  <c r="G1272" i="5"/>
  <c r="S1271" i="5"/>
  <c r="G1271" i="5"/>
  <c r="S1270" i="5"/>
  <c r="G1270" i="5"/>
  <c r="S1269" i="5"/>
  <c r="G1269" i="5"/>
  <c r="S1268" i="5"/>
  <c r="G1268" i="5"/>
  <c r="S1267" i="5"/>
  <c r="G1267" i="5"/>
  <c r="S1266" i="5"/>
  <c r="G1266" i="5"/>
  <c r="S1265" i="5"/>
  <c r="G1265" i="5"/>
  <c r="S1264" i="5"/>
  <c r="G1264" i="5"/>
  <c r="S1263" i="5"/>
  <c r="G1263" i="5"/>
  <c r="S1262" i="5"/>
  <c r="G1262" i="5"/>
  <c r="S1261" i="5"/>
  <c r="G1261" i="5"/>
  <c r="S1260" i="5"/>
  <c r="G1260" i="5"/>
  <c r="S1259" i="5"/>
  <c r="G1259" i="5"/>
  <c r="S1258" i="5"/>
  <c r="G1258" i="5"/>
  <c r="S1257" i="5"/>
  <c r="G1257" i="5"/>
  <c r="S1256" i="5"/>
  <c r="G1256" i="5"/>
  <c r="S1255" i="5"/>
  <c r="G1255" i="5"/>
  <c r="S1254" i="5"/>
  <c r="G1254" i="5"/>
  <c r="S1253" i="5"/>
  <c r="G1253" i="5"/>
  <c r="S1252" i="5"/>
  <c r="G1252" i="5"/>
  <c r="S1251" i="5"/>
  <c r="G1251" i="5"/>
  <c r="S1250" i="5"/>
  <c r="G1250" i="5"/>
  <c r="S1249" i="5"/>
  <c r="G1249" i="5"/>
  <c r="S1248" i="5"/>
  <c r="G1248" i="5"/>
  <c r="S1247" i="5"/>
  <c r="G1247" i="5"/>
  <c r="S1246" i="5"/>
  <c r="G1246" i="5"/>
  <c r="S1245" i="5"/>
  <c r="G1245" i="5"/>
  <c r="S1244" i="5"/>
  <c r="G1244" i="5"/>
  <c r="S1243" i="5"/>
  <c r="G1243" i="5"/>
  <c r="S1242" i="5"/>
  <c r="G1242" i="5"/>
  <c r="S1241" i="5"/>
  <c r="G1241" i="5"/>
  <c r="S1240" i="5"/>
  <c r="G1240" i="5"/>
  <c r="S1239" i="5"/>
  <c r="G1239" i="5"/>
  <c r="S1238" i="5"/>
  <c r="G1238" i="5"/>
  <c r="S1237" i="5"/>
  <c r="G1237" i="5"/>
  <c r="S1236" i="5"/>
  <c r="G1236" i="5"/>
  <c r="S1235" i="5"/>
  <c r="G1235" i="5"/>
  <c r="S1234" i="5"/>
  <c r="G1234" i="5"/>
  <c r="S1233" i="5"/>
  <c r="G1233" i="5"/>
  <c r="R1232" i="5"/>
  <c r="S1232" i="5" s="1"/>
  <c r="G1232" i="5"/>
  <c r="S1231" i="5"/>
  <c r="G1231" i="5"/>
  <c r="S1230" i="5"/>
  <c r="G1230" i="5"/>
  <c r="S1229" i="5"/>
  <c r="G1229" i="5"/>
  <c r="S1228" i="5"/>
  <c r="G1228" i="5"/>
  <c r="S1227" i="5"/>
  <c r="G1227" i="5"/>
  <c r="S1226" i="5"/>
  <c r="G1226" i="5"/>
  <c r="S1225" i="5"/>
  <c r="G1225" i="5"/>
  <c r="S1224" i="5"/>
  <c r="G1224" i="5"/>
  <c r="S1223" i="5"/>
  <c r="G1223" i="5"/>
  <c r="S1222" i="5"/>
  <c r="G1222" i="5"/>
  <c r="S1221" i="5"/>
  <c r="G1221" i="5"/>
  <c r="S1220" i="5"/>
  <c r="G1220" i="5"/>
  <c r="S1219" i="5"/>
  <c r="G1219" i="5"/>
  <c r="S1218" i="5"/>
  <c r="G1218" i="5"/>
  <c r="S1217" i="5"/>
  <c r="G1217" i="5"/>
  <c r="S1216" i="5"/>
  <c r="G1216" i="5"/>
  <c r="S1215" i="5"/>
  <c r="G1215" i="5"/>
  <c r="S1214" i="5"/>
  <c r="G1214" i="5"/>
  <c r="S1213" i="5"/>
  <c r="G1213" i="5"/>
  <c r="S1212" i="5"/>
  <c r="G1212" i="5"/>
  <c r="S1211" i="5"/>
  <c r="G1211" i="5"/>
  <c r="S1210" i="5"/>
  <c r="G1210" i="5"/>
  <c r="R1209" i="5"/>
  <c r="S1209" i="5" s="1"/>
  <c r="G1209" i="5"/>
  <c r="R1208" i="5"/>
  <c r="S1208" i="5" s="1"/>
  <c r="G1208" i="5"/>
  <c r="S1207" i="5"/>
  <c r="G1207" i="5"/>
  <c r="S1206" i="5"/>
  <c r="G1206" i="5"/>
  <c r="S1205" i="5"/>
  <c r="G1205" i="5"/>
  <c r="S1204" i="5"/>
  <c r="G1204" i="5"/>
  <c r="S1203" i="5"/>
  <c r="G1203" i="5"/>
  <c r="S1202" i="5"/>
  <c r="G1202" i="5"/>
  <c r="S1201" i="5"/>
  <c r="G1201" i="5"/>
  <c r="S1200" i="5"/>
  <c r="G1200" i="5"/>
  <c r="S1199" i="5"/>
  <c r="G1199" i="5"/>
  <c r="S1198" i="5"/>
  <c r="G1198" i="5"/>
  <c r="S1197" i="5"/>
  <c r="G1197" i="5"/>
  <c r="S1196" i="5"/>
  <c r="G1196" i="5"/>
  <c r="S1195" i="5"/>
  <c r="G1195" i="5"/>
  <c r="S1194" i="5"/>
  <c r="G1194" i="5"/>
  <c r="S1193" i="5"/>
  <c r="G1193" i="5"/>
  <c r="S1192" i="5"/>
  <c r="G1192" i="5"/>
  <c r="S1191" i="5"/>
  <c r="G1191" i="5"/>
  <c r="S1190" i="5"/>
  <c r="G1190" i="5"/>
  <c r="S1189" i="5"/>
  <c r="G1189" i="5"/>
  <c r="S1188" i="5"/>
  <c r="G1188" i="5"/>
  <c r="S1187" i="5"/>
  <c r="G1187" i="5"/>
  <c r="S1186" i="5"/>
  <c r="G1186" i="5"/>
  <c r="S1185" i="5"/>
  <c r="G1185" i="5"/>
  <c r="S1184" i="5"/>
  <c r="G1184" i="5"/>
  <c r="S1183" i="5"/>
  <c r="G1183" i="5"/>
  <c r="S1182" i="5"/>
  <c r="G1182" i="5"/>
  <c r="S1181" i="5"/>
  <c r="G1181" i="5"/>
  <c r="S1180" i="5"/>
  <c r="G1180" i="5"/>
  <c r="S1179" i="5"/>
  <c r="G1179" i="5"/>
  <c r="S1178" i="5"/>
  <c r="G1178" i="5"/>
  <c r="S1177" i="5"/>
  <c r="G1177" i="5"/>
  <c r="S1176" i="5"/>
  <c r="G1176" i="5"/>
  <c r="S1175" i="5"/>
  <c r="G1175" i="5"/>
  <c r="S1174" i="5"/>
  <c r="G1174" i="5"/>
  <c r="S1173" i="5"/>
  <c r="G1173" i="5"/>
  <c r="S1172" i="5"/>
  <c r="G1172" i="5"/>
  <c r="S1171" i="5"/>
  <c r="G1171" i="5"/>
  <c r="S1170" i="5"/>
  <c r="G1170" i="5"/>
  <c r="S1169" i="5"/>
  <c r="G1169" i="5"/>
  <c r="S1168" i="5"/>
  <c r="G1168" i="5"/>
  <c r="S1167" i="5"/>
  <c r="G1167" i="5"/>
  <c r="S1166" i="5"/>
  <c r="G1166" i="5"/>
  <c r="S1165" i="5"/>
  <c r="G1165" i="5"/>
  <c r="S1164" i="5"/>
  <c r="G1164" i="5"/>
  <c r="S1163" i="5"/>
  <c r="G1163" i="5"/>
  <c r="S1162" i="5"/>
  <c r="G1162" i="5"/>
  <c r="S1161" i="5"/>
  <c r="G1161" i="5"/>
  <c r="S1160" i="5"/>
  <c r="G1160" i="5"/>
  <c r="S1159" i="5"/>
  <c r="G1159" i="5"/>
  <c r="S1158" i="5"/>
  <c r="G1158" i="5"/>
  <c r="S1157" i="5"/>
  <c r="G1157" i="5"/>
  <c r="S1156" i="5"/>
  <c r="G1156" i="5"/>
  <c r="S1155" i="5"/>
  <c r="G1155" i="5"/>
  <c r="S1154" i="5"/>
  <c r="F1154" i="5"/>
  <c r="G1154" i="5" s="1"/>
  <c r="S1153" i="5"/>
  <c r="G1153" i="5"/>
  <c r="S1152" i="5"/>
  <c r="G1152" i="5"/>
  <c r="S1151" i="5"/>
  <c r="G1151" i="5"/>
  <c r="S1150" i="5"/>
  <c r="G1150" i="5"/>
  <c r="S1149" i="5"/>
  <c r="G1149" i="5"/>
  <c r="S1148" i="5"/>
  <c r="G1148" i="5"/>
  <c r="S1147" i="5"/>
  <c r="G1147" i="5"/>
  <c r="S1146" i="5"/>
  <c r="G1146" i="5"/>
  <c r="S1145" i="5"/>
  <c r="G1145" i="5"/>
  <c r="S1144" i="5"/>
  <c r="G1144" i="5"/>
  <c r="S1143" i="5"/>
  <c r="G1143" i="5"/>
  <c r="S1142" i="5"/>
  <c r="G1142" i="5"/>
  <c r="S1141" i="5"/>
  <c r="G1141" i="5"/>
  <c r="S1140" i="5"/>
  <c r="G1140" i="5"/>
  <c r="S1139" i="5"/>
  <c r="G1139" i="5"/>
  <c r="S1138" i="5"/>
  <c r="G1138" i="5"/>
  <c r="S1137" i="5"/>
  <c r="G1137" i="5"/>
  <c r="S1136" i="5"/>
  <c r="G1136" i="5"/>
  <c r="S1135" i="5"/>
  <c r="G1135" i="5"/>
  <c r="S1134" i="5"/>
  <c r="G1134" i="5"/>
  <c r="S1133" i="5"/>
  <c r="G1133" i="5"/>
  <c r="S1132" i="5"/>
  <c r="G1132" i="5"/>
  <c r="S1131" i="5"/>
  <c r="G1131" i="5"/>
  <c r="S1130" i="5"/>
  <c r="G1130" i="5"/>
  <c r="S1129" i="5"/>
  <c r="G1129" i="5"/>
  <c r="S1128" i="5"/>
  <c r="G1128" i="5"/>
  <c r="S1127" i="5"/>
  <c r="G1127" i="5"/>
  <c r="S1126" i="5"/>
  <c r="G1126" i="5"/>
  <c r="S1125" i="5"/>
  <c r="G1125" i="5"/>
  <c r="S1124" i="5"/>
  <c r="G1124" i="5"/>
  <c r="S1123" i="5"/>
  <c r="G1123" i="5"/>
  <c r="S1122" i="5"/>
  <c r="G1122" i="5"/>
  <c r="S1121" i="5"/>
  <c r="G1121" i="5"/>
  <c r="S1120" i="5"/>
  <c r="G1120" i="5"/>
  <c r="S1119" i="5"/>
  <c r="G1119" i="5"/>
  <c r="S1118" i="5"/>
  <c r="G1118" i="5"/>
  <c r="S1117" i="5"/>
  <c r="F1117" i="5"/>
  <c r="G1117" i="5" s="1"/>
  <c r="S1116" i="5"/>
  <c r="F1116" i="5"/>
  <c r="G1116" i="5" s="1"/>
  <c r="S1115" i="5"/>
  <c r="G1115" i="5"/>
  <c r="S1114" i="5"/>
  <c r="G1114" i="5"/>
  <c r="S1113" i="5"/>
  <c r="G1113" i="5"/>
  <c r="S1112" i="5"/>
  <c r="G1112" i="5"/>
  <c r="S1111" i="5"/>
  <c r="G1111" i="5"/>
  <c r="S1110" i="5"/>
  <c r="G1110" i="5"/>
  <c r="S1109" i="5"/>
  <c r="G1109" i="5"/>
  <c r="S1108" i="5"/>
  <c r="G1108" i="5"/>
  <c r="S1107" i="5"/>
  <c r="G1107" i="5"/>
  <c r="S1106" i="5"/>
  <c r="G1106" i="5"/>
  <c r="S1105" i="5"/>
  <c r="G1105" i="5"/>
  <c r="S1104" i="5"/>
  <c r="G1104" i="5"/>
  <c r="S1103" i="5"/>
  <c r="G1103" i="5"/>
  <c r="S1102" i="5"/>
  <c r="G1102" i="5"/>
  <c r="S1101" i="5"/>
  <c r="G1101" i="5"/>
  <c r="S1100" i="5"/>
  <c r="G1100" i="5"/>
  <c r="S1099" i="5"/>
  <c r="G1099" i="5"/>
  <c r="S1098" i="5"/>
  <c r="G1098" i="5"/>
  <c r="S1097" i="5"/>
  <c r="F1097" i="5"/>
  <c r="G1097" i="5" s="1"/>
  <c r="S1096" i="5"/>
  <c r="G1096" i="5"/>
  <c r="S1095" i="5"/>
  <c r="G1095" i="5"/>
  <c r="S1094" i="5"/>
  <c r="G1094" i="5"/>
  <c r="S1093" i="5"/>
  <c r="G1093" i="5"/>
  <c r="S1092" i="5"/>
  <c r="G1092" i="5"/>
  <c r="S1091" i="5"/>
  <c r="G1091" i="5"/>
  <c r="S1090" i="5"/>
  <c r="G1090" i="5"/>
  <c r="S1089" i="5"/>
  <c r="G1089" i="5"/>
  <c r="S1088" i="5"/>
  <c r="G1088" i="5"/>
  <c r="S1087" i="5"/>
  <c r="G1087" i="5"/>
  <c r="S1086" i="5"/>
  <c r="G1086" i="5"/>
  <c r="S1085" i="5"/>
  <c r="G1085" i="5"/>
  <c r="S1084" i="5"/>
  <c r="G1084" i="5"/>
  <c r="S1083" i="5"/>
  <c r="G1083" i="5"/>
  <c r="S1082" i="5"/>
  <c r="G1082" i="5"/>
  <c r="S1081" i="5"/>
  <c r="G1081" i="5"/>
  <c r="S1080" i="5"/>
  <c r="G1080" i="5"/>
  <c r="S1079" i="5"/>
  <c r="G1079" i="5"/>
  <c r="S1078" i="5"/>
  <c r="G1078" i="5"/>
  <c r="S1077" i="5"/>
  <c r="G1077" i="5"/>
  <c r="S1076" i="5"/>
  <c r="G1076" i="5"/>
  <c r="S1075" i="5"/>
  <c r="G1075" i="5"/>
  <c r="S1074" i="5"/>
  <c r="G1074" i="5"/>
  <c r="S1073" i="5"/>
  <c r="G1073" i="5"/>
  <c r="S1072" i="5"/>
  <c r="G1072" i="5"/>
  <c r="S1071" i="5"/>
  <c r="G1071" i="5"/>
  <c r="S1070" i="5"/>
  <c r="G1070" i="5"/>
  <c r="S1069" i="5"/>
  <c r="G1069" i="5"/>
  <c r="S1068" i="5"/>
  <c r="G1068" i="5"/>
  <c r="S1067" i="5"/>
  <c r="G1067" i="5"/>
  <c r="S1066" i="5"/>
  <c r="G1066" i="5"/>
  <c r="S1065" i="5"/>
  <c r="G1065" i="5"/>
  <c r="S1064" i="5"/>
  <c r="G1064" i="5"/>
  <c r="S1063" i="5"/>
  <c r="G1063" i="5"/>
  <c r="S1062" i="5"/>
  <c r="G1062" i="5"/>
  <c r="S1061" i="5"/>
  <c r="G1061" i="5"/>
  <c r="S1060" i="5"/>
  <c r="G1060" i="5"/>
  <c r="S1059" i="5"/>
  <c r="G1059" i="5"/>
  <c r="S1058" i="5"/>
  <c r="G1058" i="5"/>
  <c r="S1057" i="5"/>
  <c r="G1057" i="5"/>
  <c r="S1056" i="5"/>
  <c r="G1056" i="5"/>
  <c r="S1055" i="5"/>
  <c r="G1055" i="5"/>
  <c r="S1054" i="5"/>
  <c r="G1054" i="5"/>
  <c r="S1053" i="5"/>
  <c r="G1053" i="5"/>
  <c r="S1052" i="5"/>
  <c r="G1052" i="5"/>
  <c r="S1051" i="5"/>
  <c r="G1051" i="5"/>
  <c r="S1050" i="5"/>
  <c r="G1050" i="5"/>
  <c r="S1049" i="5"/>
  <c r="G1049" i="5"/>
  <c r="S1048" i="5"/>
  <c r="G1048" i="5"/>
  <c r="S1047" i="5"/>
  <c r="G1047" i="5"/>
  <c r="S1046" i="5"/>
  <c r="G1046" i="5"/>
  <c r="S1045" i="5"/>
  <c r="G1045" i="5"/>
  <c r="S1044" i="5"/>
  <c r="G1044" i="5"/>
  <c r="S1043" i="5"/>
  <c r="G1043" i="5"/>
  <c r="S1042" i="5"/>
  <c r="G1042" i="5"/>
  <c r="S1041" i="5"/>
  <c r="G1041" i="5"/>
  <c r="S1040" i="5"/>
  <c r="G1040" i="5"/>
  <c r="S1039" i="5"/>
  <c r="G1039" i="5"/>
  <c r="S1038" i="5"/>
  <c r="G1038" i="5"/>
  <c r="S1037" i="5"/>
  <c r="G1037" i="5"/>
  <c r="S1036" i="5"/>
  <c r="G1036" i="5"/>
  <c r="S1035" i="5"/>
  <c r="G1035" i="5"/>
  <c r="S1034" i="5"/>
  <c r="F1034" i="5"/>
  <c r="G1034" i="5" s="1"/>
  <c r="S1033" i="5"/>
  <c r="G1033" i="5"/>
  <c r="S1032" i="5"/>
  <c r="G1032" i="5"/>
  <c r="S1031" i="5"/>
  <c r="G1031" i="5"/>
  <c r="S1030" i="5"/>
  <c r="G1030" i="5"/>
  <c r="S1029" i="5"/>
  <c r="G1029" i="5"/>
  <c r="R1028" i="5"/>
  <c r="S1028" i="5" s="1"/>
  <c r="F1028" i="5"/>
  <c r="G1028" i="5" s="1"/>
  <c r="S1027" i="5"/>
  <c r="G1027" i="5"/>
  <c r="R1026" i="5"/>
  <c r="S1026" i="5" s="1"/>
  <c r="G1026" i="5"/>
  <c r="S1025" i="5"/>
  <c r="G1025" i="5"/>
  <c r="S1024" i="5"/>
  <c r="G1024" i="5"/>
  <c r="S1023" i="5"/>
  <c r="G1023" i="5"/>
  <c r="S1022" i="5"/>
  <c r="G1022" i="5"/>
  <c r="S1021" i="5"/>
  <c r="G1021" i="5"/>
  <c r="S1020" i="5"/>
  <c r="G1020" i="5"/>
  <c r="S1019" i="5"/>
  <c r="G1019" i="5"/>
  <c r="S1018" i="5"/>
  <c r="G1018" i="5"/>
  <c r="S1017" i="5"/>
  <c r="G1017" i="5"/>
  <c r="S1016" i="5"/>
  <c r="G1016" i="5"/>
  <c r="S1015" i="5"/>
  <c r="G1015" i="5"/>
  <c r="S1014" i="5"/>
  <c r="G1014" i="5"/>
  <c r="S1013" i="5"/>
  <c r="G1013" i="5"/>
  <c r="S1012" i="5"/>
  <c r="F1012" i="5"/>
  <c r="G1012" i="5" s="1"/>
  <c r="S1011" i="5"/>
  <c r="G1011" i="5"/>
  <c r="S1010" i="5"/>
  <c r="G1010" i="5"/>
  <c r="S1009" i="5"/>
  <c r="G1009" i="5"/>
  <c r="S1008" i="5"/>
  <c r="G1008" i="5"/>
  <c r="S1007" i="5"/>
  <c r="G1007" i="5"/>
  <c r="S1006" i="5"/>
  <c r="G1006" i="5"/>
  <c r="S1005" i="5"/>
  <c r="G1005" i="5"/>
  <c r="S1004" i="5"/>
  <c r="G1004" i="5"/>
  <c r="S1003" i="5"/>
  <c r="G1003" i="5"/>
  <c r="S1002" i="5"/>
  <c r="G1002" i="5"/>
  <c r="S1001" i="5"/>
  <c r="G1001" i="5"/>
  <c r="S1000" i="5"/>
  <c r="G1000" i="5"/>
  <c r="S999" i="5"/>
  <c r="G999" i="5"/>
  <c r="S998" i="5"/>
  <c r="G998" i="5"/>
  <c r="S997" i="5"/>
  <c r="G997" i="5"/>
  <c r="S996" i="5"/>
  <c r="G996" i="5"/>
  <c r="S995" i="5"/>
  <c r="G995" i="5"/>
  <c r="S994" i="5"/>
  <c r="G994" i="5"/>
  <c r="S993" i="5"/>
  <c r="G993" i="5"/>
  <c r="S992" i="5"/>
  <c r="G992" i="5"/>
  <c r="S991" i="5"/>
  <c r="F991" i="5"/>
  <c r="G991" i="5" s="1"/>
  <c r="S990" i="5"/>
  <c r="G990" i="5"/>
  <c r="S989" i="5"/>
  <c r="G989" i="5"/>
  <c r="S988" i="5"/>
  <c r="G988" i="5"/>
  <c r="S987" i="5"/>
  <c r="G987" i="5"/>
  <c r="S986" i="5"/>
  <c r="G986" i="5"/>
  <c r="S985" i="5"/>
  <c r="G985" i="5"/>
  <c r="S984" i="5"/>
  <c r="G984" i="5"/>
  <c r="S983" i="5"/>
  <c r="G983" i="5"/>
  <c r="S982" i="5"/>
  <c r="G982" i="5"/>
  <c r="S981" i="5"/>
  <c r="G981" i="5"/>
  <c r="S980" i="5"/>
  <c r="G980" i="5"/>
  <c r="S979" i="5"/>
  <c r="G979" i="5"/>
  <c r="S978" i="5"/>
  <c r="G978" i="5"/>
  <c r="S977" i="5"/>
  <c r="G977" i="5"/>
  <c r="S976" i="5"/>
  <c r="G976" i="5"/>
  <c r="S975" i="5"/>
  <c r="F975" i="5"/>
  <c r="G975" i="5" s="1"/>
  <c r="S974" i="5"/>
  <c r="G974" i="5"/>
  <c r="S973" i="5"/>
  <c r="G973" i="5"/>
  <c r="S972" i="5"/>
  <c r="G972" i="5"/>
  <c r="S971" i="5"/>
  <c r="G971" i="5"/>
  <c r="S970" i="5"/>
  <c r="G970" i="5"/>
  <c r="S969" i="5"/>
  <c r="G969" i="5"/>
  <c r="S968" i="5"/>
  <c r="G968" i="5"/>
  <c r="S967" i="5"/>
  <c r="G967" i="5"/>
  <c r="S966" i="5"/>
  <c r="G966" i="5"/>
  <c r="S965" i="5"/>
  <c r="G965" i="5"/>
  <c r="S964" i="5"/>
  <c r="G964" i="5"/>
  <c r="S963" i="5"/>
  <c r="G963" i="5"/>
  <c r="S962" i="5"/>
  <c r="G962" i="5"/>
  <c r="S961" i="5"/>
  <c r="G961" i="5"/>
  <c r="S960" i="5"/>
  <c r="G960" i="5"/>
  <c r="S959" i="5"/>
  <c r="G959" i="5"/>
  <c r="S958" i="5"/>
  <c r="G958" i="5"/>
  <c r="S957" i="5"/>
  <c r="G957" i="5"/>
  <c r="S956" i="5"/>
  <c r="G956" i="5"/>
  <c r="S955" i="5"/>
  <c r="G955" i="5"/>
  <c r="S954" i="5"/>
  <c r="G954" i="5"/>
  <c r="S953" i="5"/>
  <c r="G953" i="5"/>
  <c r="S952" i="5"/>
  <c r="G952" i="5"/>
  <c r="S951" i="5"/>
  <c r="G951" i="5"/>
  <c r="S950" i="5"/>
  <c r="G950" i="5"/>
  <c r="S949" i="5"/>
  <c r="G949" i="5"/>
  <c r="S948" i="5"/>
  <c r="G948" i="5"/>
  <c r="S947" i="5"/>
  <c r="G947" i="5"/>
  <c r="S946" i="5"/>
  <c r="G946" i="5"/>
  <c r="S945" i="5"/>
  <c r="G945" i="5"/>
  <c r="S944" i="5"/>
  <c r="G944" i="5"/>
  <c r="S943" i="5"/>
  <c r="G943" i="5"/>
  <c r="S942" i="5"/>
  <c r="G942" i="5"/>
  <c r="S941" i="5"/>
  <c r="G941" i="5"/>
  <c r="S940" i="5"/>
  <c r="G940" i="5"/>
  <c r="S939" i="5"/>
  <c r="G939" i="5"/>
  <c r="S938" i="5"/>
  <c r="G938" i="5"/>
  <c r="S937" i="5"/>
  <c r="G937" i="5"/>
  <c r="S936" i="5"/>
  <c r="G936" i="5"/>
  <c r="S935" i="5"/>
  <c r="G935" i="5"/>
  <c r="S934" i="5"/>
  <c r="G934" i="5"/>
  <c r="S933" i="5"/>
  <c r="G933" i="5"/>
  <c r="S932" i="5"/>
  <c r="G932" i="5"/>
  <c r="S931" i="5"/>
  <c r="G931" i="5"/>
  <c r="S930" i="5"/>
  <c r="G930" i="5"/>
  <c r="S929" i="5"/>
  <c r="G929" i="5"/>
  <c r="S928" i="5"/>
  <c r="G928" i="5"/>
  <c r="S927" i="5"/>
  <c r="G927" i="5"/>
  <c r="S926" i="5"/>
  <c r="G926" i="5"/>
  <c r="S925" i="5"/>
  <c r="G925" i="5"/>
  <c r="S924" i="5"/>
  <c r="G924" i="5"/>
  <c r="S923" i="5"/>
  <c r="G923" i="5"/>
  <c r="S922" i="5"/>
  <c r="G922" i="5"/>
  <c r="S921" i="5"/>
  <c r="G921" i="5"/>
  <c r="S920" i="5"/>
  <c r="G920" i="5"/>
  <c r="S919" i="5"/>
  <c r="G919" i="5"/>
  <c r="S918" i="5"/>
  <c r="G918" i="5"/>
  <c r="S917" i="5"/>
  <c r="G917" i="5"/>
  <c r="S916" i="5"/>
  <c r="G916" i="5"/>
  <c r="S915" i="5"/>
  <c r="G915" i="5"/>
  <c r="S914" i="5"/>
  <c r="G914" i="5"/>
  <c r="S913" i="5"/>
  <c r="G913" i="5"/>
  <c r="S912" i="5"/>
  <c r="G912" i="5"/>
  <c r="S911" i="5"/>
  <c r="G911" i="5"/>
  <c r="S910" i="5"/>
  <c r="G910" i="5"/>
  <c r="S909" i="5"/>
  <c r="G909" i="5"/>
  <c r="S908" i="5"/>
  <c r="G908" i="5"/>
  <c r="S907" i="5"/>
  <c r="F907" i="5"/>
  <c r="G907" i="5" s="1"/>
  <c r="S906" i="5"/>
  <c r="G906" i="5"/>
  <c r="S905" i="5"/>
  <c r="G905" i="5"/>
  <c r="S904" i="5"/>
  <c r="G904" i="5"/>
  <c r="S903" i="5"/>
  <c r="G903" i="5"/>
  <c r="S902" i="5"/>
  <c r="G902" i="5"/>
  <c r="S901" i="5"/>
  <c r="G901" i="5"/>
  <c r="S900" i="5"/>
  <c r="G900" i="5"/>
  <c r="S899" i="5"/>
  <c r="G899" i="5"/>
  <c r="S898" i="5"/>
  <c r="G898" i="5"/>
  <c r="S897" i="5"/>
  <c r="G897" i="5"/>
  <c r="S896" i="5"/>
  <c r="G896" i="5"/>
  <c r="S895" i="5"/>
  <c r="G895" i="5"/>
  <c r="S894" i="5"/>
  <c r="G894" i="5"/>
  <c r="S893" i="5"/>
  <c r="G893" i="5"/>
  <c r="S892" i="5"/>
  <c r="G892" i="5"/>
  <c r="S891" i="5"/>
  <c r="G891" i="5"/>
  <c r="S890" i="5"/>
  <c r="G890" i="5"/>
  <c r="S889" i="5"/>
  <c r="G889" i="5"/>
  <c r="S888" i="5"/>
  <c r="G888" i="5"/>
  <c r="S887" i="5"/>
  <c r="G887" i="5"/>
  <c r="S886" i="5"/>
  <c r="G886" i="5"/>
  <c r="S885" i="5"/>
  <c r="G885" i="5"/>
  <c r="S884" i="5"/>
  <c r="F884" i="5"/>
  <c r="G884" i="5" s="1"/>
  <c r="S883" i="5"/>
  <c r="F883" i="5"/>
  <c r="G883" i="5" s="1"/>
  <c r="S882" i="5"/>
  <c r="G882" i="5"/>
  <c r="S881" i="5"/>
  <c r="G881" i="5"/>
  <c r="S880" i="5"/>
  <c r="G880" i="5"/>
  <c r="S879" i="5"/>
  <c r="G879" i="5"/>
  <c r="S878" i="5"/>
  <c r="G878" i="5"/>
  <c r="S877" i="5"/>
  <c r="G877" i="5"/>
  <c r="S876" i="5"/>
  <c r="G876" i="5"/>
  <c r="S875" i="5"/>
  <c r="G875" i="5"/>
  <c r="S874" i="5"/>
  <c r="G874" i="5"/>
  <c r="S873" i="5"/>
  <c r="G873" i="5"/>
  <c r="S872" i="5"/>
  <c r="G872" i="5"/>
  <c r="S871" i="5"/>
  <c r="G871" i="5"/>
  <c r="S870" i="5"/>
  <c r="G870" i="5"/>
  <c r="S869" i="5"/>
  <c r="G869" i="5"/>
  <c r="S868" i="5"/>
  <c r="G868" i="5"/>
  <c r="R867" i="5"/>
  <c r="S867" i="5" s="1"/>
  <c r="G867" i="5"/>
  <c r="S866" i="5"/>
  <c r="G866" i="5"/>
  <c r="S865" i="5"/>
  <c r="G865" i="5"/>
  <c r="S864" i="5"/>
  <c r="G864" i="5"/>
  <c r="S863" i="5"/>
  <c r="G863" i="5"/>
  <c r="S862" i="5"/>
  <c r="G862" i="5"/>
  <c r="S861" i="5"/>
  <c r="G861" i="5"/>
  <c r="S860" i="5"/>
  <c r="G860" i="5"/>
  <c r="S859" i="5"/>
  <c r="G859" i="5"/>
  <c r="S858" i="5"/>
  <c r="G858" i="5"/>
  <c r="S857" i="5"/>
  <c r="G857" i="5"/>
  <c r="S856" i="5"/>
  <c r="G856" i="5"/>
  <c r="S855" i="5"/>
  <c r="G855" i="5"/>
  <c r="S854" i="5"/>
  <c r="G854" i="5"/>
  <c r="S853" i="5"/>
  <c r="G853" i="5"/>
  <c r="S852" i="5"/>
  <c r="G852" i="5"/>
  <c r="S851" i="5"/>
  <c r="G851" i="5"/>
  <c r="S850" i="5"/>
  <c r="G850" i="5"/>
  <c r="S849" i="5"/>
  <c r="G849" i="5"/>
  <c r="S848" i="5"/>
  <c r="G848" i="5"/>
  <c r="S847" i="5"/>
  <c r="G847" i="5"/>
  <c r="S846" i="5"/>
  <c r="G846" i="5"/>
  <c r="S845" i="5"/>
  <c r="G845" i="5"/>
  <c r="S844" i="5"/>
  <c r="G844" i="5"/>
  <c r="S843" i="5"/>
  <c r="G843" i="5"/>
  <c r="S842" i="5"/>
  <c r="G842" i="5"/>
  <c r="R841" i="5"/>
  <c r="S841" i="5" s="1"/>
  <c r="G841" i="5"/>
  <c r="S840" i="5"/>
  <c r="G840" i="5"/>
  <c r="S839" i="5"/>
  <c r="G839" i="5"/>
  <c r="S838" i="5"/>
  <c r="G838" i="5"/>
  <c r="S837" i="5"/>
  <c r="G837" i="5"/>
  <c r="S836" i="5"/>
  <c r="G836" i="5"/>
  <c r="S835" i="5"/>
  <c r="G835" i="5"/>
  <c r="S834" i="5"/>
  <c r="G834" i="5"/>
  <c r="S833" i="5"/>
  <c r="G833" i="5"/>
  <c r="S832" i="5"/>
  <c r="G832" i="5"/>
  <c r="S831" i="5"/>
  <c r="G831" i="5"/>
  <c r="S830" i="5"/>
  <c r="G830" i="5"/>
  <c r="S829" i="5"/>
  <c r="G829" i="5"/>
  <c r="S828" i="5"/>
  <c r="G828" i="5"/>
  <c r="S827" i="5"/>
  <c r="G827" i="5"/>
  <c r="S826" i="5"/>
  <c r="G826" i="5"/>
  <c r="S825" i="5"/>
  <c r="G825" i="5"/>
  <c r="S824" i="5"/>
  <c r="G824" i="5"/>
  <c r="S823" i="5"/>
  <c r="G823" i="5"/>
  <c r="S822" i="5"/>
  <c r="G822" i="5"/>
  <c r="S821" i="5"/>
  <c r="G821" i="5"/>
  <c r="R820" i="5"/>
  <c r="S820" i="5" s="1"/>
  <c r="G820" i="5"/>
  <c r="S819" i="5"/>
  <c r="G819" i="5"/>
  <c r="S818" i="5"/>
  <c r="G818" i="5"/>
  <c r="S817" i="5"/>
  <c r="G817" i="5"/>
  <c r="S816" i="5"/>
  <c r="G816" i="5"/>
  <c r="S815" i="5"/>
  <c r="G815" i="5"/>
  <c r="R814" i="5"/>
  <c r="S814" i="5" s="1"/>
  <c r="G814" i="5"/>
  <c r="S813" i="5"/>
  <c r="G813" i="5"/>
  <c r="R812" i="5"/>
  <c r="S812" i="5" s="1"/>
  <c r="G812" i="5"/>
  <c r="S811" i="5"/>
  <c r="G811" i="5"/>
  <c r="S810" i="5"/>
  <c r="G810" i="5"/>
  <c r="S809" i="5"/>
  <c r="G809" i="5"/>
  <c r="S808" i="5"/>
  <c r="G808" i="5"/>
  <c r="S807" i="5"/>
  <c r="G807" i="5"/>
  <c r="S806" i="5"/>
  <c r="G806" i="5"/>
  <c r="S805" i="5"/>
  <c r="G805" i="5"/>
  <c r="S804" i="5"/>
  <c r="G804" i="5"/>
  <c r="S803" i="5"/>
  <c r="G803" i="5"/>
  <c r="S802" i="5"/>
  <c r="G802" i="5"/>
  <c r="S801" i="5"/>
  <c r="G801" i="5"/>
  <c r="S800" i="5"/>
  <c r="G800" i="5"/>
  <c r="S799" i="5"/>
  <c r="G799" i="5"/>
  <c r="S798" i="5"/>
  <c r="G798" i="5"/>
  <c r="S797" i="5"/>
  <c r="G797" i="5"/>
  <c r="S796" i="5"/>
  <c r="G796" i="5"/>
  <c r="S795" i="5"/>
  <c r="G795" i="5"/>
  <c r="S794" i="5"/>
  <c r="G794" i="5"/>
  <c r="S793" i="5"/>
  <c r="G793" i="5"/>
  <c r="S792" i="5"/>
  <c r="G792" i="5"/>
  <c r="R791" i="5"/>
  <c r="S791" i="5" s="1"/>
  <c r="G791" i="5"/>
  <c r="S790" i="5"/>
  <c r="G790" i="5"/>
  <c r="S789" i="5"/>
  <c r="G789" i="5"/>
  <c r="S788" i="5"/>
  <c r="G788" i="5"/>
  <c r="S787" i="5"/>
  <c r="G787" i="5"/>
  <c r="S786" i="5"/>
  <c r="G786" i="5"/>
  <c r="S785" i="5"/>
  <c r="G785" i="5"/>
  <c r="R784" i="5"/>
  <c r="S784" i="5" s="1"/>
  <c r="F784" i="5"/>
  <c r="G784" i="5" s="1"/>
  <c r="S783" i="5"/>
  <c r="G783" i="5"/>
  <c r="S782" i="5"/>
  <c r="G782" i="5"/>
  <c r="S781" i="5"/>
  <c r="G781" i="5"/>
  <c r="S780" i="5"/>
  <c r="G780" i="5"/>
  <c r="S779" i="5"/>
  <c r="G779" i="5"/>
  <c r="S778" i="5"/>
  <c r="G778" i="5"/>
  <c r="S777" i="5"/>
  <c r="G777" i="5"/>
  <c r="S776" i="5"/>
  <c r="G776" i="5"/>
  <c r="S775" i="5"/>
  <c r="G775" i="5"/>
  <c r="S774" i="5"/>
  <c r="G774" i="5"/>
  <c r="S773" i="5"/>
  <c r="G773" i="5"/>
  <c r="S772" i="5"/>
  <c r="G772" i="5"/>
  <c r="S771" i="5"/>
  <c r="G771" i="5"/>
  <c r="S770" i="5"/>
  <c r="G770" i="5"/>
  <c r="S769" i="5"/>
  <c r="G769" i="5"/>
  <c r="S768" i="5"/>
  <c r="G768" i="5"/>
  <c r="S767" i="5"/>
  <c r="G767" i="5"/>
  <c r="S766" i="5"/>
  <c r="G766" i="5"/>
  <c r="S765" i="5"/>
  <c r="G765" i="5"/>
  <c r="S764" i="5"/>
  <c r="F764" i="5"/>
  <c r="G764" i="5" s="1"/>
  <c r="S763" i="5"/>
  <c r="G763" i="5"/>
  <c r="S762" i="5"/>
  <c r="G762" i="5"/>
  <c r="S761" i="5"/>
  <c r="G761" i="5"/>
  <c r="S760" i="5"/>
  <c r="G760" i="5"/>
  <c r="S759" i="5"/>
  <c r="G759" i="5"/>
  <c r="S758" i="5"/>
  <c r="G758" i="5"/>
  <c r="S757" i="5"/>
  <c r="G757" i="5"/>
  <c r="S756" i="5"/>
  <c r="G756" i="5"/>
  <c r="S755" i="5"/>
  <c r="G755" i="5"/>
  <c r="S754" i="5"/>
  <c r="G754" i="5"/>
  <c r="R753" i="5"/>
  <c r="S753" i="5" s="1"/>
  <c r="G753" i="5"/>
  <c r="S752" i="5"/>
  <c r="G752" i="5"/>
  <c r="S751" i="5"/>
  <c r="G751" i="5"/>
  <c r="S750" i="5"/>
  <c r="G750" i="5"/>
  <c r="S749" i="5"/>
  <c r="G749" i="5"/>
  <c r="S748" i="5"/>
  <c r="G748" i="5"/>
  <c r="S747" i="5"/>
  <c r="G747" i="5"/>
  <c r="S746" i="5"/>
  <c r="G746" i="5"/>
  <c r="S745" i="5"/>
  <c r="G745" i="5"/>
  <c r="S744" i="5"/>
  <c r="G744" i="5"/>
  <c r="S743" i="5"/>
  <c r="G743" i="5"/>
  <c r="S742" i="5"/>
  <c r="G742" i="5"/>
  <c r="S741" i="5"/>
  <c r="G741" i="5"/>
  <c r="S740" i="5"/>
  <c r="G740" i="5"/>
  <c r="S739" i="5"/>
  <c r="G739" i="5"/>
  <c r="S738" i="5"/>
  <c r="G738" i="5"/>
  <c r="S737" i="5"/>
  <c r="G737" i="5"/>
  <c r="S736" i="5"/>
  <c r="G736" i="5"/>
  <c r="S735" i="5"/>
  <c r="G735" i="5"/>
  <c r="S734" i="5"/>
  <c r="G734" i="5"/>
  <c r="S733" i="5"/>
  <c r="G733" i="5"/>
  <c r="S732" i="5"/>
  <c r="G732" i="5"/>
  <c r="S731" i="5"/>
  <c r="G731" i="5"/>
  <c r="S730" i="5"/>
  <c r="G730" i="5"/>
  <c r="S729" i="5"/>
  <c r="G729" i="5"/>
  <c r="S728" i="5"/>
  <c r="G728" i="5"/>
  <c r="S727" i="5"/>
  <c r="G727" i="5"/>
  <c r="S726" i="5"/>
  <c r="G726" i="5"/>
  <c r="S725" i="5"/>
  <c r="G725" i="5"/>
  <c r="S724" i="5"/>
  <c r="G724" i="5"/>
  <c r="S723" i="5"/>
  <c r="G723" i="5"/>
  <c r="S722" i="5"/>
  <c r="G722" i="5"/>
  <c r="S721" i="5"/>
  <c r="G721" i="5"/>
  <c r="S720" i="5"/>
  <c r="G720" i="5"/>
  <c r="S719" i="5"/>
  <c r="G719" i="5"/>
  <c r="S718" i="5"/>
  <c r="G718" i="5"/>
  <c r="S717" i="5"/>
  <c r="G717" i="5"/>
  <c r="S716" i="5"/>
  <c r="G716" i="5"/>
  <c r="S715" i="5"/>
  <c r="G715" i="5"/>
  <c r="S714" i="5"/>
  <c r="G714" i="5"/>
  <c r="R713" i="5"/>
  <c r="S713" i="5" s="1"/>
  <c r="G713" i="5"/>
  <c r="S712" i="5"/>
  <c r="G712" i="5"/>
  <c r="S711" i="5"/>
  <c r="G711" i="5"/>
  <c r="S710" i="5"/>
  <c r="G710" i="5"/>
  <c r="S709" i="5"/>
  <c r="G709" i="5"/>
  <c r="S708" i="5"/>
  <c r="G708" i="5"/>
  <c r="S707" i="5"/>
  <c r="G707" i="5"/>
  <c r="S706" i="5"/>
  <c r="G706" i="5"/>
  <c r="S705" i="5"/>
  <c r="G705" i="5"/>
  <c r="S704" i="5"/>
  <c r="G704" i="5"/>
  <c r="S703" i="5"/>
  <c r="G703" i="5"/>
  <c r="S702" i="5"/>
  <c r="G702" i="5"/>
  <c r="S701" i="5"/>
  <c r="G701" i="5"/>
  <c r="S700" i="5"/>
  <c r="G700" i="5"/>
  <c r="S699" i="5"/>
  <c r="G699" i="5"/>
  <c r="S698" i="5"/>
  <c r="G698" i="5"/>
  <c r="S697" i="5"/>
  <c r="G697" i="5"/>
  <c r="S696" i="5"/>
  <c r="G696" i="5"/>
  <c r="S695" i="5"/>
  <c r="G695" i="5"/>
  <c r="S694" i="5"/>
  <c r="G694" i="5"/>
  <c r="S693" i="5"/>
  <c r="G693" i="5"/>
  <c r="S692" i="5"/>
  <c r="G692" i="5"/>
  <c r="S691" i="5"/>
  <c r="G691" i="5"/>
  <c r="S690" i="5"/>
  <c r="G690" i="5"/>
  <c r="S689" i="5"/>
  <c r="G689" i="5"/>
  <c r="S688" i="5"/>
  <c r="G688" i="5"/>
  <c r="S687" i="5"/>
  <c r="G687" i="5"/>
  <c r="S686" i="5"/>
  <c r="G686" i="5"/>
  <c r="S685" i="5"/>
  <c r="G685" i="5"/>
  <c r="S684" i="5"/>
  <c r="G684" i="5"/>
  <c r="S683" i="5"/>
  <c r="G683" i="5"/>
  <c r="S682" i="5"/>
  <c r="G682" i="5"/>
  <c r="S681" i="5"/>
  <c r="G681" i="5"/>
  <c r="S680" i="5"/>
  <c r="G680" i="5"/>
  <c r="S679" i="5"/>
  <c r="G679" i="5"/>
  <c r="S678" i="5"/>
  <c r="G678" i="5"/>
  <c r="S677" i="5"/>
  <c r="G677" i="5"/>
  <c r="S676" i="5"/>
  <c r="G676" i="5"/>
  <c r="S675" i="5"/>
  <c r="G675" i="5"/>
  <c r="S674" i="5"/>
  <c r="G674" i="5"/>
  <c r="S673" i="5"/>
  <c r="G673" i="5"/>
  <c r="S672" i="5"/>
  <c r="G672" i="5"/>
  <c r="S671" i="5"/>
  <c r="G671" i="5"/>
  <c r="S670" i="5"/>
  <c r="G670" i="5"/>
  <c r="S669" i="5"/>
  <c r="G669" i="5"/>
  <c r="S668" i="5"/>
  <c r="G668" i="5"/>
  <c r="S667" i="5"/>
  <c r="G667" i="5"/>
  <c r="S666" i="5"/>
  <c r="G666" i="5"/>
  <c r="S665" i="5"/>
  <c r="G665" i="5"/>
  <c r="S664" i="5"/>
  <c r="G664" i="5"/>
  <c r="S663" i="5"/>
  <c r="G663" i="5"/>
  <c r="S662" i="5"/>
  <c r="G662" i="5"/>
  <c r="S661" i="5"/>
  <c r="G661" i="5"/>
  <c r="S660" i="5"/>
  <c r="G660" i="5"/>
  <c r="S659" i="5"/>
  <c r="G659" i="5"/>
  <c r="S658" i="5"/>
  <c r="G658" i="5"/>
  <c r="S657" i="5"/>
  <c r="G657" i="5"/>
  <c r="S656" i="5"/>
  <c r="G656" i="5"/>
  <c r="S655" i="5"/>
  <c r="G655" i="5"/>
  <c r="S654" i="5"/>
  <c r="G654" i="5"/>
  <c r="S653" i="5"/>
  <c r="G653" i="5"/>
  <c r="S652" i="5"/>
  <c r="G652" i="5"/>
  <c r="S651" i="5"/>
  <c r="G651" i="5"/>
  <c r="S650" i="5"/>
  <c r="F650" i="5"/>
  <c r="G650" i="5" s="1"/>
  <c r="S649" i="5"/>
  <c r="G649" i="5"/>
  <c r="S648" i="5"/>
  <c r="G648" i="5"/>
  <c r="S647" i="5"/>
  <c r="G647" i="5"/>
  <c r="S646" i="5"/>
  <c r="G646" i="5"/>
  <c r="S645" i="5"/>
  <c r="G645" i="5"/>
  <c r="S644" i="5"/>
  <c r="G644" i="5"/>
  <c r="S643" i="5"/>
  <c r="G643" i="5"/>
  <c r="S642" i="5"/>
  <c r="G642" i="5"/>
  <c r="S641" i="5"/>
  <c r="G641" i="5"/>
  <c r="S640" i="5"/>
  <c r="G640" i="5"/>
  <c r="S639" i="5"/>
  <c r="G639" i="5"/>
  <c r="S638" i="5"/>
  <c r="G638" i="5"/>
  <c r="S637" i="5"/>
  <c r="G637" i="5"/>
  <c r="S636" i="5"/>
  <c r="G636" i="5"/>
  <c r="S635" i="5"/>
  <c r="G635" i="5"/>
  <c r="S634" i="5"/>
  <c r="G634" i="5"/>
  <c r="S633" i="5"/>
  <c r="G633" i="5"/>
  <c r="S632" i="5"/>
  <c r="G632" i="5"/>
  <c r="S631" i="5"/>
  <c r="G631" i="5"/>
  <c r="S630" i="5"/>
  <c r="G630" i="5"/>
  <c r="S629" i="5"/>
  <c r="G629" i="5"/>
  <c r="S628" i="5"/>
  <c r="G628" i="5"/>
  <c r="S627" i="5"/>
  <c r="G627" i="5"/>
  <c r="S626" i="5"/>
  <c r="G626" i="5"/>
  <c r="S625" i="5"/>
  <c r="G625" i="5"/>
  <c r="S624" i="5"/>
  <c r="G624" i="5"/>
  <c r="S623" i="5"/>
  <c r="G623" i="5"/>
  <c r="S622" i="5"/>
  <c r="G622" i="5"/>
  <c r="S621" i="5"/>
  <c r="G621" i="5"/>
  <c r="S620" i="5"/>
  <c r="F620" i="5"/>
  <c r="G620" i="5" s="1"/>
  <c r="S619" i="5"/>
  <c r="G619" i="5"/>
  <c r="S618" i="5"/>
  <c r="G618" i="5"/>
  <c r="S617" i="5"/>
  <c r="G617" i="5"/>
  <c r="S616" i="5"/>
  <c r="G616" i="5"/>
  <c r="S615" i="5"/>
  <c r="F615" i="5"/>
  <c r="G615" i="5" s="1"/>
  <c r="S614" i="5"/>
  <c r="G614" i="5"/>
  <c r="S613" i="5"/>
  <c r="G613" i="5"/>
  <c r="S612" i="5"/>
  <c r="G612" i="5"/>
  <c r="S611" i="5"/>
  <c r="G611" i="5"/>
  <c r="S610" i="5"/>
  <c r="G610" i="5"/>
  <c r="S609" i="5"/>
  <c r="G609" i="5"/>
  <c r="S608" i="5"/>
  <c r="G608" i="5"/>
  <c r="S607" i="5"/>
  <c r="G607" i="5"/>
  <c r="S606" i="5"/>
  <c r="G606" i="5"/>
  <c r="S605" i="5"/>
  <c r="G605" i="5"/>
  <c r="S604" i="5"/>
  <c r="G604" i="5"/>
  <c r="S603" i="5"/>
  <c r="G603" i="5"/>
  <c r="S602" i="5"/>
  <c r="G602" i="5"/>
  <c r="S601" i="5"/>
  <c r="G601" i="5"/>
  <c r="S600" i="5"/>
  <c r="G600" i="5"/>
  <c r="S599" i="5"/>
  <c r="G599" i="5"/>
  <c r="S598" i="5"/>
  <c r="G598" i="5"/>
  <c r="S597" i="5"/>
  <c r="G597" i="5"/>
  <c r="S596" i="5"/>
  <c r="G596" i="5"/>
  <c r="S595" i="5"/>
  <c r="G595" i="5"/>
  <c r="S594" i="5"/>
  <c r="G594" i="5"/>
  <c r="S593" i="5"/>
  <c r="G593" i="5"/>
  <c r="S592" i="5"/>
  <c r="G592" i="5"/>
  <c r="S591" i="5"/>
  <c r="G591" i="5"/>
  <c r="S590" i="5"/>
  <c r="G590" i="5"/>
  <c r="S589" i="5"/>
  <c r="G589" i="5"/>
  <c r="S588" i="5"/>
  <c r="G588" i="5"/>
  <c r="S587" i="5"/>
  <c r="G587" i="5"/>
  <c r="S586" i="5"/>
  <c r="G586" i="5"/>
  <c r="S585" i="5"/>
  <c r="G585" i="5"/>
  <c r="S584" i="5"/>
  <c r="G584" i="5"/>
  <c r="S583" i="5"/>
  <c r="G583" i="5"/>
  <c r="S582" i="5"/>
  <c r="G582" i="5"/>
  <c r="S581" i="5"/>
  <c r="G581" i="5"/>
  <c r="S580" i="5"/>
  <c r="G580" i="5"/>
  <c r="S579" i="5"/>
  <c r="G579" i="5"/>
  <c r="S578" i="5"/>
  <c r="G578" i="5"/>
  <c r="S577" i="5"/>
  <c r="G577" i="5"/>
  <c r="S576" i="5"/>
  <c r="G576" i="5"/>
  <c r="S575" i="5"/>
  <c r="G575" i="5"/>
  <c r="S574" i="5"/>
  <c r="G574" i="5"/>
  <c r="S573" i="5"/>
  <c r="F573" i="5"/>
  <c r="G573" i="5" s="1"/>
  <c r="S572" i="5"/>
  <c r="G572" i="5"/>
  <c r="S571" i="5"/>
  <c r="G571" i="5"/>
  <c r="S570" i="5"/>
  <c r="G570" i="5"/>
  <c r="S569" i="5"/>
  <c r="G569" i="5"/>
  <c r="S568" i="5"/>
  <c r="G568" i="5"/>
  <c r="S567" i="5"/>
  <c r="G567" i="5"/>
  <c r="S566" i="5"/>
  <c r="G566" i="5"/>
  <c r="S565" i="5"/>
  <c r="G565" i="5"/>
  <c r="S564" i="5"/>
  <c r="G564" i="5"/>
  <c r="S563" i="5"/>
  <c r="G563" i="5"/>
  <c r="S562" i="5"/>
  <c r="G562" i="5"/>
  <c r="S561" i="5"/>
  <c r="G561" i="5"/>
  <c r="S560" i="5"/>
  <c r="G560" i="5"/>
  <c r="S559" i="5"/>
  <c r="G559" i="5"/>
  <c r="S558" i="5"/>
  <c r="G558" i="5"/>
  <c r="S557" i="5"/>
  <c r="G557" i="5"/>
  <c r="S556" i="5"/>
  <c r="G556" i="5"/>
  <c r="S555" i="5"/>
  <c r="G555" i="5"/>
  <c r="S554" i="5"/>
  <c r="G554" i="5"/>
  <c r="S553" i="5"/>
  <c r="G553" i="5"/>
  <c r="S552" i="5"/>
  <c r="G552" i="5"/>
  <c r="S551" i="5"/>
  <c r="G551" i="5"/>
  <c r="S550" i="5"/>
  <c r="G550" i="5"/>
  <c r="S549" i="5"/>
  <c r="G549" i="5"/>
  <c r="S548" i="5"/>
  <c r="G548" i="5"/>
  <c r="S547" i="5"/>
  <c r="G547" i="5"/>
  <c r="S546" i="5"/>
  <c r="G546" i="5"/>
  <c r="S545" i="5"/>
  <c r="G545" i="5"/>
  <c r="S544" i="5"/>
  <c r="G544" i="5"/>
  <c r="S543" i="5"/>
  <c r="G543" i="5"/>
  <c r="S542" i="5"/>
  <c r="G542" i="5"/>
  <c r="S541" i="5"/>
  <c r="G541" i="5"/>
  <c r="S540" i="5"/>
  <c r="G540" i="5"/>
  <c r="S539" i="5"/>
  <c r="G539" i="5"/>
  <c r="S538" i="5"/>
  <c r="G538" i="5"/>
  <c r="S537" i="5"/>
  <c r="G537" i="5"/>
  <c r="S536" i="5"/>
  <c r="G536" i="5"/>
  <c r="S535" i="5"/>
  <c r="G535" i="5"/>
  <c r="S534" i="5"/>
  <c r="G534" i="5"/>
  <c r="S533" i="5"/>
  <c r="G533" i="5"/>
  <c r="S532" i="5"/>
  <c r="G532" i="5"/>
  <c r="S531" i="5"/>
  <c r="G531" i="5"/>
  <c r="S530" i="5"/>
  <c r="G530" i="5"/>
  <c r="S529" i="5"/>
  <c r="G529" i="5"/>
  <c r="S528" i="5"/>
  <c r="G528" i="5"/>
  <c r="S527" i="5"/>
  <c r="G527" i="5"/>
  <c r="S526" i="5"/>
  <c r="G526" i="5"/>
  <c r="S525" i="5"/>
  <c r="G525" i="5"/>
  <c r="S524" i="5"/>
  <c r="G524" i="5"/>
  <c r="S523" i="5"/>
  <c r="G523" i="5"/>
  <c r="S522" i="5"/>
  <c r="G522" i="5"/>
  <c r="S521" i="5"/>
  <c r="F521" i="5"/>
  <c r="G521" i="5" s="1"/>
  <c r="S520" i="5"/>
  <c r="G520" i="5"/>
  <c r="S519" i="5"/>
  <c r="G519" i="5"/>
  <c r="S518" i="5"/>
  <c r="G518" i="5"/>
  <c r="S517" i="5"/>
  <c r="G517" i="5"/>
  <c r="S516" i="5"/>
  <c r="G516" i="5"/>
  <c r="S515" i="5"/>
  <c r="G515" i="5"/>
  <c r="S514" i="5"/>
  <c r="G514" i="5"/>
  <c r="S513" i="5"/>
  <c r="G513" i="5"/>
  <c r="S512" i="5"/>
  <c r="G512" i="5"/>
  <c r="S511" i="5"/>
  <c r="G511" i="5"/>
  <c r="S510" i="5"/>
  <c r="G510" i="5"/>
  <c r="S509" i="5"/>
  <c r="G509" i="5"/>
  <c r="S508" i="5"/>
  <c r="G508" i="5"/>
  <c r="S507" i="5"/>
  <c r="G507" i="5"/>
  <c r="S506" i="5"/>
  <c r="G506" i="5"/>
  <c r="S505" i="5"/>
  <c r="G505" i="5"/>
  <c r="S504" i="5"/>
  <c r="G504" i="5"/>
  <c r="S503" i="5"/>
  <c r="G503" i="5"/>
  <c r="S502" i="5"/>
  <c r="G502" i="5"/>
  <c r="S501" i="5"/>
  <c r="G501" i="5"/>
  <c r="S500" i="5"/>
  <c r="G500" i="5"/>
  <c r="S499" i="5"/>
  <c r="G499" i="5"/>
  <c r="S498" i="5"/>
  <c r="G498" i="5"/>
  <c r="S497" i="5"/>
  <c r="G497" i="5"/>
  <c r="S496" i="5"/>
  <c r="G496" i="5"/>
  <c r="S495" i="5"/>
  <c r="G495" i="5"/>
  <c r="S494" i="5"/>
  <c r="G494" i="5"/>
  <c r="S493" i="5"/>
  <c r="G493" i="5"/>
  <c r="S492" i="5"/>
  <c r="G492" i="5"/>
  <c r="S491" i="5"/>
  <c r="G491" i="5"/>
  <c r="S490" i="5"/>
  <c r="G490" i="5"/>
  <c r="S489" i="5"/>
  <c r="G489" i="5"/>
  <c r="S488" i="5"/>
  <c r="G488" i="5"/>
  <c r="S487" i="5"/>
  <c r="G487" i="5"/>
  <c r="S486" i="5"/>
  <c r="G486" i="5"/>
  <c r="S485" i="5"/>
  <c r="G485" i="5"/>
  <c r="S484" i="5"/>
  <c r="G484" i="5"/>
  <c r="S483" i="5"/>
  <c r="G483" i="5"/>
  <c r="S482" i="5"/>
  <c r="G482" i="5"/>
  <c r="R481" i="5"/>
  <c r="S481" i="5" s="1"/>
  <c r="G481" i="5"/>
  <c r="R480" i="5"/>
  <c r="S480" i="5" s="1"/>
  <c r="G480" i="5"/>
  <c r="S479" i="5"/>
  <c r="G479" i="5"/>
  <c r="R478" i="5"/>
  <c r="S478" i="5" s="1"/>
  <c r="G478" i="5"/>
  <c r="R477" i="5"/>
  <c r="S477" i="5" s="1"/>
  <c r="G477" i="5"/>
  <c r="S476" i="5"/>
  <c r="G476" i="5"/>
  <c r="S475" i="5"/>
  <c r="G475" i="5"/>
  <c r="S474" i="5"/>
  <c r="G474" i="5"/>
  <c r="S473" i="5"/>
  <c r="G473" i="5"/>
  <c r="R472" i="5"/>
  <c r="S472" i="5" s="1"/>
  <c r="G472" i="5"/>
  <c r="S471" i="5"/>
  <c r="G471" i="5"/>
  <c r="S470" i="5"/>
  <c r="G470" i="5"/>
  <c r="S469" i="5"/>
  <c r="G469" i="5"/>
  <c r="S468" i="5"/>
  <c r="G468" i="5"/>
  <c r="S467" i="5"/>
  <c r="G467" i="5"/>
  <c r="S466" i="5"/>
  <c r="G466" i="5"/>
  <c r="S465" i="5"/>
  <c r="G465" i="5"/>
  <c r="S464" i="5"/>
  <c r="G464" i="5"/>
  <c r="S463" i="5"/>
  <c r="G463" i="5"/>
  <c r="S462" i="5"/>
  <c r="G462" i="5"/>
  <c r="S461" i="5"/>
  <c r="G461" i="5"/>
  <c r="S460" i="5"/>
  <c r="G460" i="5"/>
  <c r="S459" i="5"/>
  <c r="G459" i="5"/>
  <c r="S458" i="5"/>
  <c r="G458" i="5"/>
  <c r="S457" i="5"/>
  <c r="G457" i="5"/>
  <c r="S456" i="5"/>
  <c r="G456" i="5"/>
  <c r="S455" i="5"/>
  <c r="G455" i="5"/>
  <c r="S454" i="5"/>
  <c r="G454" i="5"/>
  <c r="S453" i="5"/>
  <c r="G453" i="5"/>
  <c r="S452" i="5"/>
  <c r="G452" i="5"/>
  <c r="S451" i="5"/>
  <c r="G451" i="5"/>
  <c r="S450" i="5"/>
  <c r="G450" i="5"/>
  <c r="S449" i="5"/>
  <c r="G449" i="5"/>
  <c r="S448" i="5"/>
  <c r="G448" i="5"/>
  <c r="S447" i="5"/>
  <c r="G447" i="5"/>
  <c r="S446" i="5"/>
  <c r="G446" i="5"/>
  <c r="S445" i="5"/>
  <c r="G445" i="5"/>
  <c r="S444" i="5"/>
  <c r="G444" i="5"/>
  <c r="S443" i="5"/>
  <c r="G443" i="5"/>
  <c r="S442" i="5"/>
  <c r="G442" i="5"/>
  <c r="S441" i="5"/>
  <c r="G441" i="5"/>
  <c r="S440" i="5"/>
  <c r="G440" i="5"/>
  <c r="S439" i="5"/>
  <c r="G439" i="5"/>
  <c r="S438" i="5"/>
  <c r="G438" i="5"/>
  <c r="S437" i="5"/>
  <c r="G437" i="5"/>
  <c r="S436" i="5"/>
  <c r="G436" i="5"/>
  <c r="S435" i="5"/>
  <c r="G435" i="5"/>
  <c r="S434" i="5"/>
  <c r="G434" i="5"/>
  <c r="S433" i="5"/>
  <c r="G433" i="5"/>
  <c r="S432" i="5"/>
  <c r="G432" i="5"/>
  <c r="S431" i="5"/>
  <c r="G431" i="5"/>
  <c r="S430" i="5"/>
  <c r="G430" i="5"/>
  <c r="S429" i="5"/>
  <c r="G429" i="5"/>
  <c r="S428" i="5"/>
  <c r="G428" i="5"/>
  <c r="S427" i="5"/>
  <c r="G427" i="5"/>
  <c r="S426" i="5"/>
  <c r="G426" i="5"/>
  <c r="S425" i="5"/>
  <c r="G425" i="5"/>
  <c r="S424" i="5"/>
  <c r="F424" i="5"/>
  <c r="G424" i="5" s="1"/>
  <c r="S423" i="5"/>
  <c r="G423" i="5"/>
  <c r="S422" i="5"/>
  <c r="G422" i="5"/>
  <c r="S421" i="5"/>
  <c r="G421" i="5"/>
  <c r="S420" i="5"/>
  <c r="G420" i="5"/>
  <c r="S419" i="5"/>
  <c r="G419" i="5"/>
  <c r="S418" i="5"/>
  <c r="G418" i="5"/>
  <c r="S417" i="5"/>
  <c r="G417" i="5"/>
  <c r="S416" i="5"/>
  <c r="G416" i="5"/>
  <c r="S415" i="5"/>
  <c r="G415" i="5"/>
  <c r="S414" i="5"/>
  <c r="G414" i="5"/>
  <c r="S413" i="5"/>
  <c r="G413" i="5"/>
  <c r="S412" i="5"/>
  <c r="G412" i="5"/>
  <c r="S411" i="5"/>
  <c r="G411" i="5"/>
  <c r="S410" i="5"/>
  <c r="G410" i="5"/>
  <c r="S409" i="5"/>
  <c r="G409" i="5"/>
  <c r="S408" i="5"/>
  <c r="G408" i="5"/>
  <c r="S407" i="5"/>
  <c r="G407" i="5"/>
  <c r="S406" i="5"/>
  <c r="G406" i="5"/>
  <c r="S405" i="5"/>
  <c r="G405" i="5"/>
  <c r="S404" i="5"/>
  <c r="G404" i="5"/>
  <c r="S403" i="5"/>
  <c r="G403" i="5"/>
  <c r="S402" i="5"/>
  <c r="G402" i="5"/>
  <c r="S401" i="5"/>
  <c r="G401" i="5"/>
  <c r="S400" i="5"/>
  <c r="G400" i="5"/>
  <c r="S399" i="5"/>
  <c r="G399" i="5"/>
  <c r="S398" i="5"/>
  <c r="G398" i="5"/>
  <c r="S397" i="5"/>
  <c r="G397" i="5"/>
  <c r="S396" i="5"/>
  <c r="G396" i="5"/>
  <c r="S395" i="5"/>
  <c r="G395" i="5"/>
  <c r="S394" i="5"/>
  <c r="G394" i="5"/>
  <c r="S393" i="5"/>
  <c r="G393" i="5"/>
  <c r="S392" i="5"/>
  <c r="G392" i="5"/>
  <c r="S391" i="5"/>
  <c r="G391" i="5"/>
  <c r="S390" i="5"/>
  <c r="G390" i="5"/>
  <c r="R389" i="5"/>
  <c r="S389" i="5" s="1"/>
  <c r="G389" i="5"/>
  <c r="S388" i="5"/>
  <c r="G388" i="5"/>
  <c r="S387" i="5"/>
  <c r="G387" i="5"/>
  <c r="S386" i="5"/>
  <c r="G386" i="5"/>
  <c r="S385" i="5"/>
  <c r="G385" i="5"/>
  <c r="S384" i="5"/>
  <c r="G384" i="5"/>
  <c r="S383" i="5"/>
  <c r="G383" i="5"/>
  <c r="S382" i="5"/>
  <c r="G382" i="5"/>
  <c r="S381" i="5"/>
  <c r="G381" i="5"/>
  <c r="S380" i="5"/>
  <c r="G380" i="5"/>
  <c r="S379" i="5"/>
  <c r="G379" i="5"/>
  <c r="S378" i="5"/>
  <c r="G378" i="5"/>
  <c r="S377" i="5"/>
  <c r="G377" i="5"/>
  <c r="S376" i="5"/>
  <c r="G376" i="5"/>
  <c r="S375" i="5"/>
  <c r="G375" i="5"/>
  <c r="S374" i="5"/>
  <c r="G374" i="5"/>
  <c r="S373" i="5"/>
  <c r="G373" i="5"/>
  <c r="S372" i="5"/>
  <c r="F372" i="5"/>
  <c r="G372" i="5" s="1"/>
  <c r="S371" i="5"/>
  <c r="G371" i="5"/>
  <c r="S370" i="5"/>
  <c r="G370" i="5"/>
  <c r="S369" i="5"/>
  <c r="G369" i="5"/>
  <c r="S368" i="5"/>
  <c r="G368" i="5"/>
  <c r="S367" i="5"/>
  <c r="G367" i="5"/>
  <c r="S366" i="5"/>
  <c r="G366" i="5"/>
  <c r="S365" i="5"/>
  <c r="G365" i="5"/>
  <c r="S364" i="5"/>
  <c r="G364" i="5"/>
  <c r="S363" i="5"/>
  <c r="G363" i="5"/>
  <c r="S362" i="5"/>
  <c r="G362" i="5"/>
  <c r="S361" i="5"/>
  <c r="G361" i="5"/>
  <c r="S360" i="5"/>
  <c r="G360" i="5"/>
  <c r="S359" i="5"/>
  <c r="G359" i="5"/>
  <c r="S358" i="5"/>
  <c r="G358" i="5"/>
  <c r="S357" i="5"/>
  <c r="G357" i="5"/>
  <c r="S356" i="5"/>
  <c r="G356" i="5"/>
  <c r="S355" i="5"/>
  <c r="G355" i="5"/>
  <c r="S354" i="5"/>
  <c r="G354" i="5"/>
  <c r="S353" i="5"/>
  <c r="G353" i="5"/>
  <c r="S352" i="5"/>
  <c r="G352" i="5"/>
  <c r="S351" i="5"/>
  <c r="G351" i="5"/>
  <c r="S350" i="5"/>
  <c r="G350" i="5"/>
  <c r="R349" i="5"/>
  <c r="S349" i="5" s="1"/>
  <c r="G349" i="5"/>
  <c r="S348" i="5"/>
  <c r="G348" i="5"/>
  <c r="S347" i="5"/>
  <c r="G347" i="5"/>
  <c r="S346" i="5"/>
  <c r="G346" i="5"/>
  <c r="S345" i="5"/>
  <c r="G345" i="5"/>
  <c r="S344" i="5"/>
  <c r="G344" i="5"/>
  <c r="S343" i="5"/>
  <c r="G343" i="5"/>
  <c r="S342" i="5"/>
  <c r="G342" i="5"/>
  <c r="S341" i="5"/>
  <c r="G341" i="5"/>
  <c r="S340" i="5"/>
  <c r="G340" i="5"/>
  <c r="S339" i="5"/>
  <c r="F339" i="5"/>
  <c r="G339" i="5" s="1"/>
  <c r="S338" i="5"/>
  <c r="G338" i="5"/>
  <c r="S337" i="5"/>
  <c r="G337" i="5"/>
  <c r="S336" i="5"/>
  <c r="F336" i="5"/>
  <c r="G336" i="5" s="1"/>
  <c r="S335" i="5"/>
  <c r="G335" i="5"/>
  <c r="S334" i="5"/>
  <c r="G334" i="5"/>
  <c r="S333" i="5"/>
  <c r="G333" i="5"/>
  <c r="S332" i="5"/>
  <c r="G332" i="5"/>
  <c r="S331" i="5"/>
  <c r="G331" i="5"/>
  <c r="S330" i="5"/>
  <c r="G330" i="5"/>
  <c r="S329" i="5"/>
  <c r="G329" i="5"/>
  <c r="S328" i="5"/>
  <c r="G328" i="5"/>
  <c r="S327" i="5"/>
  <c r="G327" i="5"/>
  <c r="S326" i="5"/>
  <c r="G326" i="5"/>
  <c r="S325" i="5"/>
  <c r="G325" i="5"/>
  <c r="S324" i="5"/>
  <c r="G324" i="5"/>
  <c r="S323" i="5"/>
  <c r="G323" i="5"/>
  <c r="S322" i="5"/>
  <c r="G322" i="5"/>
  <c r="S321" i="5"/>
  <c r="G321" i="5"/>
  <c r="S320" i="5"/>
  <c r="G320" i="5"/>
  <c r="S319" i="5"/>
  <c r="G319" i="5"/>
  <c r="S318" i="5"/>
  <c r="G318" i="5"/>
  <c r="S317" i="5"/>
  <c r="G317" i="5"/>
  <c r="S316" i="5"/>
  <c r="G316" i="5"/>
  <c r="S315" i="5"/>
  <c r="G315" i="5"/>
  <c r="S314" i="5"/>
  <c r="G314" i="5"/>
  <c r="S313" i="5"/>
  <c r="G313" i="5"/>
  <c r="S312" i="5"/>
  <c r="G312" i="5"/>
  <c r="S311" i="5"/>
  <c r="G311" i="5"/>
  <c r="S310" i="5"/>
  <c r="G310" i="5"/>
  <c r="S309" i="5"/>
  <c r="G309" i="5"/>
  <c r="S308" i="5"/>
  <c r="G308" i="5"/>
  <c r="S307" i="5"/>
  <c r="G307" i="5"/>
  <c r="S306" i="5"/>
  <c r="G306" i="5"/>
  <c r="S305" i="5"/>
  <c r="G305" i="5"/>
  <c r="S304" i="5"/>
  <c r="G304" i="5"/>
  <c r="S303" i="5"/>
  <c r="G303" i="5"/>
  <c r="S302" i="5"/>
  <c r="G302" i="5"/>
  <c r="S301" i="5"/>
  <c r="G301" i="5"/>
  <c r="S300" i="5"/>
  <c r="G300" i="5"/>
  <c r="S299" i="5"/>
  <c r="G299" i="5"/>
  <c r="S298" i="5"/>
  <c r="G298" i="5"/>
  <c r="S297" i="5"/>
  <c r="F297" i="5"/>
  <c r="G297" i="5" s="1"/>
  <c r="S296" i="5"/>
  <c r="G296" i="5"/>
  <c r="S295" i="5"/>
  <c r="G295" i="5"/>
  <c r="S294" i="5"/>
  <c r="G294" i="5"/>
  <c r="S293" i="5"/>
  <c r="G293" i="5"/>
  <c r="S292" i="5"/>
  <c r="G292" i="5"/>
  <c r="S291" i="5"/>
  <c r="G291" i="5"/>
  <c r="S290" i="5"/>
  <c r="G290" i="5"/>
  <c r="S289" i="5"/>
  <c r="G289" i="5"/>
  <c r="S288" i="5"/>
  <c r="G288" i="5"/>
  <c r="S287" i="5"/>
  <c r="G287" i="5"/>
  <c r="S286" i="5"/>
  <c r="G286" i="5"/>
  <c r="S285" i="5"/>
  <c r="G285" i="5"/>
  <c r="S284" i="5"/>
  <c r="G284" i="5"/>
  <c r="S283" i="5"/>
  <c r="G283" i="5"/>
  <c r="S282" i="5"/>
  <c r="G282" i="5"/>
  <c r="S281" i="5"/>
  <c r="G281" i="5"/>
  <c r="S280" i="5"/>
  <c r="G280" i="5"/>
  <c r="S279" i="5"/>
  <c r="G279" i="5"/>
  <c r="S278" i="5"/>
  <c r="G278" i="5"/>
  <c r="S277" i="5"/>
  <c r="G277" i="5"/>
  <c r="S276" i="5"/>
  <c r="G276" i="5"/>
  <c r="S275" i="5"/>
  <c r="G275" i="5"/>
  <c r="S274" i="5"/>
  <c r="G274" i="5"/>
  <c r="S273" i="5"/>
  <c r="G273" i="5"/>
  <c r="S272" i="5"/>
  <c r="G272" i="5"/>
  <c r="S271" i="5"/>
  <c r="G271" i="5"/>
  <c r="S270" i="5"/>
  <c r="G270" i="5"/>
  <c r="S269" i="5"/>
  <c r="G269" i="5"/>
  <c r="S268" i="5"/>
  <c r="G268" i="5"/>
  <c r="S267" i="5"/>
  <c r="G267" i="5"/>
  <c r="S266" i="5"/>
  <c r="G266" i="5"/>
  <c r="S265" i="5"/>
  <c r="G265" i="5"/>
  <c r="S264" i="5"/>
  <c r="G264" i="5"/>
  <c r="S263" i="5"/>
  <c r="G263" i="5"/>
  <c r="S262" i="5"/>
  <c r="G262" i="5"/>
  <c r="S261" i="5"/>
  <c r="F261" i="5"/>
  <c r="G261" i="5" s="1"/>
  <c r="S260" i="5"/>
  <c r="G260" i="5"/>
  <c r="S259" i="5"/>
  <c r="G259" i="5"/>
  <c r="S258" i="5"/>
  <c r="G258" i="5"/>
  <c r="S257" i="5"/>
  <c r="G257" i="5"/>
  <c r="S256" i="5"/>
  <c r="G256" i="5"/>
  <c r="S255" i="5"/>
  <c r="G255" i="5"/>
  <c r="S254" i="5"/>
  <c r="G254" i="5"/>
  <c r="S253" i="5"/>
  <c r="G253" i="5"/>
  <c r="S252" i="5"/>
  <c r="G252" i="5"/>
  <c r="S251" i="5"/>
  <c r="G251" i="5"/>
  <c r="S250" i="5"/>
  <c r="F250" i="5"/>
  <c r="G250" i="5" s="1"/>
  <c r="S249" i="5"/>
  <c r="G249" i="5"/>
  <c r="S248" i="5"/>
  <c r="G248" i="5"/>
  <c r="S247" i="5"/>
  <c r="G247" i="5"/>
  <c r="S246" i="5"/>
  <c r="G246" i="5"/>
  <c r="S245" i="5"/>
  <c r="G245" i="5"/>
  <c r="S244" i="5"/>
  <c r="G244" i="5"/>
  <c r="S243" i="5"/>
  <c r="G243" i="5"/>
  <c r="S242" i="5"/>
  <c r="G242" i="5"/>
  <c r="S241" i="5"/>
  <c r="G241" i="5"/>
  <c r="S240" i="5"/>
  <c r="G240" i="5"/>
  <c r="S239" i="5"/>
  <c r="G239" i="5"/>
  <c r="S238" i="5"/>
  <c r="G238" i="5"/>
  <c r="S237" i="5"/>
  <c r="G237" i="5"/>
  <c r="S236" i="5"/>
  <c r="F236" i="5"/>
  <c r="G236" i="5" s="1"/>
  <c r="S235" i="5"/>
  <c r="G235" i="5"/>
  <c r="S234" i="5"/>
  <c r="G234" i="5"/>
  <c r="S233" i="5"/>
  <c r="F233" i="5"/>
  <c r="G233" i="5" s="1"/>
  <c r="S232" i="5"/>
  <c r="G232" i="5"/>
  <c r="S231" i="5"/>
  <c r="G231" i="5"/>
  <c r="S230" i="5"/>
  <c r="G230" i="5"/>
  <c r="S229" i="5"/>
  <c r="G229" i="5"/>
  <c r="S228" i="5"/>
  <c r="G228" i="5"/>
  <c r="S227" i="5"/>
  <c r="G227" i="5"/>
  <c r="S226" i="5"/>
  <c r="G226" i="5"/>
  <c r="S225" i="5"/>
  <c r="G225" i="5"/>
  <c r="S224" i="5"/>
  <c r="G224" i="5"/>
  <c r="S223" i="5"/>
  <c r="G223" i="5"/>
  <c r="S222" i="5"/>
  <c r="G222" i="5"/>
  <c r="S221" i="5"/>
  <c r="G221" i="5"/>
  <c r="S220" i="5"/>
  <c r="G220" i="5"/>
  <c r="S219" i="5"/>
  <c r="G219" i="5"/>
  <c r="S218" i="5"/>
  <c r="G218" i="5"/>
  <c r="S217" i="5"/>
  <c r="G217" i="5"/>
  <c r="S216" i="5"/>
  <c r="F216" i="5"/>
  <c r="G216" i="5" s="1"/>
  <c r="S215" i="5"/>
  <c r="G215" i="5"/>
  <c r="S214" i="5"/>
  <c r="G214" i="5"/>
  <c r="S213" i="5"/>
  <c r="G213" i="5"/>
  <c r="S212" i="5"/>
  <c r="G212" i="5"/>
  <c r="S211" i="5"/>
  <c r="G211" i="5"/>
  <c r="S210" i="5"/>
  <c r="G210" i="5"/>
  <c r="S209" i="5"/>
  <c r="G209" i="5"/>
  <c r="S208" i="5"/>
  <c r="G208" i="5"/>
  <c r="S207" i="5"/>
  <c r="G207" i="5"/>
  <c r="S206" i="5"/>
  <c r="G206" i="5"/>
  <c r="S205" i="5"/>
  <c r="G205" i="5"/>
  <c r="S204" i="5"/>
  <c r="G204" i="5"/>
  <c r="S203" i="5"/>
  <c r="G203" i="5"/>
  <c r="S202" i="5"/>
  <c r="G202" i="5"/>
  <c r="S201" i="5"/>
  <c r="G201" i="5"/>
  <c r="S200" i="5"/>
  <c r="G200" i="5"/>
  <c r="S199" i="5"/>
  <c r="G199" i="5"/>
  <c r="S198" i="5"/>
  <c r="G198" i="5"/>
  <c r="S197" i="5"/>
  <c r="G197" i="5"/>
  <c r="S196" i="5"/>
  <c r="G196" i="5"/>
  <c r="S195" i="5"/>
  <c r="G195" i="5"/>
  <c r="S194" i="5"/>
  <c r="G194" i="5"/>
  <c r="S193" i="5"/>
  <c r="G193" i="5"/>
  <c r="S192" i="5"/>
  <c r="G192" i="5"/>
  <c r="S191" i="5"/>
  <c r="G191" i="5"/>
  <c r="S190" i="5"/>
  <c r="G190" i="5"/>
  <c r="S189" i="5"/>
  <c r="G189" i="5"/>
  <c r="S188" i="5"/>
  <c r="G188" i="5"/>
  <c r="S187" i="5"/>
  <c r="G187" i="5"/>
  <c r="S186" i="5"/>
  <c r="G186" i="5"/>
  <c r="S185" i="5"/>
  <c r="G185" i="5"/>
  <c r="S184" i="5"/>
  <c r="G184" i="5"/>
  <c r="S183" i="5"/>
  <c r="G183" i="5"/>
  <c r="S182" i="5"/>
  <c r="G182" i="5"/>
  <c r="S181" i="5"/>
  <c r="G181" i="5"/>
  <c r="S180" i="5"/>
  <c r="G180" i="5"/>
  <c r="S179" i="5"/>
  <c r="G179" i="5"/>
  <c r="S178" i="5"/>
  <c r="G178" i="5"/>
  <c r="S177" i="5"/>
  <c r="G177" i="5"/>
  <c r="S176" i="5"/>
  <c r="G176" i="5"/>
  <c r="S175" i="5"/>
  <c r="G175" i="5"/>
  <c r="S174" i="5"/>
  <c r="G174" i="5"/>
  <c r="S173" i="5"/>
  <c r="G173" i="5"/>
  <c r="S172" i="5"/>
  <c r="G172" i="5"/>
  <c r="S171" i="5"/>
  <c r="G171" i="5"/>
  <c r="S170" i="5"/>
  <c r="G170" i="5"/>
  <c r="S169" i="5"/>
  <c r="G169" i="5"/>
  <c r="S168" i="5"/>
  <c r="G168" i="5"/>
  <c r="S167" i="5"/>
  <c r="G167" i="5"/>
  <c r="S166" i="5"/>
  <c r="G166" i="5"/>
  <c r="S165" i="5"/>
  <c r="G165" i="5"/>
  <c r="S164" i="5"/>
  <c r="G164" i="5"/>
  <c r="S163" i="5"/>
  <c r="G163" i="5"/>
  <c r="S162" i="5"/>
  <c r="G162" i="5"/>
  <c r="S161" i="5"/>
  <c r="G161" i="5"/>
  <c r="S160" i="5"/>
  <c r="G160" i="5"/>
  <c r="S159" i="5"/>
  <c r="G159" i="5"/>
  <c r="S158" i="5"/>
  <c r="G158" i="5"/>
  <c r="S157" i="5"/>
  <c r="G157" i="5"/>
  <c r="S156" i="5"/>
  <c r="G156" i="5"/>
  <c r="R155" i="5"/>
  <c r="S155" i="5" s="1"/>
  <c r="G155" i="5"/>
  <c r="R154" i="5"/>
  <c r="S154" i="5" s="1"/>
  <c r="G154" i="5"/>
  <c r="S153" i="5"/>
  <c r="G153" i="5"/>
  <c r="S152" i="5"/>
  <c r="G152" i="5"/>
  <c r="S151" i="5"/>
  <c r="G151" i="5"/>
  <c r="S150" i="5"/>
  <c r="G150" i="5"/>
  <c r="S149" i="5"/>
  <c r="G149" i="5"/>
  <c r="S148" i="5"/>
  <c r="G148" i="5"/>
  <c r="S147" i="5"/>
  <c r="G147" i="5"/>
  <c r="S146" i="5"/>
  <c r="G146" i="5"/>
  <c r="S145" i="5"/>
  <c r="G145" i="5"/>
  <c r="S144" i="5"/>
  <c r="G144" i="5"/>
  <c r="S143" i="5"/>
  <c r="G143" i="5"/>
  <c r="S142" i="5"/>
  <c r="F142" i="5"/>
  <c r="G142" i="5" s="1"/>
  <c r="S141" i="5"/>
  <c r="G141" i="5"/>
  <c r="S140" i="5"/>
  <c r="G140" i="5"/>
  <c r="S139" i="5"/>
  <c r="G139" i="5"/>
  <c r="S138" i="5"/>
  <c r="G138" i="5"/>
  <c r="S137" i="5"/>
  <c r="G137" i="5"/>
  <c r="S136" i="5"/>
  <c r="G136" i="5"/>
  <c r="S135" i="5"/>
  <c r="G135" i="5"/>
  <c r="S134" i="5"/>
  <c r="G134" i="5"/>
  <c r="S133" i="5"/>
  <c r="G133" i="5"/>
  <c r="S132" i="5"/>
  <c r="G132" i="5"/>
  <c r="S131" i="5"/>
  <c r="G131" i="5"/>
  <c r="S130" i="5"/>
  <c r="G130" i="5"/>
  <c r="S129" i="5"/>
  <c r="G129" i="5"/>
  <c r="S128" i="5"/>
  <c r="G128" i="5"/>
  <c r="S127" i="5"/>
  <c r="G127" i="5"/>
  <c r="S126" i="5"/>
  <c r="G126" i="5"/>
  <c r="S125" i="5"/>
  <c r="G125" i="5"/>
  <c r="S124" i="5"/>
  <c r="G124" i="5"/>
  <c r="S123" i="5"/>
  <c r="G123" i="5"/>
  <c r="S122" i="5"/>
  <c r="F122" i="5"/>
  <c r="G122" i="5" s="1"/>
  <c r="S121" i="5"/>
  <c r="G121" i="5"/>
  <c r="S120" i="5"/>
  <c r="G120" i="5"/>
  <c r="S119" i="5"/>
  <c r="G119" i="5"/>
  <c r="S118" i="5"/>
  <c r="G118" i="5"/>
  <c r="S117" i="5"/>
  <c r="G117" i="5"/>
  <c r="S116" i="5"/>
  <c r="G116" i="5"/>
  <c r="S115" i="5"/>
  <c r="G115" i="5"/>
  <c r="S114" i="5"/>
  <c r="G114" i="5"/>
  <c r="S113" i="5"/>
  <c r="G113" i="5"/>
  <c r="S112" i="5"/>
  <c r="G112" i="5"/>
  <c r="S111" i="5"/>
  <c r="F111" i="5"/>
  <c r="F3287" i="5" s="1"/>
  <c r="S110" i="5"/>
  <c r="G110" i="5"/>
  <c r="S109" i="5"/>
  <c r="G109" i="5"/>
  <c r="S108" i="5"/>
  <c r="G108" i="5"/>
  <c r="S107" i="5"/>
  <c r="G107" i="5"/>
  <c r="S106" i="5"/>
  <c r="G106" i="5"/>
  <c r="S105" i="5"/>
  <c r="G105" i="5"/>
  <c r="S104" i="5"/>
  <c r="G104" i="5"/>
  <c r="S103" i="5"/>
  <c r="G103" i="5"/>
  <c r="S102" i="5"/>
  <c r="G102" i="5"/>
  <c r="S101" i="5"/>
  <c r="G101" i="5"/>
  <c r="S100" i="5"/>
  <c r="G100" i="5"/>
  <c r="R99" i="5"/>
  <c r="S99" i="5" s="1"/>
  <c r="G99" i="5"/>
  <c r="S98" i="5"/>
  <c r="G98" i="5"/>
  <c r="S97" i="5"/>
  <c r="G97" i="5"/>
  <c r="S96" i="5"/>
  <c r="G96" i="5"/>
  <c r="S95" i="5"/>
  <c r="G95" i="5"/>
  <c r="S94" i="5"/>
  <c r="G94" i="5"/>
  <c r="S93" i="5"/>
  <c r="G93" i="5"/>
  <c r="S92" i="5"/>
  <c r="G92" i="5"/>
  <c r="S91" i="5"/>
  <c r="G91" i="5"/>
  <c r="S90" i="5"/>
  <c r="G90" i="5"/>
  <c r="S89" i="5"/>
  <c r="G89" i="5"/>
  <c r="S88" i="5"/>
  <c r="G88" i="5"/>
  <c r="S87" i="5"/>
  <c r="G87" i="5"/>
  <c r="S86" i="5"/>
  <c r="G86" i="5"/>
  <c r="S85" i="5"/>
  <c r="G85" i="5"/>
  <c r="S84" i="5"/>
  <c r="G84" i="5"/>
  <c r="S83" i="5"/>
  <c r="G83" i="5"/>
  <c r="S82" i="5"/>
  <c r="G82" i="5"/>
  <c r="S81" i="5"/>
  <c r="G81" i="5"/>
  <c r="S80" i="5"/>
  <c r="G80" i="5"/>
  <c r="S79" i="5"/>
  <c r="G79" i="5"/>
  <c r="S78" i="5"/>
  <c r="G78" i="5"/>
  <c r="S77" i="5"/>
  <c r="G77" i="5"/>
  <c r="S76" i="5"/>
  <c r="G76" i="5"/>
  <c r="S75" i="5"/>
  <c r="G75" i="5"/>
  <c r="S74" i="5"/>
  <c r="G74" i="5"/>
  <c r="S73" i="5"/>
  <c r="G73" i="5"/>
  <c r="S72" i="5"/>
  <c r="G72" i="5"/>
  <c r="S71" i="5"/>
  <c r="G71" i="5"/>
  <c r="S70" i="5"/>
  <c r="G70" i="5"/>
  <c r="S69" i="5"/>
  <c r="G69" i="5"/>
  <c r="S68" i="5"/>
  <c r="G68" i="5"/>
  <c r="S67" i="5"/>
  <c r="G67" i="5"/>
  <c r="S66" i="5"/>
  <c r="G66" i="5"/>
  <c r="S65" i="5"/>
  <c r="G65" i="5"/>
  <c r="S64" i="5"/>
  <c r="G64" i="5"/>
  <c r="S63" i="5"/>
  <c r="G63" i="5"/>
  <c r="S62" i="5"/>
  <c r="G62" i="5"/>
  <c r="S61" i="5"/>
  <c r="G61" i="5"/>
  <c r="S60" i="5"/>
  <c r="G60" i="5"/>
  <c r="S59" i="5"/>
  <c r="G59" i="5"/>
  <c r="S58" i="5"/>
  <c r="G58" i="5"/>
  <c r="S57" i="5"/>
  <c r="G57" i="5"/>
  <c r="S56" i="5"/>
  <c r="G56" i="5"/>
  <c r="S55" i="5"/>
  <c r="G55" i="5"/>
  <c r="S54" i="5"/>
  <c r="G54" i="5"/>
  <c r="S53" i="5"/>
  <c r="G53" i="5"/>
  <c r="S52" i="5"/>
  <c r="G52" i="5"/>
  <c r="S51" i="5"/>
  <c r="G51" i="5"/>
  <c r="S50" i="5"/>
  <c r="G50" i="5"/>
  <c r="S49" i="5"/>
  <c r="G49" i="5"/>
  <c r="S48" i="5"/>
  <c r="G48" i="5"/>
  <c r="S47" i="5"/>
  <c r="G47" i="5"/>
  <c r="S46" i="5"/>
  <c r="G46" i="5"/>
  <c r="S45" i="5"/>
  <c r="G45" i="5"/>
  <c r="S44" i="5"/>
  <c r="G44" i="5"/>
  <c r="S43" i="5"/>
  <c r="G43" i="5"/>
  <c r="S42" i="5"/>
  <c r="G42" i="5"/>
  <c r="S41" i="5"/>
  <c r="G41" i="5"/>
  <c r="S40" i="5"/>
  <c r="G40" i="5"/>
  <c r="S39" i="5"/>
  <c r="G39" i="5"/>
  <c r="S38" i="5"/>
  <c r="G38" i="5"/>
  <c r="S37" i="5"/>
  <c r="G37" i="5"/>
  <c r="S36" i="5"/>
  <c r="G36" i="5"/>
  <c r="S35" i="5"/>
  <c r="G35" i="5"/>
  <c r="S34" i="5"/>
  <c r="G34" i="5"/>
  <c r="S33" i="5"/>
  <c r="G33" i="5"/>
  <c r="S32" i="5"/>
  <c r="G32" i="5"/>
  <c r="S31" i="5"/>
  <c r="G31" i="5"/>
  <c r="S30" i="5"/>
  <c r="G30" i="5"/>
  <c r="S29" i="5"/>
  <c r="G29" i="5"/>
  <c r="S28" i="5"/>
  <c r="G28" i="5"/>
  <c r="S27" i="5"/>
  <c r="G27" i="5"/>
  <c r="S26" i="5"/>
  <c r="G26" i="5"/>
  <c r="S25" i="5"/>
  <c r="G25" i="5"/>
  <c r="S24" i="5"/>
  <c r="G24" i="5"/>
  <c r="S23" i="5"/>
  <c r="G23" i="5"/>
  <c r="S22" i="5"/>
  <c r="G22" i="5"/>
  <c r="S21" i="5"/>
  <c r="G21" i="5"/>
  <c r="S20" i="5"/>
  <c r="G20" i="5"/>
  <c r="S19" i="5"/>
  <c r="G19" i="5"/>
  <c r="S18" i="5"/>
  <c r="G18" i="5"/>
  <c r="S17" i="5"/>
  <c r="G17" i="5"/>
  <c r="S16" i="5"/>
  <c r="G16" i="5"/>
  <c r="S15" i="5"/>
  <c r="G15" i="5"/>
  <c r="S14" i="5"/>
  <c r="G14" i="5"/>
  <c r="S13" i="5"/>
  <c r="G13" i="5"/>
  <c r="S12" i="5"/>
  <c r="G12" i="5"/>
  <c r="S11" i="5"/>
  <c r="G11" i="5"/>
  <c r="S10" i="5"/>
  <c r="G10" i="5"/>
  <c r="S9" i="5"/>
  <c r="G9" i="5"/>
  <c r="S8" i="5"/>
  <c r="G8" i="5"/>
  <c r="S7" i="5"/>
  <c r="G7" i="5"/>
  <c r="S6" i="5"/>
  <c r="G6" i="5"/>
  <c r="S5" i="5"/>
  <c r="G5" i="5"/>
  <c r="S4" i="5"/>
  <c r="G4" i="5"/>
  <c r="S3" i="5"/>
  <c r="G3" i="5"/>
  <c r="G111" i="5" l="1"/>
  <c r="D3294" i="5"/>
  <c r="Q3008" i="3"/>
  <c r="Q3001" i="3"/>
  <c r="F2555" i="4" l="1"/>
  <c r="F2808" i="4" l="1"/>
  <c r="F1759" i="4" l="1"/>
  <c r="F2918" i="4" l="1"/>
  <c r="F2635" i="4" l="1"/>
  <c r="F1011" i="4" l="1"/>
  <c r="F2151" i="3" l="1"/>
  <c r="F1883" i="4" l="1"/>
  <c r="F2561" i="4" l="1"/>
  <c r="F2880" i="4" l="1"/>
  <c r="P709" i="4" l="1"/>
  <c r="P811" i="4" l="1"/>
  <c r="F2015" i="4" l="1"/>
  <c r="F2832" i="4" l="1"/>
  <c r="F2521" i="4" l="1"/>
  <c r="F1207" i="4"/>
  <c r="F2581" i="1" l="1"/>
  <c r="F373" i="3"/>
  <c r="F2701" i="4" l="1"/>
  <c r="F2993" i="4" l="1"/>
  <c r="F2893" i="4"/>
  <c r="R2817" i="2"/>
  <c r="F2189" i="2"/>
  <c r="F2267" i="4" l="1"/>
  <c r="F1863" i="4"/>
  <c r="F1187" i="4"/>
  <c r="F2820" i="4" l="1"/>
  <c r="F2646" i="4"/>
  <c r="F1726" i="4" l="1"/>
  <c r="F951" i="4"/>
  <c r="F298" i="4" l="1"/>
  <c r="D3042" i="4" l="1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F2873" i="4"/>
  <c r="G2873" i="4" s="1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F2733" i="4"/>
  <c r="G2733" i="4" s="1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F2642" i="4"/>
  <c r="G2642" i="4" s="1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F2628" i="4"/>
  <c r="G2628" i="4" s="1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F2464" i="4"/>
  <c r="G2464" i="4" s="1"/>
  <c r="G2463" i="4"/>
  <c r="G2462" i="4"/>
  <c r="G2461" i="4"/>
  <c r="G2460" i="4"/>
  <c r="G2459" i="4"/>
  <c r="G2458" i="4"/>
  <c r="F2457" i="4"/>
  <c r="G2457" i="4" s="1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F2444" i="4"/>
  <c r="G2444" i="4" s="1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F2377" i="4"/>
  <c r="G2377" i="4" s="1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F2357" i="4"/>
  <c r="G2357" i="4" s="1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F2344" i="4"/>
  <c r="G2344" i="4" s="1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F2224" i="4"/>
  <c r="G2224" i="4" s="1"/>
  <c r="G2223" i="4"/>
  <c r="G2222" i="4"/>
  <c r="G2221" i="4"/>
  <c r="F2220" i="4"/>
  <c r="G2220" i="4" s="1"/>
  <c r="G2219" i="4"/>
  <c r="G2218" i="4"/>
  <c r="G2217" i="4"/>
  <c r="G2216" i="4"/>
  <c r="G2215" i="4"/>
  <c r="G2214" i="4"/>
  <c r="G2213" i="4"/>
  <c r="G2212" i="4"/>
  <c r="G2211" i="4"/>
  <c r="F2210" i="4"/>
  <c r="G2210" i="4" s="1"/>
  <c r="G2209" i="4"/>
  <c r="G2208" i="4"/>
  <c r="G2207" i="4"/>
  <c r="G2206" i="4"/>
  <c r="G2205" i="4"/>
  <c r="G2204" i="4"/>
  <c r="G2203" i="4"/>
  <c r="G2202" i="4"/>
  <c r="G2201" i="4"/>
  <c r="G2200" i="4"/>
  <c r="F2199" i="4"/>
  <c r="G2199" i="4" s="1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F2037" i="4"/>
  <c r="G2037" i="4" s="1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F1949" i="4"/>
  <c r="G1949" i="4" s="1"/>
  <c r="G1948" i="4"/>
  <c r="G1947" i="4"/>
  <c r="G1946" i="4"/>
  <c r="G1945" i="4"/>
  <c r="F1944" i="4"/>
  <c r="G1944" i="4" s="1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F1916" i="4"/>
  <c r="G1916" i="4" s="1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F1832" i="4"/>
  <c r="G1832" i="4" s="1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F1802" i="4"/>
  <c r="G1802" i="4" s="1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F1775" i="4"/>
  <c r="G1775" i="4" s="1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F1661" i="4"/>
  <c r="G1661" i="4" s="1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F1599" i="4"/>
  <c r="G1599" i="4" s="1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F1519" i="4"/>
  <c r="G1519" i="4" s="1"/>
  <c r="G1518" i="4"/>
  <c r="G1517" i="4"/>
  <c r="G1516" i="4"/>
  <c r="F1515" i="4"/>
  <c r="G1515" i="4" s="1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F1487" i="4"/>
  <c r="G1487" i="4" s="1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F1451" i="4"/>
  <c r="G1451" i="4" s="1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F1432" i="4"/>
  <c r="G1432" i="4" s="1"/>
  <c r="G1431" i="4"/>
  <c r="G1430" i="4"/>
  <c r="G1429" i="4"/>
  <c r="G1428" i="4"/>
  <c r="F1427" i="4"/>
  <c r="G1427" i="4" s="1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F1387" i="4"/>
  <c r="G1387" i="4" s="1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3" i="4"/>
  <c r="G1363" i="4" s="1"/>
  <c r="F1362" i="4"/>
  <c r="G1362" i="4" s="1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F1347" i="4"/>
  <c r="G1347" i="4" s="1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F1315" i="4"/>
  <c r="G1315" i="4" s="1"/>
  <c r="G1314" i="4"/>
  <c r="G1313" i="4"/>
  <c r="G1312" i="4"/>
  <c r="G1311" i="4"/>
  <c r="F1310" i="4"/>
  <c r="G1310" i="4" s="1"/>
  <c r="G1309" i="4"/>
  <c r="G1308" i="4"/>
  <c r="G1307" i="4"/>
  <c r="G1306" i="4"/>
  <c r="G1305" i="4"/>
  <c r="G1304" i="4"/>
  <c r="G1303" i="4"/>
  <c r="F1302" i="4"/>
  <c r="G1302" i="4" s="1"/>
  <c r="G1301" i="4"/>
  <c r="G1300" i="4"/>
  <c r="G1299" i="4"/>
  <c r="G1298" i="4"/>
  <c r="F1297" i="4"/>
  <c r="G1297" i="4" s="1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F1284" i="4"/>
  <c r="G1284" i="4" s="1"/>
  <c r="G1283" i="4"/>
  <c r="G1282" i="4"/>
  <c r="G1281" i="4"/>
  <c r="G1280" i="4"/>
  <c r="G1279" i="4"/>
  <c r="G1278" i="4"/>
  <c r="G1277" i="4"/>
  <c r="F1276" i="4"/>
  <c r="G1276" i="4" s="1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F1250" i="4"/>
  <c r="G1250" i="4" s="1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F1181" i="4"/>
  <c r="G1181" i="4" s="1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F1155" i="4"/>
  <c r="G1155" i="4" s="1"/>
  <c r="G1154" i="4"/>
  <c r="G1153" i="4"/>
  <c r="F1152" i="4"/>
  <c r="G1152" i="4" s="1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F1113" i="4"/>
  <c r="G1113" i="4" s="1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F966" i="4"/>
  <c r="G966" i="4" s="1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F876" i="4"/>
  <c r="G876" i="4" s="1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F849" i="4"/>
  <c r="G849" i="4" s="1"/>
  <c r="G848" i="4"/>
  <c r="G847" i="4"/>
  <c r="G846" i="4"/>
  <c r="G845" i="4"/>
  <c r="G844" i="4"/>
  <c r="G843" i="4"/>
  <c r="G842" i="4"/>
  <c r="G841" i="4"/>
  <c r="G840" i="4"/>
  <c r="G839" i="4"/>
  <c r="G838" i="4"/>
  <c r="G837" i="4"/>
  <c r="F836" i="4"/>
  <c r="G836" i="4" s="1"/>
  <c r="G835" i="4"/>
  <c r="G834" i="4"/>
  <c r="G833" i="4"/>
  <c r="G832" i="4"/>
  <c r="G831" i="4"/>
  <c r="G830" i="4"/>
  <c r="F829" i="4"/>
  <c r="G829" i="4" s="1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F806" i="4"/>
  <c r="G806" i="4" s="1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F762" i="4"/>
  <c r="G762" i="4" s="1"/>
  <c r="G761" i="4"/>
  <c r="G760" i="4"/>
  <c r="G759" i="4"/>
  <c r="G758" i="4"/>
  <c r="G757" i="4"/>
  <c r="G756" i="4"/>
  <c r="G755" i="4"/>
  <c r="F754" i="4"/>
  <c r="G754" i="4" s="1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F733" i="4"/>
  <c r="G733" i="4" s="1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F672" i="4"/>
  <c r="G672" i="4" s="1"/>
  <c r="G671" i="4"/>
  <c r="G670" i="4"/>
  <c r="G669" i="4"/>
  <c r="G668" i="4"/>
  <c r="G667" i="4"/>
  <c r="G666" i="4"/>
  <c r="G665" i="4"/>
  <c r="G664" i="4"/>
  <c r="G663" i="4"/>
  <c r="G662" i="4"/>
  <c r="G661" i="4"/>
  <c r="F660" i="4"/>
  <c r="G660" i="4" s="1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F631" i="4"/>
  <c r="G631" i="4" s="1"/>
  <c r="F630" i="4"/>
  <c r="G630" i="4" s="1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F594" i="4"/>
  <c r="G594" i="4" s="1"/>
  <c r="G593" i="4"/>
  <c r="G592" i="4"/>
  <c r="G591" i="4"/>
  <c r="F590" i="4"/>
  <c r="G590" i="4" s="1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F515" i="4"/>
  <c r="G515" i="4" s="1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F445" i="4"/>
  <c r="G445" i="4" s="1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F422" i="4"/>
  <c r="G422" i="4" s="1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F345" i="4"/>
  <c r="G345" i="4" s="1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F263" i="4"/>
  <c r="G263" i="4" s="1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F234" i="4"/>
  <c r="G234" i="4" s="1"/>
  <c r="G233" i="4"/>
  <c r="G232" i="4"/>
  <c r="G231" i="4"/>
  <c r="F230" i="4"/>
  <c r="G230" i="4" s="1"/>
  <c r="G229" i="4"/>
  <c r="G228" i="4"/>
  <c r="F227" i="4"/>
  <c r="G227" i="4" s="1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F196" i="4"/>
  <c r="G196" i="4" s="1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F158" i="4"/>
  <c r="G158" i="4" s="1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F129" i="4"/>
  <c r="G129" i="4" s="1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F5" i="4"/>
  <c r="F3042" i="4" s="1"/>
  <c r="G4" i="4"/>
  <c r="G3" i="4"/>
  <c r="D3049" i="4" l="1"/>
  <c r="G5" i="4"/>
  <c r="O3020" i="3"/>
  <c r="R3019" i="3"/>
  <c r="R3018" i="3"/>
  <c r="R3017" i="3"/>
  <c r="R3016" i="3"/>
  <c r="R3015" i="3"/>
  <c r="R3014" i="3"/>
  <c r="R3013" i="3"/>
  <c r="R3012" i="3"/>
  <c r="R3011" i="3"/>
  <c r="R3010" i="3"/>
  <c r="R3009" i="3"/>
  <c r="R3008" i="3"/>
  <c r="R3007" i="3"/>
  <c r="R3006" i="3"/>
  <c r="R3005" i="3"/>
  <c r="R3004" i="3"/>
  <c r="R3003" i="3"/>
  <c r="R3002" i="3"/>
  <c r="Q3020" i="3"/>
  <c r="R3000" i="3"/>
  <c r="O3027" i="3" l="1"/>
  <c r="R3001" i="3"/>
  <c r="F2687" i="3" l="1"/>
  <c r="F2515" i="3"/>
  <c r="F2905" i="3" l="1"/>
  <c r="F2756" i="3"/>
  <c r="F859" i="3"/>
  <c r="F1762" i="3" l="1"/>
  <c r="F2701" i="3" l="1"/>
  <c r="F2358" i="2" l="1"/>
  <c r="R2818" i="2"/>
  <c r="P2826" i="2" l="1"/>
  <c r="S2825" i="2"/>
  <c r="S2824" i="2"/>
  <c r="S2823" i="2"/>
  <c r="S2822" i="2"/>
  <c r="S2821" i="2"/>
  <c r="S2820" i="2"/>
  <c r="S2819" i="2"/>
  <c r="S2818" i="2"/>
  <c r="R2826" i="2"/>
  <c r="S2816" i="2"/>
  <c r="S2815" i="2"/>
  <c r="S2814" i="2"/>
  <c r="S2813" i="2"/>
  <c r="S2812" i="2"/>
  <c r="S2811" i="2"/>
  <c r="S2810" i="2"/>
  <c r="S2809" i="2"/>
  <c r="S2808" i="2"/>
  <c r="S2807" i="2"/>
  <c r="S2806" i="2"/>
  <c r="D23" i="8"/>
  <c r="G22" i="8"/>
  <c r="G21" i="8"/>
  <c r="G20" i="8"/>
  <c r="G19" i="8"/>
  <c r="G18" i="8"/>
  <c r="G17" i="8"/>
  <c r="G16" i="8"/>
  <c r="G15" i="8"/>
  <c r="F14" i="8"/>
  <c r="G14" i="8" s="1"/>
  <c r="G13" i="8"/>
  <c r="G12" i="8"/>
  <c r="G11" i="8"/>
  <c r="G10" i="8"/>
  <c r="G9" i="8"/>
  <c r="G8" i="8"/>
  <c r="G7" i="8"/>
  <c r="G6" i="8"/>
  <c r="G5" i="8"/>
  <c r="G4" i="8"/>
  <c r="G3" i="8"/>
  <c r="F23" i="8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F37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F58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F101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P2833" i="2" l="1"/>
  <c r="S2817" i="2"/>
  <c r="D30" i="8"/>
  <c r="F2854" i="3"/>
  <c r="F3020" i="3" l="1"/>
  <c r="F2637" i="3"/>
  <c r="F2425" i="3"/>
  <c r="F2015" i="3"/>
  <c r="F1339" i="3"/>
  <c r="F2710" i="3" l="1"/>
  <c r="F2623" i="3"/>
  <c r="F2796" i="3" l="1"/>
  <c r="F2456" i="3"/>
  <c r="F2100" i="3"/>
  <c r="F1583" i="3"/>
  <c r="F2645" i="3" l="1"/>
  <c r="F1883" i="3"/>
  <c r="F3013" i="3" l="1"/>
  <c r="F1754" i="2" l="1"/>
  <c r="D3032" i="3" l="1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F2829" i="3"/>
  <c r="G2829" i="3" s="1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F2730" i="3"/>
  <c r="G2730" i="3" s="1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F2665" i="3"/>
  <c r="G2665" i="3" s="1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F2525" i="3"/>
  <c r="G2525" i="3" s="1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F2414" i="3"/>
  <c r="G2414" i="3" s="1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F2400" i="3"/>
  <c r="G2400" i="3" s="1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F2360" i="3"/>
  <c r="G2360" i="3" s="1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F2286" i="3"/>
  <c r="G2286" i="3" s="1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F2237" i="3"/>
  <c r="G2237" i="3" s="1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F2204" i="3"/>
  <c r="G2204" i="3" s="1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F2115" i="3"/>
  <c r="G2115" i="3" s="1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F1969" i="3"/>
  <c r="G1969" i="3" s="1"/>
  <c r="G1968" i="3"/>
  <c r="G1967" i="3"/>
  <c r="G1966" i="3"/>
  <c r="G1965" i="3"/>
  <c r="G1964" i="3"/>
  <c r="G1963" i="3"/>
  <c r="G1962" i="3"/>
  <c r="G1961" i="3"/>
  <c r="G1960" i="3"/>
  <c r="F1959" i="3"/>
  <c r="G1959" i="3" s="1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F1929" i="3"/>
  <c r="G1929" i="3" s="1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F1828" i="3"/>
  <c r="G1828" i="3" s="1"/>
  <c r="G1827" i="3"/>
  <c r="G1826" i="3"/>
  <c r="G1825" i="3"/>
  <c r="G1824" i="3"/>
  <c r="G1823" i="3"/>
  <c r="G1822" i="3"/>
  <c r="F1821" i="3"/>
  <c r="G1821" i="3" s="1"/>
  <c r="G1820" i="3"/>
  <c r="G1819" i="3"/>
  <c r="G1818" i="3"/>
  <c r="G1817" i="3"/>
  <c r="G1816" i="3"/>
  <c r="G1815" i="3"/>
  <c r="G1814" i="3"/>
  <c r="F1813" i="3"/>
  <c r="G1813" i="3" s="1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F1790" i="3"/>
  <c r="G1790" i="3" s="1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F1698" i="3"/>
  <c r="G1698" i="3" s="1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F1636" i="3"/>
  <c r="G1636" i="3" s="1"/>
  <c r="G1635" i="3"/>
  <c r="G1634" i="3"/>
  <c r="G1633" i="3"/>
  <c r="G1632" i="3"/>
  <c r="G1631" i="3"/>
  <c r="F1630" i="3"/>
  <c r="G1630" i="3" s="1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F1589" i="3"/>
  <c r="G1589" i="3" s="1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F1573" i="3"/>
  <c r="G1573" i="3" s="1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F1489" i="3"/>
  <c r="G1489" i="3" s="1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F1404" i="3"/>
  <c r="G1404" i="3" s="1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F1346" i="3"/>
  <c r="G1346" i="3" s="1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F1298" i="3"/>
  <c r="G1298" i="3" s="1"/>
  <c r="G1297" i="3"/>
  <c r="G1296" i="3"/>
  <c r="G1295" i="3"/>
  <c r="G1294" i="3"/>
  <c r="G1293" i="3"/>
  <c r="G1292" i="3"/>
  <c r="G1291" i="3"/>
  <c r="F1290" i="3"/>
  <c r="G1290" i="3" s="1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F1211" i="3"/>
  <c r="G1211" i="3" s="1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F1134" i="3"/>
  <c r="G1134" i="3" s="1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F1116" i="3"/>
  <c r="G1116" i="3" s="1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F1056" i="3"/>
  <c r="G1056" i="3" s="1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F1011" i="3"/>
  <c r="G1011" i="3" s="1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F987" i="3"/>
  <c r="G987" i="3" s="1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F922" i="3"/>
  <c r="G922" i="3" s="1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F796" i="3"/>
  <c r="G796" i="3" s="1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F753" i="3"/>
  <c r="G753" i="3" s="1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F736" i="3"/>
  <c r="G736" i="3" s="1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F641" i="3"/>
  <c r="G641" i="3" s="1"/>
  <c r="F640" i="3"/>
  <c r="G640" i="3" s="1"/>
  <c r="F639" i="3"/>
  <c r="G639" i="3" s="1"/>
  <c r="G638" i="3"/>
  <c r="G637" i="3"/>
  <c r="G636" i="3"/>
  <c r="G635" i="3"/>
  <c r="F634" i="3"/>
  <c r="G634" i="3" s="1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F552" i="3"/>
  <c r="G552" i="3" s="1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F457" i="3"/>
  <c r="G457" i="3" s="1"/>
  <c r="G456" i="3"/>
  <c r="G455" i="3"/>
  <c r="G454" i="3"/>
  <c r="J453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F431" i="3"/>
  <c r="G431" i="3" s="1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F408" i="3"/>
  <c r="G408" i="3" s="1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F366" i="3"/>
  <c r="G366" i="3" s="1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F331" i="3"/>
  <c r="G331" i="3" s="1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F155" i="3"/>
  <c r="G155" i="3" s="1"/>
  <c r="G154" i="3"/>
  <c r="G153" i="3"/>
  <c r="F152" i="3"/>
  <c r="G152" i="3" s="1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F127" i="3"/>
  <c r="G127" i="3" s="1"/>
  <c r="G126" i="3"/>
  <c r="G125" i="3"/>
  <c r="F124" i="3"/>
  <c r="G124" i="3" s="1"/>
  <c r="G123" i="3"/>
  <c r="G122" i="3"/>
  <c r="G121" i="3"/>
  <c r="G120" i="3"/>
  <c r="G119" i="3"/>
  <c r="G118" i="3"/>
  <c r="G117" i="3"/>
  <c r="G116" i="3"/>
  <c r="G115" i="3"/>
  <c r="G114" i="3"/>
  <c r="F113" i="3"/>
  <c r="G113" i="3" s="1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F42" i="3"/>
  <c r="G42" i="3" s="1"/>
  <c r="G41" i="3"/>
  <c r="F40" i="3"/>
  <c r="F3032" i="3" s="1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D3039" i="3" l="1"/>
  <c r="G40" i="3"/>
  <c r="F1739" i="2"/>
  <c r="F1533" i="2" l="1"/>
  <c r="F2760" i="2" l="1"/>
  <c r="G2812" i="2" l="1"/>
  <c r="G2813" i="2"/>
  <c r="G2814" i="2"/>
  <c r="G2815" i="2"/>
  <c r="G2816" i="2"/>
  <c r="G2817" i="2"/>
  <c r="G2818" i="2"/>
  <c r="G2811" i="2"/>
  <c r="G2810" i="2" l="1"/>
  <c r="F2525" i="2" l="1"/>
  <c r="F2484" i="2" l="1"/>
  <c r="F2661" i="2" l="1"/>
  <c r="F2093" i="2"/>
  <c r="F798" i="2"/>
  <c r="F1369" i="2" l="1"/>
  <c r="F2286" i="2" l="1"/>
  <c r="F1678" i="2" l="1"/>
  <c r="F2504" i="2" l="1"/>
  <c r="F2560" i="2" l="1"/>
  <c r="F2583" i="2"/>
  <c r="F312" i="2" l="1"/>
  <c r="D2821" i="2" l="1"/>
  <c r="G2820" i="2"/>
  <c r="G2819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F2768" i="2"/>
  <c r="G2768" i="2" s="1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F2693" i="2"/>
  <c r="G2693" i="2" s="1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F2558" i="2"/>
  <c r="G2558" i="2" s="1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F2420" i="2"/>
  <c r="G2420" i="2" s="1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F2371" i="2"/>
  <c r="G2371" i="2" s="1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F2338" i="2"/>
  <c r="G2338" i="2" s="1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F2296" i="2"/>
  <c r="G2296" i="2" s="1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F2258" i="2"/>
  <c r="G2258" i="2" s="1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F2191" i="2"/>
  <c r="G2191" i="2" s="1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F2151" i="2"/>
  <c r="G2151" i="2" s="1"/>
  <c r="G2150" i="2"/>
  <c r="F2149" i="2"/>
  <c r="G2149" i="2" s="1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F2082" i="2"/>
  <c r="G2082" i="2" s="1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F2025" i="2"/>
  <c r="G2025" i="2" s="1"/>
  <c r="G2024" i="2"/>
  <c r="G2023" i="2"/>
  <c r="G2022" i="2"/>
  <c r="G2021" i="2"/>
  <c r="G2020" i="2"/>
  <c r="G2019" i="2"/>
  <c r="G2018" i="2"/>
  <c r="G2017" i="2"/>
  <c r="F2016" i="2"/>
  <c r="G2016" i="2" s="1"/>
  <c r="G2015" i="2"/>
  <c r="G2014" i="2"/>
  <c r="G2013" i="2"/>
  <c r="G2012" i="2"/>
  <c r="G2011" i="2"/>
  <c r="G2010" i="2"/>
  <c r="G2009" i="2"/>
  <c r="G2008" i="2"/>
  <c r="G2007" i="2"/>
  <c r="G2006" i="2"/>
  <c r="G2005" i="2"/>
  <c r="F2004" i="2"/>
  <c r="G2004" i="2" s="1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F1981" i="2"/>
  <c r="G1981" i="2" s="1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F1848" i="2"/>
  <c r="G1848" i="2" s="1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F1826" i="2"/>
  <c r="G1826" i="2" s="1"/>
  <c r="G1825" i="2"/>
  <c r="G1824" i="2"/>
  <c r="G1823" i="2"/>
  <c r="G1822" i="2"/>
  <c r="G1821" i="2"/>
  <c r="G1820" i="2"/>
  <c r="G1819" i="2"/>
  <c r="F1818" i="2"/>
  <c r="G1818" i="2" s="1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F1797" i="2"/>
  <c r="G1797" i="2" s="1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1" i="2"/>
  <c r="G1751" i="2" s="1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F1737" i="2"/>
  <c r="G1737" i="2" s="1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F1673" i="2"/>
  <c r="G1673" i="2" s="1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F1589" i="2"/>
  <c r="G1589" i="2" s="1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F1558" i="2"/>
  <c r="G1558" i="2" s="1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F1545" i="2"/>
  <c r="G1545" i="2" s="1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F1413" i="2"/>
  <c r="G1413" i="2" s="1"/>
  <c r="G1412" i="2"/>
  <c r="G1411" i="2"/>
  <c r="G1410" i="2"/>
  <c r="F1409" i="2"/>
  <c r="G1409" i="2" s="1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F1389" i="2"/>
  <c r="G1389" i="2" s="1"/>
  <c r="G1388" i="2"/>
  <c r="G1387" i="2"/>
  <c r="G1386" i="2"/>
  <c r="G1385" i="2"/>
  <c r="G1384" i="2"/>
  <c r="G1383" i="2"/>
  <c r="G1382" i="2"/>
  <c r="F1381" i="2"/>
  <c r="G1381" i="2" s="1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F1356" i="2"/>
  <c r="G1356" i="2" s="1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F1309" i="2"/>
  <c r="G1309" i="2" s="1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F1295" i="2"/>
  <c r="G1295" i="2" s="1"/>
  <c r="G1294" i="2"/>
  <c r="G1293" i="2"/>
  <c r="G1292" i="2"/>
  <c r="G1291" i="2"/>
  <c r="F1290" i="2"/>
  <c r="G1290" i="2" s="1"/>
  <c r="G1289" i="2"/>
  <c r="F1288" i="2"/>
  <c r="G1288" i="2" s="1"/>
  <c r="G1287" i="2"/>
  <c r="G1286" i="2"/>
  <c r="F1285" i="2"/>
  <c r="G1285" i="2" s="1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F1246" i="2"/>
  <c r="G1246" i="2" s="1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F1186" i="2"/>
  <c r="G1186" i="2" s="1"/>
  <c r="F1185" i="2"/>
  <c r="G1185" i="2" s="1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F1164" i="2"/>
  <c r="G1164" i="2" s="1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F1148" i="2"/>
  <c r="G1148" i="2" s="1"/>
  <c r="G1147" i="2"/>
  <c r="G1146" i="2"/>
  <c r="G1145" i="2"/>
  <c r="F1144" i="2"/>
  <c r="G1144" i="2" s="1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F1110" i="2"/>
  <c r="G1110" i="2" s="1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F1001" i="2"/>
  <c r="G1001" i="2" s="1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F987" i="2"/>
  <c r="G987" i="2" s="1"/>
  <c r="G986" i="2"/>
  <c r="G985" i="2"/>
  <c r="G984" i="2"/>
  <c r="G983" i="2"/>
  <c r="G982" i="2"/>
  <c r="G981" i="2"/>
  <c r="G980" i="2"/>
  <c r="G979" i="2"/>
  <c r="G978" i="2"/>
  <c r="F977" i="2"/>
  <c r="G977" i="2" s="1"/>
  <c r="G976" i="2"/>
  <c r="G975" i="2"/>
  <c r="G974" i="2"/>
  <c r="G973" i="2"/>
  <c r="G972" i="2"/>
  <c r="G971" i="2"/>
  <c r="G970" i="2"/>
  <c r="G969" i="2"/>
  <c r="G968" i="2"/>
  <c r="G967" i="2"/>
  <c r="F966" i="2"/>
  <c r="G966" i="2" s="1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F930" i="2"/>
  <c r="G930" i="2" s="1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F912" i="2"/>
  <c r="G912" i="2" s="1"/>
  <c r="G911" i="2"/>
  <c r="G910" i="2"/>
  <c r="G909" i="2"/>
  <c r="G908" i="2"/>
  <c r="G907" i="2"/>
  <c r="G906" i="2"/>
  <c r="G905" i="2"/>
  <c r="G904" i="2"/>
  <c r="G903" i="2"/>
  <c r="G902" i="2"/>
  <c r="F901" i="2"/>
  <c r="G901" i="2" s="1"/>
  <c r="G900" i="2"/>
  <c r="G899" i="2"/>
  <c r="G898" i="2"/>
  <c r="G897" i="2"/>
  <c r="G896" i="2"/>
  <c r="G895" i="2"/>
  <c r="G894" i="2"/>
  <c r="G893" i="2"/>
  <c r="G892" i="2"/>
  <c r="G891" i="2"/>
  <c r="G890" i="2"/>
  <c r="F889" i="2"/>
  <c r="G889" i="2" s="1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F848" i="2"/>
  <c r="G848" i="2" s="1"/>
  <c r="G847" i="2"/>
  <c r="G846" i="2"/>
  <c r="G845" i="2"/>
  <c r="G844" i="2"/>
  <c r="G843" i="2"/>
  <c r="G842" i="2"/>
  <c r="G841" i="2"/>
  <c r="G840" i="2"/>
  <c r="F839" i="2"/>
  <c r="G839" i="2" s="1"/>
  <c r="G838" i="2"/>
  <c r="F837" i="2"/>
  <c r="G837" i="2" s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F805" i="2"/>
  <c r="G805" i="2" s="1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F771" i="2"/>
  <c r="G771" i="2" s="1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F697" i="2"/>
  <c r="G697" i="2" s="1"/>
  <c r="G696" i="2"/>
  <c r="G695" i="2"/>
  <c r="G694" i="2"/>
  <c r="G693" i="2"/>
  <c r="G692" i="2"/>
  <c r="F691" i="2"/>
  <c r="G691" i="2" s="1"/>
  <c r="G690" i="2"/>
  <c r="G689" i="2"/>
  <c r="G688" i="2"/>
  <c r="G687" i="2"/>
  <c r="G686" i="2"/>
  <c r="G685" i="2"/>
  <c r="G684" i="2"/>
  <c r="G683" i="2"/>
  <c r="G682" i="2"/>
  <c r="G681" i="2"/>
  <c r="G680" i="2"/>
  <c r="G679" i="2"/>
  <c r="F678" i="2"/>
  <c r="G678" i="2" s="1"/>
  <c r="G677" i="2"/>
  <c r="F676" i="2"/>
  <c r="G676" i="2" s="1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F620" i="2"/>
  <c r="G620" i="2" s="1"/>
  <c r="G619" i="2"/>
  <c r="G618" i="2"/>
  <c r="G617" i="2"/>
  <c r="G616" i="2"/>
  <c r="G615" i="2"/>
  <c r="G614" i="2"/>
  <c r="G613" i="2"/>
  <c r="G612" i="2"/>
  <c r="F611" i="2"/>
  <c r="G611" i="2" s="1"/>
  <c r="G610" i="2"/>
  <c r="G609" i="2"/>
  <c r="G608" i="2"/>
  <c r="G607" i="2"/>
  <c r="G606" i="2"/>
  <c r="G605" i="2"/>
  <c r="F604" i="2"/>
  <c r="G604" i="2" s="1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F552" i="2"/>
  <c r="G552" i="2" s="1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F492" i="2"/>
  <c r="G492" i="2" s="1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F461" i="2"/>
  <c r="G461" i="2" s="1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F426" i="2"/>
  <c r="G426" i="2" s="1"/>
  <c r="G425" i="2"/>
  <c r="G424" i="2"/>
  <c r="G423" i="2"/>
  <c r="G422" i="2"/>
  <c r="F421" i="2"/>
  <c r="G421" i="2" s="1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F318" i="2"/>
  <c r="G318" i="2" s="1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F293" i="2"/>
  <c r="G293" i="2" s="1"/>
  <c r="G292" i="2"/>
  <c r="G291" i="2"/>
  <c r="G290" i="2"/>
  <c r="G289" i="2"/>
  <c r="G288" i="2"/>
  <c r="G287" i="2"/>
  <c r="G286" i="2"/>
  <c r="F285" i="2"/>
  <c r="G285" i="2" s="1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F256" i="2"/>
  <c r="G256" i="2" s="1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F241" i="2"/>
  <c r="G241" i="2" s="1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F184" i="2"/>
  <c r="G184" i="2" s="1"/>
  <c r="G183" i="2"/>
  <c r="G182" i="2"/>
  <c r="G181" i="2"/>
  <c r="F180" i="2"/>
  <c r="G180" i="2" s="1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F157" i="2"/>
  <c r="G157" i="2" s="1"/>
  <c r="G156" i="2"/>
  <c r="G155" i="2"/>
  <c r="F2821" i="2" l="1"/>
  <c r="D2828" i="2" s="1"/>
  <c r="F2702" i="1"/>
  <c r="F2645" i="1"/>
  <c r="F1059" i="1" l="1"/>
  <c r="F2784" i="1" l="1"/>
  <c r="F2756" i="1"/>
  <c r="F2670" i="1"/>
  <c r="F2653" i="1"/>
  <c r="F2508" i="1"/>
  <c r="F2106" i="1"/>
  <c r="F2083" i="1"/>
  <c r="F2063" i="1"/>
  <c r="F1825" i="1"/>
  <c r="F2751" i="1" l="1"/>
  <c r="F2558" i="1" l="1"/>
  <c r="F2430" i="1" l="1"/>
  <c r="F2785" i="1" l="1"/>
  <c r="F2594" i="1"/>
  <c r="F2473" i="1"/>
  <c r="F2159" i="1"/>
  <c r="F672" i="1"/>
  <c r="F2663" i="1" l="1"/>
  <c r="F1996" i="1"/>
  <c r="F1471" i="1"/>
  <c r="F2641" i="1"/>
  <c r="F2600" i="1"/>
  <c r="D2800" i="1" l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F2638" i="1"/>
  <c r="G2638" i="1" s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F2523" i="1"/>
  <c r="G2523" i="1" s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F2500" i="1"/>
  <c r="G2500" i="1" s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2" i="1"/>
  <c r="G2401" i="1"/>
  <c r="G2400" i="1"/>
  <c r="G2399" i="1"/>
  <c r="F2398" i="1"/>
  <c r="G2398" i="1" s="1"/>
  <c r="F2397" i="1"/>
  <c r="G2397" i="1" s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F2351" i="1"/>
  <c r="G2351" i="1" s="1"/>
  <c r="G2350" i="1"/>
  <c r="G2349" i="1"/>
  <c r="G2348" i="1"/>
  <c r="G2347" i="1"/>
  <c r="F2346" i="1"/>
  <c r="G2346" i="1" s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F2300" i="1"/>
  <c r="G2300" i="1" s="1"/>
  <c r="G2299" i="1"/>
  <c r="G2298" i="1"/>
  <c r="G2297" i="1"/>
  <c r="G2296" i="1"/>
  <c r="G2295" i="1"/>
  <c r="G2294" i="1"/>
  <c r="G2293" i="1"/>
  <c r="G2292" i="1"/>
  <c r="G2291" i="1"/>
  <c r="G2290" i="1"/>
  <c r="F2289" i="1"/>
  <c r="G2289" i="1" s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F2272" i="1"/>
  <c r="G2272" i="1" s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F2233" i="1"/>
  <c r="G2233" i="1" s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F2177" i="1"/>
  <c r="G2177" i="1" s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F2161" i="1"/>
  <c r="G2161" i="1" s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F2096" i="1"/>
  <c r="G2096" i="1" s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F2078" i="1"/>
  <c r="G2078" i="1" s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F2057" i="1"/>
  <c r="G2057" i="1" s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F2024" i="1"/>
  <c r="G2024" i="1" s="1"/>
  <c r="F2023" i="1"/>
  <c r="G2023" i="1" s="1"/>
  <c r="G2022" i="1"/>
  <c r="G2021" i="1"/>
  <c r="G2020" i="1"/>
  <c r="G2019" i="1"/>
  <c r="G2018" i="1"/>
  <c r="G2017" i="1"/>
  <c r="G2016" i="1"/>
  <c r="G2015" i="1"/>
  <c r="G2014" i="1"/>
  <c r="G2013" i="1"/>
  <c r="F2012" i="1"/>
  <c r="G2012" i="1" s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F1978" i="1"/>
  <c r="G1978" i="1" s="1"/>
  <c r="G1977" i="1"/>
  <c r="G1976" i="1"/>
  <c r="G1975" i="1"/>
  <c r="F1974" i="1"/>
  <c r="G1974" i="1" s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F1911" i="1"/>
  <c r="G1911" i="1" s="1"/>
  <c r="G1910" i="1"/>
  <c r="G1909" i="1"/>
  <c r="F1908" i="1"/>
  <c r="G1908" i="1" s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F1893" i="1"/>
  <c r="G1893" i="1" s="1"/>
  <c r="G1892" i="1"/>
  <c r="G1891" i="1"/>
  <c r="G1890" i="1"/>
  <c r="G1889" i="1"/>
  <c r="G1888" i="1"/>
  <c r="G1887" i="1"/>
  <c r="G1886" i="1"/>
  <c r="F1885" i="1"/>
  <c r="G1885" i="1" s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F1827" i="1"/>
  <c r="G1827" i="1" s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F1766" i="1"/>
  <c r="G1766" i="1" s="1"/>
  <c r="G1765" i="1"/>
  <c r="G1764" i="1"/>
  <c r="G1763" i="1"/>
  <c r="G1762" i="1"/>
  <c r="G1761" i="1"/>
  <c r="G1760" i="1"/>
  <c r="G1759" i="1"/>
  <c r="F1758" i="1"/>
  <c r="G1758" i="1" s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F1732" i="1"/>
  <c r="G1732" i="1" s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F1718" i="1"/>
  <c r="G1718" i="1" s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F1643" i="1"/>
  <c r="G1643" i="1" s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F1627" i="1"/>
  <c r="G1627" i="1" s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F1610" i="1"/>
  <c r="G1610" i="1" s="1"/>
  <c r="G1609" i="1"/>
  <c r="G1608" i="1"/>
  <c r="G1607" i="1"/>
  <c r="G1606" i="1"/>
  <c r="G1605" i="1"/>
  <c r="G1604" i="1"/>
  <c r="G1603" i="1"/>
  <c r="G1602" i="1"/>
  <c r="G1601" i="1"/>
  <c r="G1600" i="1"/>
  <c r="F1599" i="1"/>
  <c r="G1599" i="1" s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F1573" i="1"/>
  <c r="G1573" i="1" s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F1537" i="1"/>
  <c r="G1537" i="1" s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F1520" i="1"/>
  <c r="G1520" i="1" s="1"/>
  <c r="G1519" i="1"/>
  <c r="G1518" i="1"/>
  <c r="G1517" i="1"/>
  <c r="G1516" i="1"/>
  <c r="G1515" i="1"/>
  <c r="G1514" i="1"/>
  <c r="G1513" i="1"/>
  <c r="G1512" i="1"/>
  <c r="G1511" i="1"/>
  <c r="F1510" i="1"/>
  <c r="G1510" i="1" s="1"/>
  <c r="G1509" i="1"/>
  <c r="G1508" i="1"/>
  <c r="G1507" i="1"/>
  <c r="G1506" i="1"/>
  <c r="G1505" i="1"/>
  <c r="G1504" i="1"/>
  <c r="G1503" i="1"/>
  <c r="F1502" i="1"/>
  <c r="G1502" i="1" s="1"/>
  <c r="G1501" i="1"/>
  <c r="G1500" i="1"/>
  <c r="G1499" i="1"/>
  <c r="G1498" i="1"/>
  <c r="G1497" i="1"/>
  <c r="G1496" i="1"/>
  <c r="G1495" i="1"/>
  <c r="G1494" i="1"/>
  <c r="G1493" i="1"/>
  <c r="G1492" i="1"/>
  <c r="G1491" i="1"/>
  <c r="F1490" i="1"/>
  <c r="G1490" i="1" s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F1457" i="1"/>
  <c r="G1457" i="1" s="1"/>
  <c r="G1456" i="1"/>
  <c r="G1455" i="1"/>
  <c r="G1454" i="1"/>
  <c r="G1453" i="1"/>
  <c r="G1452" i="1"/>
  <c r="G1451" i="1"/>
  <c r="G1450" i="1"/>
  <c r="G1449" i="1"/>
  <c r="G1448" i="1"/>
  <c r="G1447" i="1"/>
  <c r="F1446" i="1"/>
  <c r="G1446" i="1" s="1"/>
  <c r="G1445" i="1"/>
  <c r="G1444" i="1"/>
  <c r="F1443" i="1"/>
  <c r="G1443" i="1" s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F1424" i="1"/>
  <c r="G1424" i="1" s="1"/>
  <c r="G1423" i="1"/>
  <c r="G1422" i="1"/>
  <c r="G1421" i="1"/>
  <c r="G1420" i="1"/>
  <c r="G1419" i="1"/>
  <c r="G1418" i="1"/>
  <c r="G1417" i="1"/>
  <c r="G1416" i="1"/>
  <c r="G1415" i="1"/>
  <c r="G1414" i="1"/>
  <c r="F1413" i="1"/>
  <c r="G1413" i="1" s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F1347" i="1"/>
  <c r="G1347" i="1" s="1"/>
  <c r="G1346" i="1"/>
  <c r="G1345" i="1"/>
  <c r="G1344" i="1"/>
  <c r="F1343" i="1"/>
  <c r="G1343" i="1" s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F1305" i="1"/>
  <c r="G1305" i="1" s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F1261" i="1"/>
  <c r="G1261" i="1" s="1"/>
  <c r="G1260" i="1"/>
  <c r="G1259" i="1"/>
  <c r="G1258" i="1"/>
  <c r="G1257" i="1"/>
  <c r="G1256" i="1"/>
  <c r="G1255" i="1"/>
  <c r="G1254" i="1"/>
  <c r="F1253" i="1"/>
  <c r="G1253" i="1" s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F1232" i="1"/>
  <c r="G1232" i="1" s="1"/>
  <c r="G1231" i="1"/>
  <c r="G1230" i="1"/>
  <c r="G1229" i="1"/>
  <c r="G1228" i="1"/>
  <c r="G1227" i="1"/>
  <c r="F1226" i="1"/>
  <c r="G1226" i="1" s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F1194" i="1"/>
  <c r="G1194" i="1" s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F1168" i="1"/>
  <c r="G1168" i="1" s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F1110" i="1"/>
  <c r="G1110" i="1" s="1"/>
  <c r="G1109" i="1"/>
  <c r="G1108" i="1"/>
  <c r="G1107" i="1"/>
  <c r="F1106" i="1"/>
  <c r="G1106" i="1" s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F1086" i="1"/>
  <c r="G1086" i="1" s="1"/>
  <c r="G1085" i="1"/>
  <c r="G1084" i="1"/>
  <c r="G1083" i="1"/>
  <c r="G1082" i="1"/>
  <c r="G1081" i="1"/>
  <c r="G1080" i="1"/>
  <c r="G1079" i="1"/>
  <c r="G1078" i="1"/>
  <c r="F1077" i="1"/>
  <c r="G1077" i="1" s="1"/>
  <c r="G1076" i="1"/>
  <c r="F1075" i="1"/>
  <c r="G1075" i="1" s="1"/>
  <c r="G1074" i="1"/>
  <c r="G1073" i="1"/>
  <c r="G1072" i="1"/>
  <c r="G1071" i="1"/>
  <c r="G1070" i="1"/>
  <c r="G1069" i="1"/>
  <c r="F1068" i="1"/>
  <c r="G1068" i="1" s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F1045" i="1"/>
  <c r="G1045" i="1" s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F976" i="1"/>
  <c r="G976" i="1" s="1"/>
  <c r="G975" i="1"/>
  <c r="F974" i="1"/>
  <c r="G974" i="1" s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F952" i="1"/>
  <c r="G952" i="1" s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F891" i="1"/>
  <c r="G891" i="1" s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F843" i="1"/>
  <c r="G843" i="1" s="1"/>
  <c r="G842" i="1"/>
  <c r="G841" i="1"/>
  <c r="G840" i="1"/>
  <c r="G839" i="1"/>
  <c r="F838" i="1"/>
  <c r="G838" i="1" s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F822" i="1"/>
  <c r="G822" i="1" s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F802" i="1"/>
  <c r="G802" i="1" s="1"/>
  <c r="G801" i="1"/>
  <c r="G800" i="1"/>
  <c r="G799" i="1"/>
  <c r="F798" i="1"/>
  <c r="G798" i="1" s="1"/>
  <c r="G797" i="1"/>
  <c r="F796" i="1"/>
  <c r="G796" i="1" s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F760" i="1"/>
  <c r="G760" i="1" s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F734" i="1"/>
  <c r="G734" i="1" s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F711" i="1"/>
  <c r="G711" i="1" s="1"/>
  <c r="G710" i="1"/>
  <c r="G709" i="1"/>
  <c r="G708" i="1"/>
  <c r="F707" i="1"/>
  <c r="G707" i="1" s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F616" i="1"/>
  <c r="G616" i="1" s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F533" i="1"/>
  <c r="G533" i="1" s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F514" i="1"/>
  <c r="G514" i="1" s="1"/>
  <c r="G513" i="1"/>
  <c r="G512" i="1"/>
  <c r="G511" i="1"/>
  <c r="G510" i="1"/>
  <c r="G509" i="1"/>
  <c r="G508" i="1"/>
  <c r="G507" i="1"/>
  <c r="G506" i="1"/>
  <c r="G505" i="1"/>
  <c r="G504" i="1"/>
  <c r="F503" i="1"/>
  <c r="G503" i="1" s="1"/>
  <c r="G502" i="1"/>
  <c r="G501" i="1"/>
  <c r="F500" i="1"/>
  <c r="G500" i="1" s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F457" i="1"/>
  <c r="G457" i="1" s="1"/>
  <c r="G456" i="1"/>
  <c r="G455" i="1"/>
  <c r="G454" i="1"/>
  <c r="G453" i="1"/>
  <c r="G452" i="1"/>
  <c r="G451" i="1"/>
  <c r="G450" i="1"/>
  <c r="G449" i="1"/>
  <c r="F448" i="1"/>
  <c r="G448" i="1" s="1"/>
  <c r="G447" i="1"/>
  <c r="G446" i="1"/>
  <c r="G445" i="1"/>
  <c r="G444" i="1"/>
  <c r="G443" i="1"/>
  <c r="G442" i="1"/>
  <c r="G441" i="1"/>
  <c r="G440" i="1"/>
  <c r="G439" i="1"/>
  <c r="G438" i="1"/>
  <c r="G437" i="1"/>
  <c r="G436" i="1"/>
  <c r="F435" i="1"/>
  <c r="G435" i="1" s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F419" i="1"/>
  <c r="G419" i="1" s="1"/>
  <c r="G418" i="1"/>
  <c r="G417" i="1"/>
  <c r="G416" i="1"/>
  <c r="G415" i="1"/>
  <c r="G414" i="1"/>
  <c r="G413" i="1"/>
  <c r="G412" i="1"/>
  <c r="G411" i="1"/>
  <c r="F410" i="1"/>
  <c r="G410" i="1" s="1"/>
  <c r="G409" i="1"/>
  <c r="G408" i="1"/>
  <c r="G407" i="1"/>
  <c r="G406" i="1"/>
  <c r="G405" i="1"/>
  <c r="G404" i="1"/>
  <c r="G403" i="1"/>
  <c r="G402" i="1"/>
  <c r="G401" i="1"/>
  <c r="G400" i="1"/>
  <c r="F399" i="1"/>
  <c r="G399" i="1" s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F337" i="1"/>
  <c r="G337" i="1" s="1"/>
  <c r="G336" i="1"/>
  <c r="G335" i="1"/>
  <c r="G334" i="1"/>
  <c r="G333" i="1"/>
  <c r="F332" i="1"/>
  <c r="G332" i="1" s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F276" i="1"/>
  <c r="G276" i="1" s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F233" i="1"/>
  <c r="G233" i="1" s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F210" i="1"/>
  <c r="G210" i="1" s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F110" i="1"/>
  <c r="G110" i="1" s="1"/>
  <c r="G109" i="1"/>
  <c r="G108" i="1"/>
  <c r="G107" i="1"/>
  <c r="G106" i="1"/>
  <c r="G105" i="1"/>
  <c r="G104" i="1"/>
  <c r="G103" i="1"/>
  <c r="G102" i="1"/>
  <c r="G101" i="1"/>
  <c r="F100" i="1"/>
  <c r="G100" i="1" s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F30" i="1"/>
  <c r="F2800" i="1" s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30" i="1" l="1"/>
  <c r="D2807" i="1"/>
</calcChain>
</file>

<file path=xl/sharedStrings.xml><?xml version="1.0" encoding="utf-8"?>
<sst xmlns="http://schemas.openxmlformats.org/spreadsheetml/2006/main" count="37446" uniqueCount="1481">
  <si>
    <t>REMISIONES DE       E N E R O           2 0 1 5</t>
  </si>
  <si>
    <t>FECHA</t>
  </si>
  <si>
    <t>#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</si>
  <si>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</si>
  <si>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IMPORTE</t>
  </si>
  <si>
    <t>Fecha de pago</t>
  </si>
  <si>
    <t>IMPORTE D/PAGO</t>
  </si>
  <si>
    <t>SALDO</t>
  </si>
  <si>
    <t>NESTOR</t>
  </si>
  <si>
    <t>CIC</t>
  </si>
  <si>
    <t>K'BRIONES</t>
  </si>
  <si>
    <t>OSCAR PONCE</t>
  </si>
  <si>
    <t>CANCELADO</t>
  </si>
  <si>
    <t>.</t>
  </si>
  <si>
    <t>CIC COMERCIO</t>
  </si>
  <si>
    <t>ALBERTO RODRIGUEZ</t>
  </si>
  <si>
    <t>LUIS GUILLERMO ZALASAR ANDRADE</t>
  </si>
  <si>
    <t>JUAN MANUEL A</t>
  </si>
  <si>
    <t>NERY</t>
  </si>
  <si>
    <t>GONZALO RAMOS</t>
  </si>
  <si>
    <t>GUILLERMINA ZOQUIAPAN</t>
  </si>
  <si>
    <t>AUSENCIO</t>
  </si>
  <si>
    <t>LEONARDO LINARES</t>
  </si>
  <si>
    <t>SAN BARTOLO</t>
  </si>
  <si>
    <t>CIC LA CENTRAL</t>
  </si>
  <si>
    <t>MARIO MASTRANZO</t>
  </si>
  <si>
    <t>HARBANO</t>
  </si>
  <si>
    <t>RAUL GTZ</t>
  </si>
  <si>
    <t>ANGEL RIOS</t>
  </si>
  <si>
    <t>FELIZ CEREZO</t>
  </si>
  <si>
    <t>NARCISO ROMERO</t>
  </si>
  <si>
    <t>PATY FLORES</t>
  </si>
  <si>
    <t>GUSTAVO JIMENEZ</t>
  </si>
  <si>
    <t>RAFAEL LEDO</t>
  </si>
  <si>
    <t>FELIPE RANGEL</t>
  </si>
  <si>
    <t>ROGELIO HERRERIAS</t>
  </si>
  <si>
    <t>JOSE DANIEL G</t>
  </si>
  <si>
    <t>LUIS HERRERA</t>
  </si>
  <si>
    <t>RAUL COSME</t>
  </si>
  <si>
    <t>02-Ene 193.20---08-Ene $ 41,832.00</t>
  </si>
  <si>
    <t>BAG DAD CENTRO</t>
  </si>
  <si>
    <t>JESUS PACHECO</t>
  </si>
  <si>
    <t>FRANCISCO SANCHEZ</t>
  </si>
  <si>
    <t>GABRIEL TUXPAN</t>
  </si>
  <si>
    <t>JUAN MORALES</t>
  </si>
  <si>
    <t>CIC 11 SUR</t>
  </si>
  <si>
    <t>FELIPE GUERRERO</t>
  </si>
  <si>
    <t>FERNANDO GALICIA</t>
  </si>
  <si>
    <t>VALERIO FIGUEROA</t>
  </si>
  <si>
    <t>SAGRADO CORAZON CENTRO</t>
  </si>
  <si>
    <t>COCHINITO</t>
  </si>
  <si>
    <t>BAG DAD XILOTZINGO</t>
  </si>
  <si>
    <t>BAG DAD NACIONAL</t>
  </si>
  <si>
    <t>BUHO</t>
  </si>
  <si>
    <t>LA ORGINAL</t>
  </si>
  <si>
    <t>JESUS TUXPAN</t>
  </si>
  <si>
    <t>GERARDO FRAGOSO</t>
  </si>
  <si>
    <t>BURRO NORTEÑO</t>
  </si>
  <si>
    <t>AGUILA REAL</t>
  </si>
  <si>
    <t>ROBERTO BARRERA</t>
  </si>
  <si>
    <t>ANGEL CRUZ</t>
  </si>
  <si>
    <t>PEDRO ALDAMA</t>
  </si>
  <si>
    <t>BENITO GARCIA</t>
  </si>
  <si>
    <t>MARINE ZACATELCO</t>
  </si>
  <si>
    <t>CARLOS CHANTES</t>
  </si>
  <si>
    <t>HILDA LUNA</t>
  </si>
  <si>
    <t>JAIME GASPARIANO</t>
  </si>
  <si>
    <t>HIPOLITO SANTIAGO</t>
  </si>
  <si>
    <t>AIDA ( VER )</t>
  </si>
  <si>
    <t>CENTRO COMECIAL ALATRISTE</t>
  </si>
  <si>
    <t>17-ENE FACTURA 3531-A</t>
  </si>
  <si>
    <t>PABLO BAUTISTA</t>
  </si>
  <si>
    <t>SUPER DE LAS LOMAS VICTORINO</t>
  </si>
  <si>
    <t>10-ene FACTURA 3530-A</t>
  </si>
  <si>
    <t>MARIO GUTIERREZ</t>
  </si>
  <si>
    <t>JAVIER LUNA</t>
  </si>
  <si>
    <t>JOSE LINARES</t>
  </si>
  <si>
    <t>JORGE ARRIAGA</t>
  </si>
  <si>
    <t>SAMUEL ALFONSO</t>
  </si>
  <si>
    <t>ALFREDO MEDINA TEHUACAN</t>
  </si>
  <si>
    <t>JOSE LUIS JUAREZ</t>
  </si>
  <si>
    <t>JOSE LUIS CANTERO</t>
  </si>
  <si>
    <t>NOE COYOTL</t>
  </si>
  <si>
    <t>FOGONCITO</t>
  </si>
  <si>
    <t>SUPER SERVICIO ALATRISTE</t>
  </si>
  <si>
    <t>17-ENE FACTURA 3529-A</t>
  </si>
  <si>
    <t>OMAR CONTRERAS</t>
  </si>
  <si>
    <t>JAVIER PARRAL</t>
  </si>
  <si>
    <t>MARIA LUISA</t>
  </si>
  <si>
    <t>ARTURO BERNAL</t>
  </si>
  <si>
    <t>JAIME MASTRANZO</t>
  </si>
  <si>
    <t>BEATRIZ LUNA</t>
  </si>
  <si>
    <t>JUAN ARRIAGA</t>
  </si>
  <si>
    <t>EL PASTORCITO 1</t>
  </si>
  <si>
    <t>PABLO BAEZ</t>
  </si>
  <si>
    <t>EL PASTORCITO II</t>
  </si>
  <si>
    <t>CHINOS INDEPENDENCIA</t>
  </si>
  <si>
    <t>RODOLFO LINARES</t>
  </si>
  <si>
    <t>PONCE</t>
  </si>
  <si>
    <t>SAGRADO CORAZON ZAVALETA</t>
  </si>
  <si>
    <t>ENRIQUE HERRERIAS</t>
  </si>
  <si>
    <t>PIZZAS LALO</t>
  </si>
  <si>
    <t>SALOME</t>
  </si>
  <si>
    <t>GERARDO PULIDO</t>
  </si>
  <si>
    <t>RAY LOPEZ</t>
  </si>
  <si>
    <t>SRA CORONA</t>
  </si>
  <si>
    <t>DARIO TIRO</t>
  </si>
  <si>
    <t>JOVANY CUATEPOTZO</t>
  </si>
  <si>
    <t>CAMPRA</t>
  </si>
  <si>
    <t>12-Ene 187,712.--16-Ene 185,000.32</t>
  </si>
  <si>
    <t>CIC HERRADURA</t>
  </si>
  <si>
    <t>PROLEDO</t>
  </si>
  <si>
    <t>SERRANO</t>
  </si>
  <si>
    <t>03-Ene 60.000.00--07-Ene 45,525.70</t>
  </si>
  <si>
    <t>ISRAEL TORRES</t>
  </si>
  <si>
    <t xml:space="preserve">JORGE  </t>
  </si>
  <si>
    <t>FRANCO MORALES</t>
  </si>
  <si>
    <t>PORFIRIO</t>
  </si>
  <si>
    <t>RICARDO DELEITA</t>
  </si>
  <si>
    <t>JAVIER GARCIA</t>
  </si>
  <si>
    <t>MIGUEL XOCHIHUATL</t>
  </si>
  <si>
    <t>EDUARDO MASTRANZO</t>
  </si>
  <si>
    <t>BENJAMIN</t>
  </si>
  <si>
    <t>BETO ANGULO</t>
  </si>
  <si>
    <t>ARNULFO CRUZ</t>
  </si>
  <si>
    <t>OSCAR ZOQUIAPAN</t>
  </si>
  <si>
    <t>LA PERA</t>
  </si>
  <si>
    <t>JAIME HERNANDEZ</t>
  </si>
  <si>
    <t>MARIO GARZA</t>
  </si>
  <si>
    <t>ALFREDO GOMEZ</t>
  </si>
  <si>
    <t>FLORES</t>
  </si>
  <si>
    <t>RODOLFO ZOQUIAPAN</t>
  </si>
  <si>
    <t>PEDRO CORDERO</t>
  </si>
  <si>
    <t>ROBERTO FLORES</t>
  </si>
  <si>
    <t>ELSA MUÑOZ</t>
  </si>
  <si>
    <t>FELIX CEREZO</t>
  </si>
  <si>
    <t>LUIS LEDO</t>
  </si>
  <si>
    <t>JUAN APANGO</t>
  </si>
  <si>
    <t>EMILIO CUAUTLE</t>
  </si>
  <si>
    <t>03-Ene 2,000.00---04-Ene 415.70</t>
  </si>
  <si>
    <t>RAMON YAÑEZ</t>
  </si>
  <si>
    <t>JAVIER HERRERA</t>
  </si>
  <si>
    <t>LUIS MUÑOZ</t>
  </si>
  <si>
    <t>CORTES FINOS LA MORENA</t>
  </si>
  <si>
    <t xml:space="preserve">MIGUEL   </t>
  </si>
  <si>
    <t>GERMAN CEBADA SALAMANCA</t>
  </si>
  <si>
    <t>CIC LA HERRDURA  Cancelada</t>
  </si>
  <si>
    <t>se cambio 8155   errror en combo</t>
  </si>
  <si>
    <t>FABIAN XOCHIHUA</t>
  </si>
  <si>
    <t>FRANCISCO ARMENTA</t>
  </si>
  <si>
    <t>05-Ene 11,000.00--10-Ene 25,404.50</t>
  </si>
  <si>
    <t>JAVIER 24</t>
  </si>
  <si>
    <t>SANTOS</t>
  </si>
  <si>
    <t>MIGUEL VALVERDE</t>
  </si>
  <si>
    <t>DIONICIO TLAXCO</t>
  </si>
  <si>
    <t>GABRIEL CLEMENTE</t>
  </si>
  <si>
    <t>04-Ene 18,000.00 --05-Ene -15  $ 3,411.60</t>
  </si>
  <si>
    <t>OCTAVIO LINARES</t>
  </si>
  <si>
    <t>MIGUEL ANGEL MORENO</t>
  </si>
  <si>
    <t>CARMELO VAZQUEZ</t>
  </si>
  <si>
    <t>CELEDONIO</t>
  </si>
  <si>
    <t>ANTONIO HERNANDEZ</t>
  </si>
  <si>
    <t>CHINOS TLAXCALA</t>
  </si>
  <si>
    <t>05-Ene 14,000.00---09-Ene 2,792.20</t>
  </si>
  <si>
    <t>MOISES ARCE</t>
  </si>
  <si>
    <t>RUBEN</t>
  </si>
  <si>
    <t>07-Ene 17,769.20--08-Ene 7,000.00</t>
  </si>
  <si>
    <t>MIRIAM</t>
  </si>
  <si>
    <t>PORFIRIO CRUZ</t>
  </si>
  <si>
    <t>SAGRADO CORAZON HEROES</t>
  </si>
  <si>
    <t>JUAN ESCOBAR</t>
  </si>
  <si>
    <t>VALEERIO FIGUEROA</t>
  </si>
  <si>
    <t>JAVIER FLORES</t>
  </si>
  <si>
    <t>CENTRO COMERCIAL ALATRISTE</t>
  </si>
  <si>
    <t>24-Ene FACTURA  3544-A</t>
  </si>
  <si>
    <t>17-ENE FACTURA 3545-A</t>
  </si>
  <si>
    <t>SUPER DESCUENTO VICTORINO</t>
  </si>
  <si>
    <t>17-ENE FACTURA  3543-A</t>
  </si>
  <si>
    <t>MARCO MERINO</t>
  </si>
  <si>
    <t>WELMER</t>
  </si>
  <si>
    <t>MINERVA PEREZ HERNANDEZ</t>
  </si>
  <si>
    <t>17-ENE FACTURA 3547 A</t>
  </si>
  <si>
    <t>ALFREDO ACATZINGO</t>
  </si>
  <si>
    <t>JOSE LUIS DEL RAYO</t>
  </si>
  <si>
    <t>menos 3,200.00 en sesos bote--09-Ene 296,402.31</t>
  </si>
  <si>
    <t>PEDRO RAMIRO</t>
  </si>
  <si>
    <t>CHINOS Capu</t>
  </si>
  <si>
    <t>ALBERTO MOTA</t>
  </si>
  <si>
    <t>05-Ene 4,170.00--08-Ene  3,186.00</t>
  </si>
  <si>
    <t>CARNES VIC</t>
  </si>
  <si>
    <t>OMAR ATLIXCO</t>
  </si>
  <si>
    <t>GABRIEL DOROTEO</t>
  </si>
  <si>
    <t>LUIS MANUEL GOMEZ</t>
  </si>
  <si>
    <t>PRODUCTO PARA AVES Y ANIMALES SA DE CV</t>
  </si>
  <si>
    <t>14-Ene FACTURA 3617-A</t>
  </si>
  <si>
    <t>COSTA DE ORO</t>
  </si>
  <si>
    <t>ANA LAURA ROBLES</t>
  </si>
  <si>
    <t>GUILLERMO VERACRUZ</t>
  </si>
  <si>
    <t>MIGUEL VERACRUZ</t>
  </si>
  <si>
    <t>ALFREDO VERACRUZ</t>
  </si>
  <si>
    <t>ARTURO VERACRUZ</t>
  </si>
  <si>
    <t>ALEJANDRO HERNANDEZ ( Ver )</t>
  </si>
  <si>
    <t>FORTINO VERACRUZ</t>
  </si>
  <si>
    <t>CARLOS VERACRUZ</t>
  </si>
  <si>
    <t>BERNARDO VERACRUZ</t>
  </si>
  <si>
    <t>SRA. SARA VERACRUZ</t>
  </si>
  <si>
    <t>CAFERRA</t>
  </si>
  <si>
    <t>VALERIO VERACRUZ</t>
  </si>
  <si>
    <t>SERGIO HERNANDEZ</t>
  </si>
  <si>
    <t>CAMPOFIEL</t>
  </si>
  <si>
    <t>MA. DEL ROSARIO ( CARDEL )</t>
  </si>
  <si>
    <t>GRUPO GANADERO GURA SPR DE RL</t>
  </si>
  <si>
    <t>LUSI GUILLERMO ZALASAR ANDRADE</t>
  </si>
  <si>
    <t>ALBICIA</t>
  </si>
  <si>
    <t>LA ORIGINAL</t>
  </si>
  <si>
    <t>OMAR REYES</t>
  </si>
  <si>
    <t>07-Ene 1,800.00--08-Ene 601.00</t>
  </si>
  <si>
    <t>JUQUILITA</t>
  </si>
  <si>
    <t>CANCELADA</t>
  </si>
  <si>
    <t>RAYMUNDO VELAZCO</t>
  </si>
  <si>
    <t>07-Ene 3,560.70--08-Ene 814.70</t>
  </si>
  <si>
    <t>SAGRADO CORAZON SAN MANUEL</t>
  </si>
  <si>
    <t>13-Ene 2.24--15-Ene 501.76</t>
  </si>
  <si>
    <t>CARNICERIA RENDON</t>
  </si>
  <si>
    <t>ERASMO</t>
  </si>
  <si>
    <t>MARCO SANCHEZ</t>
  </si>
  <si>
    <t>SAGRADO CORAZON MORILLOTLA</t>
  </si>
  <si>
    <t>06-Ene 30,000.00--07-Ene 11,172.320</t>
  </si>
  <si>
    <t>CARLOS MOLINA</t>
  </si>
  <si>
    <t>MELITON CUAUTENCOS</t>
  </si>
  <si>
    <t>MARIA DEL ROSARIO GONZALEZ</t>
  </si>
  <si>
    <t>06-Ene 1,324.80--13-Ene 21,574.00</t>
  </si>
  <si>
    <t>SALVADOR VALVERDE</t>
  </si>
  <si>
    <t>ROGELIO ESCOBAR TLAXCO</t>
  </si>
  <si>
    <t>MIGUEL</t>
  </si>
  <si>
    <t>CERRITOS</t>
  </si>
  <si>
    <t>ALFONSO RUIZ</t>
  </si>
  <si>
    <t>POMPO</t>
  </si>
  <si>
    <t>CAMACHO</t>
  </si>
  <si>
    <t>JORGE</t>
  </si>
  <si>
    <t>08-Ene 2,157.90--09-Ene 6,343.30</t>
  </si>
  <si>
    <t>JUAN PORTILLO</t>
  </si>
  <si>
    <t>08-Ene 8,924.00---11-Ene 13,000.00</t>
  </si>
  <si>
    <t>ALFREDO MEDINA</t>
  </si>
  <si>
    <t>24-Ene FACTURA  3613-A</t>
  </si>
  <si>
    <t>PROSUBCA SA DE CV</t>
  </si>
  <si>
    <t>14-Ene FACTURA   3618-A</t>
  </si>
  <si>
    <t>TARCILA</t>
  </si>
  <si>
    <t>07-Ene 11,400.00--09-Ene 1,523.20</t>
  </si>
  <si>
    <t>DON JULIO</t>
  </si>
  <si>
    <t>EFRAIN RENDON</t>
  </si>
  <si>
    <t>DORMIDO</t>
  </si>
  <si>
    <t>FERNANDO ROMERO</t>
  </si>
  <si>
    <t>DELIA RAMOS HERNANDEZ</t>
  </si>
  <si>
    <t>RODOLFO LINARES JR</t>
  </si>
  <si>
    <t xml:space="preserve">RAUL  </t>
  </si>
  <si>
    <t>K´BRIONES</t>
  </si>
  <si>
    <t>08-Ene 30,000.00--9-Ene 10,893.40</t>
  </si>
  <si>
    <t xml:space="preserve">MIGUEL </t>
  </si>
  <si>
    <t>JUAN VAZQUEZ GUZMAN</t>
  </si>
  <si>
    <t>10-Ene FACTURA 3614-A</t>
  </si>
  <si>
    <t>FELIX VERACRUZ</t>
  </si>
  <si>
    <t>CAMPO FIEL</t>
  </si>
  <si>
    <t>SAN PEDRO VERACRUZ</t>
  </si>
  <si>
    <t>PERI´S</t>
  </si>
  <si>
    <t>SRA. CORONA</t>
  </si>
  <si>
    <t>LIC GABRIEL PEREZ</t>
  </si>
  <si>
    <t>CARNITAS EL TERCERO</t>
  </si>
  <si>
    <t>JORGE ARRIAGA JR</t>
  </si>
  <si>
    <t>OSCAR RODRIGUEZ</t>
  </si>
  <si>
    <t>JOSE CONSTANCIO AKE</t>
  </si>
  <si>
    <t>ARTURO SANCHEZ</t>
  </si>
  <si>
    <t>17-Ene FACTURA 3666-A</t>
  </si>
  <si>
    <t>ROMAN</t>
  </si>
  <si>
    <t>SUPER SERVICIO</t>
  </si>
  <si>
    <t>24-Ene FACTURA 3626-A</t>
  </si>
  <si>
    <t>24-Ene FACTURA 3628-A</t>
  </si>
  <si>
    <t>17-ENE FACTURA 3629-A</t>
  </si>
  <si>
    <t>24-Ene FACTURA 3627-A</t>
  </si>
  <si>
    <t>EDUARDO TOSCANO</t>
  </si>
  <si>
    <t>09-Ene 8,400.00--10-Ene 4,376.40</t>
  </si>
  <si>
    <t>09-Ene 7,600.00--10-Ene 8,920.00</t>
  </si>
  <si>
    <t>ALIMENTOS SUPREMOS DE ORIENTE</t>
  </si>
  <si>
    <t>20-Ene FACTURA 3665-A</t>
  </si>
  <si>
    <t>FREDY</t>
  </si>
  <si>
    <t>LA SELECTA</t>
  </si>
  <si>
    <t>BERNARDO JIMENEZ MARTINEZ</t>
  </si>
  <si>
    <t>19-Ene 350.00--20-Ene 350.00--28-Ene 350.00--31-Ene 350.00</t>
  </si>
  <si>
    <t>20-Ene FACTURA 3663-A</t>
  </si>
  <si>
    <t>13-Ene 351.00--18-Ene $ 39,764.40</t>
  </si>
  <si>
    <t>ANTOJITOS SN MIGUEL</t>
  </si>
  <si>
    <t>JUAN HERRERA</t>
  </si>
  <si>
    <t>ARTURO COYOTL</t>
  </si>
  <si>
    <t>FONGONCITO</t>
  </si>
  <si>
    <t>RAMON RUIZ</t>
  </si>
  <si>
    <t>ESAU</t>
  </si>
  <si>
    <t>IRENE CASTILLO</t>
  </si>
  <si>
    <t>13-Ene 18,000.00--14-Ene 532.40</t>
  </si>
  <si>
    <t>10-Ene 3,500.00---12-Ene 38,000.00--13-Ene 4,741.32</t>
  </si>
  <si>
    <t xml:space="preserve">RUBEN </t>
  </si>
  <si>
    <t>10-Ene 1,800.00--12-Ene 5,556.50</t>
  </si>
  <si>
    <t>VICENTE ZAMBRANO</t>
  </si>
  <si>
    <t>10-Ene 12,500.00---11-Ene 25,364.00</t>
  </si>
  <si>
    <t>GONZALO</t>
  </si>
  <si>
    <t>SANTA ELENA</t>
  </si>
  <si>
    <t>EL GALLOTOTE</t>
  </si>
  <si>
    <t>10-Ene 3,900.00--14-Ene 276.00</t>
  </si>
  <si>
    <t>11-Ene 11,800.00---12-Ene 8,216.00</t>
  </si>
  <si>
    <t>24-Ene FACTURA  3651-A</t>
  </si>
  <si>
    <t>24-Ene FACTURA 3650-A</t>
  </si>
  <si>
    <t>31-Ene FACTURA 3652-A</t>
  </si>
  <si>
    <t>24-Ene FACTURA 3649-A</t>
  </si>
  <si>
    <t>CRISTOBAL ALCANTARA</t>
  </si>
  <si>
    <t>12-Ene 979.50--15-Ene 9,908.20</t>
  </si>
  <si>
    <t>CARNITAS SANTA FE</t>
  </si>
  <si>
    <t>12-Ene 18,600.00--14-Ene 3,300.0--15-Ene-15--$ 21,796.00</t>
  </si>
  <si>
    <t>13-Ene 66,697.15--14-Ene 276,048.65</t>
  </si>
  <si>
    <t>21 Ene FACTURA 3646-A</t>
  </si>
  <si>
    <t>ALEJANDRA CANO</t>
  </si>
  <si>
    <t xml:space="preserve">JORGE </t>
  </si>
  <si>
    <t>RAUL</t>
  </si>
  <si>
    <t>15-Ene 174.40--23-Ene 8,298.40</t>
  </si>
  <si>
    <t>EL PASTPRCOTO 1</t>
  </si>
  <si>
    <t>CELSO</t>
  </si>
  <si>
    <t>ALIIMENTOS SUPREMOS DE ORIENTE</t>
  </si>
  <si>
    <t>CHINOS CAPU</t>
  </si>
  <si>
    <t>14-Ene 80,000.00--18-Ene-15  $ 78,000.00--21-Ene 80,070.27</t>
  </si>
  <si>
    <t>15-Ene 11,281.60--20-Ene 6,000.00</t>
  </si>
  <si>
    <t>BENITO</t>
  </si>
  <si>
    <t>14-Ene 1,500.00--15-Ene 1,220.80</t>
  </si>
  <si>
    <t>15-Ene 5,000.00--16-Ene 3,500.00--17-Ene-15  $ 18,389.75</t>
  </si>
  <si>
    <t>ALEJANDRO FLORES</t>
  </si>
  <si>
    <t>ALEJANDRO RAMIREZ</t>
  </si>
  <si>
    <t>CARNES FRIAS DE CALIDAD</t>
  </si>
  <si>
    <t>GIOVANNI RIOS</t>
  </si>
  <si>
    <t>JUANA PORTILLO</t>
  </si>
  <si>
    <t>AGUSTIN</t>
  </si>
  <si>
    <t>PLAZA ATLIXCO CHINOS</t>
  </si>
  <si>
    <t>CANCELADA     PROLEDO</t>
  </si>
  <si>
    <t>CANCELADA PROLEDO</t>
  </si>
  <si>
    <t>15-Ene-15---13,000.00--17-Ene-15  $  1,545.70</t>
  </si>
  <si>
    <t>ALMA</t>
  </si>
  <si>
    <t>17-Ene 3,000.00--18-Ene-15  $ 8,391.60</t>
  </si>
  <si>
    <t>CRISTIAN GRACIELA</t>
  </si>
  <si>
    <t>ISAAC ACOSTA RIVERA</t>
  </si>
  <si>
    <t>15-Ene 17,500.00--16-Ene 11,044.00</t>
  </si>
  <si>
    <t>21-Ene 9,920.00--23-Ene $ 45,595.56</t>
  </si>
  <si>
    <t>GERARDO</t>
  </si>
  <si>
    <t>21-Ene FACTURA 3673-A</t>
  </si>
  <si>
    <t>SAN JOSE VERACRUZ</t>
  </si>
  <si>
    <t>PEDRO CERVANTES</t>
  </si>
  <si>
    <t>16-Ene 195.00--18-Ene-15  $ 38,922.00</t>
  </si>
  <si>
    <t xml:space="preserve">BENITO </t>
  </si>
  <si>
    <t>CONSUELO PADILLA</t>
  </si>
  <si>
    <t>21-Ene 61,395.10--28-Ene 20,481.31</t>
  </si>
  <si>
    <t>31-Ene FACTURA  3674-A</t>
  </si>
  <si>
    <t>24-Ene FACTURA 3676-A</t>
  </si>
  <si>
    <t>24-Ene FACTURA  3677-A</t>
  </si>
  <si>
    <t>31-Ene FACTURA   3675-A</t>
  </si>
  <si>
    <t>16-Ene-15  5,450.00--17-Ene-15  $ 1,620.00</t>
  </si>
  <si>
    <t>ANTONIO NAJERA</t>
  </si>
  <si>
    <t>LUIS LOPEZ</t>
  </si>
  <si>
    <t>16-Ene-15  $ 950.00---17-Ene-15--$ 289.70</t>
  </si>
  <si>
    <t>EL RINCON DE LOS ANGELES</t>
  </si>
  <si>
    <t>16-Ene-15  $ 22,500.00--17-Ene-15  $ 17,700.00</t>
  </si>
  <si>
    <t>JOVANY CUAUTEPOTZO</t>
  </si>
  <si>
    <t>MERCEDES ROMERO</t>
  </si>
  <si>
    <t>NU3</t>
  </si>
  <si>
    <t>FERNANDO RAMIREZ</t>
  </si>
  <si>
    <t>22-Ene 7,800.00--23-Ene 13,304.80</t>
  </si>
  <si>
    <t>ISMAEL CANDIA VAZQUEZ</t>
  </si>
  <si>
    <t>26-Ene 18,000.00---28-Ene 7,198.20</t>
  </si>
  <si>
    <t>17-Ene 13,800.00--18-Ene-15  $ 6,368.00</t>
  </si>
  <si>
    <t>18-Ene 5,000.00--20-Ene 22,425.30</t>
  </si>
  <si>
    <t>18-Ene 5,000.00---19-Ene-4,302.40</t>
  </si>
  <si>
    <t>JOSE CORDERO</t>
  </si>
  <si>
    <t>18-Ene 5,200.00--18-Ene 2,726.80</t>
  </si>
  <si>
    <t>LEOANDRO FLORES</t>
  </si>
  <si>
    <t>24-Ene 9,000.00--29-Ene 7,909.00</t>
  </si>
  <si>
    <t>18-Ene 25,000.00---19-Ene 15,844.20</t>
  </si>
  <si>
    <t>MARIO  MASTRANZO</t>
  </si>
  <si>
    <t>21-Ene 15,801.40---28-Ene 31,568.80</t>
  </si>
  <si>
    <t>23-Ene 10,000.00---24-Ene 2,062.00</t>
  </si>
  <si>
    <t>ALAN</t>
  </si>
  <si>
    <t>20-Ene 10,706.00--22-Ene 4,000.00</t>
  </si>
  <si>
    <t>31-Ene FACTURA 3700-A</t>
  </si>
  <si>
    <t>31-Ene FACTURA 3701-A</t>
  </si>
  <si>
    <t>31-Ene FACTURA 3699-A</t>
  </si>
  <si>
    <t>MARISOL MORALES</t>
  </si>
  <si>
    <t>19-Ene 21,000.00---20-Ene 4,903.80</t>
  </si>
  <si>
    <t>CHINOS CRISTAL</t>
  </si>
  <si>
    <t>PATRICIA SANCHEZ</t>
  </si>
  <si>
    <t>EL PASTORCITO</t>
  </si>
  <si>
    <t>RUBEN OLIVARES</t>
  </si>
  <si>
    <t>23-Ene 8,621.00--28-Ene 68,301.08</t>
  </si>
  <si>
    <t>24-Ene FACTURA 3705-A</t>
  </si>
  <si>
    <t>21-Ene  S/F ????</t>
  </si>
  <si>
    <t>19-Ene 11,000.00---21-Ene 6,111.40</t>
  </si>
  <si>
    <t>FELIX  VERACRUZ</t>
  </si>
  <si>
    <t>MARCO ANTONIO</t>
  </si>
  <si>
    <t>FRANCISCO MACHORRO</t>
  </si>
  <si>
    <t xml:space="preserve">ROGELIO </t>
  </si>
  <si>
    <t>20-Ene 21,000.00--22-Ene 19,278.40</t>
  </si>
  <si>
    <t>23-Ene 35,000.00--25-Ene 76,951.00</t>
  </si>
  <si>
    <t>CANCELADA  PROLEDO</t>
  </si>
  <si>
    <t>21-,.enero</t>
  </si>
  <si>
    <t>LA IMPERIAL</t>
  </si>
  <si>
    <t>27-Ene 56,000.00--29-Ene 6,203.30</t>
  </si>
  <si>
    <t>24-Ene 16,000.00--27-Ene 96,732.21</t>
  </si>
  <si>
    <t>GABRIELL TUXPAN</t>
  </si>
  <si>
    <t>PROSUBCA</t>
  </si>
  <si>
    <t>ADRIAN</t>
  </si>
  <si>
    <t>23-Ene 3,000.00--26-Ene 16,348.80</t>
  </si>
  <si>
    <t>RAYMUNDO PEREZ</t>
  </si>
  <si>
    <t>22-Ene 12.800.00--23-Ene 27,650.60</t>
  </si>
  <si>
    <t>IGNACIO MEDEL</t>
  </si>
  <si>
    <t>BERNARDO JIMENEZ MTZ</t>
  </si>
  <si>
    <t>24-Ene FACTURA  3834-A--28-Ene 25,629.56</t>
  </si>
  <si>
    <t>24-Ene 23,040.00--31-Ene 1,400.20</t>
  </si>
  <si>
    <t>DANIEL</t>
  </si>
  <si>
    <t>HECTOR VERACRUZ</t>
  </si>
  <si>
    <t>LUIS PORFIRIO MARTINEZ</t>
  </si>
  <si>
    <t>RUBEN CHISING</t>
  </si>
  <si>
    <t>28-Ene 14,270.66--31-Ene 47,014.03</t>
  </si>
  <si>
    <t>31-Ene FACTURA  3934-A</t>
  </si>
  <si>
    <t>29-Ene 10,224.00---31-Ene 11028.40</t>
  </si>
  <si>
    <t>ANGEL ALFONSO</t>
  </si>
  <si>
    <t>VICTOR HUGO VANZINI</t>
  </si>
  <si>
    <t>23-Ene 19,336.00--24-Ene 3,072.40</t>
  </si>
  <si>
    <t>23-Ene 2,980.00--24-Ene--879.80</t>
  </si>
  <si>
    <t>FERNANDO ANALCO</t>
  </si>
  <si>
    <t>MICHOACANA ( ELIAS )</t>
  </si>
  <si>
    <t>24-Ene 1,500.00--26-Ene 1,591.00</t>
  </si>
  <si>
    <t>MIGUEL XOCHIUATL</t>
  </si>
  <si>
    <t>24-Ene 5,292.90--26-Ene 4,000.00</t>
  </si>
  <si>
    <t>JAVIER ROSAS CHIPOTLE</t>
  </si>
  <si>
    <t>24-Ene 16,400.00--25-Ene $ 4,862.60</t>
  </si>
  <si>
    <t>LA FORTUNA ( infonavit )</t>
  </si>
  <si>
    <t xml:space="preserve">LEONARDO  </t>
  </si>
  <si>
    <t>GUMARO MARQUEZ</t>
  </si>
  <si>
    <t>RODRIGO LEYVA SALAS</t>
  </si>
  <si>
    <t>MELITON CUAUHTENCOS</t>
  </si>
  <si>
    <t>24-Ene 16,000.00--27-Ene 18,850.00</t>
  </si>
  <si>
    <t>26-Ene 10,000.00--27-Ene 611.60</t>
  </si>
  <si>
    <t>BENITO ALFONSO</t>
  </si>
  <si>
    <t>FEERNANDO ROMERO</t>
  </si>
  <si>
    <t>PRODUCTOS PARA AVES Y ANIMALES SA DE CV</t>
  </si>
  <si>
    <t>31-Ene FACTURA   38884-A</t>
  </si>
  <si>
    <t>26-Ene 27,000.00---28-Ene 65,700.00--29-Ene 38,600.00--30-Ene 14,051.20</t>
  </si>
  <si>
    <t>NEMESIO VERACRUZ</t>
  </si>
  <si>
    <t>29-Ene 13,000.00--31-Ene  41,534.00</t>
  </si>
  <si>
    <t>28-Ene 14,546.00---30-Ene --22,644.90</t>
  </si>
  <si>
    <t>JSOE CORDERO</t>
  </si>
  <si>
    <t>EERASMO</t>
  </si>
  <si>
    <t>MARCO ANTONIO GONZALEZ</t>
  </si>
  <si>
    <t xml:space="preserve">EMILIO CUAUTLE </t>
  </si>
  <si>
    <t>27-Ene 2,900.00--28-Ene 20,300.00--30-Ene 17,726.20</t>
  </si>
  <si>
    <t>28-Ene 7,000.00--29-Ene 4,973.20</t>
  </si>
  <si>
    <t>30-Ene 5,648.90---31-Ene 11,010.50</t>
  </si>
  <si>
    <t>PASTORCITO II</t>
  </si>
  <si>
    <t>29-Ene AIMET</t>
  </si>
  <si>
    <t>GUSTAVO HERNANDEZ</t>
  </si>
  <si>
    <t>JULIO LOPEZ</t>
  </si>
  <si>
    <t xml:space="preserve">MARCO ANTONIO  </t>
  </si>
  <si>
    <t>ARMANDO ESCUDERO</t>
  </si>
  <si>
    <t>SILVANO</t>
  </si>
  <si>
    <t>30-Ene 3,288.20--31-Ene 1,500.00</t>
  </si>
  <si>
    <t>29-Ene 3,400.00--30-Ene 2,792.00</t>
  </si>
  <si>
    <t>31-Ene FACTURA 3941-A</t>
  </si>
  <si>
    <t>ALEJANDRO HERANDEZ ( ver )</t>
  </si>
  <si>
    <t>SARA VERACRUZ</t>
  </si>
  <si>
    <t>DARIO CARDEL</t>
  </si>
  <si>
    <t>CRISTIAN--GRACIELA</t>
  </si>
  <si>
    <t xml:space="preserve">MIGUEL  </t>
  </si>
  <si>
    <t>LINO FELIPE</t>
  </si>
  <si>
    <t>30-Ene 2,000.00--31-Ene 172.00</t>
  </si>
  <si>
    <t>30-Ene 7,000.00--31-Ene 35,587.80</t>
  </si>
  <si>
    <t>LEANDRO FLORES</t>
  </si>
  <si>
    <t>Rem 764-D2  se cambio 31-Ene</t>
  </si>
  <si>
    <t>,764 D2</t>
  </si>
  <si>
    <t>se cambio por 10656</t>
  </si>
  <si>
    <t>OSCSAR ZOQUIAPAN</t>
  </si>
  <si>
    <t>CARLOS MASTRANZO</t>
  </si>
  <si>
    <t>JACOBO MEJIA</t>
  </si>
  <si>
    <t>LEONARDO SANCHEZ</t>
  </si>
  <si>
    <t>X</t>
  </si>
  <si>
    <t>Importe Vendido</t>
  </si>
  <si>
    <t>Importe Cobrado</t>
  </si>
  <si>
    <t>TOTAL A COBRAR</t>
  </si>
  <si>
    <t>30-Ene 17,000.00---01-Feb 4,043.60</t>
  </si>
  <si>
    <t>30-Ene 2,000.00--31-Ene 20,500.00---01-Feb 7,703.00</t>
  </si>
  <si>
    <t>18-Ene 148.20--02-Feb-39,000.00</t>
  </si>
  <si>
    <t>24-Ene 3,265.00--31-Ene 128,000.00--02-Feb $ 68,939.95</t>
  </si>
  <si>
    <t>30-Ene 23,000.00--02-Feb 4,531.50</t>
  </si>
  <si>
    <t>21-Ene 44,406.19---03-Feb  $ 18,780.17</t>
  </si>
  <si>
    <t>31-Ene 21,950.00--03-Feb 38,559.27</t>
  </si>
  <si>
    <t>31-Ene 66,266.07--03-Feb 25,928.67</t>
  </si>
  <si>
    <t>03-Feb 1,238.40--06-Feb 6,961.360</t>
  </si>
  <si>
    <t>07-Feb FACTURA 3698-A</t>
  </si>
  <si>
    <t>07-Feb FACTURA 3790-A</t>
  </si>
  <si>
    <t>07-Feb FACTURA 3822-A</t>
  </si>
  <si>
    <t>07-Feb FACTURA 3931-A</t>
  </si>
  <si>
    <t>07-Feb  FACTURA 3933-A</t>
  </si>
  <si>
    <t>07-Feb FACTURA 3932-A</t>
  </si>
  <si>
    <t>07-Feb FACTURA 3878-A</t>
  </si>
  <si>
    <t>07-Feb   FACTURA 3880-A</t>
  </si>
  <si>
    <t>07-Feb FACTURA 3877-A</t>
  </si>
  <si>
    <t>07-Feb FACTURA 3881-A</t>
  </si>
  <si>
    <t>07-Feb FACTURA  3942-A</t>
  </si>
  <si>
    <t>31-Ene 3,931.20--07-Feb 18,123.60</t>
  </si>
  <si>
    <t>07-Feb FACTURA 3958-A</t>
  </si>
  <si>
    <t>21-Ene FACTURA   3670-A</t>
  </si>
  <si>
    <t>22-Ene FACTURA 3760-A</t>
  </si>
  <si>
    <t>10-Feb 9,000.00--10-Feb 7,591.60</t>
  </si>
  <si>
    <t>14-Feb FACTURA 3879-A</t>
  </si>
  <si>
    <t>14-Feb FACTURA 3913-A</t>
  </si>
  <si>
    <t>14-Feb FACTURA 4047-A</t>
  </si>
  <si>
    <t>14-Feb FACTURA 3955-A</t>
  </si>
  <si>
    <t>14-Feb FACTURA 3957-A</t>
  </si>
  <si>
    <t>14-Feb FACTURA 3956-A</t>
  </si>
  <si>
    <t>28-Ene 18,.431.20--04-Feb 15,000.00--11-Feb 13184.00--</t>
  </si>
  <si>
    <t>04-Feb 518.42--10-Feb 4,002.38</t>
  </si>
  <si>
    <t>31-Ene 225,000.00--04-Feb 9,050.00</t>
  </si>
  <si>
    <t>01-Feb 4,500.00--02-Feb 17,000.00--03-Feb--6,027.28+.10</t>
  </si>
  <si>
    <t>31-Ene 35,739.00--04-Feb 39,799.94</t>
  </si>
  <si>
    <t>04-Feb 263.72--16-Feb 232.18</t>
  </si>
  <si>
    <t>03-Feb 19,020.00--04-Feb 43,928.86</t>
  </si>
  <si>
    <t>04-Feb 141,470.15--13-Feb 15,081.65</t>
  </si>
  <si>
    <t>04-Feb 89,205.94--13-Feb 7,144.90</t>
  </si>
  <si>
    <t>28-Feb FACTURA  3930-A</t>
  </si>
  <si>
    <t>20-Feb 21,075.80--05-Feb 20,000.00</t>
  </si>
  <si>
    <t>CANCELADA      LA ORGINAL</t>
  </si>
  <si>
    <t>31-Ene 11,000.00--05-Feb 8,064.60</t>
  </si>
  <si>
    <t>04-Feb 8,387.00--05-Feb  10,000.00  06-Feb 13,000.00--09-Feb 12,197.00</t>
  </si>
  <si>
    <t>REMISIONES DE       FEBRERO          2 0 1 5</t>
  </si>
  <si>
    <t>MICHOACAN (ELIAS)</t>
  </si>
  <si>
    <t>JOSE CONSTRANCIA AKE</t>
  </si>
  <si>
    <t>03-Feb 13,700.00--04-Feb 1,512.30</t>
  </si>
  <si>
    <t>01-Feb 27,200.00--02-Feb 12,736.00</t>
  </si>
  <si>
    <t>LEONARDO ALVARADO</t>
  </si>
  <si>
    <t>ANTOJITGOS SN MIGUEL</t>
  </si>
  <si>
    <t>ANDRES SANCHEZ</t>
  </si>
  <si>
    <t>11-Feb -15,816.00--12-Feb --16,578.00</t>
  </si>
  <si>
    <t>14-Feb FACTURA 4040-A</t>
  </si>
  <si>
    <t>14-Feb FACTURA  4042-A</t>
  </si>
  <si>
    <t>21-Feb FACTURA 4024-A</t>
  </si>
  <si>
    <t>14-Feb FACTURA 4041-A</t>
  </si>
  <si>
    <t>05-Feb-10,005.00--06-Feb 3,500.00--07-Feb 4,322.80</t>
  </si>
  <si>
    <t>02-Feb 14,400.00--03-Feb 27,746.60</t>
  </si>
  <si>
    <t>ELVIRA</t>
  </si>
  <si>
    <t>02-Feb 10,400.00---03-Feb 5,158.40</t>
  </si>
  <si>
    <t>07-Feb FACTURA 4035-A</t>
  </si>
  <si>
    <t>ALEJANDRO HERNANDEZ ( VER )</t>
  </si>
  <si>
    <t>07-Feb FACTURA 4083-A</t>
  </si>
  <si>
    <t>ALEJANDRA LOPEZ</t>
  </si>
  <si>
    <t>GRUPO GANADERO GURA SP DE RL</t>
  </si>
  <si>
    <t>03-Feb 24,971.93--20-Feb 3,949.07</t>
  </si>
  <si>
    <t>03-Feb 11,993.00--05-Feb 2,970.80</t>
  </si>
  <si>
    <t>FIDEL CHOLULA</t>
  </si>
  <si>
    <t>SAGRADO CORAZON ZAVALETAS</t>
  </si>
  <si>
    <t>11-Feb 1,192.50--15-Feb 4,101.00--17-Feb 4,877.10</t>
  </si>
  <si>
    <t>03-Feb 3,118.50--12-Feb 15,894.00</t>
  </si>
  <si>
    <t>04-Feb 2,700.00--07-Feb 593.00</t>
  </si>
  <si>
    <t>JESUS POTRERO</t>
  </si>
  <si>
    <t xml:space="preserve">PROSUBCA SA DE CV </t>
  </si>
  <si>
    <t>07-Feb FACTURA 4037-A</t>
  </si>
  <si>
    <t>14-Feb FACTURA 4153-A</t>
  </si>
  <si>
    <t>11-Feb 1,900.00--12-Feb 20,500.00--14-Feb 3,719.50</t>
  </si>
  <si>
    <t>11-Feb 1,006.00--26-Feb 38,228.00</t>
  </si>
  <si>
    <t>06-feb-10,000.00--13-Feb 6,960.50</t>
  </si>
  <si>
    <t>ALEJANDRO HERNANDEZ PEREZ</t>
  </si>
  <si>
    <t>CRISTIAN---GRACIELA</t>
  </si>
  <si>
    <t>07-Feb 5,000.00--11-Feb 448.30</t>
  </si>
  <si>
    <t>Ma. DEL ROSARIO ( CARDEL )</t>
  </si>
  <si>
    <t>PAU PAU</t>
  </si>
  <si>
    <t>07-Feb FACTURA ????</t>
  </si>
  <si>
    <t>16-Feb 2,206.60--27-Feb 4,446.20</t>
  </si>
  <si>
    <t>06-Feb 2,517.80--07-Feb 6442.90</t>
  </si>
  <si>
    <t>HERRANO</t>
  </si>
  <si>
    <t>VICTOR GARCIA</t>
  </si>
  <si>
    <t>21-Feb FACTURA 4074-A</t>
  </si>
  <si>
    <t>14-Feb FACTURA  4152-A</t>
  </si>
  <si>
    <t>14-Feb FACTURA  4076-A</t>
  </si>
  <si>
    <t>21-Feb FACTURA  4075-A</t>
  </si>
  <si>
    <t>21-Feb 64,000.00--22-Feb 2,750.00+120,250.00</t>
  </si>
  <si>
    <t>JAVANY CUAUTEPOTZO</t>
  </si>
  <si>
    <t>06-Feb 35,400.00--09-Feb 10,280.20</t>
  </si>
  <si>
    <t>FELIX SANCHEZ</t>
  </si>
  <si>
    <t>13-Feb 29,750.00--16-Feb 18,299.65</t>
  </si>
  <si>
    <t>IVAN</t>
  </si>
  <si>
    <t>SERGIO JUQUILITA</t>
  </si>
  <si>
    <t>JOSE HERNANDEZ</t>
  </si>
  <si>
    <t xml:space="preserve"> CANCELADA     ALFONSO RUIZ</t>
  </si>
  <si>
    <t xml:space="preserve">pork la pierna se kedo en obrador adriana 17-Feb </t>
  </si>
  <si>
    <t>20-Feb 4,264.99--28-Feb 194,182.54</t>
  </si>
  <si>
    <t>07-Feb 25,000.00--14-Feb 16,781.10</t>
  </si>
  <si>
    <t>PABLO BAUSTISTA</t>
  </si>
  <si>
    <t>PEDRO TIRO</t>
  </si>
  <si>
    <t>17-Feb 9,318.60--20-Feb 15,000.00-25-Feb 10,574.54</t>
  </si>
  <si>
    <t>07-Feb 8,200.00--08-Feb 29,621.40</t>
  </si>
  <si>
    <t>LIC. GABRIEL</t>
  </si>
  <si>
    <t>JUAN CARLOS PAREDES</t>
  </si>
  <si>
    <t>LEONARDO</t>
  </si>
  <si>
    <t>16-Feb 500.00--25-Feb 4,662.90</t>
  </si>
  <si>
    <t>JOSE LUIS PEREZ VALDEZ</t>
  </si>
  <si>
    <t xml:space="preserve">SANTOS </t>
  </si>
  <si>
    <t>09-Feb 28,400.00--10-Feb 10,454.40</t>
  </si>
  <si>
    <t>08-Feb 1,000.00--12-Feb 210.00</t>
  </si>
  <si>
    <t>FERNANDO TREJO</t>
  </si>
  <si>
    <t>14-Feb 7,000.00--17-Feb 22,000.00--20-Feb 12,243.90</t>
  </si>
  <si>
    <t>21-Feb FACTURA  4099-A</t>
  </si>
  <si>
    <t>09-Feb 15,844.00--17-Feb 31,591.10</t>
  </si>
  <si>
    <t>10-Feb 16,000.00--11-Feb 2,.951.40</t>
  </si>
  <si>
    <t>21-Feb FACTURA  4100-A</t>
  </si>
  <si>
    <t>21-Feb FACTURA  4101-A</t>
  </si>
  <si>
    <t>CARNICERIA REY</t>
  </si>
  <si>
    <t>JOSE LOZADA</t>
  </si>
  <si>
    <t>SRA SARA VERACRUZ</t>
  </si>
  <si>
    <t>11-Feb 10,000.00--14-Feb 21,028.55</t>
  </si>
  <si>
    <t>13-Feb 10,863.18--16-Feb 18567.62--27-Feb 1,000.00</t>
  </si>
  <si>
    <t>12-Feb 18,422.00--17-Feb 20,681.40</t>
  </si>
  <si>
    <t>EDGAR ZARATE</t>
  </si>
  <si>
    <t>10-Feb 1,500.00--11-Feb 1,165.60</t>
  </si>
  <si>
    <t>10-Feb 30,000.00--11-Feb 16,500.00--13-Feb 38,000.00--14-Feb 2,942.52</t>
  </si>
  <si>
    <t>EMILIO LOPEZ</t>
  </si>
  <si>
    <t>17-Feb 100,000.00--24-Feb 55,441.00</t>
  </si>
  <si>
    <t>SAGRADO CRUCES</t>
  </si>
  <si>
    <t>11-Feb 8.000.00--12-Feb 168.50</t>
  </si>
  <si>
    <t>11-Feb 10,000.00--12-Feb 10,076.15</t>
  </si>
  <si>
    <t>ERICK CANO</t>
  </si>
  <si>
    <t>14-Feb FACTURA  4162-A</t>
  </si>
  <si>
    <t>PABLO RAMIREZ</t>
  </si>
  <si>
    <t>LEOANARDO</t>
  </si>
  <si>
    <t>22-Feb 1,500.00--25-Feb 8,394.50</t>
  </si>
  <si>
    <t>ISIDORO COYOLT</t>
  </si>
  <si>
    <t>MARCO ATONIO</t>
  </si>
  <si>
    <t>12-Feb 1,933.00--13-Feb 3,711.20</t>
  </si>
  <si>
    <t>21-FEB 2,000.00-22-feb 7,648.00</t>
  </si>
  <si>
    <t>16-Feb 28,026.99--27-Feb 56,487.14</t>
  </si>
  <si>
    <t>14-Feb 6,000.00---18-Feb 899.85</t>
  </si>
  <si>
    <t>14-Feb 9,349.00--18-Feb 16,098.20</t>
  </si>
  <si>
    <t xml:space="preserve">GERARDO </t>
  </si>
  <si>
    <t>18-Feb FACTURA 4216-A</t>
  </si>
  <si>
    <t>21-Feb FACTURA 4230-A</t>
  </si>
  <si>
    <t>GERARDO FIGUEROA</t>
  </si>
  <si>
    <t>21-Feb FACTURA  4232-A</t>
  </si>
  <si>
    <t>20-Feb 1,092.50--27-Feb 11,702.70</t>
  </si>
  <si>
    <t>JUAN DE LOS SANTOS</t>
  </si>
  <si>
    <t>15-Feb 31.500.00--16-Feb 6,310.80</t>
  </si>
  <si>
    <t>16-Feb, 12,450.00--25-Feb 65,966.35</t>
  </si>
  <si>
    <t>13-Feb 9,800.00--14-Feb 2,588.20</t>
  </si>
  <si>
    <t>ANTONIO ALVAREZ</t>
  </si>
  <si>
    <t>14-Feb 30,000.00--20--Feb 1,335.10</t>
  </si>
  <si>
    <t>CHINOS TLACALA</t>
  </si>
  <si>
    <t>VALENTINA ARCE</t>
  </si>
  <si>
    <t>14-Feb 7,000.00--20-Feb 6,965.60</t>
  </si>
  <si>
    <t>14-Feb 30,000.00--17-Feb 17,200.00--18-Feb 13,500.00--19-Feb 27,000.00--25-Feb 3,969.20</t>
  </si>
  <si>
    <t>15-Feb 12,000.00--16-Feb 11,768.55</t>
  </si>
  <si>
    <t>ALICIA ( HERRADURA )</t>
  </si>
  <si>
    <t>27-Feb 27,443.42--218-Feb 931.38</t>
  </si>
  <si>
    <t>28-Feb FACTURA 4244-A</t>
  </si>
  <si>
    <t>28 Feb FACTURA 4242-A</t>
  </si>
  <si>
    <t>28-Feb FACTURA  4245-A</t>
  </si>
  <si>
    <t>28-Feb FACTURA  4243-A</t>
  </si>
  <si>
    <t>SAGRADO 3 CRUCES</t>
  </si>
  <si>
    <t>18-Feb 29,680.00--19-Feb 7,971.20</t>
  </si>
  <si>
    <t>MINERVA PEREZ</t>
  </si>
  <si>
    <t>CHINOS VALVERDE</t>
  </si>
  <si>
    <t>MANUEL GOMEZ</t>
  </si>
  <si>
    <t xml:space="preserve">JESUS PACHECO </t>
  </si>
  <si>
    <t>17-Feb 9,769.50--23-Feb 88,657.50</t>
  </si>
  <si>
    <t>18-Feb FACTURA  4266-A</t>
  </si>
  <si>
    <t>28-Feb FACTURA 4272-A</t>
  </si>
  <si>
    <t>18-Feb 3,297.60--25-Feb 37,618.35</t>
  </si>
  <si>
    <t>JOEL ZALASAR</t>
  </si>
  <si>
    <t>REFUGIO CARRILLO</t>
  </si>
  <si>
    <t>18-Feb 2,072.00--20-Feb 1,400.00</t>
  </si>
  <si>
    <t>LOLITA</t>
  </si>
  <si>
    <t>25-Feb FACTURA 4292</t>
  </si>
  <si>
    <t>GUILLERMO BAUTISTA</t>
  </si>
  <si>
    <t>19-Feb 29,000.00--20-Feb 1629.85</t>
  </si>
  <si>
    <t>RODOLFO LINARES JG</t>
  </si>
  <si>
    <t xml:space="preserve">RODOLFO LINALES </t>
  </si>
  <si>
    <t xml:space="preserve">RODOLFO LINARES  </t>
  </si>
  <si>
    <t>CHINOS OCOTLAN</t>
  </si>
  <si>
    <t>ISIDRO COYOTL</t>
  </si>
  <si>
    <t>CARNICERIA ANGELICA</t>
  </si>
  <si>
    <t>19-Feb 443.65--20-Feb 6,944.35</t>
  </si>
  <si>
    <t>25-Feb 3,967.94--28-Feb 7,305.06</t>
  </si>
  <si>
    <t>ECONOMICA</t>
  </si>
  <si>
    <t>19-Feb 12,800.00--21-Feb 26,975.80</t>
  </si>
  <si>
    <t>PABLO</t>
  </si>
  <si>
    <t>21-Feb 10,530.00-25-Feb 19,296.00</t>
  </si>
  <si>
    <t>JUANITA</t>
  </si>
  <si>
    <t>ANGELES</t>
  </si>
  <si>
    <t>CANCELADA     CARNICERIA SANTA ANA</t>
  </si>
  <si>
    <t>CARNICERIA SANTA ANA</t>
  </si>
  <si>
    <t>ALIMENTOS SUPREMOS DE ORIENTE SA DE CV</t>
  </si>
  <si>
    <t>SERGIO VAZQUEZ</t>
  </si>
  <si>
    <t>ANGEL FLORES</t>
  </si>
  <si>
    <t>21-Feb 11,072.50--22-Feb 2,999.90</t>
  </si>
  <si>
    <t>TAQUERIA SANTA ANA</t>
  </si>
  <si>
    <t>21-Feb 1,1752.50--25-Feb 33,827.50</t>
  </si>
  <si>
    <t>25-Feb 1,500.00--26-Feb 17,389.60</t>
  </si>
  <si>
    <t>21-Feb 6,452.00--24-Feb 2,000.40</t>
  </si>
  <si>
    <t>PÓMPO</t>
  </si>
  <si>
    <t>CANCELADA   ELSA MUÑOZ</t>
  </si>
  <si>
    <t>SUSTITUIDA POR 1350</t>
  </si>
  <si>
    <t>21-Feb 3,600.00--22-Feb 2,495.20</t>
  </si>
  <si>
    <t>ALICIA MASTRANZO</t>
  </si>
  <si>
    <t>D</t>
  </si>
  <si>
    <t>MARCOS SANCHEZ</t>
  </si>
  <si>
    <t>27-Feb 22,500.00--28-Feb 16,667.65</t>
  </si>
  <si>
    <t>22-Feb 10,000.00--26-Feb 27,162.80</t>
  </si>
  <si>
    <t xml:space="preserve">ANGELES </t>
  </si>
  <si>
    <t>27-Feb 2,107.40--24-Feb 2,792.60</t>
  </si>
  <si>
    <t>RAUL GUTIERREZ</t>
  </si>
  <si>
    <t xml:space="preserve">ARTURO </t>
  </si>
  <si>
    <t xml:space="preserve">CORTES FINOS LA MORENA </t>
  </si>
  <si>
    <t>23-Feb 7,000.00--25-Feb 2,804.00</t>
  </si>
  <si>
    <t>SR. CORONA</t>
  </si>
  <si>
    <t>24-Feb 10,000.00--25-Feb 3,251.20</t>
  </si>
  <si>
    <t>OSCAR</t>
  </si>
  <si>
    <t xml:space="preserve">RUBEN  </t>
  </si>
  <si>
    <t>LEAONARDO ALVARADO</t>
  </si>
  <si>
    <t>PABLO BAUTITA</t>
  </si>
  <si>
    <t>26-Feb 17,524.00--28-Feb 5,000.00</t>
  </si>
  <si>
    <t>26-Feb 2,576.60--28-Feb 500.00</t>
  </si>
  <si>
    <t>ANGELES FLORES</t>
  </si>
  <si>
    <t>ISIDORO COYOTL</t>
  </si>
  <si>
    <t>MARINE ZACATELCO|</t>
  </si>
  <si>
    <t>26-Feb 5,000.00--27-Feb 2,988.40</t>
  </si>
  <si>
    <t>ALFONSO CEBALLOS</t>
  </si>
  <si>
    <t>GERARDO VERACRUZ</t>
  </si>
  <si>
    <t>ANGEL CORDOBA</t>
  </si>
  <si>
    <t>SUSTITUIDA 13346</t>
  </si>
  <si>
    <t>RODOLFO</t>
  </si>
  <si>
    <t>CENON GONZALEZ</t>
  </si>
  <si>
    <t>ALFREDO ALDUCIN</t>
  </si>
  <si>
    <t>26-Feb 8,307.20--02-Mar 3,557.00</t>
  </si>
  <si>
    <t>27-Feb 18,450.00--02-Mar 6,919.10</t>
  </si>
  <si>
    <t>28-Feb--507.20--01-Mar 400.00</t>
  </si>
  <si>
    <t>10-Feb 350.00--16-Feb 350.00--01-Mar 350.00--03-MaR 350.00</t>
  </si>
  <si>
    <t>04-Mar FACTURA 4036</t>
  </si>
  <si>
    <t>04-Mar FACTURA</t>
  </si>
  <si>
    <t>28-Feb 3,600.00--04-Mar 1,017.00</t>
  </si>
  <si>
    <t>27-Feb 744.00---06-Mar 11,023.20</t>
  </si>
  <si>
    <t>25-Feb 9,425.46---05-Mar 20,000.00--07-Mar 14,955.34</t>
  </si>
  <si>
    <t>07-Mar FACTURA 4304-A</t>
  </si>
  <si>
    <t>07-Mar FACTURA  46305 A</t>
  </si>
  <si>
    <t>04-Mar 12,000.00--07-Mar 19,449.60</t>
  </si>
  <si>
    <t>07-Mar FACTURA 4359-A</t>
  </si>
  <si>
    <t>07-Mar FACTURA 4358-A</t>
  </si>
  <si>
    <t>07-Mar FACTURA  4360-A</t>
  </si>
  <si>
    <t>07-Mar FACTURA 4361-A</t>
  </si>
  <si>
    <t>07-Mar FACTURA 4627-A</t>
  </si>
  <si>
    <t>07-Mar FACTURA  4461-A</t>
  </si>
  <si>
    <t>07-Mar FACTURA  4467-A</t>
  </si>
  <si>
    <t>07-Mar FACTURA 4466-A</t>
  </si>
  <si>
    <t>06-Mar 7,000.00--08-Mar 18,727.50</t>
  </si>
  <si>
    <t>28-Feb 49,133.58--11-Mar $ 118,123.38</t>
  </si>
  <si>
    <t>27-Feb 57,158.28---11-Mar 23,382.15</t>
  </si>
  <si>
    <t>27-Feb 11,777.80--12-Mar 158,663.57</t>
  </si>
  <si>
    <t>14-Mar FACTURA 4654-A</t>
  </si>
  <si>
    <t>28-Feb 7,849.92---14-Mar   36,783.17</t>
  </si>
  <si>
    <t>14-Mar FACTURA  4468-A</t>
  </si>
  <si>
    <t>18-Mar FACTURA  4382-A</t>
  </si>
  <si>
    <t>07-Mar 15,044.66--10-Mar 20,000.00--19-Mar  3,707.74</t>
  </si>
  <si>
    <t xml:space="preserve">11-Mar 37,696.44---18-Mar 7,198.04--24-Mar </t>
  </si>
  <si>
    <t xml:space="preserve">26-Mar FACTURA </t>
  </si>
  <si>
    <t xml:space="preserve">24-Mar---30-Mar </t>
  </si>
  <si>
    <t>REMISIONES DE       M A R Z O           2 0 1 5</t>
  </si>
  <si>
    <t>CESAR</t>
  </si>
  <si>
    <t>JOSE DANIEL</t>
  </si>
  <si>
    <t>07-May 5,000.00----12-Mar 8,000.00---13-Mar 3,783.40</t>
  </si>
  <si>
    <t>01-Mar 8,027.60--03-Mar 283.00</t>
  </si>
  <si>
    <t>CRISTOBAL NIETO</t>
  </si>
  <si>
    <t xml:space="preserve"> BENITO GARCIA</t>
  </si>
  <si>
    <t>LA SELECTRA</t>
  </si>
  <si>
    <t>15-Mar 5,000.00--18-Mar 7,535.50</t>
  </si>
  <si>
    <t>02-Mar 500.00--04-Mar 837.50</t>
  </si>
  <si>
    <t>02-Mar   1,500.00--03-Mar 5,285.70</t>
  </si>
  <si>
    <t>02-Mar 1,400.00---04-Mar 4,154.20</t>
  </si>
  <si>
    <t xml:space="preserve">04-Mar FACTURA </t>
  </si>
  <si>
    <t>03-Mar FACTURA 4628-A</t>
  </si>
  <si>
    <t>06-Mar FACTURA 4727-A</t>
  </si>
  <si>
    <t>GRUP0 GANADERO GURA SPR DE RL</t>
  </si>
  <si>
    <t>SR, CORONA</t>
  </si>
  <si>
    <t>06-Mar FACTURA 4618-A</t>
  </si>
  <si>
    <t>ACUARIO</t>
  </si>
  <si>
    <t>OMAR CASTILLO</t>
  </si>
  <si>
    <t>LUIS HERRERIAS</t>
  </si>
  <si>
    <t>14-Mar FACTURA  4681-A</t>
  </si>
  <si>
    <t>CATALINA</t>
  </si>
  <si>
    <t>04-Mar 1,596.80--06-Mar 1,151.80</t>
  </si>
  <si>
    <t>ALFREDO ZAMBRANO</t>
  </si>
  <si>
    <t xml:space="preserve">28-Mar FACTURA </t>
  </si>
  <si>
    <t>14-Mar FACTURA   4751-A</t>
  </si>
  <si>
    <t>04-Mar 4,000.00--07-Mar 7,162.40</t>
  </si>
  <si>
    <t>GRUPO GANADERO CURA SPR DE RL</t>
  </si>
  <si>
    <t>05-Mar 4,600.00---07-Mar 162.80</t>
  </si>
  <si>
    <t>06-Mar 19,000.00--07-Mar 16,283.20</t>
  </si>
  <si>
    <t>07-Mar FACTURA 4647-A</t>
  </si>
  <si>
    <t>???????????</t>
  </si>
  <si>
    <t>07-Mar FACTURA  4647-A</t>
  </si>
  <si>
    <t>06-Mar 2,500.00---13-Mar 171.20</t>
  </si>
  <si>
    <t>SERGIO HDZ VERACRUZ</t>
  </si>
  <si>
    <t>14-Mar FACTURA 4688-A</t>
  </si>
  <si>
    <t>14-Mar FACTURA 4689-A</t>
  </si>
  <si>
    <t>06-mar 50,000.00--07-mar 49,121.00</t>
  </si>
  <si>
    <t>14-Mar FACTURA 4692-A</t>
  </si>
  <si>
    <t>ALEJANDRA RAMIREZ ORTIZ</t>
  </si>
  <si>
    <t xml:space="preserve">22-Mar --24-Mar </t>
  </si>
  <si>
    <t>24-Mar 2,000.00--25-Mar 1,645.20</t>
  </si>
  <si>
    <t>19-Mar 36,292.26--25-Mar 554.74</t>
  </si>
  <si>
    <t>07-Mar 11,000.00--08-Mar 4,741.00</t>
  </si>
  <si>
    <t>14-Mar 33,161.71--24-Mar   7,655.09</t>
  </si>
  <si>
    <t>11-Mar 1,448.64--18-Mar 22,637.81</t>
  </si>
  <si>
    <t>HUGO HERNANDEZ</t>
  </si>
  <si>
    <t>22-Mar FACTURA 4724-A</t>
  </si>
  <si>
    <t>09-Mar 5,000.00--11-Mar 10.926.80</t>
  </si>
  <si>
    <t>ALBERTO LOPEZ</t>
  </si>
  <si>
    <t>CARNICERIA SONIA</t>
  </si>
  <si>
    <t>MIGUEL HERRERA</t>
  </si>
  <si>
    <t>11-Mar Factura 4743-A</t>
  </si>
  <si>
    <t xml:space="preserve">PRODUCTO PARA AVES Y ANIMALES SA DE CV </t>
  </si>
  <si>
    <t>18-Mar FACTURA 4744-A</t>
  </si>
  <si>
    <t xml:space="preserve">MARCO ANTONIO </t>
  </si>
  <si>
    <t xml:space="preserve">RICARDO DELEITA </t>
  </si>
  <si>
    <t>ANTONIO ROLDAN</t>
  </si>
  <si>
    <t>16-Mar FACTURA  4835-A</t>
  </si>
  <si>
    <t>11-Mar 2,957.50---15-Mar 424.60</t>
  </si>
  <si>
    <t>CANCELADA     WELMER</t>
  </si>
  <si>
    <t>ARON TIRO</t>
  </si>
  <si>
    <t>MAURICIO HERNANDEZ</t>
  </si>
  <si>
    <t xml:space="preserve">LUIS HERRERIAS </t>
  </si>
  <si>
    <t>12-Mar 103,293.71--26-Mar 15,105.08</t>
  </si>
  <si>
    <t>PACO</t>
  </si>
  <si>
    <t>22-Mar FACTURA 4750-A</t>
  </si>
  <si>
    <t>RODRIGO CHOLULA</t>
  </si>
  <si>
    <t>11-Mar 744.65---12-Mar 5,414.55</t>
  </si>
  <si>
    <t>14-Mar FACTURA 4773-A</t>
  </si>
  <si>
    <t>PABLIO BAUTISTA</t>
  </si>
  <si>
    <t>12-Mar 8,500.00---13-Mar 9,343.20</t>
  </si>
  <si>
    <t xml:space="preserve">TARCILA </t>
  </si>
  <si>
    <t>12-Mar 9,500.00--14-Mar 12,205.00</t>
  </si>
  <si>
    <t>CANCELADA      PROLEDO</t>
  </si>
  <si>
    <t xml:space="preserve">12 DE MARZO </t>
  </si>
  <si>
    <t>18-Mar FACTURA   4795-A</t>
  </si>
  <si>
    <t xml:space="preserve">SERGIO HDZ </t>
  </si>
  <si>
    <t>SRA.CORONA</t>
  </si>
  <si>
    <t>BALDEMAR GONZALEZ GARRIDO</t>
  </si>
  <si>
    <t>JAVIER HERRERIAS</t>
  </si>
  <si>
    <t>GUILLERMO ZALASAR ANDRADE</t>
  </si>
  <si>
    <t>LUIS CORDERO</t>
  </si>
  <si>
    <t>JAIME PALMA</t>
  </si>
  <si>
    <t>22-Mar FACTURA   4823-A</t>
  </si>
  <si>
    <t>22-Mar FACTURA 4821-A</t>
  </si>
  <si>
    <t>PEDRO ALDAM</t>
  </si>
  <si>
    <t>EDUARDO 11 SUR</t>
  </si>
  <si>
    <t>18-Mar 17,325.85--19-Mar 9,456.25</t>
  </si>
  <si>
    <t>DOLORES SIERRA</t>
  </si>
  <si>
    <t>RUBEN MARQUEZ</t>
  </si>
  <si>
    <t>RODRIGO SILVA</t>
  </si>
  <si>
    <t>HIGINIO MORALES</t>
  </si>
  <si>
    <t>CONTES FINOS LA MORENA</t>
  </si>
  <si>
    <t>21-Mar 6,000.00--26-Mar 8,050.50</t>
  </si>
  <si>
    <t>14-Mar 8.000.00--16-Mar 11,365.00</t>
  </si>
  <si>
    <t xml:space="preserve">RUBEN   </t>
  </si>
  <si>
    <t>MAURICIO CORONA</t>
  </si>
  <si>
    <t>14-Mar 5,000.00--16-Mar 29,176.80</t>
  </si>
  <si>
    <t xml:space="preserve">LEONARDO   </t>
  </si>
  <si>
    <t>VICTOR 11 SUR</t>
  </si>
  <si>
    <t>26-Mar 9,000.00--29-Mar 3,631.20</t>
  </si>
  <si>
    <t>16-MAR 5059.60--19-Mar 5,200.40</t>
  </si>
  <si>
    <t>ERNIQUE HERRERIAS</t>
  </si>
  <si>
    <t>18-Mar 10,249.20--19-Mar 24,512.40</t>
  </si>
  <si>
    <t xml:space="preserve">AIDA ( VER ) </t>
  </si>
  <si>
    <t>21-Mar FACTURA 4875-A</t>
  </si>
  <si>
    <t>17-Mar 1,600.00---18-Mar 357.40</t>
  </si>
  <si>
    <t>18-Mar 54,642.59--26-Mar 3,531.91</t>
  </si>
  <si>
    <t>RUBEN PEREZ</t>
  </si>
  <si>
    <t>LA SORPRESA</t>
  </si>
  <si>
    <t>JAIVER HERRERA</t>
  </si>
  <si>
    <t>17-Mar 13,000.00---18-Mar 1,020.70</t>
  </si>
  <si>
    <t>17-Mar 554.40--24-Mar 24,897.60</t>
  </si>
  <si>
    <t>19-Mar 3,327.80--23-Mar 13,230.00</t>
  </si>
  <si>
    <t>24-Mar FACTURA 4908-A</t>
  </si>
  <si>
    <t>26-MAR FACTURA 4911-A</t>
  </si>
  <si>
    <t>26-Mar FACTURA 4912-A</t>
  </si>
  <si>
    <t>19-Mar 22,500.00--22-Mar 10,175.44</t>
  </si>
  <si>
    <t>RAUL GALICIA</t>
  </si>
  <si>
    <t xml:space="preserve">24-Mar --30-Mar </t>
  </si>
  <si>
    <t>20-Mar 18,000.00--21-Mar 407.40</t>
  </si>
  <si>
    <t>21-Mar 2,500.00--25-Mar 708.00</t>
  </si>
  <si>
    <t>ELEUTERIO VERACRUZ</t>
  </si>
  <si>
    <t>JOSE LUIS LUCERO</t>
  </si>
  <si>
    <t>ANGEL GABRIEL CORDERO</t>
  </si>
  <si>
    <t xml:space="preserve">SUPER SERVICIO </t>
  </si>
  <si>
    <t xml:space="preserve">BENITO   </t>
  </si>
  <si>
    <t xml:space="preserve">MICHOACANA ( ELIAS ) </t>
  </si>
  <si>
    <t>21-Mar 14,143.00--23-Mar 4,000.00</t>
  </si>
  <si>
    <t>CHINOS DORADA</t>
  </si>
  <si>
    <t>20-Mar 6,500.00--23-Mar 22,351.20</t>
  </si>
  <si>
    <t xml:space="preserve">26-Mar --30-Mar </t>
  </si>
  <si>
    <t>DIEGO</t>
  </si>
  <si>
    <t>SAGRADO CORAZON CUAUTLANCINGO</t>
  </si>
  <si>
    <t>21-Mar 30,000.00--22-Mar 8086.20</t>
  </si>
  <si>
    <t>MARTIN NAVARRO</t>
  </si>
  <si>
    <t>RUTILIO CARRETO</t>
  </si>
  <si>
    <t>EL GATO</t>
  </si>
  <si>
    <t>27-Mar FACTURA 4984-A</t>
  </si>
  <si>
    <t>ALFONSO TORRES</t>
  </si>
  <si>
    <t>22-Mar 6,500.00--23-Mar 3,957.70</t>
  </si>
  <si>
    <t>REGUGIO CARRILLO</t>
  </si>
  <si>
    <t>SAGRADO DE LA 95</t>
  </si>
  <si>
    <t xml:space="preserve">28-Mar  ---30-Mar </t>
  </si>
  <si>
    <t xml:space="preserve">OMAR </t>
  </si>
  <si>
    <t xml:space="preserve">LUIS LEDO </t>
  </si>
  <si>
    <t>JOVAVY CUATEPOTZO</t>
  </si>
  <si>
    <t>23-Mar 23,400.00--25-Mar  43,520.00--26-Mar 62,837.16</t>
  </si>
  <si>
    <t xml:space="preserve">26-Mar ---30-Mar </t>
  </si>
  <si>
    <t>ALEJANDRO TORRES</t>
  </si>
  <si>
    <t>ANTONIO ROLDANB</t>
  </si>
  <si>
    <t>25-Mar 9.900.00--28-Mar   5,754.80</t>
  </si>
  <si>
    <t>SELECTA</t>
  </si>
  <si>
    <t xml:space="preserve">RAUL </t>
  </si>
  <si>
    <t xml:space="preserve">25-mAr ---30-Mar </t>
  </si>
  <si>
    <t>26-Mar 20,000.00--27-Mar 13,292.80</t>
  </si>
  <si>
    <t xml:space="preserve">CIC </t>
  </si>
  <si>
    <t>ALEJANDRA TORRES</t>
  </si>
  <si>
    <t>26-Mar 20,000.00--28-Mar 2,261.80+81579.34</t>
  </si>
  <si>
    <t>MONDOBA VERACRUZ</t>
  </si>
  <si>
    <t xml:space="preserve">GABRIEL </t>
  </si>
  <si>
    <t>28-Mar ---30-Mar</t>
  </si>
  <si>
    <t xml:space="preserve">28-Mar ---31-Mar </t>
  </si>
  <si>
    <t xml:space="preserve">30-Mar ---31-Mar </t>
  </si>
  <si>
    <t xml:space="preserve">SAGRADO </t>
  </si>
  <si>
    <t>BULMARO HERNANDEZ</t>
  </si>
  <si>
    <t>ISABEL HERRERA</t>
  </si>
  <si>
    <t>CARNICERIA BARBIE</t>
  </si>
  <si>
    <t>FABIAN CUAUTLE</t>
  </si>
  <si>
    <t xml:space="preserve">19-Feb --01-Abril </t>
  </si>
  <si>
    <t>01-Abril   FACTURA  5070-A</t>
  </si>
  <si>
    <t>01-Abril   FACTURA  5066-A</t>
  </si>
  <si>
    <t>01-Abril FACTURA 5066-A</t>
  </si>
  <si>
    <t>01-Abril FACTURA 5070-A</t>
  </si>
  <si>
    <t>01-Abril FACTURA  5170-A X  151,917.62</t>
  </si>
  <si>
    <t>31-Mar --01-Abril</t>
  </si>
  <si>
    <t xml:space="preserve">SALDO ES DE 11 SUR </t>
  </si>
  <si>
    <t>29-Mar---02-Abril</t>
  </si>
  <si>
    <t xml:space="preserve">30-Mar ---02-Abril </t>
  </si>
  <si>
    <t>06-Abril Factura  4847-A</t>
  </si>
  <si>
    <t>06-Abril Factura  4893-A</t>
  </si>
  <si>
    <t>06-Abril FACTURA  4934-A</t>
  </si>
  <si>
    <t>06-Abril FACTURA  4972-A</t>
  </si>
  <si>
    <t>06-Abril FACTURA 4972-A</t>
  </si>
  <si>
    <t>06-Abril FACTURA 5062-A</t>
  </si>
  <si>
    <t>07-Abril   FACTURA 4858-A</t>
  </si>
  <si>
    <t xml:space="preserve">04-Abril----07-Abril </t>
  </si>
  <si>
    <t xml:space="preserve">25-Mar ---02-Abril--07-Abril </t>
  </si>
  <si>
    <t>07-Abril FACTURA 5000-A</t>
  </si>
  <si>
    <t xml:space="preserve">02-Abril ---07-Abril </t>
  </si>
  <si>
    <t>07-Abril FACTURA   5077-A</t>
  </si>
  <si>
    <t>07-Abril FACTURA   5302-A</t>
  </si>
  <si>
    <t>01-Abril--07-Abril</t>
  </si>
  <si>
    <t>07-Abril FACTURA 5121-A</t>
  </si>
  <si>
    <t>07-Abril FACTURAS 5128-A</t>
  </si>
  <si>
    <t>10-Abril FACTURA 4270-A</t>
  </si>
  <si>
    <t>10-Abril FACTURA   4824-A</t>
  </si>
  <si>
    <t>28-Mar FACTURA 4822-A</t>
  </si>
  <si>
    <t>10-Abril FACTURA   4848-A</t>
  </si>
  <si>
    <t>10-Abril FACTURA  4894-A</t>
  </si>
  <si>
    <t>10-Abril FACTURA  4975-A</t>
  </si>
  <si>
    <t>10-Abril FACTURA 4974-A</t>
  </si>
  <si>
    <t>10-Abril FACTURA  5053-A</t>
  </si>
  <si>
    <t>10-Abril FACTURA  5058-A</t>
  </si>
  <si>
    <t>10-Abril FACTURA  5059-A</t>
  </si>
  <si>
    <t xml:space="preserve">30-Mar--10-Abril </t>
  </si>
  <si>
    <t>30-Mar ---10-Abril</t>
  </si>
  <si>
    <t>10-Abril FACTURA  5092-A</t>
  </si>
  <si>
    <t>10-Abril FACTURA   5095-A</t>
  </si>
  <si>
    <t>11-Abril FACTURA  5022-A</t>
  </si>
  <si>
    <t>11-Abril FACTURA  5021-A</t>
  </si>
  <si>
    <t>29-Mar----05-Abril--13-Abril</t>
  </si>
  <si>
    <t xml:space="preserve">13-Abril ---14-Abril </t>
  </si>
  <si>
    <t xml:space="preserve">02-Abril---14-Abril </t>
  </si>
  <si>
    <t>13-Abril--14-Abril</t>
  </si>
  <si>
    <t xml:space="preserve">31-Mar ----14-Abril </t>
  </si>
  <si>
    <t xml:space="preserve">07-Abril ---15-Abril </t>
  </si>
  <si>
    <t>15-Abril FACTURA ????</t>
  </si>
  <si>
    <t>25-Feb--17-Abril</t>
  </si>
  <si>
    <t xml:space="preserve">25-Feb --17-Abril </t>
  </si>
  <si>
    <t>16-Abril--17-Abril</t>
  </si>
  <si>
    <t>18-Abril FACTURA 4936-A</t>
  </si>
  <si>
    <t>18-Abril FACTURA   4971-A</t>
  </si>
  <si>
    <t>18-Abril FACTURA  5093-A</t>
  </si>
  <si>
    <t xml:space="preserve">17-Abril---19-Abril </t>
  </si>
  <si>
    <t xml:space="preserve">30-Mar --21-Abril </t>
  </si>
  <si>
    <t xml:space="preserve">14-Abril --21-Abril </t>
  </si>
  <si>
    <t xml:space="preserve">04-Abril ---21-Abril </t>
  </si>
  <si>
    <t>CANCELADA EL 21 ABRIL ???</t>
  </si>
  <si>
    <t>CANCELADA  JAVIER HERRERA</t>
  </si>
  <si>
    <t xml:space="preserve">30-Mar---10-Abril ---23-Abril </t>
  </si>
  <si>
    <t xml:space="preserve">10-Abril ---23-Abril </t>
  </si>
  <si>
    <t>25-Abril FATURA  5061-A</t>
  </si>
  <si>
    <t>24-Abril FACTURA  5091-A</t>
  </si>
  <si>
    <t>27-Abril FACTURA 5203-A</t>
  </si>
  <si>
    <r>
      <rPr>
        <b/>
        <u/>
        <sz val="10"/>
        <color rgb="FF0000CC"/>
        <rFont val="Calibri"/>
        <family val="2"/>
        <scheme val="minor"/>
      </rPr>
      <t xml:space="preserve">O B R A D O R    </t>
    </r>
    <r>
      <rPr>
        <b/>
        <sz val="10"/>
        <color rgb="FF0000CC"/>
        <rFont val="Calibri"/>
        <family val="2"/>
        <scheme val="minor"/>
      </rPr>
      <t xml:space="preserve">                                 C L I E N T E S </t>
    </r>
  </si>
  <si>
    <t>REMISIONES DE       ABRIL           2 0 1 5</t>
  </si>
  <si>
    <t>07-Abril FACTURA 5199-A</t>
  </si>
  <si>
    <t>01-Abril--04-Abril</t>
  </si>
  <si>
    <t>SR CORONA</t>
  </si>
  <si>
    <t>JOSE LUIS DEL RELLO</t>
  </si>
  <si>
    <t>MARTIO GARZA</t>
  </si>
  <si>
    <t>18-Abril FACTURA 5209-A</t>
  </si>
  <si>
    <t>10-Abril FACTURA  5207-A</t>
  </si>
  <si>
    <t>10-Abril FACTURA  5206-A</t>
  </si>
  <si>
    <t>10-Abril FACTURA  5196-A</t>
  </si>
  <si>
    <t xml:space="preserve">BENITO  </t>
  </si>
  <si>
    <t>LEONARDO SAUZA CORONA</t>
  </si>
  <si>
    <t>ALDO PORTADA</t>
  </si>
  <si>
    <t xml:space="preserve">13-Abril--14-abril </t>
  </si>
  <si>
    <t>07- ABRIL FACTURA  5201-A</t>
  </si>
  <si>
    <t>MARYCRUZ</t>
  </si>
  <si>
    <t>04-Abril--05-Abril</t>
  </si>
  <si>
    <t>VERO</t>
  </si>
  <si>
    <t>07-Abril FACTURA 5211-A</t>
  </si>
  <si>
    <t>05-Abril Factura 5210-A</t>
  </si>
  <si>
    <t>GRUPO GANAERO GURA SPR DE RL</t>
  </si>
  <si>
    <t>04-Abril --07-Abril--08-Abril</t>
  </si>
  <si>
    <t>AURELIO HERNANDEZ</t>
  </si>
  <si>
    <t xml:space="preserve">IVAN </t>
  </si>
  <si>
    <t>04-Abril --06-Abril</t>
  </si>
  <si>
    <t xml:space="preserve">22-Abril---24-Abril </t>
  </si>
  <si>
    <t xml:space="preserve">23-Abril--24-Abril --25-Abril </t>
  </si>
  <si>
    <t xml:space="preserve">04-Abril  --07-Abril </t>
  </si>
  <si>
    <t>14-Abril FACTURA 5213-A</t>
  </si>
  <si>
    <t>ALAJENADRA TORRES</t>
  </si>
  <si>
    <t>14-Abril FACTURA 5214-A</t>
  </si>
  <si>
    <t>NOE MASIAS</t>
  </si>
  <si>
    <t>PER´S</t>
  </si>
  <si>
    <t xml:space="preserve">05-Abril --08-Abril </t>
  </si>
  <si>
    <t>17-Abril FACTURA   5238-A</t>
  </si>
  <si>
    <t>25-Abril FACTURA  5233-A</t>
  </si>
  <si>
    <t>18-Abril FACTURA  5234-A</t>
  </si>
  <si>
    <t>18-Abril FACTURA 5236-A</t>
  </si>
  <si>
    <t>21-Abril FACTURA 5237-A</t>
  </si>
  <si>
    <t xml:space="preserve">06-Abril ---14-Abril </t>
  </si>
  <si>
    <t xml:space="preserve">08-Abril FACTURA </t>
  </si>
  <si>
    <t xml:space="preserve">PRODUCTOS PARA AVES Y ANIMALES SA DE CV </t>
  </si>
  <si>
    <t>10-Abril FACTURA  5260-A</t>
  </si>
  <si>
    <t>JAVIER TIRADO</t>
  </si>
  <si>
    <t>GONZALO RAMIREZ</t>
  </si>
  <si>
    <t>21-Abril FACTURA   5273-A</t>
  </si>
  <si>
    <t>08-Abril FACTURA 5275-A</t>
  </si>
  <si>
    <t>ROODOLFO ZOQUIAPAN</t>
  </si>
  <si>
    <t>VENTA DE MOSTRADOR tarimas</t>
  </si>
  <si>
    <t>NARCISO ROMERO CAMALEON</t>
  </si>
  <si>
    <t>JUDITH URBY</t>
  </si>
  <si>
    <t>NERY RUEDA</t>
  </si>
  <si>
    <t xml:space="preserve">08-Abil ---09-Abril </t>
  </si>
  <si>
    <t xml:space="preserve">10-Abril---23-Abril </t>
  </si>
  <si>
    <t xml:space="preserve">NERY  </t>
  </si>
  <si>
    <t xml:space="preserve">08-Abril---10-Abril </t>
  </si>
  <si>
    <t xml:space="preserve">12-Abril ---13-Abril </t>
  </si>
  <si>
    <t>25-Abril FACTURA  5300-A</t>
  </si>
  <si>
    <t>18-Abril FACTURA 5460-A</t>
  </si>
  <si>
    <t xml:space="preserve">15-Abril---17-Abril </t>
  </si>
  <si>
    <t>CHEMA</t>
  </si>
  <si>
    <t>CARNES FINAS DE CALIDAD</t>
  </si>
  <si>
    <t>17-Abril FACTURA 5359-A</t>
  </si>
  <si>
    <t xml:space="preserve">09-Abril ---11-Abril </t>
  </si>
  <si>
    <t xml:space="preserve">13-Abril ---14 Abril </t>
  </si>
  <si>
    <t xml:space="preserve">12-Abril---14-abril </t>
  </si>
  <si>
    <t>11-Abril FACTURA  5342-A</t>
  </si>
  <si>
    <t xml:space="preserve">10-Abril---22-Abril </t>
  </si>
  <si>
    <t xml:space="preserve">VENTA DE MOSTRADOR </t>
  </si>
  <si>
    <t xml:space="preserve">10-Abril--13-abril </t>
  </si>
  <si>
    <t>16-Abril--18-Abril</t>
  </si>
  <si>
    <t>25-Abril FACTURA  5331-A</t>
  </si>
  <si>
    <t>18-Abril FACTURA 5332-A</t>
  </si>
  <si>
    <t xml:space="preserve">10-Abril --21-Abril </t>
  </si>
  <si>
    <t>18-Abril FACTURA 5334-A</t>
  </si>
  <si>
    <t>TARZILA</t>
  </si>
  <si>
    <t>SN BARTOLO</t>
  </si>
  <si>
    <t xml:space="preserve">13-Abril----15-Abril </t>
  </si>
  <si>
    <t>17- Abril FACTURA 5366-A</t>
  </si>
  <si>
    <t>RAUL SAN RAMON</t>
  </si>
  <si>
    <t>SANTOS JUQUILITA</t>
  </si>
  <si>
    <t>SAGADO DE LA 95</t>
  </si>
  <si>
    <t>KATY</t>
  </si>
  <si>
    <t>15-Abril FACTURA 5370-A</t>
  </si>
  <si>
    <t xml:space="preserve">13-Abril --14-Abil </t>
  </si>
  <si>
    <t xml:space="preserve">17-Abril---25-Abril </t>
  </si>
  <si>
    <t>ROBERTO SUAREZ</t>
  </si>
  <si>
    <t xml:space="preserve">28-Abril --29-Abril --30-Abril </t>
  </si>
  <si>
    <t>25-Abril FACTURA   5385-A</t>
  </si>
  <si>
    <t>25-Abril FACTURA    5383-A</t>
  </si>
  <si>
    <t>MARICELA CUAUTENCOS</t>
  </si>
  <si>
    <t>24-Abril FACTURA  5399-A</t>
  </si>
  <si>
    <t>MIGUEL JUAREZ</t>
  </si>
  <si>
    <t>15-Abril FACTURA   5426-A</t>
  </si>
  <si>
    <t>SERGIO HDEZ VERACRUZ</t>
  </si>
  <si>
    <t xml:space="preserve">14-Abril ---15-Abril </t>
  </si>
  <si>
    <t>15-Abril ---16-Abril</t>
  </si>
  <si>
    <t xml:space="preserve">14-Abril---21-Abril </t>
  </si>
  <si>
    <t>FERNANDDO ROMERO</t>
  </si>
  <si>
    <t>15-Abril FACTURA ?????</t>
  </si>
  <si>
    <t xml:space="preserve">15-Abril---18-Abril </t>
  </si>
  <si>
    <t xml:space="preserve">17-Abril FACTURA </t>
  </si>
  <si>
    <t xml:space="preserve">17-Abril --29-Abril </t>
  </si>
  <si>
    <t>25-Abril FACTURA  5449-A</t>
  </si>
  <si>
    <t xml:space="preserve">17-Abril FOLIO 1322--21-Abril </t>
  </si>
  <si>
    <t xml:space="preserve">16-Abril--17-Abril </t>
  </si>
  <si>
    <t xml:space="preserve">16-Abril--18-Abril --19-Abril </t>
  </si>
  <si>
    <t>LOS TAQUIUX X</t>
  </si>
  <si>
    <t>SEBASTIAN PEREZ VALDEZ</t>
  </si>
  <si>
    <t>17-Abril--22-Abril</t>
  </si>
  <si>
    <t xml:space="preserve">17-Abril ---18-Abril </t>
  </si>
  <si>
    <t xml:space="preserve">ALEJANDRA HERNANDEZ ( VER ) </t>
  </si>
  <si>
    <t xml:space="preserve">MIGUEL VERACRUZ </t>
  </si>
  <si>
    <t xml:space="preserve">17-Abril--19-Abril </t>
  </si>
  <si>
    <t>25-Abril FACTURA 5474-A</t>
  </si>
  <si>
    <t>25-Abril FACTURA  5476-A</t>
  </si>
  <si>
    <t>SAGRADO CORAZON CUATLANCINGO</t>
  </si>
  <si>
    <t xml:space="preserve">19-Abril --20-Abril </t>
  </si>
  <si>
    <t>RICARDO SAUCEDO</t>
  </si>
  <si>
    <t>CRECENCIO RAMIREZ</t>
  </si>
  <si>
    <t xml:space="preserve">OSCAR  </t>
  </si>
  <si>
    <t xml:space="preserve">19-abril --23-abril </t>
  </si>
  <si>
    <t xml:space="preserve">VICTOR 11 SUR </t>
  </si>
  <si>
    <t xml:space="preserve">21-Abril--23-Abril </t>
  </si>
  <si>
    <t>CARNICERIA CHOLULTECA</t>
  </si>
  <si>
    <t xml:space="preserve">23-Abril --29-Abrl </t>
  </si>
  <si>
    <t>20-Abril ---21-Abril--23-Abril</t>
  </si>
  <si>
    <t>24-Abril FACTURA 5518-A</t>
  </si>
  <si>
    <t>JAVIER BARRIOS</t>
  </si>
  <si>
    <t>30-Abril FACTURA 5614-A</t>
  </si>
  <si>
    <t>SRA. SRA VERACRUZ</t>
  </si>
  <si>
    <t>GERARDO CARMONA VER</t>
  </si>
  <si>
    <t>REFGUGIO CARRILLO</t>
  </si>
  <si>
    <t>JAIME SUAREZ</t>
  </si>
  <si>
    <t>RUBEN CHASING</t>
  </si>
  <si>
    <t>21-Abril ---22-Abril</t>
  </si>
  <si>
    <t>SILVERIO PEREZ</t>
  </si>
  <si>
    <t>JOVANNY CUATEPOTZO</t>
  </si>
  <si>
    <t>25-Abril FACTURA  5556-A</t>
  </si>
  <si>
    <t>GABRIEL</t>
  </si>
  <si>
    <t>GUILLERMO INDEPENDENCIA</t>
  </si>
  <si>
    <t>23-Abril --25-Abril</t>
  </si>
  <si>
    <t>ROGELIO ESCOBAR</t>
  </si>
  <si>
    <t xml:space="preserve">23-Abril --24-Abril </t>
  </si>
  <si>
    <t xml:space="preserve">25-Abril--27-Abril </t>
  </si>
  <si>
    <t>OSCAR LOPEZ</t>
  </si>
  <si>
    <t>CHAVA SANCHEZ</t>
  </si>
  <si>
    <t>JAVIER  HERRERA</t>
  </si>
  <si>
    <t>25-Abril FACTURA    5581-A</t>
  </si>
  <si>
    <t>GERARDO MALAQUIAS ALVARADO</t>
  </si>
  <si>
    <t>30-Abril FACTURA  ????</t>
  </si>
  <si>
    <t>VENTA MOSTRADOR</t>
  </si>
  <si>
    <t>24-Abril--25-abril</t>
  </si>
  <si>
    <t>GABRIEL APANGO BACATELA</t>
  </si>
  <si>
    <t xml:space="preserve">25-Abril --27-Abril </t>
  </si>
  <si>
    <t xml:space="preserve">26-Abril--27-Abril </t>
  </si>
  <si>
    <t>FERANANDO GALICIA</t>
  </si>
  <si>
    <t xml:space="preserve">JORGE ARRIAGA  </t>
  </si>
  <si>
    <t xml:space="preserve">28-Abril--30-Abril </t>
  </si>
  <si>
    <t xml:space="preserve">25-Abril --29-Abril </t>
  </si>
  <si>
    <t>25-Abril ---26-Abril</t>
  </si>
  <si>
    <t>MARICELA CUATENCOS</t>
  </si>
  <si>
    <t>EDUARDO CARMONA</t>
  </si>
  <si>
    <t>CARNES DIAZ</t>
  </si>
  <si>
    <t>PACO DIAZ</t>
  </si>
  <si>
    <t>CARNICERIA HUGO´S</t>
  </si>
  <si>
    <t>JULIO</t>
  </si>
  <si>
    <t xml:space="preserve">27-Abril --29-Abril </t>
  </si>
  <si>
    <t xml:space="preserve">27-Abril---28-Abril </t>
  </si>
  <si>
    <t>RENE</t>
  </si>
  <si>
    <t xml:space="preserve">GABRIEL APANGO  </t>
  </si>
  <si>
    <t>LUSI HERRERIAS</t>
  </si>
  <si>
    <t>29-Abril FACTURA 5650-A</t>
  </si>
  <si>
    <t>VENTA DE MOSTRADOR</t>
  </si>
  <si>
    <t xml:space="preserve">28-Abril --29-Abril </t>
  </si>
  <si>
    <t xml:space="preserve">JORGE   </t>
  </si>
  <si>
    <t>CATALINA CORONA</t>
  </si>
  <si>
    <t>CARNES SELECTAS</t>
  </si>
  <si>
    <t>SAGRADO 14 SUR</t>
  </si>
  <si>
    <t>GABRIEL APANGO</t>
  </si>
  <si>
    <t>JAVIER BARRERA</t>
  </si>
  <si>
    <t>JAVIER</t>
  </si>
  <si>
    <t>LOMA VERDE</t>
  </si>
  <si>
    <t xml:space="preserve">29-Abril--30-Abril </t>
  </si>
  <si>
    <t xml:space="preserve">JAVIER </t>
  </si>
  <si>
    <t>TERMINAL</t>
  </si>
  <si>
    <t xml:space="preserve">JAIME </t>
  </si>
  <si>
    <t xml:space="preserve">CARLOS MASTRANZO </t>
  </si>
  <si>
    <t>FRANCO MORALES PEREZ</t>
  </si>
  <si>
    <t xml:space="preserve">GERARDO CARMONA VER </t>
  </si>
  <si>
    <t>21-Abril --01-Mayo</t>
  </si>
  <si>
    <t xml:space="preserve">23-abril--01-Mayo </t>
  </si>
  <si>
    <t xml:space="preserve">23-Abril --01-Mayo </t>
  </si>
  <si>
    <t xml:space="preserve">29-Abril ---01-Mayo </t>
  </si>
  <si>
    <t xml:space="preserve">29-Abril--01-Mayo </t>
  </si>
  <si>
    <t xml:space="preserve">23-ABRIL Y 02 DE Mayo </t>
  </si>
  <si>
    <t xml:space="preserve">23-Abril ---02-Mayo </t>
  </si>
  <si>
    <t xml:space="preserve">24-Abril--02-Mayo </t>
  </si>
  <si>
    <t xml:space="preserve">29-Mar----05-Abril--13-Abril--20-Abril---03-Mayo </t>
  </si>
  <si>
    <t xml:space="preserve">29-Mar----05-Abril--13-Abril--20--abril  ---03-Mayo </t>
  </si>
  <si>
    <t xml:space="preserve">02-Mayo ----03-Mayo </t>
  </si>
  <si>
    <t xml:space="preserve">27-Abril --04-Mayo </t>
  </si>
  <si>
    <t>14-Mar  350.00--28-Mar  350.00--23--Abril $ 5500.00---05-Mayo 500.00</t>
  </si>
  <si>
    <t>20-Feb 8,345.44---11-Mar $ 10,417.50--(   02-Abril 23,215.86 ) vale de la sra.</t>
  </si>
  <si>
    <t xml:space="preserve">27-Abril ---06-Mayo </t>
  </si>
  <si>
    <t xml:space="preserve">03-Mayo ---06-Mayo </t>
  </si>
  <si>
    <t xml:space="preserve">06-Mayo---07-Mayo </t>
  </si>
  <si>
    <t>09-Mayo FACTURA 5386-A</t>
  </si>
  <si>
    <t>09-Mayo FACTURA 5473-A</t>
  </si>
  <si>
    <t>09-Mayo FACTURA 5477-A</t>
  </si>
  <si>
    <t>09-Mayo FACTURA 5443-A</t>
  </si>
  <si>
    <t>09-Mayo FACTURA 5444-A</t>
  </si>
  <si>
    <t>09-Mayo FACTURA  5445-A</t>
  </si>
  <si>
    <t>09-Mayo FACTURA  5441-A</t>
  </si>
  <si>
    <t xml:space="preserve">25-Abril --09-Mayo </t>
  </si>
  <si>
    <t>09-Mayo FACTURA 5553-A</t>
  </si>
  <si>
    <t>09-Mayo FACTURA  5576-A</t>
  </si>
  <si>
    <t>09-Mayo FACTURA  5575-A</t>
  </si>
  <si>
    <t>09-Mayo FACTURA  5574-A</t>
  </si>
  <si>
    <t>09-Mayo FACTURA 5573-A</t>
  </si>
  <si>
    <t>09-Mayo FACTURA  5572-A</t>
  </si>
  <si>
    <t>09-Mayo FACTURA  5605-A</t>
  </si>
  <si>
    <t>09-Mayo FACTURA 5824-A</t>
  </si>
  <si>
    <t xml:space="preserve">01-May --11-May </t>
  </si>
  <si>
    <t xml:space="preserve">9-Mayo --12-Mayo </t>
  </si>
  <si>
    <t>12-Mayo FACTURA  5757-A</t>
  </si>
  <si>
    <t>12-Mayo FACTURA  ?????</t>
  </si>
  <si>
    <t xml:space="preserve">06-Mayo --07-Mayo --13-Mayo </t>
  </si>
  <si>
    <t xml:space="preserve">01-Mayo--14-Mayo </t>
  </si>
  <si>
    <t>01-May --14-May</t>
  </si>
  <si>
    <t>15-Mayo FACTURA  5235-A</t>
  </si>
  <si>
    <t>15-Mayo FACTURA  5333-A</t>
  </si>
  <si>
    <t>15-Mayo FACTURA    5384-A</t>
  </si>
  <si>
    <t>15-Mayo FACTURA  5609-A</t>
  </si>
  <si>
    <t>15-Mayo FACTURA  5607-A</t>
  </si>
  <si>
    <t>15-Mayo FACTURA  5756-A</t>
  </si>
  <si>
    <t>01-Mayo --16-May</t>
  </si>
  <si>
    <t>02-May --18-May</t>
  </si>
  <si>
    <t xml:space="preserve">14-May --20-May </t>
  </si>
  <si>
    <t>22-May FACTURA  5608-A</t>
  </si>
  <si>
    <t>25-Mayo FACTURA 5965-A</t>
  </si>
  <si>
    <t>02-May--25-May</t>
  </si>
  <si>
    <t>22-May--28-May</t>
  </si>
  <si>
    <t xml:space="preserve">14-Mar  350.00--28-Mar  350.00--23--Abril $ 5500.00--05-Mayo </t>
  </si>
  <si>
    <t>1-May--14-May</t>
  </si>
  <si>
    <t>CANCELADA     RODOLFO ZOQUIAPAN</t>
  </si>
  <si>
    <t>REMISIONES DE      M A Y O          2 0 1 5</t>
  </si>
  <si>
    <t>LUIS GUILLERMO SALAZAR ANDRADe</t>
  </si>
  <si>
    <t>JUAN MANUEL</t>
  </si>
  <si>
    <t>SRA, CORONA</t>
  </si>
  <si>
    <t>ANTOJITOS HERNANDEZ</t>
  </si>
  <si>
    <t>GUSTAVO JIMENES</t>
  </si>
  <si>
    <t xml:space="preserve">CARNICERIA SANTA ANA </t>
  </si>
  <si>
    <t xml:space="preserve">CIC HERRADURA </t>
  </si>
  <si>
    <t>15-Mayo FACTURA  5775-A</t>
  </si>
  <si>
    <t>NARCICO ROMERO CAMALEON</t>
  </si>
  <si>
    <t xml:space="preserve">ALAN </t>
  </si>
  <si>
    <t>22-Mayo FACTURA  5774-A</t>
  </si>
  <si>
    <t xml:space="preserve">LOS TAQUIX X </t>
  </si>
  <si>
    <t>09-Mayo FACTURA  5786-A</t>
  </si>
  <si>
    <t>30-May FACTURA 5785-A</t>
  </si>
  <si>
    <t>MICHOACAN ( ELIAS )</t>
  </si>
  <si>
    <t>FERNANDO GALCIA</t>
  </si>
  <si>
    <t xml:space="preserve">01-Mayo-- 03-Mayo </t>
  </si>
  <si>
    <t xml:space="preserve">GONZALO RAMOS </t>
  </si>
  <si>
    <t>ALEJANDRO CANO</t>
  </si>
  <si>
    <t xml:space="preserve">ALEJANDRO HERNANDEZ ( VER ) </t>
  </si>
  <si>
    <t>LUIS ZAYAS</t>
  </si>
  <si>
    <t xml:space="preserve">20-May--27-May </t>
  </si>
  <si>
    <t xml:space="preserve">CARNES SELECTAS </t>
  </si>
  <si>
    <t>GRUPO GANADERO GURA S PR DE RL</t>
  </si>
  <si>
    <t xml:space="preserve">07-Mayo ---08-Mayo </t>
  </si>
  <si>
    <t>JAVIER ROCHA</t>
  </si>
  <si>
    <t xml:space="preserve">12-May --26-May </t>
  </si>
  <si>
    <t>13-May ---26-May --29-May</t>
  </si>
  <si>
    <t>SERGIO JUQUILITA II</t>
  </si>
  <si>
    <t>ALFREDO LOPEZ</t>
  </si>
  <si>
    <t xml:space="preserve">ALIMENTOS SUPREMOS DE ORIENTE </t>
  </si>
  <si>
    <t>ALIMENTOS SUPRESMOS DE ORIENTE SA DE CV</t>
  </si>
  <si>
    <t>ANGEL LARA</t>
  </si>
  <si>
    <t xml:space="preserve">03-Mayo --05-Mayo </t>
  </si>
  <si>
    <t>LA UNION</t>
  </si>
  <si>
    <t>ANGEN FLORES</t>
  </si>
  <si>
    <t xml:space="preserve">02-Mayo--08-Mayo </t>
  </si>
  <si>
    <t xml:space="preserve">03-Mayo---04-Mayo </t>
  </si>
  <si>
    <t>ART URO BERNAL</t>
  </si>
  <si>
    <t>ARTURO COCOTL</t>
  </si>
  <si>
    <t xml:space="preserve">04-Mayo --08-Mayo --12-May </t>
  </si>
  <si>
    <t xml:space="preserve">AUSENCIO </t>
  </si>
  <si>
    <t xml:space="preserve">05-Mayo---06-Mayo </t>
  </si>
  <si>
    <t xml:space="preserve">23--May --24-May </t>
  </si>
  <si>
    <t>VECTOR 11 SUR</t>
  </si>
  <si>
    <t xml:space="preserve">4-Mayo -16-Mayo </t>
  </si>
  <si>
    <t xml:space="preserve">BENITO ALFONSO </t>
  </si>
  <si>
    <t>22-Mayo FACTURA  5821-A</t>
  </si>
  <si>
    <t>15-Mayo FACTURA   5820-A</t>
  </si>
  <si>
    <t>30-May FACTURA   5818-A</t>
  </si>
  <si>
    <t>BENTO ANGULO</t>
  </si>
  <si>
    <t xml:space="preserve">07-May --14-May </t>
  </si>
  <si>
    <t>15-Mayo FACTURA   5816-A</t>
  </si>
  <si>
    <t>14-Mayo FACTURA  5823-A</t>
  </si>
  <si>
    <t>09-Mayo FACTURA  5880-A</t>
  </si>
  <si>
    <t>BURRRO NORTEÑO</t>
  </si>
  <si>
    <t xml:space="preserve">27-May --30-May </t>
  </si>
  <si>
    <t xml:space="preserve">08-MaYO--13-Mayo </t>
  </si>
  <si>
    <t>10-May ---27-Mayo</t>
  </si>
  <si>
    <t xml:space="preserve">18-May --27-May </t>
  </si>
  <si>
    <t>MINERVA PEREZ HEERNANDEZ</t>
  </si>
  <si>
    <t>05-May--14-Mayo</t>
  </si>
  <si>
    <t>CHALCO</t>
  </si>
  <si>
    <t>MIGUEL RAMIREZ</t>
  </si>
  <si>
    <t>22-Mayo FACTURA  5852-A</t>
  </si>
  <si>
    <t>CANCELADA       CRISTIAN---GRACIELA</t>
  </si>
  <si>
    <t xml:space="preserve">06-Mayo--09-Mayo </t>
  </si>
  <si>
    <t xml:space="preserve">SALMUEL ALFONSO </t>
  </si>
  <si>
    <t>PROSUBCA SA DE C V</t>
  </si>
  <si>
    <t>12-Mayo FACTURA 5862-A</t>
  </si>
  <si>
    <t>08-May--14-May</t>
  </si>
  <si>
    <t>FELIX CUEVAS</t>
  </si>
  <si>
    <t xml:space="preserve">JULIO </t>
  </si>
  <si>
    <t>CARNICERIAS SANTA ANA</t>
  </si>
  <si>
    <t>CARNIERIA BARBIE</t>
  </si>
  <si>
    <t>22-Mayo FACTURA  5874-A</t>
  </si>
  <si>
    <t>30-May FACTURA    5877-A</t>
  </si>
  <si>
    <t>30-May  FACTURA  5903-A</t>
  </si>
  <si>
    <t>30-May FACTURA  6000-A</t>
  </si>
  <si>
    <t>CHIBNOS TLAXCALA</t>
  </si>
  <si>
    <t>CHINOS AGUA SANTA</t>
  </si>
  <si>
    <t>CHINOS MALASIA</t>
  </si>
  <si>
    <t xml:space="preserve">CIC 11 SUR </t>
  </si>
  <si>
    <t xml:space="preserve">16-May ---29-May </t>
  </si>
  <si>
    <t>09-Mayo FACTURA   5881-A</t>
  </si>
  <si>
    <t>25-May ---29-May</t>
  </si>
  <si>
    <t xml:space="preserve">15-May --19-Mayo </t>
  </si>
  <si>
    <t xml:space="preserve">08-Mayo --09-Mayo </t>
  </si>
  <si>
    <t>25-May--29-May</t>
  </si>
  <si>
    <t>15-Mayo FACTURA 5875-A</t>
  </si>
  <si>
    <t>15-Mayo FACTURA 5876-A</t>
  </si>
  <si>
    <t xml:space="preserve">18-May --23-May </t>
  </si>
  <si>
    <t xml:space="preserve">23-May --29-May </t>
  </si>
  <si>
    <t>30-May FACTURA   5878-A</t>
  </si>
  <si>
    <t>15-Mayo FACTURA 5872-A</t>
  </si>
  <si>
    <t>30-May FACTURA 5873-A</t>
  </si>
  <si>
    <t>15-Mayo FACTURA 5879-A</t>
  </si>
  <si>
    <t>27-May --29-May</t>
  </si>
  <si>
    <t xml:space="preserve">09-Mayo --10-Mayo </t>
  </si>
  <si>
    <t>GUILLERMO</t>
  </si>
  <si>
    <t>GUILERMINA ZOQUIAPAN</t>
  </si>
  <si>
    <t>MARY CRUZ</t>
  </si>
  <si>
    <t>10-May--11-May</t>
  </si>
  <si>
    <t>9-May --14-May</t>
  </si>
  <si>
    <t>13-Mayo FACTURA  5944-A</t>
  </si>
  <si>
    <t>16-Mayo FACTURA 6010-A</t>
  </si>
  <si>
    <t>30-May FACTURA 6307-A</t>
  </si>
  <si>
    <t>JUAN BARRERA</t>
  </si>
  <si>
    <t xml:space="preserve">12-May --15-May </t>
  </si>
  <si>
    <t xml:space="preserve">14-Mayo --15-Mayo </t>
  </si>
  <si>
    <t xml:space="preserve">DARIO TIRO </t>
  </si>
  <si>
    <t>DELY RICO</t>
  </si>
  <si>
    <t>DIARIO TIRO</t>
  </si>
  <si>
    <t xml:space="preserve">DORMIDO </t>
  </si>
  <si>
    <t>OSWALDO SANCHEZ</t>
  </si>
  <si>
    <t>EDUARDO PALMA</t>
  </si>
  <si>
    <t>EL PASTOCITO II</t>
  </si>
  <si>
    <t xml:space="preserve">11-May --13-May </t>
  </si>
  <si>
    <t>EL PASTORICITO 1</t>
  </si>
  <si>
    <t>HIPOLDITO SANTIAGO</t>
  </si>
  <si>
    <t>ENRIQUE ATENCO</t>
  </si>
  <si>
    <t>30-May FACTURA 5902-A</t>
  </si>
  <si>
    <t>30-May FACTURA 5904-A</t>
  </si>
  <si>
    <t>GRNAJERO FELIZ DE RL DE CV</t>
  </si>
  <si>
    <t>30-May FACTURA  5901-A</t>
  </si>
  <si>
    <t>FELICIANA PEREZ APARICIO</t>
  </si>
  <si>
    <t>22-Mayo FACTURA  5899-A</t>
  </si>
  <si>
    <t>30-May FACTURA  5914-A</t>
  </si>
  <si>
    <t>VALEERIO VERACRUZ</t>
  </si>
  <si>
    <t>14-May FACTURA 5942-A</t>
  </si>
  <si>
    <t xml:space="preserve">13-May --17-May </t>
  </si>
  <si>
    <t xml:space="preserve">FOGONCITO </t>
  </si>
  <si>
    <t xml:space="preserve">19-May--21-May </t>
  </si>
  <si>
    <t>GABRIELCLEMENTE</t>
  </si>
  <si>
    <t>GEERMAN CEBADA SALAMANCA</t>
  </si>
  <si>
    <t>30-May FACTURA  6005-A</t>
  </si>
  <si>
    <t>15-May--16-May</t>
  </si>
  <si>
    <t>FELIX Sanchez</t>
  </si>
  <si>
    <t xml:space="preserve">13-Mayo---15-Mayo </t>
  </si>
  <si>
    <t xml:space="preserve"> </t>
  </si>
  <si>
    <t>MIGUEL H</t>
  </si>
  <si>
    <t xml:space="preserve">INDUSTRIAL DE ABASTOS </t>
  </si>
  <si>
    <t>30-May FACTURA  6001-A</t>
  </si>
  <si>
    <t>JAIME JUAREZ</t>
  </si>
  <si>
    <t>JORGE ARRIGA JR</t>
  </si>
  <si>
    <t>22-Mayo FACTURA  6002-A</t>
  </si>
  <si>
    <t xml:space="preserve">JORGE ARRIAGA </t>
  </si>
  <si>
    <t>17-May --18-May</t>
  </si>
  <si>
    <t xml:space="preserve">16-May --17-May </t>
  </si>
  <si>
    <t xml:space="preserve">16-May --18-May </t>
  </si>
  <si>
    <t>MELITON CUATENCOS</t>
  </si>
  <si>
    <t>JOSE  LUIS PEREZ VALDEZ</t>
  </si>
  <si>
    <t>17-May --18-May---19-May</t>
  </si>
  <si>
    <t>27-May --28-May --31-May -15</t>
  </si>
  <si>
    <t xml:space="preserve">18-May --19-May--20-May </t>
  </si>
  <si>
    <t xml:space="preserve">JULIO  </t>
  </si>
  <si>
    <t xml:space="preserve">21-May--28-May </t>
  </si>
  <si>
    <t>30-May FACTURA 6041-A</t>
  </si>
  <si>
    <t>30-May FACTURA 6043-A</t>
  </si>
  <si>
    <t xml:space="preserve">SALOME </t>
  </si>
  <si>
    <t xml:space="preserve">21-May --25-May </t>
  </si>
  <si>
    <t>LA ECONOMICA</t>
  </si>
  <si>
    <t xml:space="preserve">CIC  </t>
  </si>
  <si>
    <t>Rem 0802-D2</t>
  </si>
  <si>
    <t>19-May ----20-Ma y</t>
  </si>
  <si>
    <t>LEONARDDO SANCHEZ</t>
  </si>
  <si>
    <t>PIZZA LALO</t>
  </si>
  <si>
    <t>TONATIUH GARDUÑO MTZ</t>
  </si>
  <si>
    <t>LOS PARADOS</t>
  </si>
  <si>
    <t>LUIS CORDEREO</t>
  </si>
  <si>
    <t>24-May --25-May</t>
  </si>
  <si>
    <t xml:space="preserve">25-May --26-May </t>
  </si>
  <si>
    <t xml:space="preserve">21-May --23-May </t>
  </si>
  <si>
    <t>30-May--31-May</t>
  </si>
  <si>
    <t>30-May FACTURA 6134-A</t>
  </si>
  <si>
    <t>22-May--24-May</t>
  </si>
  <si>
    <t xml:space="preserve">25-May--27-May -30-May </t>
  </si>
  <si>
    <t>RUBEN SALAZAR</t>
  </si>
  <si>
    <t>MARIANO</t>
  </si>
  <si>
    <t>MCIHOACANA ( ELIAS )</t>
  </si>
  <si>
    <t>30-May FACTURA   6144-A</t>
  </si>
  <si>
    <t>30-May FACTURA 6141-A</t>
  </si>
  <si>
    <t xml:space="preserve"> GERARDO PULIDO</t>
  </si>
  <si>
    <t xml:space="preserve">23-May --26-May </t>
  </si>
  <si>
    <t>30-may --31-May</t>
  </si>
  <si>
    <t xml:space="preserve">01-Junio FACTURA </t>
  </si>
  <si>
    <t>01-Junio FACTURA 5651-A</t>
  </si>
  <si>
    <t>01-Junio FACTURA  6089-A</t>
  </si>
  <si>
    <t xml:space="preserve">30-May --01-Junio </t>
  </si>
  <si>
    <t>CANCELADA  ALIMENTOS SUPREMOS DE ORIENTE SA DE CV</t>
  </si>
  <si>
    <t xml:space="preserve">29-Abril---02-Junio </t>
  </si>
  <si>
    <t xml:space="preserve">29-May --02-Jun </t>
  </si>
  <si>
    <t>30-May--03-Jun</t>
  </si>
  <si>
    <t>29-May--04-Jun</t>
  </si>
  <si>
    <t>05-Jun FACTURA  6142--A</t>
  </si>
  <si>
    <t>05-Jun FACTURA  6143-A</t>
  </si>
  <si>
    <t>05-Jun FACTURA  6215-A</t>
  </si>
  <si>
    <t>05-Jun FACTURA  6217-A</t>
  </si>
  <si>
    <t>05-Jun FACTURA  6294-A</t>
  </si>
  <si>
    <t>06-Jun FACTURA 6337-A</t>
  </si>
  <si>
    <t xml:space="preserve">03-Jun---06-Jun </t>
  </si>
  <si>
    <t>firmo nlp  SUSTITUIDA 23687 01-Jun</t>
  </si>
  <si>
    <t>09-Jun FACTURA 6349-A</t>
  </si>
  <si>
    <t>09-Jun FACTURA   6383-A</t>
  </si>
  <si>
    <t>09-Jun FACTURA  6384-A</t>
  </si>
  <si>
    <t xml:space="preserve">16-May ---10-Jun </t>
  </si>
  <si>
    <t>29-May---10-Jun</t>
  </si>
  <si>
    <t xml:space="preserve">07-Jun--12-Jun </t>
  </si>
  <si>
    <t>13-Jun FACTURA 6214-A</t>
  </si>
  <si>
    <t>13-Jun FACTURA 6218-A</t>
  </si>
  <si>
    <t>13-Jun FACTURA  6293-A</t>
  </si>
  <si>
    <t>13-Jun FACTURA  6290-A</t>
  </si>
  <si>
    <t>13-Jun FACTURA 6292-A</t>
  </si>
  <si>
    <t xml:space="preserve">16-May ---29-May ---17-Jun  </t>
  </si>
  <si>
    <t xml:space="preserve">16-Mayo --17-Jun </t>
  </si>
  <si>
    <t xml:space="preserve">29-May--17-Jun </t>
  </si>
  <si>
    <t>10-Jun Folio 1501</t>
  </si>
  <si>
    <t>10-Jun--18-Jun</t>
  </si>
  <si>
    <t>20-Junio FACTURA 5907-A</t>
  </si>
  <si>
    <t>20-Junio FACTURA  6133-A</t>
  </si>
  <si>
    <t xml:space="preserve">02-Jun ---20-Jun </t>
  </si>
  <si>
    <t xml:space="preserve">02-Jun --05-Jun --10-jun --17-Jun --24-Jun </t>
  </si>
  <si>
    <t>27-Junio FACTURA 6404 A</t>
  </si>
  <si>
    <t>07-May --14-May --02--Jun --08-Jun--29-Jun</t>
  </si>
  <si>
    <t>29-Jun FACTURA 6243-A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</si>
</sst>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$-80A]#,##0.00"/>
    <numFmt numFmtId="165" formatCode="[$-C0A]dd\-mmm\-yy;@"/>
    <numFmt numFmtId="166" formatCode="[$-C0A]d\-mmm\-yy;@"/>
    <numFmt numFmtId="167" formatCode="&quot;$&quot;#,##0.00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u/>
      <sz val="11"/>
      <color rgb="FF0000FF"/>
      <name val="Cambria"/>
      <family val="1"/>
      <scheme val="major"/>
    </font>
    <font>
      <b/>
      <sz val="11"/>
      <color theme="1"/>
      <name val="Calibri"/>
      <family val="2"/>
    </font>
    <font>
      <b/>
      <sz val="11"/>
      <color indexed="8"/>
      <name val="Calibri"/>
      <family val="2"/>
    </font>
    <font>
      <b/>
      <sz val="11"/>
      <color rgb="FFFF0000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indexed="8"/>
      <name val="Calibri"/>
      <family val="2"/>
    </font>
    <font>
      <b/>
      <sz val="10"/>
      <color theme="1"/>
      <name val="Calibri"/>
      <family val="2"/>
    </font>
    <font>
      <b/>
      <sz val="8"/>
      <color rgb="FF0000FF"/>
      <name val="Calibri"/>
      <family val="2"/>
      <scheme val="minor"/>
    </font>
    <font>
      <b/>
      <i/>
      <u/>
      <sz val="11"/>
      <color rgb="FF00B0F0"/>
      <name val="Cambria"/>
      <family val="1"/>
      <scheme val="major"/>
    </font>
    <font>
      <b/>
      <i/>
      <u/>
      <sz val="11"/>
      <color theme="1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0000FF"/>
      <name val="Calibri"/>
      <family val="2"/>
    </font>
    <font>
      <b/>
      <sz val="9"/>
      <color rgb="FF0000FF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rgb="FF0000CC"/>
      <name val="Calibri"/>
      <family val="2"/>
    </font>
    <font>
      <b/>
      <sz val="9"/>
      <color rgb="FFFF0000"/>
      <name val="Calibri"/>
      <family val="2"/>
    </font>
    <font>
      <sz val="11"/>
      <color theme="1"/>
      <name val="Calibri"/>
      <family val="2"/>
    </font>
    <font>
      <b/>
      <sz val="10"/>
      <color rgb="FF0000CC"/>
      <name val="Calibri"/>
      <family val="2"/>
      <scheme val="minor"/>
    </font>
    <font>
      <b/>
      <u/>
      <sz val="10"/>
      <color rgb="FF0000CC"/>
      <name val="Calibri"/>
      <family val="2"/>
      <scheme val="minor"/>
    </font>
    <font>
      <b/>
      <sz val="8"/>
      <color rgb="FF0000FF"/>
      <name val="Calibri"/>
      <family val="2"/>
    </font>
    <font>
      <b/>
      <sz val="10"/>
      <color theme="1"/>
      <name val="Calibri"/>
      <family val="2"/>
      <scheme val="minor"/>
    </font>
    <font>
      <b/>
      <sz val="11"/>
      <color rgb="FFFF3300"/>
      <name val="Calibri"/>
      <family val="2"/>
    </font>
    <font>
      <b/>
      <sz val="11"/>
      <color theme="9" tint="-0.499984740745262"/>
      <name val="Calibri"/>
      <family val="2"/>
      <scheme val="minor"/>
    </font>
    <font>
      <b/>
      <sz val="11"/>
      <color theme="9" tint="-0.499984740745262"/>
      <name val="Calibri"/>
      <family val="2"/>
    </font>
    <font>
      <b/>
      <sz val="10"/>
      <color rgb="FFFF0000"/>
      <name val="Calibri"/>
      <family val="2"/>
    </font>
    <font>
      <b/>
      <i/>
      <sz val="14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2CF43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22">
    <xf numFmtId="0" fontId="0" fillId="0" borderId="0" xfId="0"/>
    <xf numFmtId="164" fontId="3" fillId="3" borderId="1" xfId="0" applyNumberFormat="1" applyFont="1" applyFill="1" applyBorder="1" applyAlignment="1">
      <alignment horizontal="center"/>
    </xf>
    <xf numFmtId="0" fontId="2" fillId="0" borderId="1" xfId="0" applyFont="1" applyFill="1" applyBorder="1"/>
    <xf numFmtId="0" fontId="2" fillId="0" borderId="0" xfId="0" applyFont="1"/>
    <xf numFmtId="0" fontId="2" fillId="0" borderId="0" xfId="0" applyFont="1" applyFill="1"/>
    <xf numFmtId="165" fontId="2" fillId="0" borderId="2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164" fontId="2" fillId="0" borderId="2" xfId="0" applyNumberFormat="1" applyFont="1" applyBorder="1" applyAlignment="1">
      <alignment horizontal="center"/>
    </xf>
    <xf numFmtId="166" fontId="2" fillId="0" borderId="3" xfId="0" applyNumberFormat="1" applyFont="1" applyFill="1" applyBorder="1" applyAlignment="1">
      <alignment horizontal="center" vertical="center" wrapText="1"/>
    </xf>
    <xf numFmtId="164" fontId="2" fillId="4" borderId="4" xfId="0" applyNumberFormat="1" applyFont="1" applyFill="1" applyBorder="1" applyAlignment="1">
      <alignment horizontal="center" wrapText="1"/>
    </xf>
    <xf numFmtId="0" fontId="3" fillId="0" borderId="5" xfId="0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9" fillId="0" borderId="6" xfId="0" applyFont="1" applyFill="1" applyBorder="1"/>
    <xf numFmtId="167" fontId="9" fillId="0" borderId="6" xfId="0" applyNumberFormat="1" applyFont="1" applyFill="1" applyBorder="1"/>
    <xf numFmtId="165" fontId="2" fillId="0" borderId="7" xfId="0" applyNumberFormat="1" applyFont="1" applyFill="1" applyBorder="1"/>
    <xf numFmtId="167" fontId="9" fillId="0" borderId="7" xfId="0" applyNumberFormat="1" applyFont="1" applyFill="1" applyBorder="1"/>
    <xf numFmtId="167" fontId="2" fillId="0" borderId="8" xfId="0" applyNumberFormat="1" applyFont="1" applyFill="1" applyBorder="1"/>
    <xf numFmtId="0" fontId="10" fillId="0" borderId="6" xfId="0" applyFont="1" applyBorder="1"/>
    <xf numFmtId="165" fontId="2" fillId="0" borderId="6" xfId="0" applyNumberFormat="1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167" fontId="9" fillId="0" borderId="9" xfId="0" applyNumberFormat="1" applyFont="1" applyFill="1" applyBorder="1"/>
    <xf numFmtId="165" fontId="2" fillId="0" borderId="0" xfId="0" applyNumberFormat="1" applyFont="1" applyFill="1" applyBorder="1"/>
    <xf numFmtId="167" fontId="9" fillId="0" borderId="0" xfId="0" applyNumberFormat="1" applyFont="1" applyFill="1" applyBorder="1"/>
    <xf numFmtId="167" fontId="2" fillId="0" borderId="10" xfId="0" applyNumberFormat="1" applyFont="1" applyFill="1" applyBorder="1"/>
    <xf numFmtId="0" fontId="11" fillId="0" borderId="6" xfId="0" applyFont="1" applyFill="1" applyBorder="1"/>
    <xf numFmtId="167" fontId="11" fillId="0" borderId="9" xfId="0" applyNumberFormat="1" applyFont="1" applyFill="1" applyBorder="1"/>
    <xf numFmtId="0" fontId="2" fillId="0" borderId="0" xfId="0" applyFont="1" applyFill="1" applyBorder="1"/>
    <xf numFmtId="165" fontId="12" fillId="0" borderId="0" xfId="0" applyNumberFormat="1" applyFont="1" applyFill="1" applyBorder="1"/>
    <xf numFmtId="165" fontId="4" fillId="0" borderId="0" xfId="0" applyNumberFormat="1" applyFont="1" applyFill="1" applyBorder="1"/>
    <xf numFmtId="167" fontId="10" fillId="0" borderId="10" xfId="0" applyNumberFormat="1" applyFont="1" applyFill="1" applyBorder="1"/>
    <xf numFmtId="167" fontId="10" fillId="0" borderId="11" xfId="0" applyNumberFormat="1" applyFont="1" applyFill="1" applyBorder="1"/>
    <xf numFmtId="164" fontId="9" fillId="0" borderId="0" xfId="0" applyNumberFormat="1" applyFont="1" applyFill="1" applyBorder="1"/>
    <xf numFmtId="16" fontId="9" fillId="0" borderId="6" xfId="0" applyNumberFormat="1" applyFont="1" applyFill="1" applyBorder="1" applyAlignment="1">
      <alignment horizontal="left" wrapText="1"/>
    </xf>
    <xf numFmtId="44" fontId="9" fillId="0" borderId="6" xfId="1" applyFont="1" applyFill="1" applyBorder="1" applyAlignment="1">
      <alignment horizontal="center" wrapText="1"/>
    </xf>
    <xf numFmtId="44" fontId="9" fillId="0" borderId="7" xfId="1" applyFont="1" applyFill="1" applyBorder="1" applyAlignment="1">
      <alignment horizontal="center" wrapText="1"/>
    </xf>
    <xf numFmtId="44" fontId="9" fillId="0" borderId="9" xfId="1" applyFont="1" applyFill="1" applyBorder="1" applyAlignment="1">
      <alignment horizontal="center" wrapText="1"/>
    </xf>
    <xf numFmtId="44" fontId="9" fillId="0" borderId="0" xfId="1" applyFont="1" applyFill="1" applyBorder="1" applyAlignment="1">
      <alignment horizontal="center" wrapText="1"/>
    </xf>
    <xf numFmtId="0" fontId="10" fillId="0" borderId="6" xfId="0" applyFont="1" applyFill="1" applyBorder="1"/>
    <xf numFmtId="14" fontId="2" fillId="0" borderId="6" xfId="0" applyNumberFormat="1" applyFont="1" applyFill="1" applyBorder="1"/>
    <xf numFmtId="167" fontId="2" fillId="0" borderId="6" xfId="0" applyNumberFormat="1" applyFont="1" applyBorder="1"/>
    <xf numFmtId="44" fontId="2" fillId="0" borderId="0" xfId="1" applyFont="1"/>
    <xf numFmtId="44" fontId="2" fillId="0" borderId="0" xfId="1" applyFont="1" applyFill="1"/>
    <xf numFmtId="14" fontId="13" fillId="0" borderId="6" xfId="0" applyNumberFormat="1" applyFont="1" applyFill="1" applyBorder="1"/>
    <xf numFmtId="165" fontId="13" fillId="0" borderId="0" xfId="0" applyNumberFormat="1" applyFont="1" applyFill="1" applyBorder="1"/>
    <xf numFmtId="167" fontId="2" fillId="0" borderId="0" xfId="0" applyNumberFormat="1" applyFont="1" applyFill="1" applyBorder="1"/>
    <xf numFmtId="165" fontId="14" fillId="0" borderId="0" xfId="0" applyNumberFormat="1" applyFont="1" applyFill="1" applyBorder="1"/>
    <xf numFmtId="167" fontId="9" fillId="0" borderId="10" xfId="0" applyNumberFormat="1" applyFont="1" applyFill="1" applyBorder="1"/>
    <xf numFmtId="167" fontId="2" fillId="0" borderId="0" xfId="0" applyNumberFormat="1" applyFont="1" applyFill="1"/>
    <xf numFmtId="16" fontId="9" fillId="0" borderId="6" xfId="0" applyNumberFormat="1" applyFont="1" applyFill="1" applyBorder="1"/>
    <xf numFmtId="165" fontId="2" fillId="0" borderId="0" xfId="0" applyNumberFormat="1" applyFont="1" applyFill="1" applyBorder="1" applyAlignment="1">
      <alignment wrapText="1"/>
    </xf>
    <xf numFmtId="165" fontId="2" fillId="5" borderId="0" xfId="0" applyNumberFormat="1" applyFont="1" applyFill="1" applyBorder="1"/>
    <xf numFmtId="167" fontId="9" fillId="5" borderId="0" xfId="0" applyNumberFormat="1" applyFont="1" applyFill="1" applyBorder="1"/>
    <xf numFmtId="167" fontId="9" fillId="6" borderId="0" xfId="0" applyNumberFormat="1" applyFont="1" applyFill="1" applyBorder="1"/>
    <xf numFmtId="167" fontId="10" fillId="6" borderId="10" xfId="0" applyNumberFormat="1" applyFont="1" applyFill="1" applyBorder="1"/>
    <xf numFmtId="0" fontId="2" fillId="0" borderId="6" xfId="0" applyFont="1" applyFill="1" applyBorder="1"/>
    <xf numFmtId="167" fontId="10" fillId="0" borderId="6" xfId="0" applyNumberFormat="1" applyFont="1" applyBorder="1"/>
    <xf numFmtId="0" fontId="15" fillId="0" borderId="0" xfId="0" applyFont="1" applyFill="1" applyBorder="1" applyAlignment="1"/>
    <xf numFmtId="165" fontId="2" fillId="0" borderId="7" xfId="0" applyNumberFormat="1" applyFont="1" applyFill="1" applyBorder="1" applyAlignment="1">
      <alignment horizontal="center"/>
    </xf>
    <xf numFmtId="0" fontId="16" fillId="0" borderId="6" xfId="0" applyFont="1" applyFill="1" applyBorder="1"/>
    <xf numFmtId="167" fontId="10" fillId="0" borderId="0" xfId="0" applyNumberFormat="1" applyFont="1" applyFill="1"/>
    <xf numFmtId="0" fontId="2" fillId="0" borderId="6" xfId="0" applyFont="1" applyBorder="1"/>
    <xf numFmtId="167" fontId="2" fillId="0" borderId="9" xfId="0" applyNumberFormat="1" applyFont="1" applyFill="1" applyBorder="1"/>
    <xf numFmtId="0" fontId="2" fillId="0" borderId="10" xfId="0" applyFont="1" applyFill="1" applyBorder="1"/>
    <xf numFmtId="166" fontId="2" fillId="0" borderId="0" xfId="0" applyNumberFormat="1" applyFont="1" applyFill="1" applyBorder="1"/>
    <xf numFmtId="166" fontId="12" fillId="0" borderId="0" xfId="0" applyNumberFormat="1" applyFont="1" applyFill="1" applyBorder="1"/>
    <xf numFmtId="166" fontId="17" fillId="0" borderId="0" xfId="0" applyNumberFormat="1" applyFont="1" applyFill="1" applyBorder="1"/>
    <xf numFmtId="167" fontId="2" fillId="0" borderId="6" xfId="0" applyNumberFormat="1" applyFont="1" applyFill="1" applyBorder="1"/>
    <xf numFmtId="165" fontId="9" fillId="0" borderId="0" xfId="0" applyNumberFormat="1" applyFont="1" applyFill="1" applyBorder="1"/>
    <xf numFmtId="167" fontId="11" fillId="0" borderId="6" xfId="0" applyNumberFormat="1" applyFont="1" applyFill="1" applyBorder="1"/>
    <xf numFmtId="167" fontId="13" fillId="0" borderId="9" xfId="0" applyNumberFormat="1" applyFont="1" applyFill="1" applyBorder="1"/>
    <xf numFmtId="165" fontId="2" fillId="0" borderId="0" xfId="0" applyNumberFormat="1" applyFont="1" applyFill="1" applyBorder="1" applyAlignment="1">
      <alignment horizontal="right"/>
    </xf>
    <xf numFmtId="166" fontId="13" fillId="0" borderId="0" xfId="0" applyNumberFormat="1" applyFont="1" applyFill="1" applyBorder="1"/>
    <xf numFmtId="166" fontId="4" fillId="0" borderId="0" xfId="0" applyNumberFormat="1" applyFont="1" applyFill="1" applyBorder="1"/>
    <xf numFmtId="0" fontId="18" fillId="2" borderId="9" xfId="0" applyFont="1" applyFill="1" applyBorder="1" applyAlignment="1">
      <alignment horizontal="center"/>
    </xf>
    <xf numFmtId="0" fontId="9" fillId="2" borderId="6" xfId="0" applyFont="1" applyFill="1" applyBorder="1"/>
    <xf numFmtId="0" fontId="19" fillId="0" borderId="6" xfId="0" applyFont="1" applyFill="1" applyBorder="1" applyAlignment="1">
      <alignment horizontal="center"/>
    </xf>
    <xf numFmtId="164" fontId="2" fillId="0" borderId="0" xfId="0" applyNumberFormat="1" applyFont="1" applyFill="1" applyBorder="1"/>
    <xf numFmtId="0" fontId="20" fillId="0" borderId="6" xfId="0" applyFont="1" applyFill="1" applyBorder="1"/>
    <xf numFmtId="164" fontId="2" fillId="0" borderId="6" xfId="0" applyNumberFormat="1" applyFont="1" applyFill="1" applyBorder="1"/>
    <xf numFmtId="166" fontId="2" fillId="0" borderId="6" xfId="0" applyNumberFormat="1" applyFont="1" applyFill="1" applyBorder="1"/>
    <xf numFmtId="165" fontId="2" fillId="3" borderId="0" xfId="0" applyNumberFormat="1" applyFont="1" applyFill="1" applyAlignment="1">
      <alignment horizontal="center"/>
    </xf>
    <xf numFmtId="0" fontId="4" fillId="3" borderId="0" xfId="0" applyFont="1" applyFill="1"/>
    <xf numFmtId="0" fontId="2" fillId="3" borderId="0" xfId="0" applyFont="1" applyFill="1"/>
    <xf numFmtId="164" fontId="2" fillId="3" borderId="12" xfId="0" applyNumberFormat="1" applyFont="1" applyFill="1" applyBorder="1"/>
    <xf numFmtId="166" fontId="2" fillId="3" borderId="0" xfId="0" applyNumberFormat="1" applyFont="1" applyFill="1" applyAlignment="1"/>
    <xf numFmtId="7" fontId="2" fillId="0" borderId="0" xfId="0" applyNumberFormat="1" applyFont="1" applyFill="1" applyBorder="1"/>
    <xf numFmtId="164" fontId="2" fillId="3" borderId="13" xfId="0" applyNumberFormat="1" applyFont="1" applyFill="1" applyBorder="1"/>
    <xf numFmtId="164" fontId="2" fillId="3" borderId="0" xfId="0" applyNumberFormat="1" applyFont="1" applyFill="1"/>
    <xf numFmtId="164" fontId="21" fillId="3" borderId="0" xfId="0" applyNumberFormat="1" applyFont="1" applyFill="1" applyAlignment="1">
      <alignment horizontal="center" wrapText="1"/>
    </xf>
    <xf numFmtId="164" fontId="20" fillId="3" borderId="0" xfId="0" applyNumberFormat="1" applyFont="1" applyFill="1" applyAlignment="1">
      <alignment horizontal="center" wrapText="1"/>
    </xf>
    <xf numFmtId="165" fontId="2" fillId="0" borderId="0" xfId="0" applyNumberFormat="1" applyFont="1" applyAlignment="1">
      <alignment horizontal="center"/>
    </xf>
    <xf numFmtId="0" fontId="4" fillId="0" borderId="0" xfId="0" applyFont="1"/>
    <xf numFmtId="164" fontId="2" fillId="0" borderId="0" xfId="0" applyNumberFormat="1" applyFont="1"/>
    <xf numFmtId="166" fontId="2" fillId="0" borderId="0" xfId="0" applyNumberFormat="1" applyFont="1" applyAlignment="1"/>
    <xf numFmtId="167" fontId="24" fillId="0" borderId="0" xfId="0" applyNumberFormat="1" applyFont="1" applyFill="1" applyBorder="1"/>
    <xf numFmtId="165" fontId="17" fillId="0" borderId="0" xfId="0" applyNumberFormat="1" applyFont="1" applyFill="1" applyBorder="1"/>
    <xf numFmtId="167" fontId="4" fillId="0" borderId="0" xfId="0" applyNumberFormat="1" applyFont="1" applyFill="1" applyBorder="1"/>
    <xf numFmtId="166" fontId="25" fillId="0" borderId="0" xfId="0" applyNumberFormat="1" applyFont="1" applyFill="1" applyBorder="1"/>
    <xf numFmtId="164" fontId="3" fillId="3" borderId="1" xfId="1" applyNumberFormat="1" applyFont="1" applyFill="1" applyBorder="1" applyAlignment="1">
      <alignment horizontal="center"/>
    </xf>
    <xf numFmtId="44" fontId="2" fillId="0" borderId="2" xfId="1" applyFont="1" applyBorder="1" applyAlignment="1">
      <alignment horizontal="center"/>
    </xf>
    <xf numFmtId="164" fontId="2" fillId="4" borderId="4" xfId="1" applyNumberFormat="1" applyFont="1" applyFill="1" applyBorder="1" applyAlignment="1">
      <alignment horizontal="center" wrapText="1"/>
    </xf>
    <xf numFmtId="44" fontId="9" fillId="0" borderId="6" xfId="1" applyFont="1" applyFill="1" applyBorder="1"/>
    <xf numFmtId="164" fontId="9" fillId="0" borderId="7" xfId="1" applyNumberFormat="1" applyFont="1" applyFill="1" applyBorder="1"/>
    <xf numFmtId="44" fontId="9" fillId="0" borderId="9" xfId="1" applyFont="1" applyFill="1" applyBorder="1"/>
    <xf numFmtId="164" fontId="9" fillId="0" borderId="0" xfId="1" applyNumberFormat="1" applyFont="1" applyFill="1" applyBorder="1"/>
    <xf numFmtId="44" fontId="2" fillId="0" borderId="0" xfId="1" applyFont="1" applyFill="1" applyBorder="1"/>
    <xf numFmtId="44" fontId="11" fillId="0" borderId="9" xfId="1" applyFont="1" applyFill="1" applyBorder="1"/>
    <xf numFmtId="164" fontId="9" fillId="0" borderId="0" xfId="1" applyNumberFormat="1" applyFont="1" applyFill="1" applyBorder="1" applyAlignment="1">
      <alignment horizontal="right" wrapText="1"/>
    </xf>
    <xf numFmtId="0" fontId="9" fillId="0" borderId="6" xfId="0" applyFont="1" applyFill="1" applyBorder="1" applyAlignment="1">
      <alignment horizontal="center"/>
    </xf>
    <xf numFmtId="164" fontId="9" fillId="5" borderId="0" xfId="1" applyNumberFormat="1" applyFont="1" applyFill="1" applyBorder="1"/>
    <xf numFmtId="14" fontId="12" fillId="0" borderId="6" xfId="0" applyNumberFormat="1" applyFont="1" applyFill="1" applyBorder="1"/>
    <xf numFmtId="1" fontId="2" fillId="0" borderId="6" xfId="0" applyNumberFormat="1" applyFont="1" applyFill="1" applyBorder="1" applyAlignment="1">
      <alignment horizontal="center"/>
    </xf>
    <xf numFmtId="164" fontId="9" fillId="6" borderId="0" xfId="1" applyNumberFormat="1" applyFont="1" applyFill="1" applyBorder="1"/>
    <xf numFmtId="0" fontId="26" fillId="0" borderId="6" xfId="0" applyFont="1" applyFill="1" applyBorder="1" applyAlignment="1">
      <alignment horizontal="center"/>
    </xf>
    <xf numFmtId="165" fontId="5" fillId="8" borderId="0" xfId="0" applyNumberFormat="1" applyFont="1" applyFill="1" applyBorder="1"/>
    <xf numFmtId="164" fontId="27" fillId="8" borderId="0" xfId="1" applyNumberFormat="1" applyFont="1" applyFill="1" applyBorder="1"/>
    <xf numFmtId="164" fontId="2" fillId="0" borderId="0" xfId="1" applyNumberFormat="1" applyFont="1" applyFill="1" applyBorder="1"/>
    <xf numFmtId="44" fontId="15" fillId="0" borderId="0" xfId="1" applyFont="1" applyFill="1" applyBorder="1" applyAlignment="1"/>
    <xf numFmtId="44" fontId="10" fillId="0" borderId="0" xfId="1" applyFont="1" applyFill="1"/>
    <xf numFmtId="44" fontId="9" fillId="2" borderId="9" xfId="1" applyFont="1" applyFill="1" applyBorder="1"/>
    <xf numFmtId="44" fontId="2" fillId="0" borderId="9" xfId="1" applyFont="1" applyFill="1" applyBorder="1"/>
    <xf numFmtId="44" fontId="2" fillId="0" borderId="10" xfId="1" applyFont="1" applyFill="1" applyBorder="1"/>
    <xf numFmtId="164" fontId="2" fillId="6" borderId="0" xfId="1" applyNumberFormat="1" applyFont="1" applyFill="1" applyBorder="1"/>
    <xf numFmtId="167" fontId="9" fillId="6" borderId="10" xfId="0" applyNumberFormat="1" applyFont="1" applyFill="1" applyBorder="1"/>
    <xf numFmtId="166" fontId="2" fillId="5" borderId="0" xfId="0" applyNumberFormat="1" applyFont="1" applyFill="1" applyBorder="1"/>
    <xf numFmtId="0" fontId="28" fillId="0" borderId="6" xfId="0" applyFont="1" applyFill="1" applyBorder="1"/>
    <xf numFmtId="44" fontId="13" fillId="0" borderId="9" xfId="1" applyFont="1" applyFill="1" applyBorder="1"/>
    <xf numFmtId="0" fontId="9" fillId="9" borderId="6" xfId="0" applyFont="1" applyFill="1" applyBorder="1"/>
    <xf numFmtId="44" fontId="9" fillId="9" borderId="9" xfId="1" applyFont="1" applyFill="1" applyBorder="1"/>
    <xf numFmtId="165" fontId="12" fillId="0" borderId="0" xfId="0" applyNumberFormat="1" applyFont="1" applyFill="1" applyBorder="1" applyAlignment="1">
      <alignment horizontal="right"/>
    </xf>
    <xf numFmtId="0" fontId="10" fillId="0" borderId="0" xfId="0" applyFont="1" applyFill="1" applyBorder="1"/>
    <xf numFmtId="44" fontId="2" fillId="0" borderId="6" xfId="1" applyFont="1" applyFill="1" applyBorder="1"/>
    <xf numFmtId="164" fontId="2" fillId="0" borderId="6" xfId="1" applyNumberFormat="1" applyFont="1" applyFill="1" applyBorder="1"/>
    <xf numFmtId="44" fontId="2" fillId="3" borderId="12" xfId="1" applyFont="1" applyFill="1" applyBorder="1"/>
    <xf numFmtId="164" fontId="2" fillId="3" borderId="12" xfId="1" applyNumberFormat="1" applyFont="1" applyFill="1" applyBorder="1"/>
    <xf numFmtId="44" fontId="2" fillId="3" borderId="13" xfId="1" applyFont="1" applyFill="1" applyBorder="1"/>
    <xf numFmtId="164" fontId="2" fillId="3" borderId="13" xfId="1" applyNumberFormat="1" applyFont="1" applyFill="1" applyBorder="1"/>
    <xf numFmtId="44" fontId="2" fillId="3" borderId="0" xfId="1" applyFont="1" applyFill="1"/>
    <xf numFmtId="164" fontId="2" fillId="3" borderId="0" xfId="1" applyNumberFormat="1" applyFont="1" applyFill="1"/>
    <xf numFmtId="44" fontId="21" fillId="3" borderId="0" xfId="1" applyFont="1" applyFill="1" applyAlignment="1">
      <alignment horizontal="center" wrapText="1"/>
    </xf>
    <xf numFmtId="164" fontId="20" fillId="3" borderId="0" xfId="1" applyNumberFormat="1" applyFont="1" applyFill="1" applyAlignment="1">
      <alignment horizontal="center" wrapText="1"/>
    </xf>
    <xf numFmtId="164" fontId="2" fillId="0" borderId="0" xfId="1" applyNumberFormat="1" applyFont="1"/>
    <xf numFmtId="164" fontId="24" fillId="0" borderId="0" xfId="1" applyNumberFormat="1" applyFont="1" applyFill="1" applyBorder="1"/>
    <xf numFmtId="164" fontId="4" fillId="0" borderId="0" xfId="1" applyNumberFormat="1" applyFont="1" applyFill="1" applyBorder="1"/>
    <xf numFmtId="1" fontId="2" fillId="0" borderId="6" xfId="0" applyNumberFormat="1" applyFont="1" applyFill="1" applyBorder="1" applyAlignment="1">
      <alignment horizontal="left"/>
    </xf>
    <xf numFmtId="0" fontId="29" fillId="0" borderId="6" xfId="0" applyFont="1" applyFill="1" applyBorder="1" applyAlignment="1">
      <alignment horizontal="left"/>
    </xf>
    <xf numFmtId="0" fontId="9" fillId="10" borderId="6" xfId="0" applyFont="1" applyFill="1" applyBorder="1"/>
    <xf numFmtId="44" fontId="9" fillId="10" borderId="9" xfId="1" applyFont="1" applyFill="1" applyBorder="1"/>
    <xf numFmtId="0" fontId="9" fillId="0" borderId="6" xfId="0" applyFont="1" applyFill="1" applyBorder="1" applyAlignment="1">
      <alignment horizontal="left"/>
    </xf>
    <xf numFmtId="167" fontId="9" fillId="0" borderId="6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44" fontId="11" fillId="0" borderId="6" xfId="1" applyFont="1" applyFill="1" applyBorder="1"/>
    <xf numFmtId="166" fontId="4" fillId="5" borderId="0" xfId="0" applyNumberFormat="1" applyFont="1" applyFill="1" applyBorder="1"/>
    <xf numFmtId="164" fontId="24" fillId="5" borderId="0" xfId="1" applyNumberFormat="1" applyFont="1" applyFill="1" applyBorder="1"/>
    <xf numFmtId="165" fontId="4" fillId="5" borderId="0" xfId="0" applyNumberFormat="1" applyFont="1" applyFill="1" applyBorder="1"/>
    <xf numFmtId="0" fontId="9" fillId="5" borderId="6" xfId="0" applyFont="1" applyFill="1" applyBorder="1"/>
    <xf numFmtId="0" fontId="2" fillId="3" borderId="0" xfId="0" applyFont="1" applyFill="1" applyAlignment="1">
      <alignment horizontal="center"/>
    </xf>
    <xf numFmtId="0" fontId="20" fillId="11" borderId="14" xfId="0" applyFont="1" applyFill="1" applyBorder="1"/>
    <xf numFmtId="164" fontId="4" fillId="5" borderId="0" xfId="1" applyNumberFormat="1" applyFont="1" applyFill="1" applyBorder="1"/>
    <xf numFmtId="0" fontId="2" fillId="10" borderId="6" xfId="0" applyFont="1" applyFill="1" applyBorder="1"/>
    <xf numFmtId="0" fontId="2" fillId="10" borderId="0" xfId="0" applyFont="1" applyFill="1"/>
    <xf numFmtId="44" fontId="2" fillId="10" borderId="10" xfId="1" applyFont="1" applyFill="1" applyBorder="1"/>
    <xf numFmtId="164" fontId="9" fillId="0" borderId="0" xfId="1" applyNumberFormat="1" applyFont="1" applyFill="1" applyBorder="1" applyAlignment="1"/>
    <xf numFmtId="166" fontId="2" fillId="0" borderId="15" xfId="0" applyNumberFormat="1" applyFont="1" applyFill="1" applyBorder="1" applyAlignment="1">
      <alignment horizontal="center" vertical="center" wrapText="1"/>
    </xf>
    <xf numFmtId="164" fontId="2" fillId="4" borderId="11" xfId="1" applyNumberFormat="1" applyFont="1" applyFill="1" applyBorder="1" applyAlignment="1">
      <alignment horizontal="center" wrapText="1"/>
    </xf>
    <xf numFmtId="165" fontId="2" fillId="0" borderId="6" xfId="0" applyNumberFormat="1" applyFont="1" applyFill="1" applyBorder="1"/>
    <xf numFmtId="164" fontId="9" fillId="0" borderId="6" xfId="1" applyNumberFormat="1" applyFont="1" applyFill="1" applyBorder="1"/>
    <xf numFmtId="165" fontId="24" fillId="0" borderId="6" xfId="0" applyNumberFormat="1" applyFont="1" applyFill="1" applyBorder="1"/>
    <xf numFmtId="164" fontId="4" fillId="0" borderId="6" xfId="1" applyNumberFormat="1" applyFont="1" applyFill="1" applyBorder="1"/>
    <xf numFmtId="0" fontId="2" fillId="11" borderId="0" xfId="0" applyFont="1" applyFill="1"/>
    <xf numFmtId="165" fontId="12" fillId="0" borderId="6" xfId="0" applyNumberFormat="1" applyFont="1" applyFill="1" applyBorder="1"/>
    <xf numFmtId="0" fontId="30" fillId="0" borderId="2" xfId="0" applyFont="1" applyBorder="1" applyAlignment="1">
      <alignment horizontal="center" wrapText="1"/>
    </xf>
    <xf numFmtId="0" fontId="2" fillId="12" borderId="0" xfId="0" applyFont="1" applyFill="1"/>
    <xf numFmtId="167" fontId="2" fillId="0" borderId="9" xfId="0" applyNumberFormat="1" applyFont="1" applyBorder="1"/>
    <xf numFmtId="0" fontId="10" fillId="0" borderId="9" xfId="0" applyFont="1" applyBorder="1"/>
    <xf numFmtId="0" fontId="10" fillId="0" borderId="9" xfId="0" applyFont="1" applyFill="1" applyBorder="1"/>
    <xf numFmtId="0" fontId="2" fillId="0" borderId="9" xfId="0" applyFont="1" applyBorder="1"/>
    <xf numFmtId="0" fontId="2" fillId="0" borderId="9" xfId="0" applyFont="1" applyFill="1" applyBorder="1"/>
    <xf numFmtId="0" fontId="2" fillId="0" borderId="0" xfId="0" applyFont="1" applyBorder="1"/>
    <xf numFmtId="165" fontId="32" fillId="0" borderId="6" xfId="0" applyNumberFormat="1" applyFont="1" applyFill="1" applyBorder="1"/>
    <xf numFmtId="165" fontId="4" fillId="0" borderId="7" xfId="0" applyNumberFormat="1" applyFont="1" applyFill="1" applyBorder="1"/>
    <xf numFmtId="0" fontId="19" fillId="0" borderId="9" xfId="0" applyFont="1" applyFill="1" applyBorder="1" applyAlignment="1">
      <alignment horizontal="center"/>
    </xf>
    <xf numFmtId="165" fontId="33" fillId="0" borderId="0" xfId="0" applyNumberFormat="1" applyFont="1" applyFill="1" applyBorder="1"/>
    <xf numFmtId="0" fontId="11" fillId="0" borderId="6" xfId="0" applyFont="1" applyFill="1" applyBorder="1" applyAlignment="1">
      <alignment horizontal="left"/>
    </xf>
    <xf numFmtId="166" fontId="2" fillId="0" borderId="0" xfId="0" applyNumberFormat="1" applyFont="1" applyFill="1" applyBorder="1" applyAlignment="1">
      <alignment horizontal="right"/>
    </xf>
    <xf numFmtId="0" fontId="34" fillId="0" borderId="6" xfId="0" applyFont="1" applyFill="1" applyBorder="1"/>
    <xf numFmtId="44" fontId="34" fillId="0" borderId="9" xfId="1" applyFont="1" applyFill="1" applyBorder="1"/>
    <xf numFmtId="164" fontId="24" fillId="6" borderId="0" xfId="1" applyNumberFormat="1" applyFont="1" applyFill="1" applyBorder="1"/>
    <xf numFmtId="167" fontId="24" fillId="0" borderId="10" xfId="0" applyNumberFormat="1" applyFont="1" applyFill="1" applyBorder="1"/>
    <xf numFmtId="165" fontId="32" fillId="0" borderId="0" xfId="0" applyNumberFormat="1" applyFont="1" applyFill="1" applyBorder="1"/>
    <xf numFmtId="167" fontId="24" fillId="13" borderId="0" xfId="0" applyNumberFormat="1" applyFont="1" applyFill="1" applyBorder="1"/>
    <xf numFmtId="167" fontId="10" fillId="13" borderId="10" xfId="0" applyNumberFormat="1" applyFont="1" applyFill="1" applyBorder="1"/>
    <xf numFmtId="165" fontId="4" fillId="0" borderId="0" xfId="0" applyNumberFormat="1" applyFont="1" applyFill="1" applyBorder="1" applyAlignment="1">
      <alignment horizontal="right"/>
    </xf>
    <xf numFmtId="165" fontId="17" fillId="0" borderId="0" xfId="0" applyNumberFormat="1" applyFont="1" applyFill="1" applyBorder="1" applyAlignment="1">
      <alignment horizontal="center"/>
    </xf>
    <xf numFmtId="165" fontId="35" fillId="0" borderId="0" xfId="0" applyNumberFormat="1" applyFont="1" applyFill="1" applyBorder="1"/>
    <xf numFmtId="164" fontId="36" fillId="0" borderId="0" xfId="1" applyNumberFormat="1" applyFont="1" applyFill="1" applyBorder="1"/>
    <xf numFmtId="165" fontId="4" fillId="0" borderId="6" xfId="0" applyNumberFormat="1" applyFont="1" applyFill="1" applyBorder="1"/>
    <xf numFmtId="164" fontId="24" fillId="0" borderId="6" xfId="1" applyNumberFormat="1" applyFont="1" applyFill="1" applyBorder="1"/>
    <xf numFmtId="166" fontId="4" fillId="0" borderId="6" xfId="0" applyNumberFormat="1" applyFont="1" applyFill="1" applyBorder="1"/>
    <xf numFmtId="0" fontId="37" fillId="0" borderId="6" xfId="0" applyFont="1" applyFill="1" applyBorder="1"/>
    <xf numFmtId="0" fontId="2" fillId="0" borderId="6" xfId="0" applyNumberFormat="1" applyFont="1" applyFill="1" applyBorder="1" applyAlignment="1">
      <alignment horizontal="center"/>
    </xf>
    <xf numFmtId="3" fontId="9" fillId="0" borderId="6" xfId="0" applyNumberFormat="1" applyFont="1" applyFill="1" applyBorder="1" applyAlignment="1">
      <alignment horizontal="center"/>
    </xf>
    <xf numFmtId="16" fontId="11" fillId="0" borderId="6" xfId="0" applyNumberFormat="1" applyFont="1" applyFill="1" applyBorder="1" applyAlignment="1">
      <alignment horizontal="left" wrapText="1"/>
    </xf>
    <xf numFmtId="165" fontId="14" fillId="0" borderId="0" xfId="0" applyNumberFormat="1" applyFont="1" applyFill="1" applyBorder="1" applyAlignment="1">
      <alignment horizontal="center"/>
    </xf>
    <xf numFmtId="1" fontId="13" fillId="0" borderId="6" xfId="0" applyNumberFormat="1" applyFont="1" applyFill="1" applyBorder="1" applyAlignment="1">
      <alignment horizontal="left"/>
    </xf>
    <xf numFmtId="167" fontId="9" fillId="0" borderId="6" xfId="0" applyNumberFormat="1" applyFont="1" applyFill="1" applyBorder="1" applyAlignment="1">
      <alignment horizontal="left"/>
    </xf>
    <xf numFmtId="0" fontId="2" fillId="8" borderId="0" xfId="0" applyFont="1" applyFill="1"/>
    <xf numFmtId="0" fontId="10" fillId="0" borderId="0" xfId="0" applyFont="1" applyBorder="1"/>
    <xf numFmtId="167" fontId="2" fillId="0" borderId="0" xfId="0" applyNumberFormat="1" applyFont="1" applyBorder="1"/>
    <xf numFmtId="44" fontId="20" fillId="3" borderId="0" xfId="1" applyFont="1" applyFill="1" applyAlignment="1">
      <alignment horizontal="center" wrapText="1"/>
    </xf>
    <xf numFmtId="165" fontId="4" fillId="0" borderId="0" xfId="0" applyNumberFormat="1" applyFont="1" applyFill="1" applyBorder="1" applyAlignment="1">
      <alignment horizontal="center"/>
    </xf>
    <xf numFmtId="166" fontId="4" fillId="0" borderId="0" xfId="0" applyNumberFormat="1" applyFont="1" applyFill="1" applyBorder="1" applyAlignment="1">
      <alignment horizontal="center"/>
    </xf>
    <xf numFmtId="166" fontId="25" fillId="2" borderId="0" xfId="0" applyNumberFormat="1" applyFont="1" applyFill="1" applyBorder="1" applyAlignment="1">
      <alignment horizontal="center"/>
    </xf>
    <xf numFmtId="44" fontId="24" fillId="0" borderId="0" xfId="1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167" fontId="22" fillId="7" borderId="9" xfId="0" applyNumberFormat="1" applyFont="1" applyFill="1" applyBorder="1" applyAlignment="1">
      <alignment horizontal="center"/>
    </xf>
    <xf numFmtId="0" fontId="22" fillId="7" borderId="1" xfId="0" applyFont="1" applyFill="1" applyBorder="1" applyAlignment="1">
      <alignment horizontal="center"/>
    </xf>
    <xf numFmtId="0" fontId="23" fillId="3" borderId="0" xfId="0" applyFont="1" applyFill="1" applyAlignment="1">
      <alignment horizontal="center"/>
    </xf>
    <xf numFmtId="0" fontId="3" fillId="2" borderId="16" xfId="0" applyFont="1" applyFill="1" applyBorder="1" applyAlignment="1">
      <alignment horizontal="center"/>
    </xf>
    <xf numFmtId="0" fontId="38" fillId="3" borderId="0" xfId="0" applyFont="1" applyFill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0000FF"/>
      <color rgb="FF2CF431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2803</xdr:row>
      <xdr:rowOff>85727</xdr:rowOff>
    </xdr:from>
    <xdr:to>
      <xdr:col>5</xdr:col>
      <xdr:colOff>504829</xdr:colOff>
      <xdr:row>2805</xdr:row>
      <xdr:rowOff>71445</xdr:rowOff>
    </xdr:to>
    <xdr:sp macro="" textlink="">
      <xdr:nvSpPr>
        <xdr:cNvPr id="2" name="1 Abrir llave"/>
        <xdr:cNvSpPr/>
      </xdr:nvSpPr>
      <xdr:spPr>
        <a:xfrm rot="16200000">
          <a:off x="5093494" y="533554784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2803</xdr:row>
      <xdr:rowOff>85727</xdr:rowOff>
    </xdr:from>
    <xdr:to>
      <xdr:col>5</xdr:col>
      <xdr:colOff>504829</xdr:colOff>
      <xdr:row>2805</xdr:row>
      <xdr:rowOff>71445</xdr:rowOff>
    </xdr:to>
    <xdr:sp macro="" textlink="">
      <xdr:nvSpPr>
        <xdr:cNvPr id="3" name="2 Abrir llave"/>
        <xdr:cNvSpPr/>
      </xdr:nvSpPr>
      <xdr:spPr>
        <a:xfrm rot="16200000">
          <a:off x="5093494" y="533554784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2</xdr:col>
      <xdr:colOff>1685925</xdr:colOff>
      <xdr:row>2804</xdr:row>
      <xdr:rowOff>114300</xdr:rowOff>
    </xdr:from>
    <xdr:to>
      <xdr:col>3</xdr:col>
      <xdr:colOff>504827</xdr:colOff>
      <xdr:row>2806</xdr:row>
      <xdr:rowOff>190500</xdr:rowOff>
    </xdr:to>
    <xdr:cxnSp macro="">
      <xdr:nvCxnSpPr>
        <xdr:cNvPr id="5" name="4 Conector recto de flecha"/>
        <xdr:cNvCxnSpPr/>
      </xdr:nvCxnSpPr>
      <xdr:spPr>
        <a:xfrm flipH="1" flipV="1">
          <a:off x="3057525" y="534847800"/>
          <a:ext cx="876302" cy="476250"/>
        </a:xfrm>
        <a:prstGeom prst="straightConnector1">
          <a:avLst/>
        </a:prstGeom>
        <a:ln>
          <a:headEnd type="arrow"/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4" name="3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2824</xdr:row>
      <xdr:rowOff>85727</xdr:rowOff>
    </xdr:from>
    <xdr:to>
      <xdr:col>5</xdr:col>
      <xdr:colOff>504829</xdr:colOff>
      <xdr:row>2826</xdr:row>
      <xdr:rowOff>71445</xdr:rowOff>
    </xdr:to>
    <xdr:sp macro="" textlink="">
      <xdr:nvSpPr>
        <xdr:cNvPr id="5" name="4 Abrir llave"/>
        <xdr:cNvSpPr/>
      </xdr:nvSpPr>
      <xdr:spPr>
        <a:xfrm rot="16200000">
          <a:off x="5107781" y="53755052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0" name="9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1" name="10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2" name="11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15</xdr:col>
      <xdr:colOff>571501</xdr:colOff>
      <xdr:row>2829</xdr:row>
      <xdr:rowOff>85727</xdr:rowOff>
    </xdr:from>
    <xdr:to>
      <xdr:col>17</xdr:col>
      <xdr:colOff>504829</xdr:colOff>
      <xdr:row>2831</xdr:row>
      <xdr:rowOff>71445</xdr:rowOff>
    </xdr:to>
    <xdr:sp macro="" textlink="">
      <xdr:nvSpPr>
        <xdr:cNvPr id="13" name="12 Abrir llave"/>
        <xdr:cNvSpPr/>
      </xdr:nvSpPr>
      <xdr:spPr>
        <a:xfrm rot="16200000">
          <a:off x="4855369" y="6450809"/>
          <a:ext cx="366718" cy="20764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3035</xdr:row>
      <xdr:rowOff>85727</xdr:rowOff>
    </xdr:from>
    <xdr:to>
      <xdr:col>5</xdr:col>
      <xdr:colOff>504829</xdr:colOff>
      <xdr:row>3037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577726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3035</xdr:row>
      <xdr:rowOff>85727</xdr:rowOff>
    </xdr:from>
    <xdr:to>
      <xdr:col>5</xdr:col>
      <xdr:colOff>504829</xdr:colOff>
      <xdr:row>3037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577726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3045</xdr:row>
      <xdr:rowOff>85727</xdr:rowOff>
    </xdr:from>
    <xdr:to>
      <xdr:col>5</xdr:col>
      <xdr:colOff>504829</xdr:colOff>
      <xdr:row>3047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57963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3045</xdr:row>
      <xdr:rowOff>85727</xdr:rowOff>
    </xdr:from>
    <xdr:to>
      <xdr:col>5</xdr:col>
      <xdr:colOff>504829</xdr:colOff>
      <xdr:row>3047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5796319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3290</xdr:row>
      <xdr:rowOff>85727</xdr:rowOff>
    </xdr:from>
    <xdr:to>
      <xdr:col>5</xdr:col>
      <xdr:colOff>504829</xdr:colOff>
      <xdr:row>3292</xdr:row>
      <xdr:rowOff>71445</xdr:rowOff>
    </xdr:to>
    <xdr:sp macro="" textlink="">
      <xdr:nvSpPr>
        <xdr:cNvPr id="2" name="1 Abrir llave"/>
        <xdr:cNvSpPr/>
      </xdr:nvSpPr>
      <xdr:spPr>
        <a:xfrm rot="16200000">
          <a:off x="5107781" y="6266854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3290</xdr:row>
      <xdr:rowOff>85727</xdr:rowOff>
    </xdr:from>
    <xdr:to>
      <xdr:col>5</xdr:col>
      <xdr:colOff>504829</xdr:colOff>
      <xdr:row>3292</xdr:row>
      <xdr:rowOff>71445</xdr:rowOff>
    </xdr:to>
    <xdr:sp macro="" textlink="">
      <xdr:nvSpPr>
        <xdr:cNvPr id="3" name="2 Abrir llave"/>
        <xdr:cNvSpPr/>
      </xdr:nvSpPr>
      <xdr:spPr>
        <a:xfrm rot="16200000">
          <a:off x="5107781" y="626685472"/>
          <a:ext cx="366718" cy="25812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2" name="1 Abrir llave"/>
        <xdr:cNvSpPr/>
      </xdr:nvSpPr>
      <xdr:spPr>
        <a:xfrm rot="16200000">
          <a:off x="16413956" y="538083922"/>
          <a:ext cx="366718" cy="14573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3" name="2 Abrir llave"/>
        <xdr:cNvSpPr/>
      </xdr:nvSpPr>
      <xdr:spPr>
        <a:xfrm rot="16200000">
          <a:off x="16413956" y="538083922"/>
          <a:ext cx="366718" cy="14573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4" name="3 Abrir llave"/>
        <xdr:cNvSpPr/>
      </xdr:nvSpPr>
      <xdr:spPr>
        <a:xfrm rot="16200000">
          <a:off x="16413956" y="538083922"/>
          <a:ext cx="366718" cy="14573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3</xdr:col>
      <xdr:colOff>571501</xdr:colOff>
      <xdr:row>26</xdr:row>
      <xdr:rowOff>85727</xdr:rowOff>
    </xdr:from>
    <xdr:to>
      <xdr:col>5</xdr:col>
      <xdr:colOff>504829</xdr:colOff>
      <xdr:row>28</xdr:row>
      <xdr:rowOff>71445</xdr:rowOff>
    </xdr:to>
    <xdr:sp macro="" textlink="">
      <xdr:nvSpPr>
        <xdr:cNvPr id="5" name="4 Abrir llave"/>
        <xdr:cNvSpPr/>
      </xdr:nvSpPr>
      <xdr:spPr>
        <a:xfrm rot="16200000">
          <a:off x="16413956" y="538083922"/>
          <a:ext cx="366718" cy="14573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V2812"/>
  <sheetViews>
    <sheetView topLeftCell="A2864" workbookViewId="0">
      <selection activeCell="C2878" sqref="C2878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4.7109375" style="94" customWidth="1"/>
    <col min="5" max="5" width="24.5703125" style="95" customWidth="1"/>
    <col min="6" max="6" width="26.7109375" style="94" bestFit="1" customWidth="1"/>
    <col min="7" max="7" width="15.28515625" style="28" customWidth="1"/>
    <col min="8" max="8" width="11.42578125" style="3"/>
    <col min="9" max="10" width="11.42578125" style="4"/>
    <col min="11" max="11" width="15.140625" style="42" bestFit="1" customWidth="1"/>
    <col min="12" max="12" width="11.42578125" style="3"/>
    <col min="23" max="16384" width="11.42578125" style="3"/>
  </cols>
  <sheetData>
    <row r="1" spans="1:10" s="3" customFormat="1" ht="18.75" x14ac:dyDescent="0.3">
      <c r="A1" s="216" t="s">
        <v>0</v>
      </c>
      <c r="B1" s="216"/>
      <c r="C1" s="216"/>
      <c r="D1" s="216"/>
      <c r="E1" s="216"/>
      <c r="F1" s="1"/>
      <c r="G1" s="2"/>
      <c r="I1" s="4"/>
      <c r="J1" s="4"/>
    </row>
    <row r="2" spans="1:10" s="3" customFormat="1" ht="35.25" thickBot="1" x14ac:dyDescent="0.35">
      <c r="A2" s="5" t="s">
        <v>1</v>
      </c>
      <c r="B2" s="6" t="s">
        <v>2</v>
      </c>
      <c r="C2" s="7" t="s">
        <v>3</v>
      </c>
      <c r="D2" s="8" t="s">
        <v>4</v>
      </c>
      <c r="E2" s="9" t="s">
        <v>5</v>
      </c>
      <c r="F2" s="10" t="s">
        <v>6</v>
      </c>
      <c r="G2" s="11" t="s">
        <v>7</v>
      </c>
      <c r="I2" s="4"/>
      <c r="J2" s="4"/>
    </row>
    <row r="3" spans="1:10" s="3" customFormat="1" ht="15.75" thickTop="1" x14ac:dyDescent="0.25">
      <c r="A3" s="12">
        <v>42006</v>
      </c>
      <c r="B3" s="13">
        <v>7910</v>
      </c>
      <c r="C3" s="14" t="s">
        <v>8</v>
      </c>
      <c r="D3" s="15">
        <v>2726</v>
      </c>
      <c r="E3" s="16">
        <v>42006</v>
      </c>
      <c r="F3" s="17">
        <v>2726</v>
      </c>
      <c r="G3" s="18">
        <f t="shared" ref="G3:G66" si="0">D3-F3</f>
        <v>0</v>
      </c>
      <c r="H3" s="19" t="s">
        <v>9</v>
      </c>
      <c r="I3" s="4"/>
      <c r="J3" s="4"/>
    </row>
    <row r="4" spans="1:10" s="3" customFormat="1" x14ac:dyDescent="0.25">
      <c r="A4" s="20">
        <v>42006</v>
      </c>
      <c r="B4" s="21">
        <v>7911</v>
      </c>
      <c r="C4" s="14" t="s">
        <v>10</v>
      </c>
      <c r="D4" s="22">
        <v>4902.2</v>
      </c>
      <c r="E4" s="23">
        <v>42006</v>
      </c>
      <c r="F4" s="24">
        <v>4902.2</v>
      </c>
      <c r="G4" s="25">
        <f t="shared" si="0"/>
        <v>0</v>
      </c>
      <c r="H4" s="19" t="s">
        <v>9</v>
      </c>
      <c r="I4" s="4"/>
      <c r="J4" s="4"/>
    </row>
    <row r="5" spans="1:10" s="3" customFormat="1" x14ac:dyDescent="0.25">
      <c r="A5" s="12">
        <v>42006</v>
      </c>
      <c r="B5" s="21">
        <v>7912</v>
      </c>
      <c r="C5" s="14" t="s">
        <v>11</v>
      </c>
      <c r="D5" s="22">
        <v>14618.8</v>
      </c>
      <c r="E5" s="23">
        <v>42006</v>
      </c>
      <c r="F5" s="24">
        <v>14618.8</v>
      </c>
      <c r="G5" s="25">
        <f t="shared" si="0"/>
        <v>0</v>
      </c>
      <c r="H5" s="19" t="s">
        <v>9</v>
      </c>
      <c r="I5" s="4"/>
      <c r="J5" s="4"/>
    </row>
    <row r="6" spans="1:10" s="3" customFormat="1" x14ac:dyDescent="0.25">
      <c r="A6" s="20">
        <v>42006</v>
      </c>
      <c r="B6" s="21">
        <v>7913</v>
      </c>
      <c r="C6" s="26" t="s">
        <v>12</v>
      </c>
      <c r="D6" s="27">
        <v>0</v>
      </c>
      <c r="E6" s="23"/>
      <c r="F6" s="24"/>
      <c r="G6" s="25">
        <f t="shared" si="0"/>
        <v>0</v>
      </c>
      <c r="H6" s="19" t="s">
        <v>13</v>
      </c>
      <c r="I6" s="4"/>
      <c r="J6" s="4"/>
    </row>
    <row r="7" spans="1:10" s="3" customFormat="1" x14ac:dyDescent="0.25">
      <c r="A7" s="12">
        <v>42006</v>
      </c>
      <c r="B7" s="21">
        <v>7914</v>
      </c>
      <c r="C7" s="14" t="s">
        <v>14</v>
      </c>
      <c r="D7" s="22">
        <v>33318.449999999997</v>
      </c>
      <c r="E7" s="23">
        <v>42007</v>
      </c>
      <c r="F7" s="24">
        <v>33318.449999999997</v>
      </c>
      <c r="G7" s="25">
        <f t="shared" si="0"/>
        <v>0</v>
      </c>
      <c r="H7" s="19" t="s">
        <v>15</v>
      </c>
      <c r="I7" s="4"/>
      <c r="J7" s="4"/>
    </row>
    <row r="8" spans="1:10" s="3" customFormat="1" x14ac:dyDescent="0.25">
      <c r="A8" s="20">
        <v>42006</v>
      </c>
      <c r="B8" s="21">
        <v>7915</v>
      </c>
      <c r="C8" s="14" t="s">
        <v>16</v>
      </c>
      <c r="D8" s="22">
        <v>7744.4</v>
      </c>
      <c r="E8" s="23">
        <v>42006</v>
      </c>
      <c r="F8" s="24">
        <v>7744.4</v>
      </c>
      <c r="G8" s="25">
        <f t="shared" si="0"/>
        <v>0</v>
      </c>
      <c r="H8" s="19" t="s">
        <v>17</v>
      </c>
      <c r="I8" s="4"/>
      <c r="J8" s="4"/>
    </row>
    <row r="9" spans="1:10" s="3" customFormat="1" x14ac:dyDescent="0.25">
      <c r="A9" s="12">
        <v>42006</v>
      </c>
      <c r="B9" s="21">
        <v>7916</v>
      </c>
      <c r="C9" s="14" t="s">
        <v>18</v>
      </c>
      <c r="D9" s="22">
        <v>58971.61</v>
      </c>
      <c r="E9" s="23">
        <v>42006</v>
      </c>
      <c r="F9" s="24">
        <v>58971.61</v>
      </c>
      <c r="G9" s="25">
        <f t="shared" si="0"/>
        <v>0</v>
      </c>
      <c r="H9" s="19" t="s">
        <v>19</v>
      </c>
      <c r="I9" s="4"/>
      <c r="J9" s="4"/>
    </row>
    <row r="10" spans="1:10" s="3" customFormat="1" x14ac:dyDescent="0.25">
      <c r="A10" s="20">
        <v>42006</v>
      </c>
      <c r="B10" s="21">
        <v>7917</v>
      </c>
      <c r="C10" s="14" t="s">
        <v>20</v>
      </c>
      <c r="D10" s="22">
        <v>25711.35</v>
      </c>
      <c r="E10" s="23">
        <v>42006</v>
      </c>
      <c r="F10" s="24">
        <v>25711.35</v>
      </c>
      <c r="G10" s="25">
        <f t="shared" si="0"/>
        <v>0</v>
      </c>
      <c r="H10" s="19" t="s">
        <v>9</v>
      </c>
      <c r="I10" s="4"/>
      <c r="J10" s="4"/>
    </row>
    <row r="11" spans="1:10" s="3" customFormat="1" x14ac:dyDescent="0.25">
      <c r="A11" s="12">
        <v>42006</v>
      </c>
      <c r="B11" s="21">
        <v>7918</v>
      </c>
      <c r="C11" s="14" t="s">
        <v>21</v>
      </c>
      <c r="D11" s="22">
        <v>1896.3</v>
      </c>
      <c r="E11" s="23">
        <v>42006</v>
      </c>
      <c r="F11" s="24">
        <v>1896.3</v>
      </c>
      <c r="G11" s="25">
        <f t="shared" si="0"/>
        <v>0</v>
      </c>
      <c r="H11" s="19" t="s">
        <v>9</v>
      </c>
      <c r="I11" s="4"/>
      <c r="J11" s="4"/>
    </row>
    <row r="12" spans="1:10" s="3" customFormat="1" x14ac:dyDescent="0.25">
      <c r="A12" s="20">
        <v>42006</v>
      </c>
      <c r="B12" s="21">
        <v>7919</v>
      </c>
      <c r="C12" s="14" t="s">
        <v>22</v>
      </c>
      <c r="D12" s="22">
        <v>2030.4</v>
      </c>
      <c r="E12" s="23">
        <v>42006</v>
      </c>
      <c r="F12" s="24">
        <v>2030.4</v>
      </c>
      <c r="G12" s="25">
        <f t="shared" si="0"/>
        <v>0</v>
      </c>
      <c r="H12" s="19" t="s">
        <v>9</v>
      </c>
      <c r="I12" s="4"/>
      <c r="J12" s="4"/>
    </row>
    <row r="13" spans="1:10" s="3" customFormat="1" x14ac:dyDescent="0.25">
      <c r="A13" s="12">
        <v>42006</v>
      </c>
      <c r="B13" s="21">
        <v>7920</v>
      </c>
      <c r="C13" s="14" t="s">
        <v>23</v>
      </c>
      <c r="D13" s="22">
        <v>3245.6</v>
      </c>
      <c r="E13" s="23">
        <v>42006</v>
      </c>
      <c r="F13" s="24">
        <v>3245.6</v>
      </c>
      <c r="G13" s="25">
        <f t="shared" si="0"/>
        <v>0</v>
      </c>
      <c r="H13" s="19" t="s">
        <v>9</v>
      </c>
      <c r="I13" s="4"/>
      <c r="J13" s="28"/>
    </row>
    <row r="14" spans="1:10" s="3" customFormat="1" x14ac:dyDescent="0.25">
      <c r="A14" s="20">
        <v>42006</v>
      </c>
      <c r="B14" s="21">
        <v>7921</v>
      </c>
      <c r="C14" s="14" t="s">
        <v>24</v>
      </c>
      <c r="D14" s="22">
        <v>87801.15</v>
      </c>
      <c r="E14" s="23">
        <v>42010</v>
      </c>
      <c r="F14" s="24">
        <v>87801.15</v>
      </c>
      <c r="G14" s="25">
        <f t="shared" si="0"/>
        <v>0</v>
      </c>
      <c r="H14" s="19" t="s">
        <v>9</v>
      </c>
      <c r="I14" s="4"/>
      <c r="J14" s="4"/>
    </row>
    <row r="15" spans="1:10" s="3" customFormat="1" x14ac:dyDescent="0.25">
      <c r="A15" s="12">
        <v>42006</v>
      </c>
      <c r="B15" s="21">
        <v>7922</v>
      </c>
      <c r="C15" s="14" t="s">
        <v>25</v>
      </c>
      <c r="D15" s="22">
        <v>772.8</v>
      </c>
      <c r="E15" s="23">
        <v>42006</v>
      </c>
      <c r="F15" s="24">
        <v>772.8</v>
      </c>
      <c r="G15" s="25">
        <f t="shared" si="0"/>
        <v>0</v>
      </c>
      <c r="H15" s="19" t="s">
        <v>9</v>
      </c>
      <c r="I15" s="4"/>
      <c r="J15" s="4"/>
    </row>
    <row r="16" spans="1:10" s="3" customFormat="1" x14ac:dyDescent="0.25">
      <c r="A16" s="20">
        <v>42006</v>
      </c>
      <c r="B16" s="21">
        <v>7923</v>
      </c>
      <c r="C16" s="14" t="s">
        <v>26</v>
      </c>
      <c r="D16" s="22">
        <v>1516</v>
      </c>
      <c r="E16" s="23">
        <v>42006</v>
      </c>
      <c r="F16" s="24">
        <v>1516</v>
      </c>
      <c r="G16" s="25">
        <f t="shared" si="0"/>
        <v>0</v>
      </c>
      <c r="H16" s="19" t="s">
        <v>27</v>
      </c>
      <c r="I16" s="4"/>
      <c r="J16" s="4"/>
    </row>
    <row r="17" spans="1:10" s="3" customFormat="1" x14ac:dyDescent="0.25">
      <c r="A17" s="12">
        <v>42006</v>
      </c>
      <c r="B17" s="21">
        <v>7924</v>
      </c>
      <c r="C17" s="14" t="s">
        <v>28</v>
      </c>
      <c r="D17" s="22">
        <v>4065.5</v>
      </c>
      <c r="E17" s="23">
        <v>42006</v>
      </c>
      <c r="F17" s="24">
        <v>4065.5</v>
      </c>
      <c r="G17" s="25">
        <f t="shared" si="0"/>
        <v>0</v>
      </c>
      <c r="H17" s="19" t="s">
        <v>9</v>
      </c>
      <c r="I17" s="4"/>
      <c r="J17" s="4"/>
    </row>
    <row r="18" spans="1:10" s="3" customFormat="1" x14ac:dyDescent="0.25">
      <c r="A18" s="20">
        <v>42006</v>
      </c>
      <c r="B18" s="21">
        <v>7925</v>
      </c>
      <c r="C18" s="14" t="s">
        <v>16</v>
      </c>
      <c r="D18" s="22">
        <v>17132.3</v>
      </c>
      <c r="E18" s="23">
        <v>42006</v>
      </c>
      <c r="F18" s="24">
        <v>17132.3</v>
      </c>
      <c r="G18" s="25">
        <f t="shared" si="0"/>
        <v>0</v>
      </c>
      <c r="H18" s="19" t="s">
        <v>17</v>
      </c>
      <c r="I18" s="4"/>
      <c r="J18" s="4"/>
    </row>
    <row r="19" spans="1:10" s="3" customFormat="1" x14ac:dyDescent="0.25">
      <c r="A19" s="12">
        <v>42006</v>
      </c>
      <c r="B19" s="21">
        <v>7926</v>
      </c>
      <c r="C19" s="26" t="s">
        <v>12</v>
      </c>
      <c r="D19" s="27">
        <v>0</v>
      </c>
      <c r="E19" s="23"/>
      <c r="F19" s="24"/>
      <c r="G19" s="25">
        <f t="shared" si="0"/>
        <v>0</v>
      </c>
      <c r="H19" s="19" t="s">
        <v>13</v>
      </c>
      <c r="I19" s="4"/>
      <c r="J19" s="4"/>
    </row>
    <row r="20" spans="1:10" s="3" customFormat="1" x14ac:dyDescent="0.25">
      <c r="A20" s="20">
        <v>42006</v>
      </c>
      <c r="B20" s="21">
        <v>7927</v>
      </c>
      <c r="C20" s="14" t="s">
        <v>29</v>
      </c>
      <c r="D20" s="22">
        <v>7449.4</v>
      </c>
      <c r="E20" s="23">
        <v>42007</v>
      </c>
      <c r="F20" s="24">
        <v>7449.4</v>
      </c>
      <c r="G20" s="25">
        <f t="shared" si="0"/>
        <v>0</v>
      </c>
      <c r="H20" s="19" t="s">
        <v>9</v>
      </c>
      <c r="I20" s="4"/>
      <c r="J20" s="4"/>
    </row>
    <row r="21" spans="1:10" s="3" customFormat="1" x14ac:dyDescent="0.25">
      <c r="A21" s="12">
        <v>42006</v>
      </c>
      <c r="B21" s="21">
        <v>7928</v>
      </c>
      <c r="C21" s="14" t="s">
        <v>16</v>
      </c>
      <c r="D21" s="22">
        <v>3049.5</v>
      </c>
      <c r="E21" s="23">
        <v>42006</v>
      </c>
      <c r="F21" s="24">
        <v>3049.5</v>
      </c>
      <c r="G21" s="25">
        <f t="shared" si="0"/>
        <v>0</v>
      </c>
      <c r="H21" s="19" t="s">
        <v>17</v>
      </c>
      <c r="I21" s="4"/>
      <c r="J21" s="4"/>
    </row>
    <row r="22" spans="1:10" s="3" customFormat="1" x14ac:dyDescent="0.25">
      <c r="A22" s="20">
        <v>42006</v>
      </c>
      <c r="B22" s="21">
        <v>7929</v>
      </c>
      <c r="C22" s="14" t="s">
        <v>30</v>
      </c>
      <c r="D22" s="22">
        <v>4908.3999999999996</v>
      </c>
      <c r="E22" s="23">
        <v>42006</v>
      </c>
      <c r="F22" s="24">
        <v>4908.3999999999996</v>
      </c>
      <c r="G22" s="25">
        <f t="shared" si="0"/>
        <v>0</v>
      </c>
      <c r="H22" s="19" t="s">
        <v>9</v>
      </c>
      <c r="I22" s="4"/>
      <c r="J22" s="4"/>
    </row>
    <row r="23" spans="1:10" s="3" customFormat="1" x14ac:dyDescent="0.25">
      <c r="A23" s="12">
        <v>42006</v>
      </c>
      <c r="B23" s="21">
        <v>7930</v>
      </c>
      <c r="C23" s="14" t="s">
        <v>31</v>
      </c>
      <c r="D23" s="22">
        <v>2380.8000000000002</v>
      </c>
      <c r="E23" s="23">
        <v>42006</v>
      </c>
      <c r="F23" s="24">
        <v>2380.8000000000002</v>
      </c>
      <c r="G23" s="25">
        <f t="shared" si="0"/>
        <v>0</v>
      </c>
      <c r="H23" s="19" t="s">
        <v>17</v>
      </c>
      <c r="I23" s="4"/>
      <c r="J23" s="4"/>
    </row>
    <row r="24" spans="1:10" s="3" customFormat="1" x14ac:dyDescent="0.25">
      <c r="A24" s="20">
        <v>42006</v>
      </c>
      <c r="B24" s="21">
        <v>7931</v>
      </c>
      <c r="C24" s="14" t="s">
        <v>32</v>
      </c>
      <c r="D24" s="22">
        <v>231258.85</v>
      </c>
      <c r="E24" s="23">
        <v>42008</v>
      </c>
      <c r="F24" s="24">
        <v>231258.85</v>
      </c>
      <c r="G24" s="25">
        <f t="shared" si="0"/>
        <v>0</v>
      </c>
      <c r="H24" s="19" t="s">
        <v>9</v>
      </c>
      <c r="I24" s="4"/>
      <c r="J24" s="4"/>
    </row>
    <row r="25" spans="1:10" s="3" customFormat="1" x14ac:dyDescent="0.25">
      <c r="A25" s="12">
        <v>42006</v>
      </c>
      <c r="B25" s="21">
        <v>7932</v>
      </c>
      <c r="C25" s="14" t="s">
        <v>32</v>
      </c>
      <c r="D25" s="22">
        <v>863.2</v>
      </c>
      <c r="E25" s="23">
        <v>42008</v>
      </c>
      <c r="F25" s="24">
        <v>863.2</v>
      </c>
      <c r="G25" s="25">
        <f t="shared" si="0"/>
        <v>0</v>
      </c>
      <c r="H25" s="19" t="s">
        <v>9</v>
      </c>
      <c r="I25" s="4"/>
      <c r="J25" s="4"/>
    </row>
    <row r="26" spans="1:10" s="3" customFormat="1" x14ac:dyDescent="0.25">
      <c r="A26" s="20">
        <v>42006</v>
      </c>
      <c r="B26" s="21">
        <v>7933</v>
      </c>
      <c r="C26" s="14" t="s">
        <v>33</v>
      </c>
      <c r="D26" s="22">
        <v>10403.200000000001</v>
      </c>
      <c r="E26" s="23">
        <v>42006</v>
      </c>
      <c r="F26" s="24">
        <v>10403.200000000001</v>
      </c>
      <c r="G26" s="25">
        <f t="shared" si="0"/>
        <v>0</v>
      </c>
      <c r="H26" s="19" t="s">
        <v>9</v>
      </c>
      <c r="I26" s="4"/>
      <c r="J26" s="4"/>
    </row>
    <row r="27" spans="1:10" s="3" customFormat="1" x14ac:dyDescent="0.25">
      <c r="A27" s="12">
        <v>42006</v>
      </c>
      <c r="B27" s="21">
        <v>7934</v>
      </c>
      <c r="C27" s="14" t="s">
        <v>34</v>
      </c>
      <c r="D27" s="22">
        <v>5174.3999999999996</v>
      </c>
      <c r="E27" s="23">
        <v>42006</v>
      </c>
      <c r="F27" s="24">
        <v>5174.3999999999996</v>
      </c>
      <c r="G27" s="25">
        <f t="shared" si="0"/>
        <v>0</v>
      </c>
      <c r="H27" s="19" t="s">
        <v>9</v>
      </c>
      <c r="I27" s="4"/>
      <c r="J27" s="4"/>
    </row>
    <row r="28" spans="1:10" s="3" customFormat="1" x14ac:dyDescent="0.25">
      <c r="A28" s="20">
        <v>42006</v>
      </c>
      <c r="B28" s="21">
        <v>7935</v>
      </c>
      <c r="C28" s="14" t="s">
        <v>35</v>
      </c>
      <c r="D28" s="22">
        <v>27786</v>
      </c>
      <c r="E28" s="23">
        <v>42006</v>
      </c>
      <c r="F28" s="24">
        <v>27786</v>
      </c>
      <c r="G28" s="25">
        <f t="shared" si="0"/>
        <v>0</v>
      </c>
      <c r="H28" s="19" t="s">
        <v>36</v>
      </c>
      <c r="I28" s="4"/>
      <c r="J28" s="4"/>
    </row>
    <row r="29" spans="1:10" s="3" customFormat="1" x14ac:dyDescent="0.25">
      <c r="A29" s="12">
        <v>42006</v>
      </c>
      <c r="B29" s="21">
        <v>7936</v>
      </c>
      <c r="C29" s="14" t="s">
        <v>37</v>
      </c>
      <c r="D29" s="22">
        <v>56130</v>
      </c>
      <c r="E29" s="23">
        <v>42009</v>
      </c>
      <c r="F29" s="24">
        <v>56130</v>
      </c>
      <c r="G29" s="25">
        <f t="shared" si="0"/>
        <v>0</v>
      </c>
      <c r="H29" s="19" t="s">
        <v>36</v>
      </c>
      <c r="I29" s="4"/>
      <c r="J29" s="4"/>
    </row>
    <row r="30" spans="1:10" s="3" customFormat="1" x14ac:dyDescent="0.25">
      <c r="A30" s="20">
        <v>42006</v>
      </c>
      <c r="B30" s="21">
        <v>7937</v>
      </c>
      <c r="C30" s="14" t="s">
        <v>38</v>
      </c>
      <c r="D30" s="22">
        <v>42025.2</v>
      </c>
      <c r="E30" s="29" t="s">
        <v>39</v>
      </c>
      <c r="F30" s="24">
        <f>193.2+41832</f>
        <v>42025.2</v>
      </c>
      <c r="G30" s="25">
        <f t="shared" si="0"/>
        <v>0</v>
      </c>
      <c r="H30" s="19" t="s">
        <v>19</v>
      </c>
      <c r="I30" s="4"/>
      <c r="J30" s="4"/>
    </row>
    <row r="31" spans="1:10" s="3" customFormat="1" x14ac:dyDescent="0.25">
      <c r="A31" s="12">
        <v>42006</v>
      </c>
      <c r="B31" s="21">
        <v>7938</v>
      </c>
      <c r="C31" s="26" t="s">
        <v>12</v>
      </c>
      <c r="D31" s="27">
        <v>0</v>
      </c>
      <c r="E31" s="23"/>
      <c r="F31" s="24"/>
      <c r="G31" s="25">
        <f t="shared" si="0"/>
        <v>0</v>
      </c>
      <c r="H31" s="19" t="s">
        <v>13</v>
      </c>
      <c r="I31" s="4"/>
      <c r="J31" s="28"/>
    </row>
    <row r="32" spans="1:10" s="3" customFormat="1" x14ac:dyDescent="0.25">
      <c r="A32" s="20">
        <v>42006</v>
      </c>
      <c r="B32" s="21">
        <v>7939</v>
      </c>
      <c r="C32" s="14" t="s">
        <v>40</v>
      </c>
      <c r="D32" s="22">
        <v>6300</v>
      </c>
      <c r="E32" s="23">
        <v>42010</v>
      </c>
      <c r="F32" s="24">
        <v>6300</v>
      </c>
      <c r="G32" s="25">
        <f t="shared" si="0"/>
        <v>0</v>
      </c>
      <c r="H32" s="19" t="s">
        <v>41</v>
      </c>
      <c r="I32" s="4"/>
      <c r="J32" s="4"/>
    </row>
    <row r="33" spans="1:10" s="3" customFormat="1" x14ac:dyDescent="0.25">
      <c r="A33" s="12">
        <v>42006</v>
      </c>
      <c r="B33" s="21">
        <v>7940</v>
      </c>
      <c r="C33" s="14" t="s">
        <v>42</v>
      </c>
      <c r="D33" s="22">
        <v>420</v>
      </c>
      <c r="E33" s="23">
        <v>42006</v>
      </c>
      <c r="F33" s="24">
        <v>420</v>
      </c>
      <c r="G33" s="25">
        <f t="shared" si="0"/>
        <v>0</v>
      </c>
      <c r="H33" s="19" t="s">
        <v>9</v>
      </c>
      <c r="I33" s="4"/>
      <c r="J33" s="4"/>
    </row>
    <row r="34" spans="1:10" s="3" customFormat="1" x14ac:dyDescent="0.25">
      <c r="A34" s="20">
        <v>42006</v>
      </c>
      <c r="B34" s="21">
        <v>7941</v>
      </c>
      <c r="C34" s="14" t="s">
        <v>43</v>
      </c>
      <c r="D34" s="22">
        <v>11134.2</v>
      </c>
      <c r="E34" s="23">
        <v>42006</v>
      </c>
      <c r="F34" s="24">
        <v>11134.2</v>
      </c>
      <c r="G34" s="25">
        <f t="shared" si="0"/>
        <v>0</v>
      </c>
      <c r="H34" s="19" t="s">
        <v>9</v>
      </c>
      <c r="I34" s="4"/>
      <c r="J34" s="4"/>
    </row>
    <row r="35" spans="1:10" s="3" customFormat="1" x14ac:dyDescent="0.25">
      <c r="A35" s="12">
        <v>42006</v>
      </c>
      <c r="B35" s="21">
        <v>7942</v>
      </c>
      <c r="C35" s="14" t="s">
        <v>44</v>
      </c>
      <c r="D35" s="22">
        <v>11834.7</v>
      </c>
      <c r="E35" s="23">
        <v>42006</v>
      </c>
      <c r="F35" s="24">
        <v>11834.7</v>
      </c>
      <c r="G35" s="25">
        <f t="shared" si="0"/>
        <v>0</v>
      </c>
      <c r="H35" s="19" t="s">
        <v>9</v>
      </c>
      <c r="I35" s="4"/>
      <c r="J35" s="4"/>
    </row>
    <row r="36" spans="1:10" s="3" customFormat="1" x14ac:dyDescent="0.25">
      <c r="A36" s="20">
        <v>42006</v>
      </c>
      <c r="B36" s="21">
        <v>7943</v>
      </c>
      <c r="C36" s="14" t="s">
        <v>45</v>
      </c>
      <c r="D36" s="22">
        <v>92031.6</v>
      </c>
      <c r="E36" s="23">
        <v>42013</v>
      </c>
      <c r="F36" s="24">
        <v>92031.6</v>
      </c>
      <c r="G36" s="25">
        <f t="shared" si="0"/>
        <v>0</v>
      </c>
      <c r="H36" s="19" t="s">
        <v>46</v>
      </c>
      <c r="I36" s="4"/>
      <c r="J36" s="4"/>
    </row>
    <row r="37" spans="1:10" s="3" customFormat="1" x14ac:dyDescent="0.25">
      <c r="A37" s="12">
        <v>42006</v>
      </c>
      <c r="B37" s="21">
        <v>7944</v>
      </c>
      <c r="C37" s="14" t="s">
        <v>47</v>
      </c>
      <c r="D37" s="22">
        <v>40924.800000000003</v>
      </c>
      <c r="E37" s="23">
        <v>42006</v>
      </c>
      <c r="F37" s="24">
        <v>40924.800000000003</v>
      </c>
      <c r="G37" s="25">
        <f t="shared" si="0"/>
        <v>0</v>
      </c>
      <c r="H37" s="19" t="s">
        <v>9</v>
      </c>
      <c r="I37" s="4"/>
      <c r="J37" s="4"/>
    </row>
    <row r="38" spans="1:10" s="3" customFormat="1" x14ac:dyDescent="0.25">
      <c r="A38" s="20">
        <v>42006</v>
      </c>
      <c r="B38" s="21">
        <v>7945</v>
      </c>
      <c r="C38" s="14" t="s">
        <v>48</v>
      </c>
      <c r="D38" s="22">
        <v>11084.8</v>
      </c>
      <c r="E38" s="23">
        <v>42006</v>
      </c>
      <c r="F38" s="24">
        <v>11084.8</v>
      </c>
      <c r="G38" s="25">
        <f t="shared" si="0"/>
        <v>0</v>
      </c>
      <c r="H38" s="19" t="s">
        <v>9</v>
      </c>
      <c r="I38" s="4"/>
      <c r="J38" s="28"/>
    </row>
    <row r="39" spans="1:10" s="3" customFormat="1" x14ac:dyDescent="0.25">
      <c r="A39" s="12">
        <v>42006</v>
      </c>
      <c r="B39" s="21">
        <v>7946</v>
      </c>
      <c r="C39" s="14" t="s">
        <v>49</v>
      </c>
      <c r="D39" s="22">
        <v>1572.9</v>
      </c>
      <c r="E39" s="23">
        <v>42006</v>
      </c>
      <c r="F39" s="24">
        <v>1572.9</v>
      </c>
      <c r="G39" s="25">
        <f t="shared" si="0"/>
        <v>0</v>
      </c>
      <c r="H39" s="19" t="s">
        <v>41</v>
      </c>
      <c r="I39" s="4"/>
      <c r="J39" s="4"/>
    </row>
    <row r="40" spans="1:10" s="3" customFormat="1" x14ac:dyDescent="0.25">
      <c r="A40" s="20">
        <v>42006</v>
      </c>
      <c r="B40" s="21">
        <v>7947</v>
      </c>
      <c r="C40" s="14" t="s">
        <v>50</v>
      </c>
      <c r="D40" s="22">
        <v>3069</v>
      </c>
      <c r="E40" s="23">
        <v>42006</v>
      </c>
      <c r="F40" s="24">
        <v>3069</v>
      </c>
      <c r="G40" s="25">
        <f t="shared" si="0"/>
        <v>0</v>
      </c>
      <c r="H40" s="19" t="s">
        <v>41</v>
      </c>
      <c r="I40" s="4"/>
      <c r="J40" s="4"/>
    </row>
    <row r="41" spans="1:10" s="3" customFormat="1" x14ac:dyDescent="0.25">
      <c r="A41" s="12">
        <v>42006</v>
      </c>
      <c r="B41" s="21">
        <v>7948</v>
      </c>
      <c r="C41" s="14" t="s">
        <v>51</v>
      </c>
      <c r="D41" s="22">
        <v>2940</v>
      </c>
      <c r="E41" s="23">
        <v>42010</v>
      </c>
      <c r="F41" s="24">
        <v>2940</v>
      </c>
      <c r="G41" s="25">
        <f t="shared" si="0"/>
        <v>0</v>
      </c>
      <c r="H41" s="19" t="s">
        <v>9</v>
      </c>
      <c r="I41" s="4"/>
      <c r="J41" s="4"/>
    </row>
    <row r="42" spans="1:10" s="3" customFormat="1" x14ac:dyDescent="0.25">
      <c r="A42" s="20">
        <v>42006</v>
      </c>
      <c r="B42" s="21">
        <v>7949</v>
      </c>
      <c r="C42" s="14" t="s">
        <v>52</v>
      </c>
      <c r="D42" s="22">
        <v>2940</v>
      </c>
      <c r="E42" s="23">
        <v>42010</v>
      </c>
      <c r="F42" s="24">
        <v>2940</v>
      </c>
      <c r="G42" s="25">
        <f t="shared" si="0"/>
        <v>0</v>
      </c>
      <c r="H42" s="19" t="s">
        <v>9</v>
      </c>
      <c r="I42" s="4"/>
      <c r="J42" s="4"/>
    </row>
    <row r="43" spans="1:10" s="3" customFormat="1" x14ac:dyDescent="0.25">
      <c r="A43" s="12">
        <v>42006</v>
      </c>
      <c r="B43" s="21">
        <v>7950</v>
      </c>
      <c r="C43" s="14" t="s">
        <v>53</v>
      </c>
      <c r="D43" s="22">
        <v>1540</v>
      </c>
      <c r="E43" s="23">
        <v>42006</v>
      </c>
      <c r="F43" s="24">
        <v>1540</v>
      </c>
      <c r="G43" s="25">
        <f t="shared" si="0"/>
        <v>0</v>
      </c>
      <c r="H43" s="19" t="s">
        <v>9</v>
      </c>
      <c r="I43" s="4"/>
      <c r="J43" s="4"/>
    </row>
    <row r="44" spans="1:10" s="3" customFormat="1" x14ac:dyDescent="0.25">
      <c r="A44" s="20">
        <v>42006</v>
      </c>
      <c r="B44" s="21">
        <v>7951</v>
      </c>
      <c r="C44" s="14" t="s">
        <v>54</v>
      </c>
      <c r="D44" s="22">
        <v>880</v>
      </c>
      <c r="E44" s="23">
        <v>42006</v>
      </c>
      <c r="F44" s="24">
        <v>880</v>
      </c>
      <c r="G44" s="25">
        <f t="shared" si="0"/>
        <v>0</v>
      </c>
      <c r="H44" s="19" t="s">
        <v>19</v>
      </c>
      <c r="I44" s="4"/>
      <c r="J44" s="4"/>
    </row>
    <row r="45" spans="1:10" s="3" customFormat="1" x14ac:dyDescent="0.25">
      <c r="A45" s="12">
        <v>42006</v>
      </c>
      <c r="B45" s="21">
        <v>7952</v>
      </c>
      <c r="C45" s="14" t="s">
        <v>55</v>
      </c>
      <c r="D45" s="22">
        <v>26997</v>
      </c>
      <c r="E45" s="23">
        <v>42006</v>
      </c>
      <c r="F45" s="24">
        <v>26997</v>
      </c>
      <c r="G45" s="25">
        <f t="shared" si="0"/>
        <v>0</v>
      </c>
      <c r="H45" s="19" t="s">
        <v>36</v>
      </c>
      <c r="I45" s="4"/>
      <c r="J45" s="4"/>
    </row>
    <row r="46" spans="1:10" s="3" customFormat="1" x14ac:dyDescent="0.25">
      <c r="A46" s="20">
        <v>42006</v>
      </c>
      <c r="B46" s="21">
        <v>7953</v>
      </c>
      <c r="C46" s="14" t="s">
        <v>10</v>
      </c>
      <c r="D46" s="22">
        <v>11174.6</v>
      </c>
      <c r="E46" s="23">
        <v>42006</v>
      </c>
      <c r="F46" s="24">
        <v>11174.6</v>
      </c>
      <c r="G46" s="25">
        <f t="shared" si="0"/>
        <v>0</v>
      </c>
      <c r="H46" s="19" t="s">
        <v>36</v>
      </c>
      <c r="I46" s="4"/>
      <c r="J46" s="4"/>
    </row>
    <row r="47" spans="1:10" s="3" customFormat="1" x14ac:dyDescent="0.25">
      <c r="A47" s="12">
        <v>42006</v>
      </c>
      <c r="B47" s="21">
        <v>7954</v>
      </c>
      <c r="C47" s="14" t="s">
        <v>56</v>
      </c>
      <c r="D47" s="22">
        <v>14188.4</v>
      </c>
      <c r="E47" s="23">
        <v>42006</v>
      </c>
      <c r="F47" s="24">
        <v>14188.4</v>
      </c>
      <c r="G47" s="25">
        <f t="shared" si="0"/>
        <v>0</v>
      </c>
      <c r="H47" s="19" t="s">
        <v>36</v>
      </c>
      <c r="I47" s="4"/>
      <c r="J47" s="4"/>
    </row>
    <row r="48" spans="1:10" s="3" customFormat="1" x14ac:dyDescent="0.25">
      <c r="A48" s="20">
        <v>42006</v>
      </c>
      <c r="B48" s="21">
        <v>7955</v>
      </c>
      <c r="C48" s="14" t="s">
        <v>57</v>
      </c>
      <c r="D48" s="22">
        <v>1760</v>
      </c>
      <c r="E48" s="23">
        <v>42006</v>
      </c>
      <c r="F48" s="24">
        <v>1760</v>
      </c>
      <c r="G48" s="25">
        <f t="shared" si="0"/>
        <v>0</v>
      </c>
      <c r="H48" s="19" t="s">
        <v>19</v>
      </c>
      <c r="I48" s="4"/>
      <c r="J48" s="4"/>
    </row>
    <row r="49" spans="1:8" s="3" customFormat="1" x14ac:dyDescent="0.25">
      <c r="A49" s="12">
        <v>42006</v>
      </c>
      <c r="B49" s="21">
        <v>7956</v>
      </c>
      <c r="C49" s="14" t="s">
        <v>58</v>
      </c>
      <c r="D49" s="22">
        <v>860</v>
      </c>
      <c r="E49" s="23">
        <v>42006</v>
      </c>
      <c r="F49" s="24">
        <v>860</v>
      </c>
      <c r="G49" s="25">
        <f t="shared" si="0"/>
        <v>0</v>
      </c>
      <c r="H49" s="19" t="s">
        <v>59</v>
      </c>
    </row>
    <row r="50" spans="1:8" s="3" customFormat="1" x14ac:dyDescent="0.25">
      <c r="A50" s="20">
        <v>42006</v>
      </c>
      <c r="B50" s="21">
        <v>7957</v>
      </c>
      <c r="C50" s="14" t="s">
        <v>60</v>
      </c>
      <c r="D50" s="22">
        <v>10293.56</v>
      </c>
      <c r="E50" s="23">
        <v>42006</v>
      </c>
      <c r="F50" s="24">
        <v>10293.56</v>
      </c>
      <c r="G50" s="25">
        <f t="shared" si="0"/>
        <v>0</v>
      </c>
      <c r="H50" s="19" t="s">
        <v>36</v>
      </c>
    </row>
    <row r="51" spans="1:8" s="3" customFormat="1" x14ac:dyDescent="0.25">
      <c r="A51" s="12">
        <v>42006</v>
      </c>
      <c r="B51" s="21">
        <v>7958</v>
      </c>
      <c r="C51" s="14" t="s">
        <v>61</v>
      </c>
      <c r="D51" s="22">
        <v>21916.799999999999</v>
      </c>
      <c r="E51" s="23">
        <v>42007</v>
      </c>
      <c r="F51" s="24">
        <v>21916.799999999999</v>
      </c>
      <c r="G51" s="25">
        <f t="shared" si="0"/>
        <v>0</v>
      </c>
      <c r="H51" s="19" t="s">
        <v>62</v>
      </c>
    </row>
    <row r="52" spans="1:8" s="3" customFormat="1" x14ac:dyDescent="0.25">
      <c r="A52" s="20">
        <v>42006</v>
      </c>
      <c r="B52" s="21">
        <v>7959</v>
      </c>
      <c r="C52" s="14" t="s">
        <v>63</v>
      </c>
      <c r="D52" s="22">
        <v>2776.5</v>
      </c>
      <c r="E52" s="23">
        <v>42006</v>
      </c>
      <c r="F52" s="24">
        <v>2776.5</v>
      </c>
      <c r="G52" s="25">
        <f t="shared" si="0"/>
        <v>0</v>
      </c>
      <c r="H52" s="19" t="s">
        <v>36</v>
      </c>
    </row>
    <row r="53" spans="1:8" s="3" customFormat="1" x14ac:dyDescent="0.25">
      <c r="A53" s="12">
        <v>42006</v>
      </c>
      <c r="B53" s="21">
        <v>7960</v>
      </c>
      <c r="C53" s="14" t="s">
        <v>64</v>
      </c>
      <c r="D53" s="22">
        <v>2723.6</v>
      </c>
      <c r="E53" s="23">
        <v>42006</v>
      </c>
      <c r="F53" s="24">
        <v>2723.6</v>
      </c>
      <c r="G53" s="25">
        <f t="shared" si="0"/>
        <v>0</v>
      </c>
      <c r="H53" s="19" t="s">
        <v>9</v>
      </c>
    </row>
    <row r="54" spans="1:8" s="3" customFormat="1" x14ac:dyDescent="0.25">
      <c r="A54" s="20">
        <v>42006</v>
      </c>
      <c r="B54" s="21">
        <v>7961</v>
      </c>
      <c r="C54" s="14" t="s">
        <v>65</v>
      </c>
      <c r="D54" s="22">
        <v>21523</v>
      </c>
      <c r="E54" s="23">
        <v>42007</v>
      </c>
      <c r="F54" s="24">
        <v>21523</v>
      </c>
      <c r="G54" s="25">
        <f t="shared" si="0"/>
        <v>0</v>
      </c>
      <c r="H54" s="19" t="s">
        <v>62</v>
      </c>
    </row>
    <row r="55" spans="1:8" s="3" customFormat="1" x14ac:dyDescent="0.25">
      <c r="A55" s="12">
        <v>42006</v>
      </c>
      <c r="B55" s="21">
        <v>7962</v>
      </c>
      <c r="C55" s="14" t="s">
        <v>66</v>
      </c>
      <c r="D55" s="22">
        <v>2345.8000000000002</v>
      </c>
      <c r="E55" s="23">
        <v>42006</v>
      </c>
      <c r="F55" s="24">
        <v>2345.8000000000002</v>
      </c>
      <c r="G55" s="25">
        <f t="shared" si="0"/>
        <v>0</v>
      </c>
      <c r="H55" s="19" t="s">
        <v>9</v>
      </c>
    </row>
    <row r="56" spans="1:8" s="3" customFormat="1" x14ac:dyDescent="0.25">
      <c r="A56" s="20">
        <v>42006</v>
      </c>
      <c r="B56" s="21">
        <v>7963</v>
      </c>
      <c r="C56" s="14" t="s">
        <v>67</v>
      </c>
      <c r="D56" s="22">
        <v>5623.2</v>
      </c>
      <c r="E56" s="23">
        <v>42007</v>
      </c>
      <c r="F56" s="24">
        <v>5623.2</v>
      </c>
      <c r="G56" s="25">
        <f t="shared" si="0"/>
        <v>0</v>
      </c>
      <c r="H56" s="19" t="s">
        <v>62</v>
      </c>
    </row>
    <row r="57" spans="1:8" s="3" customFormat="1" x14ac:dyDescent="0.25">
      <c r="A57" s="12">
        <v>42006</v>
      </c>
      <c r="B57" s="21">
        <v>7964</v>
      </c>
      <c r="C57" s="14" t="s">
        <v>68</v>
      </c>
      <c r="D57" s="22">
        <v>5779</v>
      </c>
      <c r="E57" s="23">
        <v>42006</v>
      </c>
      <c r="F57" s="24">
        <v>5779</v>
      </c>
      <c r="G57" s="25">
        <f t="shared" si="0"/>
        <v>0</v>
      </c>
      <c r="H57" s="19" t="s">
        <v>9</v>
      </c>
    </row>
    <row r="58" spans="1:8" s="3" customFormat="1" x14ac:dyDescent="0.25">
      <c r="A58" s="20">
        <v>42006</v>
      </c>
      <c r="B58" s="21">
        <v>7965</v>
      </c>
      <c r="C58" s="14" t="s">
        <v>69</v>
      </c>
      <c r="D58" s="22">
        <v>37820.6</v>
      </c>
      <c r="E58" s="30" t="s">
        <v>70</v>
      </c>
      <c r="F58" s="24">
        <v>37820.6</v>
      </c>
      <c r="G58" s="25">
        <f t="shared" si="0"/>
        <v>0</v>
      </c>
      <c r="H58" s="19" t="s">
        <v>62</v>
      </c>
    </row>
    <row r="59" spans="1:8" s="3" customFormat="1" x14ac:dyDescent="0.25">
      <c r="A59" s="12">
        <v>42006</v>
      </c>
      <c r="B59" s="21">
        <v>7966</v>
      </c>
      <c r="C59" s="14" t="s">
        <v>71</v>
      </c>
      <c r="D59" s="22">
        <v>6818.6</v>
      </c>
      <c r="E59" s="23">
        <v>42006</v>
      </c>
      <c r="F59" s="24">
        <v>6818.6</v>
      </c>
      <c r="G59" s="25">
        <f t="shared" si="0"/>
        <v>0</v>
      </c>
      <c r="H59" s="19" t="s">
        <v>9</v>
      </c>
    </row>
    <row r="60" spans="1:8" s="3" customFormat="1" x14ac:dyDescent="0.25">
      <c r="A60" s="20">
        <v>42006</v>
      </c>
      <c r="B60" s="21">
        <v>7967</v>
      </c>
      <c r="C60" s="14" t="s">
        <v>72</v>
      </c>
      <c r="D60" s="22">
        <v>32645.599999999999</v>
      </c>
      <c r="E60" s="30" t="s">
        <v>73</v>
      </c>
      <c r="F60" s="24">
        <v>32645.599999999999</v>
      </c>
      <c r="G60" s="25">
        <f t="shared" si="0"/>
        <v>0</v>
      </c>
      <c r="H60" s="19" t="s">
        <v>62</v>
      </c>
    </row>
    <row r="61" spans="1:8" s="3" customFormat="1" x14ac:dyDescent="0.25">
      <c r="A61" s="12">
        <v>42006</v>
      </c>
      <c r="B61" s="21">
        <v>7968</v>
      </c>
      <c r="C61" s="14" t="s">
        <v>74</v>
      </c>
      <c r="D61" s="22">
        <v>1582.4</v>
      </c>
      <c r="E61" s="23">
        <v>42006</v>
      </c>
      <c r="F61" s="24">
        <v>1582.4</v>
      </c>
      <c r="G61" s="25">
        <f t="shared" si="0"/>
        <v>0</v>
      </c>
      <c r="H61" s="19" t="s">
        <v>9</v>
      </c>
    </row>
    <row r="62" spans="1:8" s="3" customFormat="1" x14ac:dyDescent="0.25">
      <c r="A62" s="20">
        <v>42006</v>
      </c>
      <c r="B62" s="21">
        <v>7969</v>
      </c>
      <c r="C62" s="14" t="s">
        <v>75</v>
      </c>
      <c r="D62" s="22">
        <v>18647.8</v>
      </c>
      <c r="E62" s="23">
        <v>42007</v>
      </c>
      <c r="F62" s="24">
        <v>18647.8</v>
      </c>
      <c r="G62" s="25">
        <f t="shared" si="0"/>
        <v>0</v>
      </c>
      <c r="H62" s="19" t="s">
        <v>62</v>
      </c>
    </row>
    <row r="63" spans="1:8" s="3" customFormat="1" x14ac:dyDescent="0.25">
      <c r="A63" s="12">
        <v>42006</v>
      </c>
      <c r="B63" s="21">
        <v>7970</v>
      </c>
      <c r="C63" s="14" t="s">
        <v>76</v>
      </c>
      <c r="D63" s="22">
        <v>6101.7</v>
      </c>
      <c r="E63" s="23">
        <v>42006</v>
      </c>
      <c r="F63" s="24">
        <v>6101.7</v>
      </c>
      <c r="G63" s="25">
        <f t="shared" si="0"/>
        <v>0</v>
      </c>
      <c r="H63" s="19" t="s">
        <v>9</v>
      </c>
    </row>
    <row r="64" spans="1:8" s="3" customFormat="1" x14ac:dyDescent="0.25">
      <c r="A64" s="20">
        <v>42006</v>
      </c>
      <c r="B64" s="21">
        <v>7971</v>
      </c>
      <c r="C64" s="14" t="s">
        <v>77</v>
      </c>
      <c r="D64" s="22">
        <v>30125.8</v>
      </c>
      <c r="E64" s="23">
        <v>42007</v>
      </c>
      <c r="F64" s="24">
        <v>30125.8</v>
      </c>
      <c r="G64" s="25">
        <f t="shared" si="0"/>
        <v>0</v>
      </c>
      <c r="H64" s="19" t="s">
        <v>62</v>
      </c>
    </row>
    <row r="65" spans="1:10" s="3" customFormat="1" x14ac:dyDescent="0.25">
      <c r="A65" s="12">
        <v>42006</v>
      </c>
      <c r="B65" s="21">
        <v>7972</v>
      </c>
      <c r="C65" s="14" t="s">
        <v>78</v>
      </c>
      <c r="D65" s="22">
        <v>6512</v>
      </c>
      <c r="E65" s="23">
        <v>42007</v>
      </c>
      <c r="F65" s="24">
        <v>6512</v>
      </c>
      <c r="G65" s="25">
        <f t="shared" si="0"/>
        <v>0</v>
      </c>
      <c r="H65" s="19" t="s">
        <v>62</v>
      </c>
      <c r="I65" s="4"/>
      <c r="J65" s="4"/>
    </row>
    <row r="66" spans="1:10" s="3" customFormat="1" x14ac:dyDescent="0.25">
      <c r="A66" s="20">
        <v>42006</v>
      </c>
      <c r="B66" s="21">
        <v>7973</v>
      </c>
      <c r="C66" s="14" t="s">
        <v>78</v>
      </c>
      <c r="D66" s="22">
        <v>3302.4</v>
      </c>
      <c r="E66" s="23">
        <v>42007</v>
      </c>
      <c r="F66" s="24">
        <v>3302.4</v>
      </c>
      <c r="G66" s="25">
        <f t="shared" si="0"/>
        <v>0</v>
      </c>
      <c r="H66" s="19" t="s">
        <v>62</v>
      </c>
      <c r="I66" s="4"/>
      <c r="J66" s="28"/>
    </row>
    <row r="67" spans="1:10" s="3" customFormat="1" x14ac:dyDescent="0.25">
      <c r="A67" s="12">
        <v>42006</v>
      </c>
      <c r="B67" s="21">
        <v>7974</v>
      </c>
      <c r="C67" s="14" t="s">
        <v>79</v>
      </c>
      <c r="D67" s="22">
        <v>1307.52</v>
      </c>
      <c r="E67" s="23">
        <v>42007</v>
      </c>
      <c r="F67" s="24">
        <v>1307.52</v>
      </c>
      <c r="G67" s="31">
        <f t="shared" ref="G67:G130" si="1">D67-F67</f>
        <v>0</v>
      </c>
      <c r="H67" s="19" t="s">
        <v>62</v>
      </c>
      <c r="I67" s="4"/>
      <c r="J67" s="4"/>
    </row>
    <row r="68" spans="1:10" s="3" customFormat="1" x14ac:dyDescent="0.25">
      <c r="A68" s="20">
        <v>42006</v>
      </c>
      <c r="B68" s="21">
        <v>7975</v>
      </c>
      <c r="C68" s="14" t="s">
        <v>80</v>
      </c>
      <c r="D68" s="22">
        <v>7106.4</v>
      </c>
      <c r="E68" s="23">
        <v>42006</v>
      </c>
      <c r="F68" s="24">
        <v>7106.4</v>
      </c>
      <c r="G68" s="25">
        <f t="shared" si="1"/>
        <v>0</v>
      </c>
      <c r="H68" s="19" t="s">
        <v>9</v>
      </c>
      <c r="I68" s="4"/>
      <c r="J68" s="4"/>
    </row>
    <row r="69" spans="1:10" s="3" customFormat="1" x14ac:dyDescent="0.25">
      <c r="A69" s="12">
        <v>42006</v>
      </c>
      <c r="B69" s="21">
        <v>7976</v>
      </c>
      <c r="C69" s="14" t="s">
        <v>81</v>
      </c>
      <c r="D69" s="22">
        <v>2866.5</v>
      </c>
      <c r="E69" s="23">
        <v>42006</v>
      </c>
      <c r="F69" s="24">
        <v>2866.5</v>
      </c>
      <c r="G69" s="32">
        <f t="shared" si="1"/>
        <v>0</v>
      </c>
      <c r="H69" s="19" t="s">
        <v>59</v>
      </c>
      <c r="I69" s="4"/>
      <c r="J69" s="4"/>
    </row>
    <row r="70" spans="1:10" s="3" customFormat="1" x14ac:dyDescent="0.25">
      <c r="A70" s="20">
        <v>42006</v>
      </c>
      <c r="B70" s="21">
        <v>7977</v>
      </c>
      <c r="C70" s="14" t="s">
        <v>82</v>
      </c>
      <c r="D70" s="22">
        <v>4567.1000000000004</v>
      </c>
      <c r="E70" s="23">
        <v>42006</v>
      </c>
      <c r="F70" s="24">
        <v>4567.1000000000004</v>
      </c>
      <c r="G70" s="25">
        <f t="shared" si="1"/>
        <v>0</v>
      </c>
      <c r="H70" s="19" t="s">
        <v>59</v>
      </c>
      <c r="I70" s="4"/>
      <c r="J70" s="4"/>
    </row>
    <row r="71" spans="1:10" s="3" customFormat="1" x14ac:dyDescent="0.25">
      <c r="A71" s="12">
        <v>42006</v>
      </c>
      <c r="B71" s="21">
        <v>7978</v>
      </c>
      <c r="C71" s="14" t="s">
        <v>83</v>
      </c>
      <c r="D71" s="22">
        <v>1173</v>
      </c>
      <c r="E71" s="23">
        <v>42006</v>
      </c>
      <c r="F71" s="24">
        <v>1173</v>
      </c>
      <c r="G71" s="25">
        <f t="shared" si="1"/>
        <v>0</v>
      </c>
      <c r="H71" s="19" t="s">
        <v>59</v>
      </c>
      <c r="I71" s="4"/>
      <c r="J71" s="4"/>
    </row>
    <row r="72" spans="1:10" s="3" customFormat="1" x14ac:dyDescent="0.25">
      <c r="A72" s="20">
        <v>42006</v>
      </c>
      <c r="B72" s="21">
        <v>7979</v>
      </c>
      <c r="C72" s="14" t="s">
        <v>84</v>
      </c>
      <c r="D72" s="22">
        <v>39769.4</v>
      </c>
      <c r="E72" s="30" t="s">
        <v>85</v>
      </c>
      <c r="F72" s="24">
        <v>39769.4</v>
      </c>
      <c r="G72" s="25">
        <f t="shared" si="1"/>
        <v>0</v>
      </c>
      <c r="H72" s="19" t="s">
        <v>62</v>
      </c>
      <c r="I72" s="4"/>
      <c r="J72" s="4"/>
    </row>
    <row r="73" spans="1:10" s="3" customFormat="1" x14ac:dyDescent="0.25">
      <c r="A73" s="12">
        <v>42006</v>
      </c>
      <c r="B73" s="21">
        <v>7980</v>
      </c>
      <c r="C73" s="14" t="s">
        <v>86</v>
      </c>
      <c r="D73" s="22">
        <v>406</v>
      </c>
      <c r="E73" s="23">
        <v>42006</v>
      </c>
      <c r="F73" s="24">
        <v>406</v>
      </c>
      <c r="G73" s="25">
        <f t="shared" si="1"/>
        <v>0</v>
      </c>
      <c r="H73" s="19" t="s">
        <v>9</v>
      </c>
      <c r="I73" s="4"/>
      <c r="J73" s="4"/>
    </row>
    <row r="74" spans="1:10" s="3" customFormat="1" x14ac:dyDescent="0.25">
      <c r="A74" s="20">
        <v>42006</v>
      </c>
      <c r="B74" s="21">
        <v>7981</v>
      </c>
      <c r="C74" s="14" t="s">
        <v>87</v>
      </c>
      <c r="D74" s="22">
        <v>2165.4</v>
      </c>
      <c r="E74" s="23">
        <v>42006</v>
      </c>
      <c r="F74" s="24">
        <v>2165.4</v>
      </c>
      <c r="G74" s="25">
        <f t="shared" si="1"/>
        <v>0</v>
      </c>
      <c r="H74" s="19" t="s">
        <v>9</v>
      </c>
      <c r="I74" s="4"/>
      <c r="J74" s="4"/>
    </row>
    <row r="75" spans="1:10" s="3" customFormat="1" x14ac:dyDescent="0.25">
      <c r="A75" s="12">
        <v>42006</v>
      </c>
      <c r="B75" s="21">
        <v>7982</v>
      </c>
      <c r="C75" s="14" t="s">
        <v>88</v>
      </c>
      <c r="D75" s="22">
        <v>939.6</v>
      </c>
      <c r="E75" s="23">
        <v>42006</v>
      </c>
      <c r="F75" s="24">
        <v>939.6</v>
      </c>
      <c r="G75" s="25">
        <f t="shared" si="1"/>
        <v>0</v>
      </c>
      <c r="H75" s="19" t="s">
        <v>9</v>
      </c>
      <c r="I75" s="4"/>
      <c r="J75" s="4"/>
    </row>
    <row r="76" spans="1:10" s="3" customFormat="1" x14ac:dyDescent="0.25">
      <c r="A76" s="20">
        <v>42006</v>
      </c>
      <c r="B76" s="21">
        <v>7983</v>
      </c>
      <c r="C76" s="14" t="s">
        <v>89</v>
      </c>
      <c r="D76" s="22">
        <v>4601</v>
      </c>
      <c r="E76" s="23">
        <v>42006</v>
      </c>
      <c r="F76" s="24">
        <v>4601</v>
      </c>
      <c r="G76" s="25">
        <f t="shared" si="1"/>
        <v>0</v>
      </c>
      <c r="H76" s="19" t="s">
        <v>9</v>
      </c>
      <c r="I76" s="4"/>
      <c r="J76" s="4"/>
    </row>
    <row r="77" spans="1:10" s="3" customFormat="1" x14ac:dyDescent="0.25">
      <c r="A77" s="12">
        <v>42006</v>
      </c>
      <c r="B77" s="21">
        <v>7984</v>
      </c>
      <c r="C77" s="14" t="s">
        <v>90</v>
      </c>
      <c r="D77" s="22">
        <v>769.3</v>
      </c>
      <c r="E77" s="23">
        <v>42006</v>
      </c>
      <c r="F77" s="24">
        <v>769.3</v>
      </c>
      <c r="G77" s="25">
        <f t="shared" si="1"/>
        <v>0</v>
      </c>
      <c r="H77" s="19" t="s">
        <v>9</v>
      </c>
      <c r="I77" s="4"/>
      <c r="J77" s="4"/>
    </row>
    <row r="78" spans="1:10" s="3" customFormat="1" x14ac:dyDescent="0.25">
      <c r="A78" s="20">
        <v>42006</v>
      </c>
      <c r="B78" s="21">
        <v>7985</v>
      </c>
      <c r="C78" s="14" t="s">
        <v>91</v>
      </c>
      <c r="D78" s="22">
        <v>35735.300000000003</v>
      </c>
      <c r="E78" s="23">
        <v>42006</v>
      </c>
      <c r="F78" s="33">
        <v>35735.300000000003</v>
      </c>
      <c r="G78" s="25">
        <f t="shared" si="1"/>
        <v>0</v>
      </c>
      <c r="H78" s="19" t="s">
        <v>17</v>
      </c>
      <c r="I78" s="4"/>
      <c r="J78" s="4"/>
    </row>
    <row r="79" spans="1:10" s="3" customFormat="1" x14ac:dyDescent="0.25">
      <c r="A79" s="12">
        <v>42006</v>
      </c>
      <c r="B79" s="21">
        <v>7986</v>
      </c>
      <c r="C79" s="14" t="s">
        <v>92</v>
      </c>
      <c r="D79" s="22">
        <v>3651.9</v>
      </c>
      <c r="E79" s="23">
        <v>42007</v>
      </c>
      <c r="F79" s="33">
        <v>3651.9</v>
      </c>
      <c r="G79" s="25">
        <f t="shared" si="1"/>
        <v>0</v>
      </c>
      <c r="H79" s="19" t="s">
        <v>62</v>
      </c>
      <c r="I79" s="4"/>
      <c r="J79" s="4"/>
    </row>
    <row r="80" spans="1:10" s="3" customFormat="1" x14ac:dyDescent="0.25">
      <c r="A80" s="20">
        <v>42006</v>
      </c>
      <c r="B80" s="21">
        <v>7987</v>
      </c>
      <c r="C80" s="14" t="s">
        <v>93</v>
      </c>
      <c r="D80" s="22">
        <v>2875.2</v>
      </c>
      <c r="E80" s="23">
        <v>42007</v>
      </c>
      <c r="F80" s="33">
        <v>2875.2</v>
      </c>
      <c r="G80" s="25">
        <f t="shared" si="1"/>
        <v>0</v>
      </c>
      <c r="H80" s="19" t="s">
        <v>94</v>
      </c>
      <c r="I80" s="4"/>
      <c r="J80" s="4"/>
    </row>
    <row r="81" spans="1:10" s="3" customFormat="1" x14ac:dyDescent="0.25">
      <c r="A81" s="12">
        <v>42006</v>
      </c>
      <c r="B81" s="21">
        <v>7988</v>
      </c>
      <c r="C81" s="14" t="s">
        <v>95</v>
      </c>
      <c r="D81" s="22">
        <v>5561.8</v>
      </c>
      <c r="E81" s="23">
        <v>42007</v>
      </c>
      <c r="F81" s="33">
        <v>5561.8</v>
      </c>
      <c r="G81" s="25">
        <f t="shared" si="1"/>
        <v>0</v>
      </c>
      <c r="H81" s="19" t="s">
        <v>94</v>
      </c>
      <c r="I81" s="4"/>
      <c r="J81" s="4"/>
    </row>
    <row r="82" spans="1:10" s="3" customFormat="1" x14ac:dyDescent="0.25">
      <c r="A82" s="20">
        <v>42006</v>
      </c>
      <c r="B82" s="21">
        <v>7989</v>
      </c>
      <c r="C82" s="34" t="s">
        <v>96</v>
      </c>
      <c r="D82" s="35">
        <v>4319.2</v>
      </c>
      <c r="E82" s="16">
        <v>42007</v>
      </c>
      <c r="F82" s="36">
        <v>4319.2</v>
      </c>
      <c r="G82" s="25">
        <f t="shared" si="1"/>
        <v>0</v>
      </c>
      <c r="H82" s="19" t="s">
        <v>94</v>
      </c>
      <c r="I82" s="4"/>
      <c r="J82" s="4"/>
    </row>
    <row r="83" spans="1:10" s="3" customFormat="1" x14ac:dyDescent="0.25">
      <c r="A83" s="12">
        <v>42006</v>
      </c>
      <c r="B83" s="21">
        <v>7990</v>
      </c>
      <c r="C83" s="34" t="s">
        <v>97</v>
      </c>
      <c r="D83" s="37">
        <v>3306</v>
      </c>
      <c r="E83" s="23">
        <v>42007</v>
      </c>
      <c r="F83" s="38">
        <v>3306</v>
      </c>
      <c r="G83" s="25">
        <f t="shared" si="1"/>
        <v>0</v>
      </c>
      <c r="H83" s="19" t="s">
        <v>94</v>
      </c>
      <c r="I83" s="4"/>
      <c r="J83" s="4"/>
    </row>
    <row r="84" spans="1:10" s="3" customFormat="1" x14ac:dyDescent="0.25">
      <c r="A84" s="20">
        <v>42006</v>
      </c>
      <c r="B84" s="21">
        <v>7991</v>
      </c>
      <c r="C84" s="14" t="s">
        <v>98</v>
      </c>
      <c r="D84" s="22">
        <v>988</v>
      </c>
      <c r="E84" s="23">
        <v>42007</v>
      </c>
      <c r="F84" s="24">
        <v>988</v>
      </c>
      <c r="G84" s="25">
        <f t="shared" si="1"/>
        <v>0</v>
      </c>
      <c r="H84" s="39" t="s">
        <v>94</v>
      </c>
      <c r="I84" s="4"/>
      <c r="J84" s="4"/>
    </row>
    <row r="85" spans="1:10" s="3" customFormat="1" x14ac:dyDescent="0.25">
      <c r="A85" s="12">
        <v>42006</v>
      </c>
      <c r="B85" s="21">
        <v>7992</v>
      </c>
      <c r="C85" s="14" t="s">
        <v>99</v>
      </c>
      <c r="D85" s="22">
        <v>1418.6</v>
      </c>
      <c r="E85" s="23">
        <v>42007</v>
      </c>
      <c r="F85" s="24">
        <v>1418.6</v>
      </c>
      <c r="G85" s="25">
        <f t="shared" si="1"/>
        <v>0</v>
      </c>
      <c r="H85" s="39" t="s">
        <v>94</v>
      </c>
      <c r="I85" s="4"/>
      <c r="J85" s="4"/>
    </row>
    <row r="86" spans="1:10" s="3" customFormat="1" x14ac:dyDescent="0.25">
      <c r="A86" s="20">
        <v>42006</v>
      </c>
      <c r="B86" s="21">
        <v>7993</v>
      </c>
      <c r="C86" s="14" t="s">
        <v>100</v>
      </c>
      <c r="D86" s="22">
        <v>2976</v>
      </c>
      <c r="E86" s="23">
        <v>42006</v>
      </c>
      <c r="F86" s="24">
        <v>2976</v>
      </c>
      <c r="G86" s="25">
        <f t="shared" si="1"/>
        <v>0</v>
      </c>
      <c r="H86" s="39" t="s">
        <v>9</v>
      </c>
      <c r="I86" s="4"/>
      <c r="J86" s="4"/>
    </row>
    <row r="87" spans="1:10" s="3" customFormat="1" x14ac:dyDescent="0.25">
      <c r="A87" s="12">
        <v>42006</v>
      </c>
      <c r="B87" s="21">
        <v>7994</v>
      </c>
      <c r="C87" s="14" t="s">
        <v>101</v>
      </c>
      <c r="D87" s="22">
        <v>810.9</v>
      </c>
      <c r="E87" s="23">
        <v>42007</v>
      </c>
      <c r="F87" s="24">
        <v>810.9</v>
      </c>
      <c r="G87" s="25">
        <f t="shared" si="1"/>
        <v>0</v>
      </c>
      <c r="H87" s="39" t="s">
        <v>94</v>
      </c>
      <c r="I87" s="4"/>
      <c r="J87" s="4"/>
    </row>
    <row r="88" spans="1:10" s="3" customFormat="1" x14ac:dyDescent="0.25">
      <c r="A88" s="20">
        <v>42006</v>
      </c>
      <c r="B88" s="21">
        <v>7995</v>
      </c>
      <c r="C88" s="14" t="s">
        <v>102</v>
      </c>
      <c r="D88" s="22">
        <v>2092.8000000000002</v>
      </c>
      <c r="E88" s="23">
        <v>42006</v>
      </c>
      <c r="F88" s="24">
        <v>2092.8000000000002</v>
      </c>
      <c r="G88" s="25">
        <f t="shared" si="1"/>
        <v>0</v>
      </c>
      <c r="H88" s="39" t="s">
        <v>9</v>
      </c>
      <c r="I88" s="4"/>
      <c r="J88" s="4"/>
    </row>
    <row r="89" spans="1:10" s="3" customFormat="1" x14ac:dyDescent="0.25">
      <c r="A89" s="12">
        <v>42006</v>
      </c>
      <c r="B89" s="21">
        <v>7996</v>
      </c>
      <c r="C89" s="14" t="s">
        <v>103</v>
      </c>
      <c r="D89" s="22">
        <v>71666</v>
      </c>
      <c r="E89" s="23">
        <v>42021</v>
      </c>
      <c r="F89" s="24">
        <v>71666</v>
      </c>
      <c r="G89" s="25">
        <f t="shared" si="1"/>
        <v>0</v>
      </c>
      <c r="H89" s="39" t="s">
        <v>9</v>
      </c>
      <c r="I89" s="4"/>
      <c r="J89" s="28"/>
    </row>
    <row r="90" spans="1:10" s="3" customFormat="1" x14ac:dyDescent="0.25">
      <c r="A90" s="20">
        <v>42006</v>
      </c>
      <c r="B90" s="21">
        <v>7997</v>
      </c>
      <c r="C90" s="14" t="s">
        <v>103</v>
      </c>
      <c r="D90" s="22">
        <v>107011.8</v>
      </c>
      <c r="E90" s="23">
        <v>42021</v>
      </c>
      <c r="F90" s="24">
        <v>107011.8</v>
      </c>
      <c r="G90" s="25">
        <f t="shared" si="1"/>
        <v>0</v>
      </c>
      <c r="H90" s="39" t="s">
        <v>9</v>
      </c>
      <c r="I90" s="4"/>
      <c r="J90" s="4"/>
    </row>
    <row r="91" spans="1:10" s="3" customFormat="1" x14ac:dyDescent="0.25">
      <c r="A91" s="12">
        <v>42006</v>
      </c>
      <c r="B91" s="21">
        <v>7998</v>
      </c>
      <c r="C91" s="14" t="s">
        <v>104</v>
      </c>
      <c r="D91" s="22">
        <v>1969.6</v>
      </c>
      <c r="E91" s="23">
        <v>42007</v>
      </c>
      <c r="F91" s="24">
        <v>1969.6</v>
      </c>
      <c r="G91" s="25">
        <f t="shared" si="1"/>
        <v>0</v>
      </c>
      <c r="H91" s="39" t="s">
        <v>94</v>
      </c>
      <c r="I91" s="4"/>
      <c r="J91" s="4"/>
    </row>
    <row r="92" spans="1:10" s="3" customFormat="1" x14ac:dyDescent="0.25">
      <c r="A92" s="20">
        <v>42006</v>
      </c>
      <c r="B92" s="21">
        <v>7999</v>
      </c>
      <c r="C92" s="14" t="s">
        <v>105</v>
      </c>
      <c r="D92" s="22">
        <v>1246</v>
      </c>
      <c r="E92" s="23">
        <v>42006</v>
      </c>
      <c r="F92" s="24">
        <v>1246</v>
      </c>
      <c r="G92" s="25">
        <f t="shared" si="1"/>
        <v>0</v>
      </c>
      <c r="H92" s="39" t="s">
        <v>9</v>
      </c>
      <c r="I92" s="4"/>
      <c r="J92" s="4"/>
    </row>
    <row r="93" spans="1:10" s="3" customFormat="1" x14ac:dyDescent="0.25">
      <c r="A93" s="12">
        <v>42006</v>
      </c>
      <c r="B93" s="21">
        <v>8000</v>
      </c>
      <c r="C93" s="14" t="s">
        <v>106</v>
      </c>
      <c r="D93" s="22">
        <v>4091.2</v>
      </c>
      <c r="E93" s="23">
        <v>42007</v>
      </c>
      <c r="F93" s="24">
        <v>4091.2</v>
      </c>
      <c r="G93" s="25">
        <f t="shared" si="1"/>
        <v>0</v>
      </c>
      <c r="H93" s="39" t="s">
        <v>94</v>
      </c>
      <c r="I93" s="4"/>
      <c r="J93" s="4"/>
    </row>
    <row r="94" spans="1:10" s="3" customFormat="1" x14ac:dyDescent="0.25">
      <c r="A94" s="20">
        <v>42006</v>
      </c>
      <c r="B94" s="21">
        <v>8001</v>
      </c>
      <c r="C94" s="14" t="s">
        <v>107</v>
      </c>
      <c r="D94" s="22">
        <v>2390.4</v>
      </c>
      <c r="E94" s="23">
        <v>42006</v>
      </c>
      <c r="F94" s="24">
        <v>2390.4</v>
      </c>
      <c r="G94" s="25">
        <f t="shared" si="1"/>
        <v>0</v>
      </c>
      <c r="H94" s="39" t="s">
        <v>9</v>
      </c>
      <c r="I94" s="4"/>
      <c r="J94" s="4"/>
    </row>
    <row r="95" spans="1:10" s="3" customFormat="1" x14ac:dyDescent="0.25">
      <c r="A95" s="12">
        <v>42006</v>
      </c>
      <c r="B95" s="21">
        <v>8002</v>
      </c>
      <c r="C95" s="14" t="s">
        <v>106</v>
      </c>
      <c r="D95" s="22">
        <v>6272</v>
      </c>
      <c r="E95" s="23">
        <v>42006</v>
      </c>
      <c r="F95" s="24">
        <v>6272</v>
      </c>
      <c r="G95" s="25">
        <f t="shared" si="1"/>
        <v>0</v>
      </c>
      <c r="H95" s="39" t="s">
        <v>9</v>
      </c>
      <c r="I95" s="4"/>
      <c r="J95" s="4"/>
    </row>
    <row r="96" spans="1:10" s="3" customFormat="1" x14ac:dyDescent="0.25">
      <c r="A96" s="20">
        <v>42006</v>
      </c>
      <c r="B96" s="21">
        <v>8003</v>
      </c>
      <c r="C96" s="14" t="s">
        <v>35</v>
      </c>
      <c r="D96" s="22">
        <v>840</v>
      </c>
      <c r="E96" s="23">
        <v>42006</v>
      </c>
      <c r="F96" s="24">
        <v>840</v>
      </c>
      <c r="G96" s="25">
        <f t="shared" si="1"/>
        <v>0</v>
      </c>
      <c r="H96" s="39" t="s">
        <v>9</v>
      </c>
      <c r="I96" s="4"/>
      <c r="J96" s="4"/>
    </row>
    <row r="97" spans="1:10" s="3" customFormat="1" x14ac:dyDescent="0.25">
      <c r="A97" s="12">
        <v>42006</v>
      </c>
      <c r="B97" s="21">
        <v>8004</v>
      </c>
      <c r="C97" s="14" t="s">
        <v>26</v>
      </c>
      <c r="D97" s="22">
        <v>1454</v>
      </c>
      <c r="E97" s="23">
        <v>42007</v>
      </c>
      <c r="F97" s="24">
        <v>1454</v>
      </c>
      <c r="G97" s="25">
        <f t="shared" si="1"/>
        <v>0</v>
      </c>
      <c r="H97" s="39" t="s">
        <v>9</v>
      </c>
      <c r="I97" s="4"/>
      <c r="J97" s="4"/>
    </row>
    <row r="98" spans="1:10" s="3" customFormat="1" x14ac:dyDescent="0.25">
      <c r="A98" s="20">
        <v>42006</v>
      </c>
      <c r="B98" s="21">
        <v>8005</v>
      </c>
      <c r="C98" s="14" t="s">
        <v>108</v>
      </c>
      <c r="D98" s="22">
        <v>28430.1</v>
      </c>
      <c r="E98" s="23">
        <v>42011</v>
      </c>
      <c r="F98" s="24">
        <v>28430.1</v>
      </c>
      <c r="G98" s="25">
        <f t="shared" si="1"/>
        <v>0</v>
      </c>
      <c r="H98" s="39" t="s">
        <v>19</v>
      </c>
    </row>
    <row r="99" spans="1:10" s="3" customFormat="1" x14ac:dyDescent="0.25">
      <c r="A99" s="12">
        <v>42006</v>
      </c>
      <c r="B99" s="21">
        <v>8006</v>
      </c>
      <c r="C99" s="14" t="s">
        <v>18</v>
      </c>
      <c r="D99" s="22">
        <v>57164</v>
      </c>
      <c r="E99" s="23">
        <v>42006</v>
      </c>
      <c r="F99" s="24">
        <v>57164</v>
      </c>
      <c r="G99" s="25">
        <f t="shared" si="1"/>
        <v>0</v>
      </c>
      <c r="H99" s="39" t="s">
        <v>17</v>
      </c>
    </row>
    <row r="100" spans="1:10" s="3" customFormat="1" x14ac:dyDescent="0.25">
      <c r="A100" s="20">
        <v>42006</v>
      </c>
      <c r="B100" s="21">
        <v>8007</v>
      </c>
      <c r="C100" s="14" t="s">
        <v>24</v>
      </c>
      <c r="D100" s="22">
        <v>372712.32</v>
      </c>
      <c r="E100" s="29" t="s">
        <v>109</v>
      </c>
      <c r="F100" s="24">
        <f>187712+185000.32</f>
        <v>372712.32</v>
      </c>
      <c r="G100" s="25">
        <f t="shared" si="1"/>
        <v>0</v>
      </c>
      <c r="H100" s="39" t="s">
        <v>46</v>
      </c>
    </row>
    <row r="101" spans="1:10" s="3" customFormat="1" x14ac:dyDescent="0.25">
      <c r="A101" s="12">
        <v>42006</v>
      </c>
      <c r="B101" s="21">
        <v>8008</v>
      </c>
      <c r="C101" s="14" t="s">
        <v>80</v>
      </c>
      <c r="D101" s="22">
        <v>7117.2</v>
      </c>
      <c r="E101" s="23">
        <v>42006</v>
      </c>
      <c r="F101" s="24">
        <v>7117.2</v>
      </c>
      <c r="G101" s="25">
        <f t="shared" si="1"/>
        <v>0</v>
      </c>
      <c r="H101" s="39" t="s">
        <v>9</v>
      </c>
    </row>
    <row r="102" spans="1:10" s="3" customFormat="1" x14ac:dyDescent="0.25">
      <c r="A102" s="20">
        <v>42006</v>
      </c>
      <c r="B102" s="21">
        <v>8009</v>
      </c>
      <c r="C102" s="14" t="s">
        <v>110</v>
      </c>
      <c r="D102" s="22">
        <v>58093</v>
      </c>
      <c r="E102" s="23">
        <v>42007</v>
      </c>
      <c r="F102" s="24">
        <v>58093</v>
      </c>
      <c r="G102" s="25">
        <f t="shared" si="1"/>
        <v>0</v>
      </c>
      <c r="H102" s="39" t="s">
        <v>59</v>
      </c>
    </row>
    <row r="103" spans="1:10" s="3" customFormat="1" x14ac:dyDescent="0.25">
      <c r="A103" s="12">
        <v>42006</v>
      </c>
      <c r="B103" s="21">
        <v>8010</v>
      </c>
      <c r="C103" s="14" t="s">
        <v>111</v>
      </c>
      <c r="D103" s="22">
        <v>238600</v>
      </c>
      <c r="E103" s="23">
        <v>42014</v>
      </c>
      <c r="F103" s="24">
        <v>238600</v>
      </c>
      <c r="G103" s="25">
        <f t="shared" si="1"/>
        <v>0</v>
      </c>
      <c r="H103" s="39" t="s">
        <v>9</v>
      </c>
    </row>
    <row r="104" spans="1:10" s="3" customFormat="1" x14ac:dyDescent="0.25">
      <c r="A104" s="20">
        <v>42007</v>
      </c>
      <c r="B104" s="21">
        <v>8011</v>
      </c>
      <c r="C104" s="14" t="s">
        <v>112</v>
      </c>
      <c r="D104" s="22">
        <v>5814.2</v>
      </c>
      <c r="E104" s="23">
        <v>42007</v>
      </c>
      <c r="F104" s="24">
        <v>5814.2</v>
      </c>
      <c r="G104" s="25">
        <f t="shared" si="1"/>
        <v>0</v>
      </c>
      <c r="H104" s="39" t="s">
        <v>9</v>
      </c>
    </row>
    <row r="105" spans="1:10" s="3" customFormat="1" x14ac:dyDescent="0.25">
      <c r="A105" s="12">
        <v>42007</v>
      </c>
      <c r="B105" s="21">
        <v>8012</v>
      </c>
      <c r="C105" s="14" t="s">
        <v>11</v>
      </c>
      <c r="D105" s="22">
        <v>22530.6</v>
      </c>
      <c r="E105" s="23">
        <v>42007</v>
      </c>
      <c r="F105" s="24">
        <v>22530.6</v>
      </c>
      <c r="G105" s="25">
        <f t="shared" si="1"/>
        <v>0</v>
      </c>
      <c r="H105" s="39" t="s">
        <v>9</v>
      </c>
    </row>
    <row r="106" spans="1:10" s="3" customFormat="1" x14ac:dyDescent="0.25">
      <c r="A106" s="20">
        <v>42007</v>
      </c>
      <c r="B106" s="21">
        <v>8013</v>
      </c>
      <c r="C106" s="14" t="s">
        <v>16</v>
      </c>
      <c r="D106" s="22">
        <v>12258.8</v>
      </c>
      <c r="E106" s="23">
        <v>42007</v>
      </c>
      <c r="F106" s="24">
        <v>12258.8</v>
      </c>
      <c r="G106" s="25">
        <f t="shared" si="1"/>
        <v>0</v>
      </c>
      <c r="H106" s="39" t="s">
        <v>17</v>
      </c>
    </row>
    <row r="107" spans="1:10" s="3" customFormat="1" x14ac:dyDescent="0.25">
      <c r="A107" s="12">
        <v>42007</v>
      </c>
      <c r="B107" s="21">
        <v>8014</v>
      </c>
      <c r="C107" s="14" t="s">
        <v>52</v>
      </c>
      <c r="D107" s="22">
        <v>2940</v>
      </c>
      <c r="E107" s="23">
        <v>42010</v>
      </c>
      <c r="F107" s="24">
        <v>2940</v>
      </c>
      <c r="G107" s="25">
        <f t="shared" si="1"/>
        <v>0</v>
      </c>
      <c r="H107" s="39" t="s">
        <v>59</v>
      </c>
    </row>
    <row r="108" spans="1:10" s="3" customFormat="1" x14ac:dyDescent="0.25">
      <c r="A108" s="20">
        <v>42007</v>
      </c>
      <c r="B108" s="21">
        <v>8015</v>
      </c>
      <c r="C108" s="14" t="s">
        <v>58</v>
      </c>
      <c r="D108" s="22">
        <v>420</v>
      </c>
      <c r="E108" s="23">
        <v>42007</v>
      </c>
      <c r="F108" s="24">
        <v>420</v>
      </c>
      <c r="G108" s="25">
        <f t="shared" si="1"/>
        <v>0</v>
      </c>
      <c r="H108" s="39" t="s">
        <v>59</v>
      </c>
    </row>
    <row r="109" spans="1:10" s="3" customFormat="1" x14ac:dyDescent="0.25">
      <c r="A109" s="12">
        <v>42007</v>
      </c>
      <c r="B109" s="21">
        <v>8016</v>
      </c>
      <c r="C109" s="14" t="s">
        <v>16</v>
      </c>
      <c r="D109" s="22">
        <v>11096</v>
      </c>
      <c r="E109" s="23">
        <v>42007</v>
      </c>
      <c r="F109" s="24">
        <v>11096</v>
      </c>
      <c r="G109" s="25">
        <f t="shared" si="1"/>
        <v>0</v>
      </c>
      <c r="H109" s="39" t="s">
        <v>17</v>
      </c>
    </row>
    <row r="110" spans="1:10" s="3" customFormat="1" x14ac:dyDescent="0.25">
      <c r="A110" s="20">
        <v>42007</v>
      </c>
      <c r="B110" s="21">
        <v>8017</v>
      </c>
      <c r="C110" s="14" t="s">
        <v>18</v>
      </c>
      <c r="D110" s="22">
        <v>105525.7</v>
      </c>
      <c r="E110" s="29" t="s">
        <v>113</v>
      </c>
      <c r="F110" s="24">
        <f>60000+45525.7</f>
        <v>105525.7</v>
      </c>
      <c r="G110" s="25">
        <f t="shared" si="1"/>
        <v>0</v>
      </c>
      <c r="H110" s="39" t="s">
        <v>19</v>
      </c>
    </row>
    <row r="111" spans="1:10" s="3" customFormat="1" x14ac:dyDescent="0.25">
      <c r="A111" s="12">
        <v>42007</v>
      </c>
      <c r="B111" s="21">
        <v>8018</v>
      </c>
      <c r="C111" s="14" t="s">
        <v>51</v>
      </c>
      <c r="D111" s="22">
        <v>2520</v>
      </c>
      <c r="E111" s="23">
        <v>42010</v>
      </c>
      <c r="F111" s="24">
        <v>2520</v>
      </c>
      <c r="G111" s="25">
        <f t="shared" si="1"/>
        <v>0</v>
      </c>
      <c r="H111" s="39" t="s">
        <v>59</v>
      </c>
    </row>
    <row r="112" spans="1:10" s="3" customFormat="1" x14ac:dyDescent="0.25">
      <c r="A112" s="20">
        <v>42007</v>
      </c>
      <c r="B112" s="21">
        <v>8019</v>
      </c>
      <c r="C112" s="14" t="s">
        <v>53</v>
      </c>
      <c r="D112" s="22">
        <v>3520</v>
      </c>
      <c r="E112" s="23">
        <v>42007</v>
      </c>
      <c r="F112" s="24">
        <v>3520</v>
      </c>
      <c r="G112" s="25">
        <f t="shared" si="1"/>
        <v>0</v>
      </c>
      <c r="H112" s="39" t="s">
        <v>59</v>
      </c>
    </row>
    <row r="113" spans="1:8" s="3" customFormat="1" x14ac:dyDescent="0.25">
      <c r="A113" s="12">
        <v>42007</v>
      </c>
      <c r="B113" s="21">
        <v>8020</v>
      </c>
      <c r="C113" s="14" t="s">
        <v>54</v>
      </c>
      <c r="D113" s="22">
        <v>1760</v>
      </c>
      <c r="E113" s="23">
        <v>42007</v>
      </c>
      <c r="F113" s="24">
        <v>1760</v>
      </c>
      <c r="G113" s="25">
        <f t="shared" si="1"/>
        <v>0</v>
      </c>
      <c r="H113" s="39" t="s">
        <v>59</v>
      </c>
    </row>
    <row r="114" spans="1:8" s="3" customFormat="1" x14ac:dyDescent="0.25">
      <c r="A114" s="20">
        <v>42007</v>
      </c>
      <c r="B114" s="21">
        <v>8021</v>
      </c>
      <c r="C114" s="14" t="s">
        <v>14</v>
      </c>
      <c r="D114" s="22">
        <v>35916.65</v>
      </c>
      <c r="E114" s="23">
        <v>42010</v>
      </c>
      <c r="F114" s="24">
        <v>35916.65</v>
      </c>
      <c r="G114" s="25">
        <f t="shared" si="1"/>
        <v>0</v>
      </c>
      <c r="H114" s="39" t="s">
        <v>15</v>
      </c>
    </row>
    <row r="115" spans="1:8" s="3" customFormat="1" x14ac:dyDescent="0.25">
      <c r="A115" s="12">
        <v>42007</v>
      </c>
      <c r="B115" s="21">
        <v>8022</v>
      </c>
      <c r="C115" s="14" t="s">
        <v>114</v>
      </c>
      <c r="D115" s="22">
        <v>2322</v>
      </c>
      <c r="E115" s="23">
        <v>42007</v>
      </c>
      <c r="F115" s="24">
        <v>2322</v>
      </c>
      <c r="G115" s="25">
        <f t="shared" si="1"/>
        <v>0</v>
      </c>
      <c r="H115" s="39" t="s">
        <v>9</v>
      </c>
    </row>
    <row r="116" spans="1:8" s="3" customFormat="1" x14ac:dyDescent="0.25">
      <c r="A116" s="20">
        <v>42007</v>
      </c>
      <c r="B116" s="21">
        <v>8023</v>
      </c>
      <c r="C116" s="14" t="s">
        <v>20</v>
      </c>
      <c r="D116" s="22">
        <v>53862.55</v>
      </c>
      <c r="E116" s="23">
        <v>42007</v>
      </c>
      <c r="F116" s="24">
        <v>53862.55</v>
      </c>
      <c r="G116" s="25">
        <f t="shared" si="1"/>
        <v>0</v>
      </c>
      <c r="H116" s="39" t="s">
        <v>9</v>
      </c>
    </row>
    <row r="117" spans="1:8" s="3" customFormat="1" x14ac:dyDescent="0.25">
      <c r="A117" s="12">
        <v>42007</v>
      </c>
      <c r="B117" s="21">
        <v>8024</v>
      </c>
      <c r="C117" s="14" t="s">
        <v>57</v>
      </c>
      <c r="D117" s="22">
        <v>1540</v>
      </c>
      <c r="E117" s="23">
        <v>42007</v>
      </c>
      <c r="F117" s="24">
        <v>1540</v>
      </c>
      <c r="G117" s="25">
        <f t="shared" si="1"/>
        <v>0</v>
      </c>
      <c r="H117" s="39" t="s">
        <v>59</v>
      </c>
    </row>
    <row r="118" spans="1:8" s="3" customFormat="1" x14ac:dyDescent="0.25">
      <c r="A118" s="20">
        <v>42007</v>
      </c>
      <c r="B118" s="21">
        <v>8025</v>
      </c>
      <c r="C118" s="14" t="s">
        <v>115</v>
      </c>
      <c r="D118" s="22">
        <v>418.2</v>
      </c>
      <c r="E118" s="23">
        <v>42007</v>
      </c>
      <c r="F118" s="24">
        <v>418.2</v>
      </c>
      <c r="G118" s="25">
        <f t="shared" si="1"/>
        <v>0</v>
      </c>
      <c r="H118" s="39" t="s">
        <v>9</v>
      </c>
    </row>
    <row r="119" spans="1:8" s="3" customFormat="1" x14ac:dyDescent="0.25">
      <c r="A119" s="12">
        <v>42007</v>
      </c>
      <c r="B119" s="21">
        <v>8026</v>
      </c>
      <c r="C119" s="14" t="s">
        <v>116</v>
      </c>
      <c r="D119" s="22">
        <v>20639.95</v>
      </c>
      <c r="E119" s="23">
        <v>42007</v>
      </c>
      <c r="F119" s="24">
        <v>20639.95</v>
      </c>
      <c r="G119" s="25">
        <f t="shared" si="1"/>
        <v>0</v>
      </c>
      <c r="H119" s="39" t="s">
        <v>9</v>
      </c>
    </row>
    <row r="120" spans="1:8" s="3" customFormat="1" x14ac:dyDescent="0.25">
      <c r="A120" s="20">
        <v>42007</v>
      </c>
      <c r="B120" s="21">
        <v>8027</v>
      </c>
      <c r="C120" s="14" t="s">
        <v>24</v>
      </c>
      <c r="D120" s="22">
        <v>127651.67</v>
      </c>
      <c r="E120" s="23">
        <v>42012</v>
      </c>
      <c r="F120" s="24">
        <v>127651.67</v>
      </c>
      <c r="G120" s="25">
        <f t="shared" si="1"/>
        <v>0</v>
      </c>
      <c r="H120" s="39" t="s">
        <v>94</v>
      </c>
    </row>
    <row r="121" spans="1:8" s="3" customFormat="1" x14ac:dyDescent="0.25">
      <c r="A121" s="12">
        <v>42007</v>
      </c>
      <c r="B121" s="21">
        <v>8028</v>
      </c>
      <c r="C121" s="14" t="s">
        <v>26</v>
      </c>
      <c r="D121" s="22">
        <v>2980</v>
      </c>
      <c r="E121" s="23">
        <v>42007</v>
      </c>
      <c r="F121" s="24">
        <v>2980</v>
      </c>
      <c r="G121" s="25">
        <f t="shared" si="1"/>
        <v>0</v>
      </c>
      <c r="H121" s="39" t="s">
        <v>62</v>
      </c>
    </row>
    <row r="122" spans="1:8" s="3" customFormat="1" x14ac:dyDescent="0.25">
      <c r="A122" s="20">
        <v>42007</v>
      </c>
      <c r="B122" s="21">
        <v>8029</v>
      </c>
      <c r="C122" s="14" t="s">
        <v>83</v>
      </c>
      <c r="D122" s="22">
        <v>9592.7999999999993</v>
      </c>
      <c r="E122" s="23">
        <v>42007</v>
      </c>
      <c r="F122" s="24">
        <v>9592.7999999999993</v>
      </c>
      <c r="G122" s="25">
        <f t="shared" si="1"/>
        <v>0</v>
      </c>
      <c r="H122" s="39" t="s">
        <v>59</v>
      </c>
    </row>
    <row r="123" spans="1:8" s="3" customFormat="1" x14ac:dyDescent="0.25">
      <c r="A123" s="12">
        <v>42007</v>
      </c>
      <c r="B123" s="21">
        <v>8030</v>
      </c>
      <c r="C123" s="40" t="s">
        <v>117</v>
      </c>
      <c r="D123" s="22">
        <v>7914.8</v>
      </c>
      <c r="E123" s="23">
        <v>42007</v>
      </c>
      <c r="F123" s="24">
        <v>7914.8</v>
      </c>
      <c r="G123" s="25">
        <f t="shared" si="1"/>
        <v>0</v>
      </c>
      <c r="H123" s="41" t="s">
        <v>59</v>
      </c>
    </row>
    <row r="124" spans="1:8" s="3" customFormat="1" x14ac:dyDescent="0.25">
      <c r="A124" s="20">
        <v>42007</v>
      </c>
      <c r="B124" s="21">
        <v>8031</v>
      </c>
      <c r="C124" s="40" t="s">
        <v>118</v>
      </c>
      <c r="D124" s="22">
        <v>10847.4</v>
      </c>
      <c r="E124" s="23">
        <v>42012</v>
      </c>
      <c r="F124" s="24">
        <v>10847.4</v>
      </c>
      <c r="G124" s="25">
        <f t="shared" si="1"/>
        <v>0</v>
      </c>
      <c r="H124" s="41" t="s">
        <v>59</v>
      </c>
    </row>
    <row r="125" spans="1:8" s="3" customFormat="1" x14ac:dyDescent="0.25">
      <c r="A125" s="12">
        <v>42007</v>
      </c>
      <c r="B125" s="21">
        <v>8032</v>
      </c>
      <c r="C125" s="40" t="s">
        <v>45</v>
      </c>
      <c r="D125" s="22">
        <v>28334</v>
      </c>
      <c r="E125" s="23">
        <v>42009</v>
      </c>
      <c r="F125" s="24">
        <v>28334</v>
      </c>
      <c r="G125" s="25">
        <f t="shared" si="1"/>
        <v>0</v>
      </c>
      <c r="H125" s="41" t="s">
        <v>9</v>
      </c>
    </row>
    <row r="126" spans="1:8" s="3" customFormat="1" x14ac:dyDescent="0.25">
      <c r="A126" s="20">
        <v>42007</v>
      </c>
      <c r="B126" s="21">
        <v>8033</v>
      </c>
      <c r="C126" s="40" t="s">
        <v>81</v>
      </c>
      <c r="D126" s="22">
        <v>3280.5</v>
      </c>
      <c r="E126" s="23">
        <v>42007</v>
      </c>
      <c r="F126" s="24">
        <v>3280.5</v>
      </c>
      <c r="G126" s="25">
        <f t="shared" si="1"/>
        <v>0</v>
      </c>
      <c r="H126" s="41" t="s">
        <v>59</v>
      </c>
    </row>
    <row r="127" spans="1:8" s="3" customFormat="1" x14ac:dyDescent="0.25">
      <c r="A127" s="12">
        <v>42007</v>
      </c>
      <c r="B127" s="21">
        <v>8034</v>
      </c>
      <c r="C127" s="40" t="s">
        <v>119</v>
      </c>
      <c r="D127" s="22">
        <v>6321</v>
      </c>
      <c r="E127" s="23">
        <v>42007</v>
      </c>
      <c r="F127" s="24">
        <v>6321</v>
      </c>
      <c r="G127" s="25">
        <f t="shared" si="1"/>
        <v>0</v>
      </c>
      <c r="H127" s="41" t="s">
        <v>9</v>
      </c>
    </row>
    <row r="128" spans="1:8" s="3" customFormat="1" x14ac:dyDescent="0.25">
      <c r="A128" s="20">
        <v>42007</v>
      </c>
      <c r="B128" s="21">
        <v>8035</v>
      </c>
      <c r="C128" s="40" t="s">
        <v>119</v>
      </c>
      <c r="D128" s="22">
        <v>320</v>
      </c>
      <c r="E128" s="23">
        <v>42007</v>
      </c>
      <c r="F128" s="24">
        <v>320</v>
      </c>
      <c r="G128" s="25">
        <f t="shared" si="1"/>
        <v>0</v>
      </c>
      <c r="H128" s="41" t="s">
        <v>9</v>
      </c>
    </row>
    <row r="129" spans="1:10" s="3" customFormat="1" x14ac:dyDescent="0.25">
      <c r="A129" s="12">
        <v>42007</v>
      </c>
      <c r="B129" s="21">
        <v>8036</v>
      </c>
      <c r="C129" s="40" t="s">
        <v>82</v>
      </c>
      <c r="D129" s="22">
        <v>4841</v>
      </c>
      <c r="E129" s="23">
        <v>42007</v>
      </c>
      <c r="F129" s="24">
        <v>4841</v>
      </c>
      <c r="G129" s="25">
        <f t="shared" si="1"/>
        <v>0</v>
      </c>
      <c r="H129" s="41" t="s">
        <v>59</v>
      </c>
    </row>
    <row r="130" spans="1:10" s="3" customFormat="1" x14ac:dyDescent="0.25">
      <c r="A130" s="20">
        <v>42007</v>
      </c>
      <c r="B130" s="21">
        <v>8037</v>
      </c>
      <c r="C130" s="40" t="s">
        <v>120</v>
      </c>
      <c r="D130" s="22">
        <v>2500.4</v>
      </c>
      <c r="E130" s="23">
        <v>42007</v>
      </c>
      <c r="F130" s="24">
        <v>2500.4</v>
      </c>
      <c r="G130" s="25">
        <f t="shared" si="1"/>
        <v>0</v>
      </c>
      <c r="H130" s="41" t="s">
        <v>59</v>
      </c>
      <c r="I130" s="4"/>
      <c r="J130" s="4"/>
    </row>
    <row r="131" spans="1:10" s="3" customFormat="1" x14ac:dyDescent="0.25">
      <c r="A131" s="12">
        <v>42007</v>
      </c>
      <c r="B131" s="21">
        <v>8038</v>
      </c>
      <c r="C131" s="40" t="s">
        <v>121</v>
      </c>
      <c r="D131" s="22">
        <v>1593.6</v>
      </c>
      <c r="E131" s="23">
        <v>42007</v>
      </c>
      <c r="F131" s="24">
        <v>1593.6</v>
      </c>
      <c r="G131" s="25">
        <f t="shared" ref="G131:G194" si="2">D131-F131</f>
        <v>0</v>
      </c>
      <c r="H131" s="41" t="s">
        <v>9</v>
      </c>
      <c r="I131" s="4"/>
      <c r="J131" s="28"/>
    </row>
    <row r="132" spans="1:10" s="3" customFormat="1" x14ac:dyDescent="0.25">
      <c r="A132" s="20">
        <v>42007</v>
      </c>
      <c r="B132" s="21">
        <v>8039</v>
      </c>
      <c r="C132" s="40" t="s">
        <v>121</v>
      </c>
      <c r="D132" s="22">
        <v>150.80000000000001</v>
      </c>
      <c r="E132" s="23">
        <v>42007</v>
      </c>
      <c r="F132" s="24">
        <v>150.80000000000001</v>
      </c>
      <c r="G132" s="25">
        <f t="shared" si="2"/>
        <v>0</v>
      </c>
      <c r="H132" s="41" t="s">
        <v>9</v>
      </c>
      <c r="I132" s="4"/>
      <c r="J132" s="28"/>
    </row>
    <row r="133" spans="1:10" s="3" customFormat="1" x14ac:dyDescent="0.25">
      <c r="A133" s="12">
        <v>42007</v>
      </c>
      <c r="B133" s="21">
        <v>8040</v>
      </c>
      <c r="C133" s="40" t="s">
        <v>122</v>
      </c>
      <c r="D133" s="22">
        <v>20384</v>
      </c>
      <c r="E133" s="23">
        <v>42007</v>
      </c>
      <c r="F133" s="24">
        <v>20384</v>
      </c>
      <c r="G133" s="32">
        <f t="shared" si="2"/>
        <v>0</v>
      </c>
      <c r="H133" s="41" t="s">
        <v>9</v>
      </c>
      <c r="I133" s="4"/>
      <c r="J133" s="4"/>
    </row>
    <row r="134" spans="1:10" s="3" customFormat="1" x14ac:dyDescent="0.25">
      <c r="A134" s="20">
        <v>42007</v>
      </c>
      <c r="B134" s="21">
        <v>8041</v>
      </c>
      <c r="C134" s="40" t="s">
        <v>45</v>
      </c>
      <c r="D134" s="22">
        <v>2003.4</v>
      </c>
      <c r="E134" s="23">
        <v>42009</v>
      </c>
      <c r="F134" s="24">
        <v>2003.4</v>
      </c>
      <c r="G134" s="25">
        <f t="shared" si="2"/>
        <v>0</v>
      </c>
      <c r="H134" s="41" t="s">
        <v>9</v>
      </c>
      <c r="I134" s="4"/>
      <c r="J134" s="4"/>
    </row>
    <row r="135" spans="1:10" s="3" customFormat="1" x14ac:dyDescent="0.25">
      <c r="A135" s="12">
        <v>42007</v>
      </c>
      <c r="B135" s="21">
        <v>8042</v>
      </c>
      <c r="C135" s="40" t="s">
        <v>82</v>
      </c>
      <c r="D135" s="22">
        <v>2381.6</v>
      </c>
      <c r="E135" s="23">
        <v>42007</v>
      </c>
      <c r="F135" s="24">
        <v>2381.6</v>
      </c>
      <c r="G135" s="25">
        <f t="shared" si="2"/>
        <v>0</v>
      </c>
      <c r="H135" s="41" t="s">
        <v>59</v>
      </c>
      <c r="I135" s="4"/>
      <c r="J135" s="4"/>
    </row>
    <row r="136" spans="1:10" s="3" customFormat="1" x14ac:dyDescent="0.25">
      <c r="A136" s="20">
        <v>42007</v>
      </c>
      <c r="B136" s="21">
        <v>8043</v>
      </c>
      <c r="C136" s="40" t="s">
        <v>40</v>
      </c>
      <c r="D136" s="22">
        <v>8400</v>
      </c>
      <c r="E136" s="23">
        <v>42010</v>
      </c>
      <c r="F136" s="24">
        <v>8400</v>
      </c>
      <c r="G136" s="25">
        <f t="shared" si="2"/>
        <v>0</v>
      </c>
      <c r="H136" s="41" t="s">
        <v>9</v>
      </c>
      <c r="I136" s="4"/>
      <c r="J136" s="4"/>
    </row>
    <row r="137" spans="1:10" s="3" customFormat="1" x14ac:dyDescent="0.25">
      <c r="A137" s="12">
        <v>42007</v>
      </c>
      <c r="B137" s="21">
        <v>8044</v>
      </c>
      <c r="C137" s="40" t="s">
        <v>45</v>
      </c>
      <c r="D137" s="22">
        <v>4023.25</v>
      </c>
      <c r="E137" s="23">
        <v>42008</v>
      </c>
      <c r="F137" s="24">
        <v>4023.25</v>
      </c>
      <c r="G137" s="25">
        <f t="shared" si="2"/>
        <v>0</v>
      </c>
      <c r="H137" s="41" t="s">
        <v>9</v>
      </c>
      <c r="I137" s="4"/>
      <c r="J137" s="4"/>
    </row>
    <row r="138" spans="1:10" s="3" customFormat="1" x14ac:dyDescent="0.25">
      <c r="A138" s="20">
        <v>42007</v>
      </c>
      <c r="B138" s="21">
        <v>8045</v>
      </c>
      <c r="C138" s="40" t="s">
        <v>123</v>
      </c>
      <c r="D138" s="22">
        <v>23866.6</v>
      </c>
      <c r="E138" s="23">
        <v>42008</v>
      </c>
      <c r="F138" s="24">
        <v>23866.6</v>
      </c>
      <c r="G138" s="25">
        <f t="shared" si="2"/>
        <v>0</v>
      </c>
      <c r="H138" s="41" t="s">
        <v>36</v>
      </c>
      <c r="I138" s="4"/>
      <c r="J138" s="4"/>
    </row>
    <row r="139" spans="1:10" s="3" customFormat="1" x14ac:dyDescent="0.25">
      <c r="A139" s="12">
        <v>42007</v>
      </c>
      <c r="B139" s="21">
        <v>8046</v>
      </c>
      <c r="C139" s="40" t="s">
        <v>124</v>
      </c>
      <c r="D139" s="22">
        <v>1668.5</v>
      </c>
      <c r="E139" s="23">
        <v>42007</v>
      </c>
      <c r="F139" s="24">
        <v>1668.5</v>
      </c>
      <c r="G139" s="25">
        <f t="shared" si="2"/>
        <v>0</v>
      </c>
      <c r="H139" s="41" t="s">
        <v>9</v>
      </c>
      <c r="I139" s="4"/>
      <c r="J139" s="4"/>
    </row>
    <row r="140" spans="1:10" s="3" customFormat="1" x14ac:dyDescent="0.25">
      <c r="A140" s="20">
        <v>42007</v>
      </c>
      <c r="B140" s="21">
        <v>8047</v>
      </c>
      <c r="C140" s="40" t="s">
        <v>44</v>
      </c>
      <c r="D140" s="22">
        <v>9987.9</v>
      </c>
      <c r="E140" s="23">
        <v>42007</v>
      </c>
      <c r="F140" s="24">
        <v>9987.9</v>
      </c>
      <c r="G140" s="25">
        <f t="shared" si="2"/>
        <v>0</v>
      </c>
      <c r="H140" s="41" t="s">
        <v>9</v>
      </c>
      <c r="I140" s="4"/>
      <c r="J140" s="4"/>
    </row>
    <row r="141" spans="1:10" s="3" customFormat="1" x14ac:dyDescent="0.25">
      <c r="A141" s="12">
        <v>42007</v>
      </c>
      <c r="B141" s="21">
        <v>8048</v>
      </c>
      <c r="C141" s="40" t="s">
        <v>10</v>
      </c>
      <c r="D141" s="22">
        <v>11342.8</v>
      </c>
      <c r="E141" s="23">
        <v>42008</v>
      </c>
      <c r="F141" s="24">
        <v>11342.8</v>
      </c>
      <c r="G141" s="25">
        <f t="shared" si="2"/>
        <v>0</v>
      </c>
      <c r="H141" s="41" t="s">
        <v>36</v>
      </c>
      <c r="I141" s="4"/>
      <c r="J141" s="4"/>
    </row>
    <row r="142" spans="1:10" s="3" customFormat="1" x14ac:dyDescent="0.25">
      <c r="A142" s="20">
        <v>42007</v>
      </c>
      <c r="B142" s="21">
        <v>8049</v>
      </c>
      <c r="C142" s="40" t="s">
        <v>125</v>
      </c>
      <c r="D142" s="22">
        <v>16901.5</v>
      </c>
      <c r="E142" s="23">
        <v>42008</v>
      </c>
      <c r="F142" s="24">
        <v>16901.5</v>
      </c>
      <c r="G142" s="25">
        <f t="shared" si="2"/>
        <v>0</v>
      </c>
      <c r="H142" s="41" t="s">
        <v>59</v>
      </c>
      <c r="I142" s="4"/>
      <c r="J142" s="4"/>
    </row>
    <row r="143" spans="1:10" s="3" customFormat="1" x14ac:dyDescent="0.25">
      <c r="A143" s="12">
        <v>42007</v>
      </c>
      <c r="B143" s="21">
        <v>8050</v>
      </c>
      <c r="C143" s="40" t="s">
        <v>126</v>
      </c>
      <c r="D143" s="22">
        <v>2393.6</v>
      </c>
      <c r="E143" s="23">
        <v>42007</v>
      </c>
      <c r="F143" s="24">
        <v>2393.6</v>
      </c>
      <c r="G143" s="25">
        <f t="shared" si="2"/>
        <v>0</v>
      </c>
      <c r="H143" s="41" t="s">
        <v>59</v>
      </c>
      <c r="I143" s="4"/>
      <c r="J143" s="4"/>
    </row>
    <row r="144" spans="1:10" s="3" customFormat="1" x14ac:dyDescent="0.25">
      <c r="A144" s="20">
        <v>42007</v>
      </c>
      <c r="B144" s="21">
        <v>8051</v>
      </c>
      <c r="C144" s="40" t="s">
        <v>127</v>
      </c>
      <c r="D144" s="22">
        <v>6502</v>
      </c>
      <c r="E144" s="23">
        <v>42007</v>
      </c>
      <c r="F144" s="24">
        <v>6502</v>
      </c>
      <c r="G144" s="25">
        <f t="shared" si="2"/>
        <v>0</v>
      </c>
      <c r="H144" s="41" t="s">
        <v>9</v>
      </c>
      <c r="I144" s="4"/>
      <c r="J144" s="4"/>
    </row>
    <row r="145" spans="1:11" s="3" customFormat="1" x14ac:dyDescent="0.25">
      <c r="A145" s="12">
        <v>42007</v>
      </c>
      <c r="B145" s="21">
        <v>8052</v>
      </c>
      <c r="C145" s="40" t="s">
        <v>37</v>
      </c>
      <c r="D145" s="22">
        <v>28290</v>
      </c>
      <c r="E145" s="23">
        <v>42009</v>
      </c>
      <c r="F145" s="24">
        <v>28290</v>
      </c>
      <c r="G145" s="25">
        <f t="shared" si="2"/>
        <v>0</v>
      </c>
      <c r="H145" s="41" t="s">
        <v>36</v>
      </c>
      <c r="I145" s="4"/>
      <c r="J145" s="4"/>
      <c r="K145" s="42"/>
    </row>
    <row r="146" spans="1:11" s="3" customFormat="1" x14ac:dyDescent="0.25">
      <c r="A146" s="20">
        <v>42007</v>
      </c>
      <c r="B146" s="21">
        <v>8053</v>
      </c>
      <c r="C146" s="40" t="s">
        <v>128</v>
      </c>
      <c r="D146" s="22">
        <v>12582</v>
      </c>
      <c r="E146" s="23">
        <v>42007</v>
      </c>
      <c r="F146" s="24">
        <v>12582</v>
      </c>
      <c r="G146" s="25">
        <f t="shared" si="2"/>
        <v>0</v>
      </c>
      <c r="H146" s="41" t="s">
        <v>17</v>
      </c>
      <c r="I146" s="4"/>
      <c r="J146" s="4"/>
      <c r="K146" s="42"/>
    </row>
    <row r="147" spans="1:11" s="3" customFormat="1" x14ac:dyDescent="0.25">
      <c r="A147" s="12">
        <v>42007</v>
      </c>
      <c r="B147" s="21">
        <v>8054</v>
      </c>
      <c r="C147" s="40" t="s">
        <v>110</v>
      </c>
      <c r="D147" s="22">
        <v>5961.6</v>
      </c>
      <c r="E147" s="23">
        <v>42007</v>
      </c>
      <c r="F147" s="24">
        <v>5961.6</v>
      </c>
      <c r="G147" s="25">
        <f t="shared" si="2"/>
        <v>0</v>
      </c>
      <c r="H147" s="41" t="s">
        <v>41</v>
      </c>
      <c r="I147" s="4"/>
      <c r="J147" s="4"/>
      <c r="K147" s="42"/>
    </row>
    <row r="148" spans="1:11" s="3" customFormat="1" x14ac:dyDescent="0.25">
      <c r="A148" s="20">
        <v>42007</v>
      </c>
      <c r="B148" s="21">
        <v>8055</v>
      </c>
      <c r="C148" s="40" t="s">
        <v>56</v>
      </c>
      <c r="D148" s="22">
        <v>19259.8</v>
      </c>
      <c r="E148" s="23">
        <v>42008</v>
      </c>
      <c r="F148" s="24">
        <v>19259.8</v>
      </c>
      <c r="G148" s="25">
        <f t="shared" si="2"/>
        <v>0</v>
      </c>
      <c r="H148" s="41" t="s">
        <v>36</v>
      </c>
      <c r="I148" s="4"/>
      <c r="J148" s="4"/>
      <c r="K148" s="42"/>
    </row>
    <row r="149" spans="1:11" s="3" customFormat="1" x14ac:dyDescent="0.25">
      <c r="A149" s="12">
        <v>42007</v>
      </c>
      <c r="B149" s="21">
        <v>8056</v>
      </c>
      <c r="C149" s="40" t="s">
        <v>34</v>
      </c>
      <c r="D149" s="22">
        <v>4400</v>
      </c>
      <c r="E149" s="23">
        <v>42007</v>
      </c>
      <c r="F149" s="24">
        <v>4400</v>
      </c>
      <c r="G149" s="25">
        <f t="shared" si="2"/>
        <v>0</v>
      </c>
      <c r="H149" s="41" t="s">
        <v>9</v>
      </c>
      <c r="I149" s="4"/>
      <c r="J149" s="4"/>
      <c r="K149" s="42"/>
    </row>
    <row r="150" spans="1:11" s="3" customFormat="1" x14ac:dyDescent="0.25">
      <c r="A150" s="20">
        <v>42007</v>
      </c>
      <c r="B150" s="21">
        <v>8057</v>
      </c>
      <c r="C150" s="40" t="s">
        <v>34</v>
      </c>
      <c r="D150" s="22">
        <v>809.6</v>
      </c>
      <c r="E150" s="23">
        <v>42007</v>
      </c>
      <c r="F150" s="24">
        <v>809.6</v>
      </c>
      <c r="G150" s="25">
        <f t="shared" si="2"/>
        <v>0</v>
      </c>
      <c r="H150" s="41" t="s">
        <v>9</v>
      </c>
      <c r="I150" s="4"/>
      <c r="J150" s="4"/>
      <c r="K150" s="42"/>
    </row>
    <row r="151" spans="1:11" s="3" customFormat="1" x14ac:dyDescent="0.25">
      <c r="A151" s="12">
        <v>42007</v>
      </c>
      <c r="B151" s="21">
        <v>8058</v>
      </c>
      <c r="C151" s="40" t="s">
        <v>129</v>
      </c>
      <c r="D151" s="22">
        <v>4818</v>
      </c>
      <c r="E151" s="23">
        <v>42007</v>
      </c>
      <c r="F151" s="24">
        <v>4818</v>
      </c>
      <c r="G151" s="25">
        <f t="shared" si="2"/>
        <v>0</v>
      </c>
      <c r="H151" s="41" t="s">
        <v>9</v>
      </c>
      <c r="I151" s="4"/>
      <c r="J151" s="4"/>
      <c r="K151" s="42"/>
    </row>
    <row r="152" spans="1:11" s="3" customFormat="1" x14ac:dyDescent="0.25">
      <c r="A152" s="20">
        <v>42007</v>
      </c>
      <c r="B152" s="21">
        <v>8059</v>
      </c>
      <c r="C152" s="40" t="s">
        <v>100</v>
      </c>
      <c r="D152" s="22">
        <v>3179.75</v>
      </c>
      <c r="E152" s="23">
        <v>42007</v>
      </c>
      <c r="F152" s="24">
        <v>3179.75</v>
      </c>
      <c r="G152" s="25">
        <f t="shared" si="2"/>
        <v>0</v>
      </c>
      <c r="H152" s="41" t="s">
        <v>9</v>
      </c>
      <c r="I152" s="4"/>
      <c r="J152" s="4"/>
      <c r="K152" s="42"/>
    </row>
    <row r="153" spans="1:11" s="3" customFormat="1" x14ac:dyDescent="0.25">
      <c r="A153" s="12">
        <v>42007</v>
      </c>
      <c r="B153" s="21">
        <v>8060</v>
      </c>
      <c r="C153" s="40" t="s">
        <v>35</v>
      </c>
      <c r="D153" s="22">
        <v>57594</v>
      </c>
      <c r="E153" s="23">
        <v>42008</v>
      </c>
      <c r="F153" s="24">
        <v>57594</v>
      </c>
      <c r="G153" s="25">
        <f t="shared" si="2"/>
        <v>0</v>
      </c>
      <c r="H153" s="41" t="s">
        <v>36</v>
      </c>
      <c r="I153" s="4"/>
      <c r="J153" s="4"/>
      <c r="K153" s="42"/>
    </row>
    <row r="154" spans="1:11" s="3" customFormat="1" x14ac:dyDescent="0.25">
      <c r="A154" s="20">
        <v>42007</v>
      </c>
      <c r="B154" s="21">
        <v>8061</v>
      </c>
      <c r="C154" s="40" t="s">
        <v>130</v>
      </c>
      <c r="D154" s="22">
        <v>7666.6</v>
      </c>
      <c r="E154" s="23">
        <v>42012</v>
      </c>
      <c r="F154" s="24">
        <v>7666.6</v>
      </c>
      <c r="G154" s="25">
        <f t="shared" si="2"/>
        <v>0</v>
      </c>
      <c r="H154" s="41" t="s">
        <v>17</v>
      </c>
      <c r="I154" s="4"/>
      <c r="J154" s="4"/>
      <c r="K154" s="42"/>
    </row>
    <row r="155" spans="1:11" s="3" customFormat="1" x14ac:dyDescent="0.25">
      <c r="A155" s="12">
        <v>42007</v>
      </c>
      <c r="B155" s="21">
        <v>8062</v>
      </c>
      <c r="C155" s="40" t="s">
        <v>14</v>
      </c>
      <c r="D155" s="22">
        <v>18201.2</v>
      </c>
      <c r="E155" s="23">
        <v>42010</v>
      </c>
      <c r="F155" s="24">
        <v>18201.2</v>
      </c>
      <c r="G155" s="25">
        <f t="shared" si="2"/>
        <v>0</v>
      </c>
      <c r="H155" s="41" t="s">
        <v>15</v>
      </c>
      <c r="I155" s="4"/>
      <c r="J155" s="4"/>
      <c r="K155" s="42"/>
    </row>
    <row r="156" spans="1:11" s="3" customFormat="1" x14ac:dyDescent="0.25">
      <c r="A156" s="20">
        <v>42007</v>
      </c>
      <c r="B156" s="21">
        <v>8063</v>
      </c>
      <c r="C156" s="40" t="s">
        <v>131</v>
      </c>
      <c r="D156" s="22">
        <v>10919.4</v>
      </c>
      <c r="E156" s="23">
        <v>42008</v>
      </c>
      <c r="F156" s="24">
        <v>10919.4</v>
      </c>
      <c r="G156" s="25">
        <f t="shared" si="2"/>
        <v>0</v>
      </c>
      <c r="H156" s="41" t="s">
        <v>17</v>
      </c>
      <c r="I156" s="4"/>
      <c r="J156" s="4"/>
      <c r="K156" s="42"/>
    </row>
    <row r="157" spans="1:11" s="4" customFormat="1" x14ac:dyDescent="0.25">
      <c r="A157" s="12">
        <v>42007</v>
      </c>
      <c r="B157" s="21">
        <v>8064</v>
      </c>
      <c r="C157" s="40" t="s">
        <v>132</v>
      </c>
      <c r="D157" s="22">
        <v>864</v>
      </c>
      <c r="E157" s="23">
        <v>42007</v>
      </c>
      <c r="F157" s="24">
        <v>864</v>
      </c>
      <c r="G157" s="25">
        <f t="shared" si="2"/>
        <v>0</v>
      </c>
      <c r="H157" s="41" t="s">
        <v>17</v>
      </c>
      <c r="K157" s="43"/>
    </row>
    <row r="158" spans="1:11" s="4" customFormat="1" x14ac:dyDescent="0.25">
      <c r="A158" s="20">
        <v>42007</v>
      </c>
      <c r="B158" s="21">
        <v>8065</v>
      </c>
      <c r="C158" s="40" t="s">
        <v>31</v>
      </c>
      <c r="D158" s="22">
        <v>4848</v>
      </c>
      <c r="E158" s="23">
        <v>42007</v>
      </c>
      <c r="F158" s="24">
        <v>4848</v>
      </c>
      <c r="G158" s="25">
        <f t="shared" si="2"/>
        <v>0</v>
      </c>
      <c r="H158" s="41" t="s">
        <v>17</v>
      </c>
      <c r="J158" s="28"/>
      <c r="K158" s="43"/>
    </row>
    <row r="159" spans="1:11" s="4" customFormat="1" x14ac:dyDescent="0.25">
      <c r="A159" s="12">
        <v>42007</v>
      </c>
      <c r="B159" s="21">
        <v>8066</v>
      </c>
      <c r="C159" s="40" t="s">
        <v>30</v>
      </c>
      <c r="D159" s="22">
        <v>3379.2</v>
      </c>
      <c r="E159" s="23">
        <v>42007</v>
      </c>
      <c r="F159" s="24">
        <v>3379.2</v>
      </c>
      <c r="G159" s="25">
        <f t="shared" si="2"/>
        <v>0</v>
      </c>
      <c r="H159" s="41" t="s">
        <v>9</v>
      </c>
      <c r="K159" s="43"/>
    </row>
    <row r="160" spans="1:11" s="4" customFormat="1" x14ac:dyDescent="0.25">
      <c r="A160" s="20">
        <v>42007</v>
      </c>
      <c r="B160" s="21">
        <v>8067</v>
      </c>
      <c r="C160" s="40" t="s">
        <v>66</v>
      </c>
      <c r="D160" s="22">
        <v>161.6</v>
      </c>
      <c r="E160" s="23">
        <v>42007</v>
      </c>
      <c r="F160" s="24">
        <v>161.6</v>
      </c>
      <c r="G160" s="25">
        <f t="shared" si="2"/>
        <v>0</v>
      </c>
      <c r="H160" s="41" t="s">
        <v>9</v>
      </c>
      <c r="K160" s="43"/>
    </row>
    <row r="161" spans="1:11" s="4" customFormat="1" x14ac:dyDescent="0.25">
      <c r="A161" s="12">
        <v>42007</v>
      </c>
      <c r="B161" s="21">
        <v>8068</v>
      </c>
      <c r="C161" s="40" t="s">
        <v>55</v>
      </c>
      <c r="D161" s="22">
        <v>1307.52</v>
      </c>
      <c r="E161" s="23">
        <v>42008</v>
      </c>
      <c r="F161" s="24">
        <v>1307.52</v>
      </c>
      <c r="G161" s="25">
        <f t="shared" si="2"/>
        <v>0</v>
      </c>
      <c r="H161" s="41" t="s">
        <v>36</v>
      </c>
      <c r="J161" s="28"/>
      <c r="K161" s="43"/>
    </row>
    <row r="162" spans="1:11" s="4" customFormat="1" x14ac:dyDescent="0.25">
      <c r="A162" s="20">
        <v>42007</v>
      </c>
      <c r="B162" s="21">
        <v>8069</v>
      </c>
      <c r="C162" s="44" t="s">
        <v>12</v>
      </c>
      <c r="D162" s="27">
        <v>0</v>
      </c>
      <c r="E162" s="23"/>
      <c r="F162" s="24"/>
      <c r="G162" s="25">
        <f t="shared" si="2"/>
        <v>0</v>
      </c>
      <c r="H162" s="41" t="s">
        <v>13</v>
      </c>
      <c r="K162" s="43"/>
    </row>
    <row r="163" spans="1:11" s="4" customFormat="1" x14ac:dyDescent="0.25">
      <c r="A163" s="12">
        <v>42007</v>
      </c>
      <c r="B163" s="21">
        <v>8070</v>
      </c>
      <c r="C163" s="40" t="s">
        <v>133</v>
      </c>
      <c r="D163" s="22">
        <v>17696</v>
      </c>
      <c r="E163" s="23">
        <v>42007</v>
      </c>
      <c r="F163" s="24">
        <v>17696</v>
      </c>
      <c r="G163" s="25">
        <f t="shared" si="2"/>
        <v>0</v>
      </c>
      <c r="H163" s="41" t="s">
        <v>9</v>
      </c>
      <c r="K163" s="43"/>
    </row>
    <row r="164" spans="1:11" s="4" customFormat="1" x14ac:dyDescent="0.25">
      <c r="A164" s="20">
        <v>42007</v>
      </c>
      <c r="B164" s="21">
        <v>8071</v>
      </c>
      <c r="C164" s="40" t="s">
        <v>134</v>
      </c>
      <c r="D164" s="22">
        <v>14341.5</v>
      </c>
      <c r="E164" s="23">
        <v>42008</v>
      </c>
      <c r="F164" s="24">
        <v>14341.5</v>
      </c>
      <c r="G164" s="25">
        <f t="shared" si="2"/>
        <v>0</v>
      </c>
      <c r="H164" s="41" t="s">
        <v>36</v>
      </c>
      <c r="K164" s="43"/>
    </row>
    <row r="165" spans="1:11" s="4" customFormat="1" x14ac:dyDescent="0.25">
      <c r="A165" s="12">
        <v>42007</v>
      </c>
      <c r="B165" s="21">
        <v>8072</v>
      </c>
      <c r="C165" s="40" t="s">
        <v>135</v>
      </c>
      <c r="D165" s="22">
        <v>5601.2</v>
      </c>
      <c r="E165" s="23">
        <v>42007</v>
      </c>
      <c r="F165" s="24">
        <v>5601.2</v>
      </c>
      <c r="G165" s="25">
        <f t="shared" si="2"/>
        <v>0</v>
      </c>
      <c r="H165" s="41" t="s">
        <v>9</v>
      </c>
      <c r="K165" s="43"/>
    </row>
    <row r="166" spans="1:11" s="4" customFormat="1" x14ac:dyDescent="0.25">
      <c r="A166" s="20">
        <v>42007</v>
      </c>
      <c r="B166" s="21">
        <v>8073</v>
      </c>
      <c r="C166" s="40" t="s">
        <v>63</v>
      </c>
      <c r="D166" s="22">
        <v>3753</v>
      </c>
      <c r="E166" s="23">
        <v>42008</v>
      </c>
      <c r="F166" s="24">
        <v>3753</v>
      </c>
      <c r="G166" s="25">
        <f t="shared" si="2"/>
        <v>0</v>
      </c>
      <c r="H166" s="41" t="s">
        <v>36</v>
      </c>
      <c r="K166" s="43"/>
    </row>
    <row r="167" spans="1:11" s="4" customFormat="1" x14ac:dyDescent="0.25">
      <c r="A167" s="12">
        <v>42007</v>
      </c>
      <c r="B167" s="21">
        <v>8074</v>
      </c>
      <c r="C167" s="40" t="s">
        <v>136</v>
      </c>
      <c r="D167" s="22">
        <v>21378</v>
      </c>
      <c r="E167" s="23">
        <v>42007</v>
      </c>
      <c r="F167" s="24">
        <v>21378</v>
      </c>
      <c r="G167" s="25">
        <f t="shared" si="2"/>
        <v>0</v>
      </c>
      <c r="H167" s="41" t="s">
        <v>9</v>
      </c>
      <c r="K167" s="43"/>
    </row>
    <row r="168" spans="1:11" s="3" customFormat="1" x14ac:dyDescent="0.25">
      <c r="A168" s="20">
        <v>42007</v>
      </c>
      <c r="B168" s="21">
        <v>8075</v>
      </c>
      <c r="C168" s="40" t="s">
        <v>14</v>
      </c>
      <c r="D168" s="22">
        <v>208377</v>
      </c>
      <c r="E168" s="23">
        <v>42011</v>
      </c>
      <c r="F168" s="24">
        <v>208377</v>
      </c>
      <c r="G168" s="25">
        <f t="shared" si="2"/>
        <v>0</v>
      </c>
      <c r="H168" s="41" t="s">
        <v>36</v>
      </c>
      <c r="K168" s="42"/>
    </row>
    <row r="169" spans="1:11" s="3" customFormat="1" x14ac:dyDescent="0.25">
      <c r="A169" s="12">
        <v>42007</v>
      </c>
      <c r="B169" s="21">
        <v>8076</v>
      </c>
      <c r="C169" s="40" t="s">
        <v>45</v>
      </c>
      <c r="D169" s="22">
        <v>59644</v>
      </c>
      <c r="E169" s="23">
        <v>42009</v>
      </c>
      <c r="F169" s="24">
        <v>59644</v>
      </c>
      <c r="G169" s="25">
        <f t="shared" si="2"/>
        <v>0</v>
      </c>
      <c r="H169" s="41" t="s">
        <v>9</v>
      </c>
      <c r="K169" s="42"/>
    </row>
    <row r="170" spans="1:11" s="3" customFormat="1" x14ac:dyDescent="0.25">
      <c r="A170" s="20">
        <v>42007</v>
      </c>
      <c r="B170" s="21">
        <v>8077</v>
      </c>
      <c r="C170" s="40" t="s">
        <v>47</v>
      </c>
      <c r="D170" s="22">
        <v>26256.5</v>
      </c>
      <c r="E170" s="23">
        <v>42008</v>
      </c>
      <c r="F170" s="24">
        <v>26256.5</v>
      </c>
      <c r="G170" s="25">
        <f t="shared" si="2"/>
        <v>0</v>
      </c>
      <c r="H170" s="41" t="s">
        <v>36</v>
      </c>
      <c r="K170" s="42"/>
    </row>
    <row r="171" spans="1:11" s="3" customFormat="1" x14ac:dyDescent="0.25">
      <c r="A171" s="12">
        <v>42007</v>
      </c>
      <c r="B171" s="21">
        <v>8078</v>
      </c>
      <c r="C171" s="40" t="s">
        <v>137</v>
      </c>
      <c r="D171" s="22">
        <v>1239</v>
      </c>
      <c r="E171" s="23">
        <v>42007</v>
      </c>
      <c r="F171" s="24">
        <v>1239</v>
      </c>
      <c r="G171" s="25">
        <f t="shared" si="2"/>
        <v>0</v>
      </c>
      <c r="H171" s="41" t="s">
        <v>9</v>
      </c>
      <c r="K171" s="42"/>
    </row>
    <row r="172" spans="1:11" s="3" customFormat="1" x14ac:dyDescent="0.25">
      <c r="A172" s="20">
        <v>42007</v>
      </c>
      <c r="B172" s="21">
        <v>8079</v>
      </c>
      <c r="C172" s="40" t="s">
        <v>48</v>
      </c>
      <c r="D172" s="22">
        <v>7979.1</v>
      </c>
      <c r="E172" s="23">
        <v>42007</v>
      </c>
      <c r="F172" s="24">
        <v>7979.1</v>
      </c>
      <c r="G172" s="25">
        <f t="shared" si="2"/>
        <v>0</v>
      </c>
      <c r="H172" s="41" t="s">
        <v>9</v>
      </c>
      <c r="K172" s="42"/>
    </row>
    <row r="173" spans="1:11" s="3" customFormat="1" x14ac:dyDescent="0.25">
      <c r="A173" s="12">
        <v>42007</v>
      </c>
      <c r="B173" s="21">
        <v>8080</v>
      </c>
      <c r="C173" s="40" t="s">
        <v>138</v>
      </c>
      <c r="D173" s="22">
        <v>3970.4</v>
      </c>
      <c r="E173" s="23">
        <v>42007</v>
      </c>
      <c r="F173" s="24">
        <v>3970.4</v>
      </c>
      <c r="G173" s="25">
        <f t="shared" si="2"/>
        <v>0</v>
      </c>
      <c r="H173" s="41" t="s">
        <v>94</v>
      </c>
      <c r="K173" s="42"/>
    </row>
    <row r="174" spans="1:11" s="3" customFormat="1" x14ac:dyDescent="0.25">
      <c r="A174" s="20">
        <v>42007</v>
      </c>
      <c r="B174" s="21">
        <v>8081</v>
      </c>
      <c r="C174" s="40" t="s">
        <v>87</v>
      </c>
      <c r="D174" s="22">
        <v>2415.6999999999998</v>
      </c>
      <c r="E174" s="29" t="s">
        <v>139</v>
      </c>
      <c r="F174" s="24">
        <v>2415.6999999999998</v>
      </c>
      <c r="G174" s="25">
        <f t="shared" si="2"/>
        <v>0</v>
      </c>
      <c r="H174" s="41" t="s">
        <v>94</v>
      </c>
      <c r="K174" s="42"/>
    </row>
    <row r="175" spans="1:11" s="3" customFormat="1" x14ac:dyDescent="0.25">
      <c r="A175" s="12">
        <v>42007</v>
      </c>
      <c r="B175" s="21">
        <v>8082</v>
      </c>
      <c r="C175" s="40" t="s">
        <v>140</v>
      </c>
      <c r="D175" s="22">
        <v>2745.6</v>
      </c>
      <c r="E175" s="23">
        <v>42007</v>
      </c>
      <c r="F175" s="24">
        <v>2745.6</v>
      </c>
      <c r="G175" s="25">
        <f t="shared" si="2"/>
        <v>0</v>
      </c>
      <c r="H175" s="41" t="s">
        <v>94</v>
      </c>
      <c r="K175" s="42"/>
    </row>
    <row r="176" spans="1:11" s="3" customFormat="1" x14ac:dyDescent="0.25">
      <c r="A176" s="20">
        <v>42007</v>
      </c>
      <c r="B176" s="21">
        <v>8083</v>
      </c>
      <c r="C176" s="40" t="s">
        <v>50</v>
      </c>
      <c r="D176" s="22">
        <v>5320.8</v>
      </c>
      <c r="E176" s="23">
        <v>42007</v>
      </c>
      <c r="F176" s="24">
        <v>5320.8</v>
      </c>
      <c r="G176" s="25">
        <f t="shared" si="2"/>
        <v>0</v>
      </c>
      <c r="H176" s="41" t="s">
        <v>94</v>
      </c>
      <c r="K176" s="42"/>
    </row>
    <row r="177" spans="1:8" s="3" customFormat="1" x14ac:dyDescent="0.25">
      <c r="A177" s="12">
        <v>42007</v>
      </c>
      <c r="B177" s="21">
        <v>8084</v>
      </c>
      <c r="C177" s="40" t="s">
        <v>141</v>
      </c>
      <c r="D177" s="22">
        <v>740</v>
      </c>
      <c r="E177" s="23">
        <v>42007</v>
      </c>
      <c r="F177" s="24">
        <v>740</v>
      </c>
      <c r="G177" s="25">
        <f t="shared" si="2"/>
        <v>0</v>
      </c>
      <c r="H177" s="41" t="s">
        <v>9</v>
      </c>
    </row>
    <row r="178" spans="1:8" s="3" customFormat="1" x14ac:dyDescent="0.25">
      <c r="A178" s="20">
        <v>42007</v>
      </c>
      <c r="B178" s="21">
        <v>8085</v>
      </c>
      <c r="C178" s="40" t="s">
        <v>89</v>
      </c>
      <c r="D178" s="22">
        <v>4730.8999999999996</v>
      </c>
      <c r="E178" s="23">
        <v>42007</v>
      </c>
      <c r="F178" s="24">
        <v>4730.8999999999996</v>
      </c>
      <c r="G178" s="25">
        <f t="shared" si="2"/>
        <v>0</v>
      </c>
      <c r="H178" s="41" t="s">
        <v>9</v>
      </c>
    </row>
    <row r="179" spans="1:8" s="3" customFormat="1" x14ac:dyDescent="0.25">
      <c r="A179" s="12">
        <v>42007</v>
      </c>
      <c r="B179" s="21">
        <v>8086</v>
      </c>
      <c r="C179" s="40" t="s">
        <v>102</v>
      </c>
      <c r="D179" s="22">
        <v>3484.8</v>
      </c>
      <c r="E179" s="23">
        <v>42007</v>
      </c>
      <c r="F179" s="24">
        <v>3484.8</v>
      </c>
      <c r="G179" s="25">
        <f t="shared" si="2"/>
        <v>0</v>
      </c>
      <c r="H179" s="41" t="s">
        <v>9</v>
      </c>
    </row>
    <row r="180" spans="1:8" s="3" customFormat="1" x14ac:dyDescent="0.25">
      <c r="A180" s="20">
        <v>42007</v>
      </c>
      <c r="B180" s="21">
        <v>8087</v>
      </c>
      <c r="C180" s="40" t="s">
        <v>93</v>
      </c>
      <c r="D180" s="22">
        <v>6023.8</v>
      </c>
      <c r="E180" s="23">
        <v>42008</v>
      </c>
      <c r="F180" s="24">
        <v>6023.8</v>
      </c>
      <c r="G180" s="25">
        <f t="shared" si="2"/>
        <v>0</v>
      </c>
      <c r="H180" s="41" t="s">
        <v>19</v>
      </c>
    </row>
    <row r="181" spans="1:8" s="3" customFormat="1" x14ac:dyDescent="0.25">
      <c r="A181" s="12">
        <v>42007</v>
      </c>
      <c r="B181" s="21">
        <v>8088</v>
      </c>
      <c r="C181" s="40" t="s">
        <v>98</v>
      </c>
      <c r="D181" s="22">
        <v>888</v>
      </c>
      <c r="E181" s="23">
        <v>42008</v>
      </c>
      <c r="F181" s="24">
        <v>888</v>
      </c>
      <c r="G181" s="25">
        <f t="shared" si="2"/>
        <v>0</v>
      </c>
      <c r="H181" s="41" t="s">
        <v>19</v>
      </c>
    </row>
    <row r="182" spans="1:8" s="3" customFormat="1" x14ac:dyDescent="0.25">
      <c r="A182" s="20">
        <v>42007</v>
      </c>
      <c r="B182" s="21">
        <v>8089</v>
      </c>
      <c r="C182" s="40" t="s">
        <v>106</v>
      </c>
      <c r="D182" s="22">
        <v>6929.36</v>
      </c>
      <c r="E182" s="23">
        <v>42008</v>
      </c>
      <c r="F182" s="24">
        <v>6929.36</v>
      </c>
      <c r="G182" s="25">
        <f t="shared" si="2"/>
        <v>0</v>
      </c>
      <c r="H182" s="41" t="s">
        <v>9</v>
      </c>
    </row>
    <row r="183" spans="1:8" s="3" customFormat="1" x14ac:dyDescent="0.25">
      <c r="A183" s="12">
        <v>42007</v>
      </c>
      <c r="B183" s="21">
        <v>8090</v>
      </c>
      <c r="C183" s="40" t="s">
        <v>87</v>
      </c>
      <c r="D183" s="22">
        <v>1063.8</v>
      </c>
      <c r="E183" s="23">
        <v>42007</v>
      </c>
      <c r="F183" s="24">
        <v>1063.8</v>
      </c>
      <c r="G183" s="25">
        <f t="shared" si="2"/>
        <v>0</v>
      </c>
      <c r="H183" s="41" t="s">
        <v>9</v>
      </c>
    </row>
    <row r="184" spans="1:8" s="3" customFormat="1" x14ac:dyDescent="0.25">
      <c r="A184" s="20">
        <v>42007</v>
      </c>
      <c r="B184" s="21">
        <v>8091</v>
      </c>
      <c r="C184" s="14" t="s">
        <v>71</v>
      </c>
      <c r="D184" s="22">
        <v>1447.6</v>
      </c>
      <c r="E184" s="23">
        <v>42007</v>
      </c>
      <c r="F184" s="24">
        <v>1447.6</v>
      </c>
      <c r="G184" s="25">
        <f t="shared" si="2"/>
        <v>0</v>
      </c>
      <c r="H184" s="19" t="s">
        <v>9</v>
      </c>
    </row>
    <row r="185" spans="1:8" s="3" customFormat="1" x14ac:dyDescent="0.25">
      <c r="A185" s="12">
        <v>42007</v>
      </c>
      <c r="B185" s="21">
        <v>8092</v>
      </c>
      <c r="C185" s="40" t="s">
        <v>142</v>
      </c>
      <c r="D185" s="22">
        <v>4752</v>
      </c>
      <c r="E185" s="23">
        <v>42007</v>
      </c>
      <c r="F185" s="24">
        <v>4752</v>
      </c>
      <c r="G185" s="25">
        <f t="shared" si="2"/>
        <v>0</v>
      </c>
      <c r="H185" s="41" t="s">
        <v>9</v>
      </c>
    </row>
    <row r="186" spans="1:8" s="3" customFormat="1" x14ac:dyDescent="0.25">
      <c r="A186" s="20">
        <v>42007</v>
      </c>
      <c r="B186" s="21">
        <v>8093</v>
      </c>
      <c r="C186" s="40" t="s">
        <v>32</v>
      </c>
      <c r="D186" s="22">
        <v>70166.25</v>
      </c>
      <c r="E186" s="23">
        <v>42035</v>
      </c>
      <c r="F186" s="24">
        <v>70166.25</v>
      </c>
      <c r="G186" s="25">
        <f t="shared" si="2"/>
        <v>0</v>
      </c>
      <c r="H186" s="41" t="s">
        <v>41</v>
      </c>
    </row>
    <row r="187" spans="1:8" s="3" customFormat="1" x14ac:dyDescent="0.25">
      <c r="A187" s="12">
        <v>42007</v>
      </c>
      <c r="B187" s="21">
        <v>8094</v>
      </c>
      <c r="C187" s="40" t="s">
        <v>103</v>
      </c>
      <c r="D187" s="22">
        <v>55701</v>
      </c>
      <c r="E187" s="23">
        <v>42021</v>
      </c>
      <c r="F187" s="24">
        <v>55701</v>
      </c>
      <c r="G187" s="25">
        <f t="shared" si="2"/>
        <v>0</v>
      </c>
      <c r="H187" s="41" t="s">
        <v>17</v>
      </c>
    </row>
    <row r="188" spans="1:8" s="3" customFormat="1" x14ac:dyDescent="0.25">
      <c r="A188" s="20">
        <v>42007</v>
      </c>
      <c r="B188" s="21">
        <v>8095</v>
      </c>
      <c r="C188" s="40" t="s">
        <v>143</v>
      </c>
      <c r="D188" s="22">
        <v>6410.8</v>
      </c>
      <c r="E188" s="23">
        <v>42013</v>
      </c>
      <c r="F188" s="24">
        <v>6410.8</v>
      </c>
      <c r="G188" s="25">
        <f t="shared" si="2"/>
        <v>0</v>
      </c>
      <c r="H188" s="41" t="s">
        <v>94</v>
      </c>
    </row>
    <row r="189" spans="1:8" s="3" customFormat="1" x14ac:dyDescent="0.25">
      <c r="A189" s="12">
        <v>42007</v>
      </c>
      <c r="B189" s="21">
        <v>8096</v>
      </c>
      <c r="C189" s="40" t="s">
        <v>141</v>
      </c>
      <c r="D189" s="22">
        <v>1264.8</v>
      </c>
      <c r="E189" s="23">
        <v>42009</v>
      </c>
      <c r="F189" s="24">
        <v>1264.8</v>
      </c>
      <c r="G189" s="25">
        <f t="shared" si="2"/>
        <v>0</v>
      </c>
      <c r="H189" s="41" t="s">
        <v>94</v>
      </c>
    </row>
    <row r="190" spans="1:8" s="3" customFormat="1" x14ac:dyDescent="0.25">
      <c r="A190" s="20">
        <v>42007</v>
      </c>
      <c r="B190" s="21">
        <v>8097</v>
      </c>
      <c r="C190" s="40" t="s">
        <v>95</v>
      </c>
      <c r="D190" s="22">
        <v>8408.7999999999993</v>
      </c>
      <c r="E190" s="23">
        <v>42009</v>
      </c>
      <c r="F190" s="24">
        <v>8408.7999999999993</v>
      </c>
      <c r="G190" s="25">
        <f t="shared" si="2"/>
        <v>0</v>
      </c>
      <c r="H190" s="41" t="s">
        <v>94</v>
      </c>
    </row>
    <row r="191" spans="1:8" s="3" customFormat="1" x14ac:dyDescent="0.25">
      <c r="A191" s="12">
        <v>42007</v>
      </c>
      <c r="B191" s="21">
        <v>8098</v>
      </c>
      <c r="C191" s="40" t="s">
        <v>106</v>
      </c>
      <c r="D191" s="22">
        <v>544.4</v>
      </c>
      <c r="E191" s="23">
        <v>42008</v>
      </c>
      <c r="F191" s="24">
        <v>544.4</v>
      </c>
      <c r="G191" s="25">
        <f t="shared" si="2"/>
        <v>0</v>
      </c>
      <c r="H191" s="41" t="s">
        <v>19</v>
      </c>
    </row>
    <row r="192" spans="1:8" s="3" customFormat="1" x14ac:dyDescent="0.25">
      <c r="A192" s="20">
        <v>42007</v>
      </c>
      <c r="B192" s="21">
        <v>8099</v>
      </c>
      <c r="C192" s="40" t="s">
        <v>144</v>
      </c>
      <c r="D192" s="22">
        <v>316</v>
      </c>
      <c r="E192" s="23">
        <v>42007</v>
      </c>
      <c r="F192" s="24">
        <v>316</v>
      </c>
      <c r="G192" s="25">
        <f t="shared" si="2"/>
        <v>0</v>
      </c>
      <c r="H192" s="41" t="s">
        <v>9</v>
      </c>
    </row>
    <row r="193" spans="1:8" s="3" customFormat="1" x14ac:dyDescent="0.25">
      <c r="A193" s="12">
        <v>42007</v>
      </c>
      <c r="B193" s="21">
        <v>8100</v>
      </c>
      <c r="C193" s="40" t="s">
        <v>145</v>
      </c>
      <c r="D193" s="22">
        <v>2558.4</v>
      </c>
      <c r="E193" s="23">
        <v>42007</v>
      </c>
      <c r="F193" s="24">
        <v>2558.4</v>
      </c>
      <c r="G193" s="25">
        <f t="shared" si="2"/>
        <v>0</v>
      </c>
      <c r="H193" s="41" t="s">
        <v>9</v>
      </c>
    </row>
    <row r="194" spans="1:8" s="3" customFormat="1" x14ac:dyDescent="0.25">
      <c r="A194" s="20">
        <v>42007</v>
      </c>
      <c r="B194" s="21">
        <v>8101</v>
      </c>
      <c r="C194" s="44" t="s">
        <v>146</v>
      </c>
      <c r="D194" s="27">
        <v>0</v>
      </c>
      <c r="E194" s="45" t="s">
        <v>147</v>
      </c>
      <c r="F194" s="24"/>
      <c r="G194" s="25">
        <f t="shared" si="2"/>
        <v>0</v>
      </c>
      <c r="H194" s="41" t="s">
        <v>59</v>
      </c>
    </row>
    <row r="195" spans="1:8" s="3" customFormat="1" x14ac:dyDescent="0.25">
      <c r="A195" s="20">
        <v>42007</v>
      </c>
      <c r="B195" s="21">
        <v>8102</v>
      </c>
      <c r="C195" s="40" t="s">
        <v>14</v>
      </c>
      <c r="D195" s="22">
        <v>77732.19</v>
      </c>
      <c r="E195" s="23">
        <v>42010</v>
      </c>
      <c r="F195" s="24">
        <v>77732.19</v>
      </c>
      <c r="G195" s="25">
        <f t="shared" ref="G195:G258" si="3">D195-F195</f>
        <v>0</v>
      </c>
      <c r="H195" s="41" t="s">
        <v>59</v>
      </c>
    </row>
    <row r="196" spans="1:8" s="3" customFormat="1" x14ac:dyDescent="0.25">
      <c r="A196" s="20">
        <v>42008</v>
      </c>
      <c r="B196" s="21">
        <v>8103</v>
      </c>
      <c r="C196" s="40" t="s">
        <v>148</v>
      </c>
      <c r="D196" s="22">
        <v>3919.8</v>
      </c>
      <c r="E196" s="23">
        <v>42010</v>
      </c>
      <c r="F196" s="24">
        <v>3919.8</v>
      </c>
      <c r="G196" s="25">
        <f t="shared" si="3"/>
        <v>0</v>
      </c>
      <c r="H196" s="41" t="s">
        <v>9</v>
      </c>
    </row>
    <row r="197" spans="1:8" s="3" customFormat="1" x14ac:dyDescent="0.25">
      <c r="A197" s="20">
        <v>42008</v>
      </c>
      <c r="B197" s="21">
        <v>8104</v>
      </c>
      <c r="C197" s="40" t="s">
        <v>114</v>
      </c>
      <c r="D197" s="22">
        <v>7457.4</v>
      </c>
      <c r="E197" s="23">
        <v>42008</v>
      </c>
      <c r="F197" s="24">
        <v>7457.4</v>
      </c>
      <c r="G197" s="25">
        <f t="shared" si="3"/>
        <v>0</v>
      </c>
      <c r="H197" s="41" t="s">
        <v>9</v>
      </c>
    </row>
    <row r="198" spans="1:8" s="3" customFormat="1" x14ac:dyDescent="0.25">
      <c r="A198" s="20">
        <v>42008</v>
      </c>
      <c r="B198" s="21">
        <v>8105</v>
      </c>
      <c r="C198" s="40" t="s">
        <v>16</v>
      </c>
      <c r="D198" s="22">
        <v>12106.8</v>
      </c>
      <c r="E198" s="23">
        <v>42008</v>
      </c>
      <c r="F198" s="24">
        <v>12106.8</v>
      </c>
      <c r="G198" s="25">
        <f t="shared" si="3"/>
        <v>0</v>
      </c>
      <c r="H198" s="41" t="s">
        <v>17</v>
      </c>
    </row>
    <row r="199" spans="1:8" s="3" customFormat="1" x14ac:dyDescent="0.25">
      <c r="A199" s="20">
        <v>42008</v>
      </c>
      <c r="B199" s="21">
        <v>8106</v>
      </c>
      <c r="C199" s="40" t="s">
        <v>31</v>
      </c>
      <c r="D199" s="22">
        <v>2452.8000000000002</v>
      </c>
      <c r="E199" s="23">
        <v>42008</v>
      </c>
      <c r="F199" s="24">
        <v>2452.8000000000002</v>
      </c>
      <c r="G199" s="25">
        <f t="shared" si="3"/>
        <v>0</v>
      </c>
      <c r="H199" s="41" t="s">
        <v>17</v>
      </c>
    </row>
    <row r="200" spans="1:8" s="3" customFormat="1" x14ac:dyDescent="0.25">
      <c r="A200" s="20">
        <v>42008</v>
      </c>
      <c r="B200" s="21">
        <v>8107</v>
      </c>
      <c r="C200" s="40" t="s">
        <v>121</v>
      </c>
      <c r="D200" s="22">
        <v>3052.3</v>
      </c>
      <c r="E200" s="23">
        <v>42008</v>
      </c>
      <c r="F200" s="24">
        <v>3052.3</v>
      </c>
      <c r="G200" s="25">
        <f t="shared" si="3"/>
        <v>0</v>
      </c>
      <c r="H200" s="41" t="s">
        <v>9</v>
      </c>
    </row>
    <row r="201" spans="1:8" s="3" customFormat="1" x14ac:dyDescent="0.25">
      <c r="A201" s="20">
        <v>42008</v>
      </c>
      <c r="B201" s="21">
        <v>8108</v>
      </c>
      <c r="C201" s="40" t="s">
        <v>124</v>
      </c>
      <c r="D201" s="22">
        <v>1903.5</v>
      </c>
      <c r="E201" s="23">
        <v>42008</v>
      </c>
      <c r="F201" s="24">
        <v>1903.5</v>
      </c>
      <c r="G201" s="25">
        <f t="shared" si="3"/>
        <v>0</v>
      </c>
      <c r="H201" s="41" t="s">
        <v>9</v>
      </c>
    </row>
    <row r="202" spans="1:8" s="3" customFormat="1" x14ac:dyDescent="0.25">
      <c r="A202" s="20">
        <v>42008</v>
      </c>
      <c r="B202" s="21">
        <v>8109</v>
      </c>
      <c r="C202" s="40" t="s">
        <v>40</v>
      </c>
      <c r="D202" s="22">
        <v>10500</v>
      </c>
      <c r="E202" s="23">
        <v>42017</v>
      </c>
      <c r="F202" s="24">
        <v>10500</v>
      </c>
      <c r="G202" s="25">
        <f t="shared" si="3"/>
        <v>0</v>
      </c>
      <c r="H202" s="41" t="s">
        <v>149</v>
      </c>
    </row>
    <row r="203" spans="1:8" s="3" customFormat="1" x14ac:dyDescent="0.25">
      <c r="A203" s="20">
        <v>42008</v>
      </c>
      <c r="B203" s="21">
        <v>8110</v>
      </c>
      <c r="C203" s="40" t="s">
        <v>86</v>
      </c>
      <c r="D203" s="22">
        <v>411.4</v>
      </c>
      <c r="E203" s="23">
        <v>42312</v>
      </c>
      <c r="F203" s="24">
        <v>411.4</v>
      </c>
      <c r="G203" s="25">
        <f t="shared" si="3"/>
        <v>0</v>
      </c>
      <c r="H203" s="41" t="s">
        <v>9</v>
      </c>
    </row>
    <row r="204" spans="1:8" s="3" customFormat="1" x14ac:dyDescent="0.25">
      <c r="A204" s="20">
        <v>42008</v>
      </c>
      <c r="B204" s="21">
        <v>8111</v>
      </c>
      <c r="C204" s="40" t="s">
        <v>24</v>
      </c>
      <c r="D204" s="22">
        <v>125032.1</v>
      </c>
      <c r="E204" s="23">
        <v>42012</v>
      </c>
      <c r="F204" s="24">
        <v>125032.1</v>
      </c>
      <c r="G204" s="25">
        <f t="shared" si="3"/>
        <v>0</v>
      </c>
      <c r="H204" s="41" t="s">
        <v>62</v>
      </c>
    </row>
    <row r="205" spans="1:8" s="3" customFormat="1" x14ac:dyDescent="0.25">
      <c r="A205" s="20">
        <v>42008</v>
      </c>
      <c r="B205" s="21">
        <v>8112</v>
      </c>
      <c r="C205" s="40" t="s">
        <v>26</v>
      </c>
      <c r="D205" s="22">
        <v>2128</v>
      </c>
      <c r="E205" s="23">
        <v>42008</v>
      </c>
      <c r="F205" s="24">
        <v>2128</v>
      </c>
      <c r="G205" s="25">
        <f t="shared" si="3"/>
        <v>0</v>
      </c>
      <c r="H205" s="41" t="s">
        <v>149</v>
      </c>
    </row>
    <row r="206" spans="1:8" s="3" customFormat="1" x14ac:dyDescent="0.25">
      <c r="A206" s="20">
        <v>42008</v>
      </c>
      <c r="B206" s="21">
        <v>8113</v>
      </c>
      <c r="C206" s="40" t="s">
        <v>14</v>
      </c>
      <c r="D206" s="22">
        <v>20405</v>
      </c>
      <c r="E206" s="23">
        <v>42010</v>
      </c>
      <c r="F206" s="24">
        <v>20405</v>
      </c>
      <c r="G206" s="31">
        <f t="shared" si="3"/>
        <v>0</v>
      </c>
      <c r="H206" s="41" t="s">
        <v>15</v>
      </c>
    </row>
    <row r="207" spans="1:8" s="3" customFormat="1" x14ac:dyDescent="0.25">
      <c r="A207" s="20">
        <v>42008</v>
      </c>
      <c r="B207" s="21">
        <v>8114</v>
      </c>
      <c r="C207" s="40" t="s">
        <v>50</v>
      </c>
      <c r="D207" s="22">
        <v>3415.5</v>
      </c>
      <c r="E207" s="23">
        <v>42008</v>
      </c>
      <c r="F207" s="24">
        <v>3415.5</v>
      </c>
      <c r="G207" s="31">
        <f t="shared" si="3"/>
        <v>0</v>
      </c>
      <c r="H207" s="41" t="s">
        <v>149</v>
      </c>
    </row>
    <row r="208" spans="1:8" s="3" customFormat="1" x14ac:dyDescent="0.25">
      <c r="A208" s="20">
        <v>42008</v>
      </c>
      <c r="B208" s="21">
        <v>8115</v>
      </c>
      <c r="C208" s="40" t="s">
        <v>115</v>
      </c>
      <c r="D208" s="22">
        <v>1188</v>
      </c>
      <c r="E208" s="23">
        <v>42008</v>
      </c>
      <c r="F208" s="24">
        <v>1188</v>
      </c>
      <c r="G208" s="31">
        <f t="shared" si="3"/>
        <v>0</v>
      </c>
      <c r="H208" s="41" t="s">
        <v>9</v>
      </c>
    </row>
    <row r="209" spans="1:8" s="3" customFormat="1" x14ac:dyDescent="0.25">
      <c r="A209" s="20">
        <v>42008</v>
      </c>
      <c r="B209" s="21">
        <v>8116</v>
      </c>
      <c r="C209" s="40" t="s">
        <v>57</v>
      </c>
      <c r="D209" s="22">
        <v>1892</v>
      </c>
      <c r="E209" s="23">
        <v>42009</v>
      </c>
      <c r="F209" s="24">
        <v>1892</v>
      </c>
      <c r="G209" s="31">
        <f t="shared" si="3"/>
        <v>0</v>
      </c>
      <c r="H209" s="41" t="s">
        <v>59</v>
      </c>
    </row>
    <row r="210" spans="1:8" s="3" customFormat="1" x14ac:dyDescent="0.25">
      <c r="A210" s="20">
        <v>42008</v>
      </c>
      <c r="B210" s="21">
        <v>8117</v>
      </c>
      <c r="C210" s="40" t="s">
        <v>125</v>
      </c>
      <c r="D210" s="22">
        <v>36404.5</v>
      </c>
      <c r="E210" s="29" t="s">
        <v>150</v>
      </c>
      <c r="F210" s="24">
        <f>11000+25404.5</f>
        <v>36404.5</v>
      </c>
      <c r="G210" s="31">
        <f t="shared" si="3"/>
        <v>0</v>
      </c>
      <c r="H210" s="41" t="s">
        <v>59</v>
      </c>
    </row>
    <row r="211" spans="1:8" s="3" customFormat="1" x14ac:dyDescent="0.25">
      <c r="A211" s="20">
        <v>42008</v>
      </c>
      <c r="B211" s="21">
        <v>8118</v>
      </c>
      <c r="C211" s="44" t="s">
        <v>12</v>
      </c>
      <c r="D211" s="27">
        <v>0</v>
      </c>
      <c r="E211" s="23"/>
      <c r="F211" s="24"/>
      <c r="G211" s="31">
        <f t="shared" si="3"/>
        <v>0</v>
      </c>
      <c r="H211" s="41" t="s">
        <v>13</v>
      </c>
    </row>
    <row r="212" spans="1:8" s="3" customFormat="1" x14ac:dyDescent="0.25">
      <c r="A212" s="20">
        <v>42008</v>
      </c>
      <c r="B212" s="21">
        <v>8119</v>
      </c>
      <c r="C212" s="40" t="s">
        <v>71</v>
      </c>
      <c r="D212" s="22">
        <v>6775.3</v>
      </c>
      <c r="E212" s="23">
        <v>42008</v>
      </c>
      <c r="F212" s="24">
        <v>6775.3</v>
      </c>
      <c r="G212" s="31">
        <f t="shared" si="3"/>
        <v>0</v>
      </c>
      <c r="H212" s="41" t="s">
        <v>9</v>
      </c>
    </row>
    <row r="213" spans="1:8" s="3" customFormat="1" x14ac:dyDescent="0.25">
      <c r="A213" s="20">
        <v>42008</v>
      </c>
      <c r="B213" s="21">
        <v>8120</v>
      </c>
      <c r="C213" s="40" t="s">
        <v>52</v>
      </c>
      <c r="D213" s="22">
        <v>2520</v>
      </c>
      <c r="E213" s="23">
        <v>42017</v>
      </c>
      <c r="F213" s="24">
        <v>2520</v>
      </c>
      <c r="G213" s="31">
        <f t="shared" si="3"/>
        <v>0</v>
      </c>
      <c r="H213" s="41" t="s">
        <v>59</v>
      </c>
    </row>
    <row r="214" spans="1:8" s="3" customFormat="1" x14ac:dyDescent="0.25">
      <c r="A214" s="20">
        <v>42008</v>
      </c>
      <c r="B214" s="21">
        <v>8121</v>
      </c>
      <c r="C214" s="40" t="s">
        <v>51</v>
      </c>
      <c r="D214" s="22">
        <v>1680</v>
      </c>
      <c r="E214" s="23">
        <v>42017</v>
      </c>
      <c r="F214" s="24">
        <v>1680</v>
      </c>
      <c r="G214" s="31">
        <f t="shared" si="3"/>
        <v>0</v>
      </c>
      <c r="H214" s="41" t="s">
        <v>59</v>
      </c>
    </row>
    <row r="215" spans="1:8" s="3" customFormat="1" x14ac:dyDescent="0.25">
      <c r="A215" s="20">
        <v>42008</v>
      </c>
      <c r="B215" s="21">
        <v>8122</v>
      </c>
      <c r="C215" s="40" t="s">
        <v>54</v>
      </c>
      <c r="D215" s="22">
        <v>2640</v>
      </c>
      <c r="E215" s="23">
        <v>42009</v>
      </c>
      <c r="F215" s="24">
        <v>2640</v>
      </c>
      <c r="G215" s="31">
        <f t="shared" si="3"/>
        <v>0</v>
      </c>
      <c r="H215" s="41" t="s">
        <v>59</v>
      </c>
    </row>
    <row r="216" spans="1:8" s="3" customFormat="1" x14ac:dyDescent="0.25">
      <c r="A216" s="20">
        <v>42008</v>
      </c>
      <c r="B216" s="21">
        <v>8123</v>
      </c>
      <c r="C216" s="40" t="s">
        <v>53</v>
      </c>
      <c r="D216" s="22">
        <v>1540</v>
      </c>
      <c r="E216" s="23">
        <v>42009</v>
      </c>
      <c r="F216" s="24">
        <v>1540</v>
      </c>
      <c r="G216" s="31">
        <f t="shared" si="3"/>
        <v>0</v>
      </c>
      <c r="H216" s="41" t="s">
        <v>59</v>
      </c>
    </row>
    <row r="217" spans="1:8" s="3" customFormat="1" x14ac:dyDescent="0.25">
      <c r="A217" s="20">
        <v>42008</v>
      </c>
      <c r="B217" s="21">
        <v>8124</v>
      </c>
      <c r="C217" s="40" t="s">
        <v>66</v>
      </c>
      <c r="D217" s="22">
        <v>1401</v>
      </c>
      <c r="E217" s="23">
        <v>42008</v>
      </c>
      <c r="F217" s="24">
        <v>1401</v>
      </c>
      <c r="G217" s="31">
        <f t="shared" si="3"/>
        <v>0</v>
      </c>
      <c r="H217" s="41" t="s">
        <v>9</v>
      </c>
    </row>
    <row r="218" spans="1:8" s="3" customFormat="1" x14ac:dyDescent="0.25">
      <c r="A218" s="20">
        <v>42008</v>
      </c>
      <c r="B218" s="21">
        <v>8125</v>
      </c>
      <c r="C218" s="40" t="s">
        <v>66</v>
      </c>
      <c r="D218" s="22">
        <v>196</v>
      </c>
      <c r="E218" s="23">
        <v>42008</v>
      </c>
      <c r="F218" s="24">
        <v>196</v>
      </c>
      <c r="G218" s="31">
        <f t="shared" si="3"/>
        <v>0</v>
      </c>
      <c r="H218" s="41" t="s">
        <v>9</v>
      </c>
    </row>
    <row r="219" spans="1:8" s="3" customFormat="1" x14ac:dyDescent="0.25">
      <c r="A219" s="20">
        <v>42008</v>
      </c>
      <c r="B219" s="21">
        <v>8126</v>
      </c>
      <c r="C219" s="40" t="s">
        <v>151</v>
      </c>
      <c r="D219" s="22">
        <v>2567.6</v>
      </c>
      <c r="E219" s="23">
        <v>42008</v>
      </c>
      <c r="F219" s="24">
        <v>2567.6</v>
      </c>
      <c r="G219" s="31">
        <f t="shared" si="3"/>
        <v>0</v>
      </c>
      <c r="H219" s="41" t="s">
        <v>9</v>
      </c>
    </row>
    <row r="220" spans="1:8" s="3" customFormat="1" x14ac:dyDescent="0.25">
      <c r="A220" s="20">
        <v>42008</v>
      </c>
      <c r="B220" s="21">
        <v>8127</v>
      </c>
      <c r="C220" s="40" t="s">
        <v>152</v>
      </c>
      <c r="D220" s="22">
        <v>8250.7999999999993</v>
      </c>
      <c r="E220" s="23">
        <v>42009</v>
      </c>
      <c r="F220" s="24">
        <v>8250.7999999999993</v>
      </c>
      <c r="G220" s="31">
        <f t="shared" si="3"/>
        <v>0</v>
      </c>
      <c r="H220" s="41" t="s">
        <v>59</v>
      </c>
    </row>
    <row r="221" spans="1:8" s="3" customFormat="1" x14ac:dyDescent="0.25">
      <c r="A221" s="20">
        <v>42008</v>
      </c>
      <c r="B221" s="21">
        <v>8128</v>
      </c>
      <c r="C221" s="40" t="s">
        <v>82</v>
      </c>
      <c r="D221" s="22">
        <v>7722.6</v>
      </c>
      <c r="E221" s="23">
        <v>42009</v>
      </c>
      <c r="F221" s="24">
        <v>7722.6</v>
      </c>
      <c r="G221" s="31">
        <f t="shared" si="3"/>
        <v>0</v>
      </c>
      <c r="H221" s="41" t="s">
        <v>59</v>
      </c>
    </row>
    <row r="222" spans="1:8" s="3" customFormat="1" x14ac:dyDescent="0.25">
      <c r="A222" s="20">
        <v>42008</v>
      </c>
      <c r="B222" s="21">
        <v>8129</v>
      </c>
      <c r="C222" s="40" t="s">
        <v>10</v>
      </c>
      <c r="D222" s="22">
        <v>24054.76</v>
      </c>
      <c r="E222" s="23">
        <v>42009</v>
      </c>
      <c r="F222" s="24">
        <v>24054.76</v>
      </c>
      <c r="G222" s="31">
        <f t="shared" si="3"/>
        <v>0</v>
      </c>
      <c r="H222" s="41" t="s">
        <v>36</v>
      </c>
    </row>
    <row r="223" spans="1:8" s="3" customFormat="1" x14ac:dyDescent="0.25">
      <c r="A223" s="20">
        <v>42008</v>
      </c>
      <c r="B223" s="21">
        <v>8130</v>
      </c>
      <c r="C223" s="40" t="s">
        <v>153</v>
      </c>
      <c r="D223" s="22">
        <v>844.2</v>
      </c>
      <c r="E223" s="23">
        <v>42008</v>
      </c>
      <c r="F223" s="24">
        <v>844.2</v>
      </c>
      <c r="G223" s="31">
        <f t="shared" si="3"/>
        <v>0</v>
      </c>
      <c r="H223" s="41" t="s">
        <v>9</v>
      </c>
    </row>
    <row r="224" spans="1:8" s="3" customFormat="1" x14ac:dyDescent="0.25">
      <c r="A224" s="20">
        <v>42008</v>
      </c>
      <c r="B224" s="21">
        <v>8131</v>
      </c>
      <c r="C224" s="40" t="s">
        <v>154</v>
      </c>
      <c r="D224" s="22">
        <v>21417.599999999999</v>
      </c>
      <c r="E224" s="23">
        <v>42009</v>
      </c>
      <c r="F224" s="24">
        <v>21417.599999999999</v>
      </c>
      <c r="G224" s="31">
        <f t="shared" si="3"/>
        <v>0</v>
      </c>
      <c r="H224" s="41" t="s">
        <v>36</v>
      </c>
    </row>
    <row r="225" spans="1:10" s="3" customFormat="1" x14ac:dyDescent="0.25">
      <c r="A225" s="20">
        <v>42008</v>
      </c>
      <c r="B225" s="21">
        <v>8132</v>
      </c>
      <c r="C225" s="40" t="s">
        <v>137</v>
      </c>
      <c r="D225" s="22">
        <v>528</v>
      </c>
      <c r="E225" s="23">
        <v>42008</v>
      </c>
      <c r="F225" s="24">
        <v>528</v>
      </c>
      <c r="G225" s="31">
        <f t="shared" si="3"/>
        <v>0</v>
      </c>
      <c r="H225" s="41" t="s">
        <v>9</v>
      </c>
    </row>
    <row r="226" spans="1:10" s="3" customFormat="1" x14ac:dyDescent="0.25">
      <c r="A226" s="20">
        <v>42008</v>
      </c>
      <c r="B226" s="21">
        <v>8133</v>
      </c>
      <c r="C226" s="40" t="s">
        <v>25</v>
      </c>
      <c r="D226" s="22">
        <v>753.4</v>
      </c>
      <c r="E226" s="23">
        <v>42008</v>
      </c>
      <c r="F226" s="24">
        <v>753.4</v>
      </c>
      <c r="G226" s="31">
        <f t="shared" si="3"/>
        <v>0</v>
      </c>
      <c r="H226" s="41" t="s">
        <v>9</v>
      </c>
      <c r="I226" s="4"/>
      <c r="J226" s="4"/>
    </row>
    <row r="227" spans="1:10" s="3" customFormat="1" x14ac:dyDescent="0.25">
      <c r="A227" s="20">
        <v>42008</v>
      </c>
      <c r="B227" s="21">
        <v>8134</v>
      </c>
      <c r="C227" s="40" t="s">
        <v>60</v>
      </c>
      <c r="D227" s="22">
        <v>6682.25</v>
      </c>
      <c r="E227" s="23">
        <v>42009</v>
      </c>
      <c r="F227" s="24">
        <v>6682.25</v>
      </c>
      <c r="G227" s="31">
        <f t="shared" si="3"/>
        <v>0</v>
      </c>
      <c r="H227" s="41" t="s">
        <v>36</v>
      </c>
      <c r="I227" s="4"/>
      <c r="J227" s="4"/>
    </row>
    <row r="228" spans="1:10" s="3" customFormat="1" x14ac:dyDescent="0.25">
      <c r="A228" s="20">
        <v>42008</v>
      </c>
      <c r="B228" s="21">
        <v>8135</v>
      </c>
      <c r="C228" s="40" t="s">
        <v>155</v>
      </c>
      <c r="D228" s="22">
        <v>3360.4</v>
      </c>
      <c r="E228" s="23">
        <v>42009</v>
      </c>
      <c r="F228" s="24">
        <v>3360.4</v>
      </c>
      <c r="G228" s="31">
        <f t="shared" si="3"/>
        <v>0</v>
      </c>
      <c r="H228" s="41" t="s">
        <v>59</v>
      </c>
      <c r="I228" s="4"/>
      <c r="J228" s="4"/>
    </row>
    <row r="229" spans="1:10" s="3" customFormat="1" x14ac:dyDescent="0.25">
      <c r="A229" s="20">
        <v>42008</v>
      </c>
      <c r="B229" s="21">
        <v>8136</v>
      </c>
      <c r="C229" s="40" t="s">
        <v>55</v>
      </c>
      <c r="D229" s="22">
        <v>28191.15</v>
      </c>
      <c r="E229" s="23">
        <v>42009</v>
      </c>
      <c r="F229" s="24">
        <v>28191.15</v>
      </c>
      <c r="G229" s="31">
        <f t="shared" si="3"/>
        <v>0</v>
      </c>
      <c r="H229" s="41" t="s">
        <v>36</v>
      </c>
      <c r="I229" s="4"/>
      <c r="J229" s="4"/>
    </row>
    <row r="230" spans="1:10" s="3" customFormat="1" x14ac:dyDescent="0.25">
      <c r="A230" s="20">
        <v>42008</v>
      </c>
      <c r="B230" s="21">
        <v>8137</v>
      </c>
      <c r="C230" s="40" t="s">
        <v>131</v>
      </c>
      <c r="D230" s="22">
        <v>9336.6</v>
      </c>
      <c r="E230" s="23">
        <v>42009</v>
      </c>
      <c r="F230" s="24">
        <v>9336.6</v>
      </c>
      <c r="G230" s="31">
        <f t="shared" si="3"/>
        <v>0</v>
      </c>
      <c r="H230" s="41" t="s">
        <v>9</v>
      </c>
      <c r="I230" s="4"/>
      <c r="J230" s="28"/>
    </row>
    <row r="231" spans="1:10" s="3" customFormat="1" x14ac:dyDescent="0.25">
      <c r="A231" s="20">
        <v>42008</v>
      </c>
      <c r="B231" s="21">
        <v>8138</v>
      </c>
      <c r="C231" s="40" t="s">
        <v>134</v>
      </c>
      <c r="D231" s="22">
        <v>6437.4</v>
      </c>
      <c r="E231" s="23">
        <v>42009</v>
      </c>
      <c r="F231" s="24">
        <v>6437.4</v>
      </c>
      <c r="G231" s="31">
        <f t="shared" si="3"/>
        <v>0</v>
      </c>
      <c r="H231" s="41" t="s">
        <v>36</v>
      </c>
      <c r="I231" s="4"/>
      <c r="J231" s="4"/>
    </row>
    <row r="232" spans="1:10" s="3" customFormat="1" x14ac:dyDescent="0.25">
      <c r="A232" s="20">
        <v>42008</v>
      </c>
      <c r="B232" s="21">
        <v>8139</v>
      </c>
      <c r="C232" s="40" t="s">
        <v>42</v>
      </c>
      <c r="D232" s="22">
        <v>96</v>
      </c>
      <c r="E232" s="23">
        <v>42008</v>
      </c>
      <c r="F232" s="24">
        <v>96</v>
      </c>
      <c r="G232" s="31">
        <f t="shared" si="3"/>
        <v>0</v>
      </c>
      <c r="H232" s="41" t="s">
        <v>9</v>
      </c>
      <c r="I232" s="4"/>
      <c r="J232" s="4"/>
    </row>
    <row r="233" spans="1:10" s="3" customFormat="1" x14ac:dyDescent="0.25">
      <c r="A233" s="20">
        <v>42008</v>
      </c>
      <c r="B233" s="21">
        <v>8140</v>
      </c>
      <c r="C233" s="40" t="s">
        <v>136</v>
      </c>
      <c r="D233" s="22">
        <v>21411.599999999999</v>
      </c>
      <c r="E233" s="29" t="s">
        <v>156</v>
      </c>
      <c r="F233" s="24">
        <f>18000+3411.6</f>
        <v>21411.599999999999</v>
      </c>
      <c r="G233" s="31">
        <f t="shared" si="3"/>
        <v>0</v>
      </c>
      <c r="H233" s="41" t="s">
        <v>9</v>
      </c>
      <c r="I233" s="4"/>
      <c r="J233" s="4"/>
    </row>
    <row r="234" spans="1:10" s="3" customFormat="1" x14ac:dyDescent="0.25">
      <c r="A234" s="20">
        <v>42008</v>
      </c>
      <c r="B234" s="21">
        <v>8141</v>
      </c>
      <c r="C234" s="40" t="s">
        <v>154</v>
      </c>
      <c r="D234" s="22">
        <v>774.4</v>
      </c>
      <c r="E234" s="23">
        <v>42009</v>
      </c>
      <c r="F234" s="24">
        <v>774.4</v>
      </c>
      <c r="G234" s="31">
        <f t="shared" si="3"/>
        <v>0</v>
      </c>
      <c r="H234" s="41" t="s">
        <v>36</v>
      </c>
      <c r="I234" s="4"/>
      <c r="J234" s="4"/>
    </row>
    <row r="235" spans="1:10" s="3" customFormat="1" x14ac:dyDescent="0.25">
      <c r="A235" s="20">
        <v>42008</v>
      </c>
      <c r="B235" s="21">
        <v>8142</v>
      </c>
      <c r="C235" s="40" t="s">
        <v>34</v>
      </c>
      <c r="D235" s="22">
        <v>4976.3999999999996</v>
      </c>
      <c r="E235" s="23">
        <v>42008</v>
      </c>
      <c r="F235" s="24">
        <v>4976.3999999999996</v>
      </c>
      <c r="G235" s="31">
        <f t="shared" si="3"/>
        <v>0</v>
      </c>
      <c r="H235" s="41" t="s">
        <v>9</v>
      </c>
      <c r="I235" s="4"/>
      <c r="J235" s="4"/>
    </row>
    <row r="236" spans="1:10" s="3" customFormat="1" x14ac:dyDescent="0.25">
      <c r="A236" s="20">
        <v>42008</v>
      </c>
      <c r="B236" s="21">
        <v>8143</v>
      </c>
      <c r="C236" s="40" t="s">
        <v>130</v>
      </c>
      <c r="D236" s="22">
        <v>9193.6</v>
      </c>
      <c r="E236" s="23">
        <v>42012</v>
      </c>
      <c r="F236" s="24">
        <v>9193.6</v>
      </c>
      <c r="G236" s="31">
        <f t="shared" si="3"/>
        <v>0</v>
      </c>
      <c r="H236" s="41" t="s">
        <v>9</v>
      </c>
      <c r="I236" s="4"/>
      <c r="J236" s="4"/>
    </row>
    <row r="237" spans="1:10" s="3" customFormat="1" x14ac:dyDescent="0.25">
      <c r="A237" s="20">
        <v>42008</v>
      </c>
      <c r="B237" s="21">
        <v>8144</v>
      </c>
      <c r="C237" s="40" t="s">
        <v>143</v>
      </c>
      <c r="D237" s="22">
        <v>8105.6</v>
      </c>
      <c r="E237" s="23">
        <v>42013</v>
      </c>
      <c r="F237" s="24">
        <v>8105.6</v>
      </c>
      <c r="G237" s="31">
        <f t="shared" si="3"/>
        <v>0</v>
      </c>
      <c r="H237" s="41" t="s">
        <v>17</v>
      </c>
      <c r="I237" s="4"/>
      <c r="J237" s="4"/>
    </row>
    <row r="238" spans="1:10" s="3" customFormat="1" x14ac:dyDescent="0.25">
      <c r="A238" s="20">
        <v>42008</v>
      </c>
      <c r="B238" s="21">
        <v>8145</v>
      </c>
      <c r="C238" s="40" t="s">
        <v>32</v>
      </c>
      <c r="D238" s="22">
        <v>23971.200000000001</v>
      </c>
      <c r="E238" s="23">
        <v>42035</v>
      </c>
      <c r="F238" s="24">
        <v>23971.200000000001</v>
      </c>
      <c r="G238" s="31">
        <f t="shared" si="3"/>
        <v>0</v>
      </c>
      <c r="H238" s="41" t="s">
        <v>62</v>
      </c>
      <c r="I238" s="4"/>
      <c r="J238" s="4"/>
    </row>
    <row r="239" spans="1:10" s="3" customFormat="1" x14ac:dyDescent="0.25">
      <c r="A239" s="20">
        <v>42008</v>
      </c>
      <c r="B239" s="21">
        <v>8146</v>
      </c>
      <c r="C239" s="40" t="s">
        <v>63</v>
      </c>
      <c r="D239" s="22">
        <v>1962</v>
      </c>
      <c r="E239" s="23">
        <v>42008</v>
      </c>
      <c r="F239" s="24">
        <v>1962</v>
      </c>
      <c r="G239" s="31">
        <f t="shared" si="3"/>
        <v>0</v>
      </c>
      <c r="H239" s="41" t="s">
        <v>9</v>
      </c>
      <c r="I239" s="4"/>
      <c r="J239" s="4"/>
    </row>
    <row r="240" spans="1:10" s="3" customFormat="1" x14ac:dyDescent="0.25">
      <c r="A240" s="20">
        <v>42008</v>
      </c>
      <c r="B240" s="21">
        <v>8147</v>
      </c>
      <c r="C240" s="40" t="s">
        <v>141</v>
      </c>
      <c r="D240" s="22">
        <v>4890.2</v>
      </c>
      <c r="E240" s="23">
        <v>42008</v>
      </c>
      <c r="F240" s="24">
        <v>4890.2</v>
      </c>
      <c r="G240" s="31">
        <f t="shared" si="3"/>
        <v>0</v>
      </c>
      <c r="H240" s="41" t="s">
        <v>17</v>
      </c>
      <c r="I240" s="4"/>
      <c r="J240" s="4"/>
    </row>
    <row r="241" spans="1:10" s="3" customFormat="1" x14ac:dyDescent="0.25">
      <c r="A241" s="20">
        <v>42008</v>
      </c>
      <c r="B241" s="21">
        <v>8148</v>
      </c>
      <c r="C241" s="40" t="s">
        <v>135</v>
      </c>
      <c r="D241" s="22">
        <v>5689.2</v>
      </c>
      <c r="E241" s="23">
        <v>42008</v>
      </c>
      <c r="F241" s="24">
        <v>5689.2</v>
      </c>
      <c r="G241" s="31">
        <f t="shared" si="3"/>
        <v>0</v>
      </c>
      <c r="H241" s="41" t="s">
        <v>9</v>
      </c>
      <c r="I241" s="4"/>
      <c r="J241" s="4"/>
    </row>
    <row r="242" spans="1:10" s="3" customFormat="1" x14ac:dyDescent="0.25">
      <c r="A242" s="20">
        <v>42008</v>
      </c>
      <c r="B242" s="21">
        <v>8149</v>
      </c>
      <c r="C242" s="40" t="s">
        <v>157</v>
      </c>
      <c r="D242" s="22">
        <v>4282.6000000000004</v>
      </c>
      <c r="E242" s="23">
        <v>42008</v>
      </c>
      <c r="F242" s="24">
        <v>4282.6000000000004</v>
      </c>
      <c r="G242" s="31">
        <f t="shared" si="3"/>
        <v>0</v>
      </c>
      <c r="H242" s="41" t="s">
        <v>9</v>
      </c>
    </row>
    <row r="243" spans="1:10" s="3" customFormat="1" x14ac:dyDescent="0.25">
      <c r="A243" s="20">
        <v>42008</v>
      </c>
      <c r="B243" s="21">
        <v>8150</v>
      </c>
      <c r="C243" s="40" t="s">
        <v>125</v>
      </c>
      <c r="D243" s="22">
        <v>544</v>
      </c>
      <c r="E243" s="23">
        <v>42008</v>
      </c>
      <c r="F243" s="24">
        <v>544</v>
      </c>
      <c r="G243" s="31">
        <f t="shared" si="3"/>
        <v>0</v>
      </c>
      <c r="H243" s="41" t="s">
        <v>9</v>
      </c>
    </row>
    <row r="244" spans="1:10" s="3" customFormat="1" x14ac:dyDescent="0.25">
      <c r="A244" s="20">
        <v>42008</v>
      </c>
      <c r="B244" s="21">
        <v>8151</v>
      </c>
      <c r="C244" s="40" t="s">
        <v>89</v>
      </c>
      <c r="D244" s="22">
        <v>2439</v>
      </c>
      <c r="E244" s="23">
        <v>42008</v>
      </c>
      <c r="F244" s="24">
        <v>2439</v>
      </c>
      <c r="G244" s="31">
        <f t="shared" si="3"/>
        <v>0</v>
      </c>
      <c r="H244" s="41" t="s">
        <v>9</v>
      </c>
    </row>
    <row r="245" spans="1:10" s="3" customFormat="1" x14ac:dyDescent="0.25">
      <c r="A245" s="20">
        <v>42008</v>
      </c>
      <c r="B245" s="21">
        <v>8152</v>
      </c>
      <c r="C245" s="40" t="s">
        <v>158</v>
      </c>
      <c r="D245" s="22">
        <v>1550.4</v>
      </c>
      <c r="E245" s="23">
        <v>42008</v>
      </c>
      <c r="F245" s="24">
        <v>1550.4</v>
      </c>
      <c r="G245" s="31">
        <f t="shared" si="3"/>
        <v>0</v>
      </c>
      <c r="H245" s="41" t="s">
        <v>9</v>
      </c>
    </row>
    <row r="246" spans="1:10" s="3" customFormat="1" x14ac:dyDescent="0.25">
      <c r="A246" s="20">
        <v>42008</v>
      </c>
      <c r="B246" s="21">
        <v>8153</v>
      </c>
      <c r="C246" s="40" t="s">
        <v>141</v>
      </c>
      <c r="D246" s="22">
        <v>1900.8</v>
      </c>
      <c r="E246" s="23">
        <v>42008</v>
      </c>
      <c r="F246" s="24">
        <v>1900.8</v>
      </c>
      <c r="G246" s="31">
        <f t="shared" si="3"/>
        <v>0</v>
      </c>
      <c r="H246" s="41" t="s">
        <v>9</v>
      </c>
    </row>
    <row r="247" spans="1:10" s="3" customFormat="1" x14ac:dyDescent="0.25">
      <c r="A247" s="20">
        <v>42008</v>
      </c>
      <c r="B247" s="21">
        <v>8154</v>
      </c>
      <c r="C247" s="40" t="s">
        <v>159</v>
      </c>
      <c r="D247" s="22">
        <v>11986.2</v>
      </c>
      <c r="E247" s="23">
        <v>42008</v>
      </c>
      <c r="F247" s="24">
        <v>11986.2</v>
      </c>
      <c r="G247" s="31">
        <f t="shared" si="3"/>
        <v>0</v>
      </c>
      <c r="H247" s="41" t="s">
        <v>9</v>
      </c>
    </row>
    <row r="248" spans="1:10" s="3" customFormat="1" x14ac:dyDescent="0.25">
      <c r="A248" s="20">
        <v>42008</v>
      </c>
      <c r="B248" s="21">
        <v>8155</v>
      </c>
      <c r="C248" s="40" t="s">
        <v>110</v>
      </c>
      <c r="D248" s="22">
        <v>80254.13</v>
      </c>
      <c r="E248" s="23">
        <v>42011</v>
      </c>
      <c r="F248" s="24">
        <v>80254.13</v>
      </c>
      <c r="G248" s="31">
        <f t="shared" si="3"/>
        <v>0</v>
      </c>
      <c r="H248" s="41" t="s">
        <v>59</v>
      </c>
    </row>
    <row r="249" spans="1:10" s="3" customFormat="1" x14ac:dyDescent="0.25">
      <c r="A249" s="20">
        <v>42008</v>
      </c>
      <c r="B249" s="21">
        <v>8156</v>
      </c>
      <c r="C249" s="40" t="s">
        <v>158</v>
      </c>
      <c r="D249" s="22">
        <v>8600</v>
      </c>
      <c r="E249" s="23">
        <v>42008</v>
      </c>
      <c r="F249" s="24">
        <v>8600</v>
      </c>
      <c r="G249" s="31">
        <f t="shared" si="3"/>
        <v>0</v>
      </c>
      <c r="H249" s="41" t="s">
        <v>9</v>
      </c>
    </row>
    <row r="250" spans="1:10" s="3" customFormat="1" x14ac:dyDescent="0.25">
      <c r="A250" s="20">
        <v>42009</v>
      </c>
      <c r="B250" s="21">
        <v>8157</v>
      </c>
      <c r="C250" s="40" t="s">
        <v>16</v>
      </c>
      <c r="D250" s="22">
        <v>8770.4</v>
      </c>
      <c r="E250" s="23">
        <v>42009</v>
      </c>
      <c r="F250" s="24">
        <v>8770.4</v>
      </c>
      <c r="G250" s="31">
        <f t="shared" si="3"/>
        <v>0</v>
      </c>
      <c r="H250" s="41" t="s">
        <v>17</v>
      </c>
    </row>
    <row r="251" spans="1:10" s="3" customFormat="1" x14ac:dyDescent="0.25">
      <c r="A251" s="20">
        <v>42009</v>
      </c>
      <c r="B251" s="21">
        <v>8158</v>
      </c>
      <c r="C251" s="40" t="s">
        <v>32</v>
      </c>
      <c r="D251" s="22">
        <v>188107.15</v>
      </c>
      <c r="E251" s="23">
        <v>42035</v>
      </c>
      <c r="F251" s="24">
        <v>188107.15</v>
      </c>
      <c r="G251" s="31">
        <f t="shared" si="3"/>
        <v>0</v>
      </c>
      <c r="H251" s="41" t="s">
        <v>149</v>
      </c>
    </row>
    <row r="252" spans="1:10" s="3" customFormat="1" x14ac:dyDescent="0.25">
      <c r="A252" s="20">
        <v>42009</v>
      </c>
      <c r="B252" s="21">
        <v>8159</v>
      </c>
      <c r="C252" s="40" t="s">
        <v>45</v>
      </c>
      <c r="D252" s="22">
        <v>27604.799999999999</v>
      </c>
      <c r="E252" s="23">
        <v>42013</v>
      </c>
      <c r="F252" s="24">
        <v>27604.799999999999</v>
      </c>
      <c r="G252" s="31">
        <f t="shared" si="3"/>
        <v>0</v>
      </c>
      <c r="H252" s="41" t="s">
        <v>9</v>
      </c>
    </row>
    <row r="253" spans="1:10" s="3" customFormat="1" x14ac:dyDescent="0.25">
      <c r="A253" s="20">
        <v>42009</v>
      </c>
      <c r="B253" s="21">
        <v>8160</v>
      </c>
      <c r="C253" s="40" t="s">
        <v>31</v>
      </c>
      <c r="D253" s="22">
        <v>5088</v>
      </c>
      <c r="E253" s="23">
        <v>42009</v>
      </c>
      <c r="F253" s="24">
        <v>5088</v>
      </c>
      <c r="G253" s="31">
        <f t="shared" si="3"/>
        <v>0</v>
      </c>
      <c r="H253" s="41" t="s">
        <v>17</v>
      </c>
    </row>
    <row r="254" spans="1:10" s="3" customFormat="1" x14ac:dyDescent="0.25">
      <c r="A254" s="20">
        <v>42009</v>
      </c>
      <c r="B254" s="21">
        <v>8161</v>
      </c>
      <c r="C254" s="40" t="s">
        <v>112</v>
      </c>
      <c r="D254" s="22">
        <v>5747.9</v>
      </c>
      <c r="E254" s="23">
        <v>42009</v>
      </c>
      <c r="F254" s="24">
        <v>5747.9</v>
      </c>
      <c r="G254" s="31">
        <f t="shared" si="3"/>
        <v>0</v>
      </c>
      <c r="H254" s="41" t="s">
        <v>9</v>
      </c>
    </row>
    <row r="255" spans="1:10" s="3" customFormat="1" x14ac:dyDescent="0.25">
      <c r="A255" s="20">
        <v>42009</v>
      </c>
      <c r="B255" s="21">
        <v>8162</v>
      </c>
      <c r="C255" s="40" t="s">
        <v>24</v>
      </c>
      <c r="D255" s="22">
        <v>10512</v>
      </c>
      <c r="E255" s="23">
        <v>42013</v>
      </c>
      <c r="F255" s="24">
        <v>10512</v>
      </c>
      <c r="G255" s="31">
        <f t="shared" si="3"/>
        <v>0</v>
      </c>
      <c r="H255" s="41" t="s">
        <v>94</v>
      </c>
    </row>
    <row r="256" spans="1:10" s="3" customFormat="1" x14ac:dyDescent="0.25">
      <c r="A256" s="20">
        <v>42009</v>
      </c>
      <c r="B256" s="21">
        <v>8163</v>
      </c>
      <c r="C256" s="40" t="s">
        <v>14</v>
      </c>
      <c r="D256" s="22">
        <v>20397.3</v>
      </c>
      <c r="E256" s="23">
        <v>42010</v>
      </c>
      <c r="F256" s="24">
        <v>20397.3</v>
      </c>
      <c r="G256" s="31">
        <f t="shared" si="3"/>
        <v>0</v>
      </c>
      <c r="H256" s="41" t="s">
        <v>15</v>
      </c>
    </row>
    <row r="257" spans="1:8" s="3" customFormat="1" x14ac:dyDescent="0.25">
      <c r="A257" s="20">
        <v>42009</v>
      </c>
      <c r="B257" s="21">
        <v>8164</v>
      </c>
      <c r="C257" s="40" t="s">
        <v>40</v>
      </c>
      <c r="D257" s="22">
        <v>5460</v>
      </c>
      <c r="E257" s="23">
        <v>42017</v>
      </c>
      <c r="F257" s="24">
        <v>5460</v>
      </c>
      <c r="G257" s="31">
        <f t="shared" si="3"/>
        <v>0</v>
      </c>
      <c r="H257" s="41" t="s">
        <v>27</v>
      </c>
    </row>
    <row r="258" spans="1:8" s="3" customFormat="1" x14ac:dyDescent="0.25">
      <c r="A258" s="20">
        <v>42009</v>
      </c>
      <c r="B258" s="21">
        <v>8165</v>
      </c>
      <c r="C258" s="40" t="s">
        <v>148</v>
      </c>
      <c r="D258" s="22">
        <v>4089</v>
      </c>
      <c r="E258" s="23">
        <v>42009</v>
      </c>
      <c r="F258" s="24">
        <v>4089</v>
      </c>
      <c r="G258" s="31">
        <f t="shared" si="3"/>
        <v>0</v>
      </c>
      <c r="H258" s="41" t="s">
        <v>9</v>
      </c>
    </row>
    <row r="259" spans="1:8" s="3" customFormat="1" x14ac:dyDescent="0.25">
      <c r="A259" s="20">
        <v>42009</v>
      </c>
      <c r="B259" s="21">
        <v>8166</v>
      </c>
      <c r="C259" s="40" t="s">
        <v>26</v>
      </c>
      <c r="D259" s="22">
        <v>3192</v>
      </c>
      <c r="E259" s="23">
        <v>42009</v>
      </c>
      <c r="F259" s="24">
        <v>3192</v>
      </c>
      <c r="G259" s="31">
        <f t="shared" ref="G259:G322" si="4">D259-F259</f>
        <v>0</v>
      </c>
      <c r="H259" s="41" t="s">
        <v>27</v>
      </c>
    </row>
    <row r="260" spans="1:8" s="3" customFormat="1" x14ac:dyDescent="0.25">
      <c r="A260" s="20">
        <v>42009</v>
      </c>
      <c r="B260" s="21">
        <v>8167</v>
      </c>
      <c r="C260" s="40" t="s">
        <v>52</v>
      </c>
      <c r="D260" s="22">
        <v>1260</v>
      </c>
      <c r="E260" s="23">
        <v>42017</v>
      </c>
      <c r="F260" s="24">
        <v>1260</v>
      </c>
      <c r="G260" s="31">
        <f t="shared" si="4"/>
        <v>0</v>
      </c>
      <c r="H260" s="41" t="s">
        <v>41</v>
      </c>
    </row>
    <row r="261" spans="1:8" s="3" customFormat="1" x14ac:dyDescent="0.25">
      <c r="A261" s="20">
        <v>42009</v>
      </c>
      <c r="B261" s="21">
        <v>8168</v>
      </c>
      <c r="C261" s="40" t="s">
        <v>51</v>
      </c>
      <c r="D261" s="22">
        <v>1260</v>
      </c>
      <c r="E261" s="23">
        <v>42017</v>
      </c>
      <c r="F261" s="24">
        <v>1260</v>
      </c>
      <c r="G261" s="31">
        <f t="shared" si="4"/>
        <v>0</v>
      </c>
      <c r="H261" s="41" t="s">
        <v>9</v>
      </c>
    </row>
    <row r="262" spans="1:8" s="3" customFormat="1" x14ac:dyDescent="0.25">
      <c r="A262" s="20">
        <v>42009</v>
      </c>
      <c r="B262" s="21">
        <v>8169</v>
      </c>
      <c r="C262" s="40" t="s">
        <v>24</v>
      </c>
      <c r="D262" s="22">
        <v>25069.1</v>
      </c>
      <c r="E262" s="23">
        <v>42013</v>
      </c>
      <c r="F262" s="24">
        <v>25069.1</v>
      </c>
      <c r="G262" s="31">
        <f t="shared" si="4"/>
        <v>0</v>
      </c>
      <c r="H262" s="41" t="s">
        <v>94</v>
      </c>
    </row>
    <row r="263" spans="1:8" s="3" customFormat="1" x14ac:dyDescent="0.25">
      <c r="A263" s="20">
        <v>42009</v>
      </c>
      <c r="B263" s="21">
        <v>8170</v>
      </c>
      <c r="C263" s="40" t="s">
        <v>121</v>
      </c>
      <c r="D263" s="22">
        <v>2808</v>
      </c>
      <c r="E263" s="23">
        <v>42009</v>
      </c>
      <c r="F263" s="24">
        <v>2808</v>
      </c>
      <c r="G263" s="31">
        <f t="shared" si="4"/>
        <v>0</v>
      </c>
      <c r="H263" s="41" t="s">
        <v>9</v>
      </c>
    </row>
    <row r="264" spans="1:8" s="3" customFormat="1" x14ac:dyDescent="0.25">
      <c r="A264" s="20">
        <v>42009</v>
      </c>
      <c r="B264" s="21">
        <v>8171</v>
      </c>
      <c r="C264" s="40" t="s">
        <v>151</v>
      </c>
      <c r="D264" s="22">
        <v>6483.7</v>
      </c>
      <c r="E264" s="23">
        <v>42012</v>
      </c>
      <c r="F264" s="24">
        <v>6483.7</v>
      </c>
      <c r="G264" s="31">
        <f t="shared" si="4"/>
        <v>0</v>
      </c>
      <c r="H264" s="41" t="s">
        <v>9</v>
      </c>
    </row>
    <row r="265" spans="1:8" s="3" customFormat="1" x14ac:dyDescent="0.25">
      <c r="A265" s="20">
        <v>42009</v>
      </c>
      <c r="B265" s="21">
        <v>8172</v>
      </c>
      <c r="C265" s="40" t="s">
        <v>23</v>
      </c>
      <c r="D265" s="22">
        <v>5788.2</v>
      </c>
      <c r="E265" s="23">
        <v>42009</v>
      </c>
      <c r="F265" s="24">
        <v>5788.2</v>
      </c>
      <c r="G265" s="31">
        <f t="shared" si="4"/>
        <v>0</v>
      </c>
      <c r="H265" s="41" t="s">
        <v>9</v>
      </c>
    </row>
    <row r="266" spans="1:8" s="3" customFormat="1" x14ac:dyDescent="0.25">
      <c r="A266" s="20">
        <v>42009</v>
      </c>
      <c r="B266" s="21">
        <v>8173</v>
      </c>
      <c r="C266" s="40" t="s">
        <v>114</v>
      </c>
      <c r="D266" s="22">
        <v>5886</v>
      </c>
      <c r="E266" s="23">
        <v>42009</v>
      </c>
      <c r="F266" s="24">
        <v>5886</v>
      </c>
      <c r="G266" s="31">
        <f t="shared" si="4"/>
        <v>0</v>
      </c>
      <c r="H266" s="41" t="s">
        <v>9</v>
      </c>
    </row>
    <row r="267" spans="1:8" s="3" customFormat="1" x14ac:dyDescent="0.25">
      <c r="A267" s="20">
        <v>42009</v>
      </c>
      <c r="B267" s="21">
        <v>8174</v>
      </c>
      <c r="C267" s="40" t="s">
        <v>160</v>
      </c>
      <c r="D267" s="22">
        <v>1440</v>
      </c>
      <c r="E267" s="23">
        <v>42009</v>
      </c>
      <c r="F267" s="24">
        <v>1440</v>
      </c>
      <c r="G267" s="31">
        <f t="shared" si="4"/>
        <v>0</v>
      </c>
      <c r="H267" s="41" t="s">
        <v>36</v>
      </c>
    </row>
    <row r="268" spans="1:8" s="3" customFormat="1" x14ac:dyDescent="0.25">
      <c r="A268" s="20">
        <v>42009</v>
      </c>
      <c r="B268" s="21">
        <v>8175</v>
      </c>
      <c r="C268" s="40" t="s">
        <v>63</v>
      </c>
      <c r="D268" s="22">
        <v>2798.4</v>
      </c>
      <c r="E268" s="23">
        <v>42009</v>
      </c>
      <c r="F268" s="24">
        <v>2798.4</v>
      </c>
      <c r="G268" s="31">
        <f t="shared" si="4"/>
        <v>0</v>
      </c>
      <c r="H268" s="41" t="s">
        <v>36</v>
      </c>
    </row>
    <row r="269" spans="1:8" s="3" customFormat="1" x14ac:dyDescent="0.25">
      <c r="A269" s="20">
        <v>42009</v>
      </c>
      <c r="B269" s="21">
        <v>8176</v>
      </c>
      <c r="C269" s="40" t="s">
        <v>37</v>
      </c>
      <c r="D269" s="22">
        <v>13081</v>
      </c>
      <c r="E269" s="23">
        <v>42020</v>
      </c>
      <c r="F269" s="24">
        <v>13081</v>
      </c>
      <c r="G269" s="31">
        <f t="shared" si="4"/>
        <v>0</v>
      </c>
      <c r="H269" s="41" t="s">
        <v>36</v>
      </c>
    </row>
    <row r="270" spans="1:8" s="3" customFormat="1" x14ac:dyDescent="0.25">
      <c r="A270" s="20">
        <v>42009</v>
      </c>
      <c r="B270" s="21">
        <v>8177</v>
      </c>
      <c r="C270" s="40" t="s">
        <v>161</v>
      </c>
      <c r="D270" s="22">
        <v>3173</v>
      </c>
      <c r="E270" s="23">
        <v>42009</v>
      </c>
      <c r="F270" s="24">
        <v>3173</v>
      </c>
      <c r="G270" s="31">
        <f t="shared" si="4"/>
        <v>0</v>
      </c>
      <c r="H270" s="41" t="s">
        <v>9</v>
      </c>
    </row>
    <row r="271" spans="1:8" s="3" customFormat="1" x14ac:dyDescent="0.25">
      <c r="A271" s="20">
        <v>42009</v>
      </c>
      <c r="B271" s="21">
        <v>8178</v>
      </c>
      <c r="C271" s="40" t="s">
        <v>56</v>
      </c>
      <c r="D271" s="22">
        <v>16317.9</v>
      </c>
      <c r="E271" s="23">
        <v>42009</v>
      </c>
      <c r="F271" s="24">
        <v>16317.9</v>
      </c>
      <c r="G271" s="31">
        <f t="shared" si="4"/>
        <v>0</v>
      </c>
      <c r="H271" s="41" t="s">
        <v>36</v>
      </c>
    </row>
    <row r="272" spans="1:8" s="3" customFormat="1" x14ac:dyDescent="0.25">
      <c r="A272" s="20">
        <v>42009</v>
      </c>
      <c r="B272" s="21">
        <v>8179</v>
      </c>
      <c r="C272" s="40" t="s">
        <v>162</v>
      </c>
      <c r="D272" s="22">
        <v>2349</v>
      </c>
      <c r="E272" s="23">
        <v>42009</v>
      </c>
      <c r="F272" s="24">
        <v>2349</v>
      </c>
      <c r="G272" s="31">
        <f t="shared" si="4"/>
        <v>0</v>
      </c>
      <c r="H272" s="41" t="s">
        <v>36</v>
      </c>
    </row>
    <row r="273" spans="1:8" s="3" customFormat="1" x14ac:dyDescent="0.25">
      <c r="A273" s="20">
        <v>42009</v>
      </c>
      <c r="B273" s="21">
        <v>8180</v>
      </c>
      <c r="C273" s="40" t="s">
        <v>124</v>
      </c>
      <c r="D273" s="22">
        <v>1048.5</v>
      </c>
      <c r="E273" s="23">
        <v>42009</v>
      </c>
      <c r="F273" s="24">
        <v>1048.5</v>
      </c>
      <c r="G273" s="31">
        <f t="shared" si="4"/>
        <v>0</v>
      </c>
      <c r="H273" s="41" t="s">
        <v>9</v>
      </c>
    </row>
    <row r="274" spans="1:8" s="3" customFormat="1" x14ac:dyDescent="0.25">
      <c r="A274" s="20">
        <v>42009</v>
      </c>
      <c r="B274" s="21">
        <v>8181</v>
      </c>
      <c r="C274" s="40" t="s">
        <v>52</v>
      </c>
      <c r="D274" s="22">
        <v>1260</v>
      </c>
      <c r="E274" s="23">
        <v>42009</v>
      </c>
      <c r="F274" s="24">
        <v>1260</v>
      </c>
      <c r="G274" s="31">
        <f t="shared" si="4"/>
        <v>0</v>
      </c>
      <c r="H274" s="41" t="s">
        <v>41</v>
      </c>
    </row>
    <row r="275" spans="1:8" s="3" customFormat="1" x14ac:dyDescent="0.25">
      <c r="A275" s="20">
        <v>42009</v>
      </c>
      <c r="B275" s="21">
        <v>8182</v>
      </c>
      <c r="C275" s="40" t="s">
        <v>31</v>
      </c>
      <c r="D275" s="22">
        <v>1392</v>
      </c>
      <c r="E275" s="23">
        <v>42009</v>
      </c>
      <c r="F275" s="24">
        <v>1392</v>
      </c>
      <c r="G275" s="31">
        <f t="shared" si="4"/>
        <v>0</v>
      </c>
      <c r="H275" s="41" t="s">
        <v>41</v>
      </c>
    </row>
    <row r="276" spans="1:8" s="3" customFormat="1" x14ac:dyDescent="0.25">
      <c r="A276" s="20">
        <v>42009</v>
      </c>
      <c r="B276" s="21">
        <v>8183</v>
      </c>
      <c r="C276" s="40" t="s">
        <v>125</v>
      </c>
      <c r="D276" s="22">
        <v>16792.2</v>
      </c>
      <c r="E276" s="29" t="s">
        <v>163</v>
      </c>
      <c r="F276" s="24">
        <f>14000+2792.2</f>
        <v>16792.2</v>
      </c>
      <c r="G276" s="31">
        <f t="shared" si="4"/>
        <v>0</v>
      </c>
      <c r="H276" s="41" t="s">
        <v>9</v>
      </c>
    </row>
    <row r="277" spans="1:8" s="3" customFormat="1" x14ac:dyDescent="0.25">
      <c r="A277" s="20">
        <v>42009</v>
      </c>
      <c r="B277" s="21">
        <v>8184</v>
      </c>
      <c r="C277" s="40" t="s">
        <v>74</v>
      </c>
      <c r="D277" s="22">
        <v>1863</v>
      </c>
      <c r="E277" s="23">
        <v>42009</v>
      </c>
      <c r="F277" s="24">
        <v>1863</v>
      </c>
      <c r="G277" s="31">
        <f t="shared" si="4"/>
        <v>0</v>
      </c>
      <c r="H277" s="41" t="s">
        <v>9</v>
      </c>
    </row>
    <row r="278" spans="1:8" s="3" customFormat="1" x14ac:dyDescent="0.25">
      <c r="A278" s="20">
        <v>42009</v>
      </c>
      <c r="B278" s="21">
        <v>8185</v>
      </c>
      <c r="C278" s="40" t="s">
        <v>25</v>
      </c>
      <c r="D278" s="22">
        <v>403.2</v>
      </c>
      <c r="E278" s="23">
        <v>42009</v>
      </c>
      <c r="F278" s="24">
        <v>403.2</v>
      </c>
      <c r="G278" s="31">
        <f t="shared" si="4"/>
        <v>0</v>
      </c>
      <c r="H278" s="41" t="s">
        <v>9</v>
      </c>
    </row>
    <row r="279" spans="1:8" s="3" customFormat="1" x14ac:dyDescent="0.25">
      <c r="A279" s="20">
        <v>42009</v>
      </c>
      <c r="B279" s="21">
        <v>8186</v>
      </c>
      <c r="C279" s="40" t="s">
        <v>14</v>
      </c>
      <c r="D279" s="22">
        <v>288363.98</v>
      </c>
      <c r="E279" s="23">
        <v>42016</v>
      </c>
      <c r="F279" s="24">
        <v>288363.98</v>
      </c>
      <c r="G279" s="31">
        <f t="shared" si="4"/>
        <v>0</v>
      </c>
      <c r="H279" s="41" t="s">
        <v>46</v>
      </c>
    </row>
    <row r="280" spans="1:8" s="3" customFormat="1" x14ac:dyDescent="0.25">
      <c r="A280" s="20">
        <v>42009</v>
      </c>
      <c r="B280" s="21">
        <v>8187</v>
      </c>
      <c r="C280" s="40" t="s">
        <v>14</v>
      </c>
      <c r="D280" s="22">
        <v>6562.5</v>
      </c>
      <c r="E280" s="23">
        <v>42012</v>
      </c>
      <c r="F280" s="24">
        <v>6562.5</v>
      </c>
      <c r="G280" s="31">
        <f t="shared" si="4"/>
        <v>0</v>
      </c>
      <c r="H280" s="41" t="s">
        <v>46</v>
      </c>
    </row>
    <row r="281" spans="1:8" s="3" customFormat="1" x14ac:dyDescent="0.25">
      <c r="A281" s="20">
        <v>42009</v>
      </c>
      <c r="B281" s="21">
        <v>8188</v>
      </c>
      <c r="C281" s="40" t="s">
        <v>131</v>
      </c>
      <c r="D281" s="22">
        <v>8195.2000000000007</v>
      </c>
      <c r="E281" s="23">
        <v>42011</v>
      </c>
      <c r="F281" s="24">
        <v>8195.2000000000007</v>
      </c>
      <c r="G281" s="31">
        <f t="shared" si="4"/>
        <v>0</v>
      </c>
      <c r="H281" s="41" t="s">
        <v>17</v>
      </c>
    </row>
    <row r="282" spans="1:8" s="3" customFormat="1" x14ac:dyDescent="0.25">
      <c r="A282" s="20">
        <v>42009</v>
      </c>
      <c r="B282" s="21">
        <v>8189</v>
      </c>
      <c r="C282" s="40" t="s">
        <v>164</v>
      </c>
      <c r="D282" s="22">
        <v>2440.1999999999998</v>
      </c>
      <c r="E282" s="23">
        <v>42009</v>
      </c>
      <c r="F282" s="24">
        <v>2440.1999999999998</v>
      </c>
      <c r="G282" s="31">
        <f t="shared" si="4"/>
        <v>0</v>
      </c>
      <c r="H282" s="41" t="s">
        <v>9</v>
      </c>
    </row>
    <row r="283" spans="1:8" s="3" customFormat="1" x14ac:dyDescent="0.25">
      <c r="A283" s="20">
        <v>42009</v>
      </c>
      <c r="B283" s="21">
        <v>8190</v>
      </c>
      <c r="C283" s="40" t="s">
        <v>164</v>
      </c>
      <c r="D283" s="22">
        <v>1554</v>
      </c>
      <c r="E283" s="23">
        <v>42009</v>
      </c>
      <c r="F283" s="24">
        <v>1554</v>
      </c>
      <c r="G283" s="31">
        <f t="shared" si="4"/>
        <v>0</v>
      </c>
      <c r="H283" s="41" t="s">
        <v>9</v>
      </c>
    </row>
    <row r="284" spans="1:8" s="3" customFormat="1" x14ac:dyDescent="0.25">
      <c r="A284" s="20">
        <v>42009</v>
      </c>
      <c r="B284" s="21">
        <v>8191</v>
      </c>
      <c r="C284" s="40" t="s">
        <v>130</v>
      </c>
      <c r="D284" s="22">
        <v>5597.4</v>
      </c>
      <c r="E284" s="23">
        <v>42012</v>
      </c>
      <c r="F284" s="24">
        <v>5597.4</v>
      </c>
      <c r="G284" s="31">
        <f t="shared" si="4"/>
        <v>0</v>
      </c>
      <c r="H284" s="41" t="s">
        <v>17</v>
      </c>
    </row>
    <row r="285" spans="1:8" s="3" customFormat="1" x14ac:dyDescent="0.25">
      <c r="A285" s="20">
        <v>42009</v>
      </c>
      <c r="B285" s="21">
        <v>8192</v>
      </c>
      <c r="C285" s="40" t="s">
        <v>165</v>
      </c>
      <c r="D285" s="22">
        <v>2940.6</v>
      </c>
      <c r="E285" s="23">
        <v>42009</v>
      </c>
      <c r="F285" s="24">
        <v>2940.6</v>
      </c>
      <c r="G285" s="31">
        <f t="shared" si="4"/>
        <v>0</v>
      </c>
      <c r="H285" s="41" t="s">
        <v>17</v>
      </c>
    </row>
    <row r="286" spans="1:8" s="3" customFormat="1" x14ac:dyDescent="0.25">
      <c r="A286" s="20">
        <v>42009</v>
      </c>
      <c r="B286" s="21">
        <v>8193</v>
      </c>
      <c r="C286" s="40" t="s">
        <v>128</v>
      </c>
      <c r="D286" s="22">
        <v>6048</v>
      </c>
      <c r="E286" s="23">
        <v>42009</v>
      </c>
      <c r="F286" s="24">
        <v>6048</v>
      </c>
      <c r="G286" s="31">
        <f t="shared" si="4"/>
        <v>0</v>
      </c>
      <c r="H286" s="41" t="s">
        <v>17</v>
      </c>
    </row>
    <row r="287" spans="1:8" s="3" customFormat="1" x14ac:dyDescent="0.25">
      <c r="A287" s="20">
        <v>42009</v>
      </c>
      <c r="B287" s="21">
        <v>8194</v>
      </c>
      <c r="C287" s="40" t="s">
        <v>34</v>
      </c>
      <c r="D287" s="22">
        <v>5547</v>
      </c>
      <c r="E287" s="23">
        <v>42009</v>
      </c>
      <c r="F287" s="24">
        <v>5547</v>
      </c>
      <c r="G287" s="31">
        <f t="shared" si="4"/>
        <v>0</v>
      </c>
      <c r="H287" s="41" t="s">
        <v>9</v>
      </c>
    </row>
    <row r="288" spans="1:8" s="3" customFormat="1" x14ac:dyDescent="0.25">
      <c r="A288" s="20">
        <v>42009</v>
      </c>
      <c r="B288" s="21">
        <v>8195</v>
      </c>
      <c r="C288" s="40" t="s">
        <v>100</v>
      </c>
      <c r="D288" s="22">
        <v>2285.4</v>
      </c>
      <c r="E288" s="23">
        <v>42009</v>
      </c>
      <c r="F288" s="24">
        <v>2285.4</v>
      </c>
      <c r="G288" s="31">
        <f t="shared" si="4"/>
        <v>0</v>
      </c>
      <c r="H288" s="41" t="s">
        <v>9</v>
      </c>
    </row>
    <row r="289" spans="1:8" s="3" customFormat="1" x14ac:dyDescent="0.25">
      <c r="A289" s="20">
        <v>42009</v>
      </c>
      <c r="B289" s="21">
        <v>8196</v>
      </c>
      <c r="C289" s="40" t="s">
        <v>77</v>
      </c>
      <c r="D289" s="22">
        <v>17001.599999999999</v>
      </c>
      <c r="E289" s="23">
        <v>42011</v>
      </c>
      <c r="F289" s="24">
        <v>17001.599999999999</v>
      </c>
      <c r="G289" s="31">
        <f t="shared" si="4"/>
        <v>0</v>
      </c>
      <c r="H289" s="41" t="s">
        <v>62</v>
      </c>
    </row>
    <row r="290" spans="1:8" s="3" customFormat="1" x14ac:dyDescent="0.25">
      <c r="A290" s="20">
        <v>42009</v>
      </c>
      <c r="B290" s="21">
        <v>8197</v>
      </c>
      <c r="C290" s="40" t="s">
        <v>136</v>
      </c>
      <c r="D290" s="22">
        <v>22459.8</v>
      </c>
      <c r="E290" s="23">
        <v>42009</v>
      </c>
      <c r="F290" s="24">
        <v>22459.8</v>
      </c>
      <c r="G290" s="31">
        <f t="shared" si="4"/>
        <v>0</v>
      </c>
      <c r="H290" s="41" t="s">
        <v>9</v>
      </c>
    </row>
    <row r="291" spans="1:8" s="3" customFormat="1" x14ac:dyDescent="0.25">
      <c r="A291" s="20">
        <v>42009</v>
      </c>
      <c r="B291" s="21">
        <v>8198</v>
      </c>
      <c r="C291" s="40" t="s">
        <v>136</v>
      </c>
      <c r="D291" s="22">
        <v>2738.8</v>
      </c>
      <c r="E291" s="23">
        <v>42009</v>
      </c>
      <c r="F291" s="24">
        <v>2738.8</v>
      </c>
      <c r="G291" s="31">
        <f t="shared" si="4"/>
        <v>0</v>
      </c>
      <c r="H291" s="41" t="s">
        <v>9</v>
      </c>
    </row>
    <row r="292" spans="1:8" s="3" customFormat="1" x14ac:dyDescent="0.25">
      <c r="A292" s="20">
        <v>42009</v>
      </c>
      <c r="B292" s="21">
        <v>8199</v>
      </c>
      <c r="C292" s="40" t="s">
        <v>75</v>
      </c>
      <c r="D292" s="22">
        <v>24769.200000000001</v>
      </c>
      <c r="E292" s="29" t="s">
        <v>166</v>
      </c>
      <c r="F292" s="24">
        <f>17769.2+7000</f>
        <v>24769.200000000001</v>
      </c>
      <c r="G292" s="31">
        <f t="shared" si="4"/>
        <v>0</v>
      </c>
      <c r="H292" s="41" t="s">
        <v>62</v>
      </c>
    </row>
    <row r="293" spans="1:8" s="3" customFormat="1" x14ac:dyDescent="0.25">
      <c r="A293" s="20">
        <v>42009</v>
      </c>
      <c r="B293" s="21">
        <v>8200</v>
      </c>
      <c r="C293" s="40" t="s">
        <v>112</v>
      </c>
      <c r="D293" s="22">
        <v>14937</v>
      </c>
      <c r="E293" s="23">
        <v>42009</v>
      </c>
      <c r="F293" s="24">
        <v>14937</v>
      </c>
      <c r="G293" s="31">
        <f t="shared" si="4"/>
        <v>0</v>
      </c>
      <c r="H293" s="41" t="s">
        <v>9</v>
      </c>
    </row>
    <row r="294" spans="1:8" s="3" customFormat="1" x14ac:dyDescent="0.25">
      <c r="A294" s="20">
        <v>42009</v>
      </c>
      <c r="B294" s="21">
        <v>8201</v>
      </c>
      <c r="C294" s="40" t="s">
        <v>78</v>
      </c>
      <c r="D294" s="22">
        <v>13650.6</v>
      </c>
      <c r="E294" s="23">
        <v>42011</v>
      </c>
      <c r="F294" s="24">
        <v>13650.6</v>
      </c>
      <c r="G294" s="31">
        <f t="shared" si="4"/>
        <v>0</v>
      </c>
      <c r="H294" s="41" t="s">
        <v>62</v>
      </c>
    </row>
    <row r="295" spans="1:8" s="3" customFormat="1" x14ac:dyDescent="0.25">
      <c r="A295" s="20">
        <v>42009</v>
      </c>
      <c r="B295" s="21">
        <v>8202</v>
      </c>
      <c r="C295" s="14" t="s">
        <v>135</v>
      </c>
      <c r="D295" s="22">
        <v>5854.2</v>
      </c>
      <c r="E295" s="23">
        <v>42009</v>
      </c>
      <c r="F295" s="24">
        <v>5854.2</v>
      </c>
      <c r="G295" s="31">
        <f t="shared" si="4"/>
        <v>0</v>
      </c>
      <c r="H295" s="19" t="s">
        <v>9</v>
      </c>
    </row>
    <row r="296" spans="1:8" s="3" customFormat="1" x14ac:dyDescent="0.25">
      <c r="A296" s="20">
        <v>42009</v>
      </c>
      <c r="B296" s="21">
        <v>8203</v>
      </c>
      <c r="C296" s="14" t="s">
        <v>30</v>
      </c>
      <c r="D296" s="22">
        <v>3951</v>
      </c>
      <c r="E296" s="23">
        <v>42009</v>
      </c>
      <c r="F296" s="24">
        <v>3951</v>
      </c>
      <c r="G296" s="31">
        <f t="shared" si="4"/>
        <v>0</v>
      </c>
      <c r="H296" s="19" t="s">
        <v>9</v>
      </c>
    </row>
    <row r="297" spans="1:8" s="3" customFormat="1" x14ac:dyDescent="0.25">
      <c r="A297" s="20">
        <v>42009</v>
      </c>
      <c r="B297" s="21">
        <v>8204</v>
      </c>
      <c r="C297" s="14" t="s">
        <v>89</v>
      </c>
      <c r="D297" s="22">
        <v>5244.8</v>
      </c>
      <c r="E297" s="23">
        <v>42009</v>
      </c>
      <c r="F297" s="24">
        <v>5244.8</v>
      </c>
      <c r="G297" s="31">
        <f t="shared" si="4"/>
        <v>0</v>
      </c>
      <c r="H297" s="19" t="s">
        <v>9</v>
      </c>
    </row>
    <row r="298" spans="1:8" s="3" customFormat="1" x14ac:dyDescent="0.25">
      <c r="A298" s="20">
        <v>42009</v>
      </c>
      <c r="B298" s="21">
        <v>8205</v>
      </c>
      <c r="C298" s="14" t="s">
        <v>120</v>
      </c>
      <c r="D298" s="22">
        <v>2415</v>
      </c>
      <c r="E298" s="23">
        <v>42009</v>
      </c>
      <c r="F298" s="24">
        <v>2415</v>
      </c>
      <c r="G298" s="31">
        <f t="shared" si="4"/>
        <v>0</v>
      </c>
      <c r="H298" s="19" t="s">
        <v>94</v>
      </c>
    </row>
    <row r="299" spans="1:8" s="3" customFormat="1" x14ac:dyDescent="0.25">
      <c r="A299" s="20">
        <v>42009</v>
      </c>
      <c r="B299" s="21">
        <v>8206</v>
      </c>
      <c r="C299" s="14" t="s">
        <v>82</v>
      </c>
      <c r="D299" s="22">
        <v>10980</v>
      </c>
      <c r="E299" s="23">
        <v>42009</v>
      </c>
      <c r="F299" s="24">
        <v>10980</v>
      </c>
      <c r="G299" s="31">
        <f t="shared" si="4"/>
        <v>0</v>
      </c>
      <c r="H299" s="19" t="s">
        <v>94</v>
      </c>
    </row>
    <row r="300" spans="1:8" s="3" customFormat="1" x14ac:dyDescent="0.25">
      <c r="A300" s="20">
        <v>42009</v>
      </c>
      <c r="B300" s="21">
        <v>8207</v>
      </c>
      <c r="C300" s="14" t="s">
        <v>53</v>
      </c>
      <c r="D300" s="22">
        <v>2365</v>
      </c>
      <c r="E300" s="23">
        <v>42009</v>
      </c>
      <c r="F300" s="24">
        <v>2365</v>
      </c>
      <c r="G300" s="31">
        <f t="shared" si="4"/>
        <v>0</v>
      </c>
      <c r="H300" s="19" t="s">
        <v>94</v>
      </c>
    </row>
    <row r="301" spans="1:8" s="3" customFormat="1" x14ac:dyDescent="0.25">
      <c r="A301" s="20">
        <v>42009</v>
      </c>
      <c r="B301" s="21">
        <v>8208</v>
      </c>
      <c r="C301" s="14" t="s">
        <v>167</v>
      </c>
      <c r="D301" s="22">
        <v>525.6</v>
      </c>
      <c r="E301" s="23">
        <v>42009</v>
      </c>
      <c r="F301" s="24">
        <v>525.6</v>
      </c>
      <c r="G301" s="31">
        <f t="shared" si="4"/>
        <v>0</v>
      </c>
      <c r="H301" s="19" t="s">
        <v>94</v>
      </c>
    </row>
    <row r="302" spans="1:8" s="3" customFormat="1" x14ac:dyDescent="0.25">
      <c r="A302" s="20">
        <v>42009</v>
      </c>
      <c r="B302" s="21">
        <v>8209</v>
      </c>
      <c r="C302" s="14" t="s">
        <v>137</v>
      </c>
      <c r="D302" s="22">
        <v>3384</v>
      </c>
      <c r="E302" s="23">
        <v>42009</v>
      </c>
      <c r="F302" s="24">
        <v>3384</v>
      </c>
      <c r="G302" s="31">
        <f t="shared" si="4"/>
        <v>0</v>
      </c>
      <c r="H302" s="19" t="s">
        <v>9</v>
      </c>
    </row>
    <row r="303" spans="1:8" s="3" customFormat="1" x14ac:dyDescent="0.25">
      <c r="A303" s="20">
        <v>42009</v>
      </c>
      <c r="B303" s="21">
        <v>8210</v>
      </c>
      <c r="C303" s="14" t="s">
        <v>168</v>
      </c>
      <c r="D303" s="22">
        <v>7380</v>
      </c>
      <c r="E303" s="23">
        <v>42009</v>
      </c>
      <c r="F303" s="24">
        <v>7380</v>
      </c>
      <c r="G303" s="31">
        <f t="shared" si="4"/>
        <v>0</v>
      </c>
      <c r="H303" s="19" t="s">
        <v>94</v>
      </c>
    </row>
    <row r="304" spans="1:8" s="3" customFormat="1" x14ac:dyDescent="0.25">
      <c r="A304" s="20">
        <v>42009</v>
      </c>
      <c r="B304" s="21">
        <v>8211</v>
      </c>
      <c r="C304" s="14" t="s">
        <v>83</v>
      </c>
      <c r="D304" s="22">
        <v>9818.2000000000007</v>
      </c>
      <c r="E304" s="23">
        <v>42009</v>
      </c>
      <c r="F304" s="24">
        <v>9818.2000000000007</v>
      </c>
      <c r="G304" s="31">
        <f t="shared" si="4"/>
        <v>0</v>
      </c>
      <c r="H304" s="19" t="s">
        <v>94</v>
      </c>
    </row>
    <row r="305" spans="1:8" s="3" customFormat="1" x14ac:dyDescent="0.25">
      <c r="A305" s="20">
        <v>42009</v>
      </c>
      <c r="B305" s="21">
        <v>8212</v>
      </c>
      <c r="C305" s="14" t="s">
        <v>67</v>
      </c>
      <c r="D305" s="22">
        <v>3759.6</v>
      </c>
      <c r="E305" s="23">
        <v>42011</v>
      </c>
      <c r="F305" s="24">
        <v>3759.6</v>
      </c>
      <c r="G305" s="31">
        <f t="shared" si="4"/>
        <v>0</v>
      </c>
      <c r="H305" s="19" t="s">
        <v>62</v>
      </c>
    </row>
    <row r="306" spans="1:8" s="3" customFormat="1" x14ac:dyDescent="0.25">
      <c r="A306" s="20">
        <v>42009</v>
      </c>
      <c r="B306" s="21">
        <v>8213</v>
      </c>
      <c r="C306" s="14" t="s">
        <v>169</v>
      </c>
      <c r="D306" s="22">
        <v>1699.2</v>
      </c>
      <c r="E306" s="23">
        <v>42009</v>
      </c>
      <c r="F306" s="24">
        <v>1699.2</v>
      </c>
      <c r="G306" s="31">
        <f t="shared" si="4"/>
        <v>0</v>
      </c>
      <c r="H306" s="19" t="s">
        <v>94</v>
      </c>
    </row>
    <row r="307" spans="1:8" s="3" customFormat="1" x14ac:dyDescent="0.25">
      <c r="A307" s="20">
        <v>42009</v>
      </c>
      <c r="B307" s="21">
        <v>8214</v>
      </c>
      <c r="C307" s="14" t="s">
        <v>57</v>
      </c>
      <c r="D307" s="22">
        <v>1075</v>
      </c>
      <c r="E307" s="23">
        <v>42009</v>
      </c>
      <c r="F307" s="24">
        <v>1075</v>
      </c>
      <c r="G307" s="31">
        <f t="shared" si="4"/>
        <v>0</v>
      </c>
      <c r="H307" s="19" t="s">
        <v>94</v>
      </c>
    </row>
    <row r="308" spans="1:8" s="3" customFormat="1" x14ac:dyDescent="0.25">
      <c r="A308" s="20">
        <v>42009</v>
      </c>
      <c r="B308" s="21">
        <v>8215</v>
      </c>
      <c r="C308" s="14" t="s">
        <v>92</v>
      </c>
      <c r="D308" s="22">
        <v>4897.6000000000004</v>
      </c>
      <c r="E308" s="23">
        <v>42011</v>
      </c>
      <c r="F308" s="24">
        <v>4897.6000000000004</v>
      </c>
      <c r="G308" s="31">
        <f t="shared" si="4"/>
        <v>0</v>
      </c>
      <c r="H308" s="19" t="s">
        <v>62</v>
      </c>
    </row>
    <row r="309" spans="1:8" s="3" customFormat="1" x14ac:dyDescent="0.25">
      <c r="A309" s="20">
        <v>42009</v>
      </c>
      <c r="B309" s="21">
        <v>8216</v>
      </c>
      <c r="C309" s="14" t="s">
        <v>81</v>
      </c>
      <c r="D309" s="22">
        <v>2103.1999999999998</v>
      </c>
      <c r="E309" s="23">
        <v>42009</v>
      </c>
      <c r="F309" s="24">
        <v>2103.1999999999998</v>
      </c>
      <c r="G309" s="31">
        <f t="shared" si="4"/>
        <v>0</v>
      </c>
      <c r="H309" s="19" t="s">
        <v>94</v>
      </c>
    </row>
    <row r="310" spans="1:8" s="3" customFormat="1" x14ac:dyDescent="0.25">
      <c r="A310" s="20">
        <v>42009</v>
      </c>
      <c r="B310" s="21">
        <v>8217</v>
      </c>
      <c r="C310" s="14" t="s">
        <v>170</v>
      </c>
      <c r="D310" s="22">
        <v>4153.6000000000004</v>
      </c>
      <c r="E310" s="23">
        <v>42011</v>
      </c>
      <c r="F310" s="24">
        <v>4153.6000000000004</v>
      </c>
      <c r="G310" s="31">
        <f t="shared" si="4"/>
        <v>0</v>
      </c>
      <c r="H310" s="19" t="s">
        <v>62</v>
      </c>
    </row>
    <row r="311" spans="1:8" s="3" customFormat="1" x14ac:dyDescent="0.25">
      <c r="A311" s="20">
        <v>42009</v>
      </c>
      <c r="B311" s="21">
        <v>8218</v>
      </c>
      <c r="C311" s="14" t="s">
        <v>171</v>
      </c>
      <c r="D311" s="22">
        <v>2993.9</v>
      </c>
      <c r="E311" s="23">
        <v>42009</v>
      </c>
      <c r="F311" s="24">
        <v>2993.9</v>
      </c>
      <c r="G311" s="31">
        <f t="shared" si="4"/>
        <v>0</v>
      </c>
      <c r="H311" s="19" t="s">
        <v>9</v>
      </c>
    </row>
    <row r="312" spans="1:8" s="3" customFormat="1" x14ac:dyDescent="0.25">
      <c r="A312" s="20">
        <v>42009</v>
      </c>
      <c r="B312" s="21">
        <v>8219</v>
      </c>
      <c r="C312" s="14" t="s">
        <v>172</v>
      </c>
      <c r="D312" s="22">
        <v>10345.799999999999</v>
      </c>
      <c r="E312" s="23">
        <v>42011</v>
      </c>
      <c r="F312" s="24">
        <v>10345.799999999999</v>
      </c>
      <c r="G312" s="31">
        <f t="shared" si="4"/>
        <v>0</v>
      </c>
      <c r="H312" s="19" t="s">
        <v>62</v>
      </c>
    </row>
    <row r="313" spans="1:8" s="3" customFormat="1" x14ac:dyDescent="0.25">
      <c r="A313" s="20">
        <v>42009</v>
      </c>
      <c r="B313" s="21">
        <v>8220</v>
      </c>
      <c r="C313" s="14" t="s">
        <v>50</v>
      </c>
      <c r="D313" s="22">
        <v>566</v>
      </c>
      <c r="E313" s="23">
        <v>42009</v>
      </c>
      <c r="F313" s="24">
        <v>566</v>
      </c>
      <c r="G313" s="31">
        <f t="shared" si="4"/>
        <v>0</v>
      </c>
      <c r="H313" s="19" t="s">
        <v>9</v>
      </c>
    </row>
    <row r="314" spans="1:8" s="3" customFormat="1" x14ac:dyDescent="0.25">
      <c r="A314" s="20">
        <v>42009</v>
      </c>
      <c r="B314" s="21">
        <v>8221</v>
      </c>
      <c r="C314" s="14" t="s">
        <v>49</v>
      </c>
      <c r="D314" s="22">
        <v>1574.4</v>
      </c>
      <c r="E314" s="23">
        <v>42009</v>
      </c>
      <c r="F314" s="24">
        <v>1574.4</v>
      </c>
      <c r="G314" s="31">
        <f t="shared" si="4"/>
        <v>0</v>
      </c>
      <c r="H314" s="19" t="s">
        <v>9</v>
      </c>
    </row>
    <row r="315" spans="1:8" s="3" customFormat="1" x14ac:dyDescent="0.25">
      <c r="A315" s="20">
        <v>42009</v>
      </c>
      <c r="B315" s="21">
        <v>8222</v>
      </c>
      <c r="C315" s="14" t="s">
        <v>173</v>
      </c>
      <c r="D315" s="22">
        <v>17022.400000000001</v>
      </c>
      <c r="E315" s="30" t="s">
        <v>174</v>
      </c>
      <c r="F315" s="24">
        <v>17022.400000000001</v>
      </c>
      <c r="G315" s="31">
        <f t="shared" si="4"/>
        <v>0</v>
      </c>
      <c r="H315" s="19" t="s">
        <v>62</v>
      </c>
    </row>
    <row r="316" spans="1:8" s="3" customFormat="1" x14ac:dyDescent="0.25">
      <c r="A316" s="20">
        <v>42009</v>
      </c>
      <c r="B316" s="21">
        <v>8223</v>
      </c>
      <c r="C316" s="14" t="s">
        <v>84</v>
      </c>
      <c r="D316" s="22">
        <v>43889</v>
      </c>
      <c r="E316" s="30" t="s">
        <v>175</v>
      </c>
      <c r="F316" s="24">
        <v>43889</v>
      </c>
      <c r="G316" s="31">
        <f t="shared" si="4"/>
        <v>0</v>
      </c>
      <c r="H316" s="19" t="s">
        <v>62</v>
      </c>
    </row>
    <row r="317" spans="1:8" s="3" customFormat="1" x14ac:dyDescent="0.25">
      <c r="A317" s="20">
        <v>42009</v>
      </c>
      <c r="B317" s="21">
        <v>8224</v>
      </c>
      <c r="C317" s="14" t="s">
        <v>176</v>
      </c>
      <c r="D317" s="22">
        <v>3237.6</v>
      </c>
      <c r="E317" s="30" t="s">
        <v>177</v>
      </c>
      <c r="F317" s="24">
        <v>3237.6</v>
      </c>
      <c r="G317" s="31">
        <f t="shared" si="4"/>
        <v>0</v>
      </c>
      <c r="H317" s="19" t="s">
        <v>62</v>
      </c>
    </row>
    <row r="318" spans="1:8" s="3" customFormat="1" x14ac:dyDescent="0.25">
      <c r="A318" s="20">
        <v>42009</v>
      </c>
      <c r="B318" s="21">
        <v>8225</v>
      </c>
      <c r="C318" s="14" t="s">
        <v>178</v>
      </c>
      <c r="D318" s="22">
        <v>2411.1999999999998</v>
      </c>
      <c r="E318" s="23">
        <v>42011</v>
      </c>
      <c r="F318" s="24">
        <v>2411.1999999999998</v>
      </c>
      <c r="G318" s="31">
        <f t="shared" si="4"/>
        <v>0</v>
      </c>
      <c r="H318" s="19" t="s">
        <v>62</v>
      </c>
    </row>
    <row r="319" spans="1:8" s="3" customFormat="1" x14ac:dyDescent="0.25">
      <c r="A319" s="20">
        <v>42009</v>
      </c>
      <c r="B319" s="21">
        <v>8226</v>
      </c>
      <c r="C319" s="14" t="s">
        <v>178</v>
      </c>
      <c r="D319" s="22">
        <v>612.5</v>
      </c>
      <c r="E319" s="23">
        <v>42011</v>
      </c>
      <c r="F319" s="24">
        <v>612.5</v>
      </c>
      <c r="G319" s="31">
        <f t="shared" si="4"/>
        <v>0</v>
      </c>
      <c r="H319" s="19" t="s">
        <v>62</v>
      </c>
    </row>
    <row r="320" spans="1:8" s="3" customFormat="1" x14ac:dyDescent="0.25">
      <c r="A320" s="20">
        <v>42009</v>
      </c>
      <c r="B320" s="21">
        <v>8227</v>
      </c>
      <c r="C320" s="14" t="s">
        <v>18</v>
      </c>
      <c r="D320" s="22">
        <v>27922.75</v>
      </c>
      <c r="E320" s="23">
        <v>42009</v>
      </c>
      <c r="F320" s="24">
        <v>27922.75</v>
      </c>
      <c r="G320" s="31">
        <f t="shared" si="4"/>
        <v>0</v>
      </c>
      <c r="H320" s="19" t="s">
        <v>149</v>
      </c>
    </row>
    <row r="321" spans="1:8" s="3" customFormat="1" x14ac:dyDescent="0.25">
      <c r="A321" s="20">
        <v>42009</v>
      </c>
      <c r="B321" s="21">
        <v>8228</v>
      </c>
      <c r="C321" s="14" t="s">
        <v>179</v>
      </c>
      <c r="D321" s="22">
        <v>4961.6000000000004</v>
      </c>
      <c r="E321" s="23">
        <v>42009</v>
      </c>
      <c r="F321" s="24">
        <v>4961.6000000000004</v>
      </c>
      <c r="G321" s="31">
        <f t="shared" si="4"/>
        <v>0</v>
      </c>
      <c r="H321" s="19" t="s">
        <v>149</v>
      </c>
    </row>
    <row r="322" spans="1:8" s="3" customFormat="1" x14ac:dyDescent="0.25">
      <c r="A322" s="20">
        <v>42009</v>
      </c>
      <c r="B322" s="21">
        <v>8229</v>
      </c>
      <c r="C322" s="14" t="s">
        <v>180</v>
      </c>
      <c r="D322" s="22">
        <v>6250.3</v>
      </c>
      <c r="E322" s="23">
        <v>42009</v>
      </c>
      <c r="F322" s="24">
        <v>6250.3</v>
      </c>
      <c r="G322" s="31">
        <f t="shared" si="4"/>
        <v>0</v>
      </c>
      <c r="H322" s="19" t="s">
        <v>9</v>
      </c>
    </row>
    <row r="323" spans="1:8" s="3" customFormat="1" x14ac:dyDescent="0.25">
      <c r="A323" s="20">
        <v>42009</v>
      </c>
      <c r="B323" s="21">
        <v>8230</v>
      </c>
      <c r="C323" s="14" t="s">
        <v>66</v>
      </c>
      <c r="D323" s="22">
        <v>1485.9</v>
      </c>
      <c r="E323" s="23">
        <v>42009</v>
      </c>
      <c r="F323" s="24">
        <v>1485.9</v>
      </c>
      <c r="G323" s="31">
        <f t="shared" ref="G323:G386" si="5">D323-F323</f>
        <v>0</v>
      </c>
      <c r="H323" s="19" t="s">
        <v>9</v>
      </c>
    </row>
    <row r="324" spans="1:8" s="3" customFormat="1" x14ac:dyDescent="0.25">
      <c r="A324" s="20">
        <v>42009</v>
      </c>
      <c r="B324" s="21">
        <v>8231</v>
      </c>
      <c r="C324" s="14" t="s">
        <v>16</v>
      </c>
      <c r="D324" s="22">
        <v>7660.8</v>
      </c>
      <c r="E324" s="23">
        <v>42009</v>
      </c>
      <c r="F324" s="24">
        <v>7660.8</v>
      </c>
      <c r="G324" s="31">
        <f t="shared" si="5"/>
        <v>0</v>
      </c>
      <c r="H324" s="19" t="s">
        <v>27</v>
      </c>
    </row>
    <row r="325" spans="1:8" s="3" customFormat="1" x14ac:dyDescent="0.25">
      <c r="A325" s="20">
        <v>42009</v>
      </c>
      <c r="B325" s="21">
        <v>8232</v>
      </c>
      <c r="C325" s="14" t="s">
        <v>61</v>
      </c>
      <c r="D325" s="22">
        <v>5870.08</v>
      </c>
      <c r="E325" s="23">
        <v>42011</v>
      </c>
      <c r="F325" s="24">
        <v>5870.08</v>
      </c>
      <c r="G325" s="31">
        <f t="shared" si="5"/>
        <v>0</v>
      </c>
      <c r="H325" s="19" t="s">
        <v>62</v>
      </c>
    </row>
    <row r="326" spans="1:8" s="3" customFormat="1" x14ac:dyDescent="0.25">
      <c r="A326" s="20">
        <v>42009</v>
      </c>
      <c r="B326" s="21">
        <v>8233</v>
      </c>
      <c r="C326" s="14" t="s">
        <v>64</v>
      </c>
      <c r="D326" s="22">
        <v>1771.6</v>
      </c>
      <c r="E326" s="23">
        <v>42009</v>
      </c>
      <c r="F326" s="24">
        <v>1771.6</v>
      </c>
      <c r="G326" s="31">
        <f t="shared" si="5"/>
        <v>0</v>
      </c>
      <c r="H326" s="19" t="s">
        <v>9</v>
      </c>
    </row>
    <row r="327" spans="1:8" s="3" customFormat="1" x14ac:dyDescent="0.25">
      <c r="A327" s="20">
        <v>42009</v>
      </c>
      <c r="B327" s="21">
        <v>8234</v>
      </c>
      <c r="C327" s="14" t="s">
        <v>72</v>
      </c>
      <c r="D327" s="22">
        <v>12160.4</v>
      </c>
      <c r="E327" s="30" t="s">
        <v>181</v>
      </c>
      <c r="F327" s="24">
        <v>12160.4</v>
      </c>
      <c r="G327" s="31">
        <f t="shared" si="5"/>
        <v>0</v>
      </c>
      <c r="H327" s="19" t="s">
        <v>62</v>
      </c>
    </row>
    <row r="328" spans="1:8" s="3" customFormat="1" x14ac:dyDescent="0.25">
      <c r="A328" s="20">
        <v>42009</v>
      </c>
      <c r="B328" s="21">
        <v>8235</v>
      </c>
      <c r="C328" s="14" t="s">
        <v>42</v>
      </c>
      <c r="D328" s="22">
        <v>4646</v>
      </c>
      <c r="E328" s="23">
        <v>42011</v>
      </c>
      <c r="F328" s="24">
        <v>4646</v>
      </c>
      <c r="G328" s="31">
        <f t="shared" si="5"/>
        <v>0</v>
      </c>
      <c r="H328" s="19" t="s">
        <v>62</v>
      </c>
    </row>
    <row r="329" spans="1:8" s="3" customFormat="1" x14ac:dyDescent="0.25">
      <c r="A329" s="20">
        <v>42009</v>
      </c>
      <c r="B329" s="21">
        <v>8236</v>
      </c>
      <c r="C329" s="14" t="s">
        <v>182</v>
      </c>
      <c r="D329" s="22">
        <v>41269.800000000003</v>
      </c>
      <c r="E329" s="23">
        <v>42009</v>
      </c>
      <c r="F329" s="24">
        <v>41269.89</v>
      </c>
      <c r="G329" s="31">
        <f t="shared" si="5"/>
        <v>-8.999999999650754E-2</v>
      </c>
      <c r="H329" s="19" t="s">
        <v>183</v>
      </c>
    </row>
    <row r="330" spans="1:8" s="3" customFormat="1" x14ac:dyDescent="0.25">
      <c r="A330" s="20">
        <v>42009</v>
      </c>
      <c r="B330" s="21">
        <v>8237</v>
      </c>
      <c r="C330" s="14" t="s">
        <v>24</v>
      </c>
      <c r="D330" s="22">
        <v>272913.45</v>
      </c>
      <c r="E330" s="23">
        <v>42017</v>
      </c>
      <c r="F330" s="24">
        <v>272913.45</v>
      </c>
      <c r="G330" s="31">
        <f t="shared" si="5"/>
        <v>0</v>
      </c>
      <c r="H330" s="19" t="s">
        <v>46</v>
      </c>
    </row>
    <row r="331" spans="1:8" s="3" customFormat="1" x14ac:dyDescent="0.25">
      <c r="A331" s="20">
        <v>42009</v>
      </c>
      <c r="B331" s="21">
        <v>8238</v>
      </c>
      <c r="C331" s="14" t="s">
        <v>24</v>
      </c>
      <c r="D331" s="22">
        <v>6668.9</v>
      </c>
      <c r="E331" s="23">
        <v>42013</v>
      </c>
      <c r="F331" s="24">
        <v>6668.9</v>
      </c>
      <c r="G331" s="31">
        <f t="shared" si="5"/>
        <v>0</v>
      </c>
      <c r="H331" s="19" t="s">
        <v>46</v>
      </c>
    </row>
    <row r="332" spans="1:8" s="3" customFormat="1" x14ac:dyDescent="0.25">
      <c r="A332" s="20">
        <v>42009</v>
      </c>
      <c r="B332" s="21">
        <v>8239</v>
      </c>
      <c r="C332" s="14" t="s">
        <v>24</v>
      </c>
      <c r="D332" s="22">
        <v>310642.31</v>
      </c>
      <c r="E332" s="29" t="s">
        <v>184</v>
      </c>
      <c r="F332" s="24">
        <f>14240+296402.31</f>
        <v>310642.31</v>
      </c>
      <c r="G332" s="31">
        <f t="shared" si="5"/>
        <v>0</v>
      </c>
      <c r="H332" s="19" t="s">
        <v>46</v>
      </c>
    </row>
    <row r="333" spans="1:8" s="3" customFormat="1" x14ac:dyDescent="0.25">
      <c r="A333" s="20">
        <v>42009</v>
      </c>
      <c r="B333" s="21">
        <v>8240</v>
      </c>
      <c r="C333" s="14" t="s">
        <v>38</v>
      </c>
      <c r="D333" s="22">
        <v>49503.4</v>
      </c>
      <c r="E333" s="23">
        <v>42012</v>
      </c>
      <c r="F333" s="24">
        <v>49503.4</v>
      </c>
      <c r="G333" s="31">
        <f t="shared" si="5"/>
        <v>0</v>
      </c>
      <c r="H333" s="19" t="s">
        <v>17</v>
      </c>
    </row>
    <row r="334" spans="1:8" s="3" customFormat="1" x14ac:dyDescent="0.25">
      <c r="A334" s="20">
        <v>42009</v>
      </c>
      <c r="B334" s="21">
        <v>8241</v>
      </c>
      <c r="C334" s="14" t="s">
        <v>185</v>
      </c>
      <c r="D334" s="22">
        <v>38169.599999999999</v>
      </c>
      <c r="E334" s="23">
        <v>42009</v>
      </c>
      <c r="F334" s="24">
        <v>38169.599999999999</v>
      </c>
      <c r="G334" s="31">
        <f t="shared" si="5"/>
        <v>0</v>
      </c>
      <c r="H334" s="19" t="s">
        <v>183</v>
      </c>
    </row>
    <row r="335" spans="1:8" s="3" customFormat="1" x14ac:dyDescent="0.25">
      <c r="A335" s="20">
        <v>42009</v>
      </c>
      <c r="B335" s="21">
        <v>8242</v>
      </c>
      <c r="C335" s="14" t="s">
        <v>186</v>
      </c>
      <c r="D335" s="22">
        <v>3238.8</v>
      </c>
      <c r="E335" s="23">
        <v>42009</v>
      </c>
      <c r="F335" s="24">
        <v>3238.8</v>
      </c>
      <c r="G335" s="31">
        <f t="shared" si="5"/>
        <v>0</v>
      </c>
      <c r="H335" s="19" t="s">
        <v>41</v>
      </c>
    </row>
    <row r="336" spans="1:8" s="3" customFormat="1" x14ac:dyDescent="0.25">
      <c r="A336" s="20">
        <v>42009</v>
      </c>
      <c r="B336" s="21">
        <v>8243</v>
      </c>
      <c r="C336" s="14" t="s">
        <v>24</v>
      </c>
      <c r="D336" s="22">
        <v>2660</v>
      </c>
      <c r="E336" s="23">
        <v>42013</v>
      </c>
      <c r="F336" s="24">
        <v>2660</v>
      </c>
      <c r="G336" s="31">
        <f t="shared" si="5"/>
        <v>0</v>
      </c>
      <c r="H336" s="19" t="s">
        <v>187</v>
      </c>
    </row>
    <row r="337" spans="1:10" s="3" customFormat="1" x14ac:dyDescent="0.25">
      <c r="A337" s="20">
        <v>42009</v>
      </c>
      <c r="B337" s="21">
        <v>8244</v>
      </c>
      <c r="C337" s="14" t="s">
        <v>38</v>
      </c>
      <c r="D337" s="22">
        <v>7356</v>
      </c>
      <c r="E337" s="29" t="s">
        <v>188</v>
      </c>
      <c r="F337" s="24">
        <f>4170+3186</f>
        <v>7356</v>
      </c>
      <c r="G337" s="31">
        <f t="shared" si="5"/>
        <v>0</v>
      </c>
      <c r="H337" s="19" t="s">
        <v>17</v>
      </c>
    </row>
    <row r="338" spans="1:10" s="3" customFormat="1" x14ac:dyDescent="0.25">
      <c r="A338" s="20">
        <v>42009</v>
      </c>
      <c r="B338" s="21">
        <v>8245</v>
      </c>
      <c r="C338" s="14" t="s">
        <v>96</v>
      </c>
      <c r="D338" s="22">
        <v>5269.9</v>
      </c>
      <c r="E338" s="23">
        <v>42010</v>
      </c>
      <c r="F338" s="24">
        <v>5269.9</v>
      </c>
      <c r="G338" s="31">
        <f t="shared" si="5"/>
        <v>0</v>
      </c>
      <c r="H338" s="19" t="s">
        <v>36</v>
      </c>
      <c r="I338" s="4"/>
      <c r="J338" s="4"/>
    </row>
    <row r="339" spans="1:10" s="3" customFormat="1" x14ac:dyDescent="0.25">
      <c r="A339" s="20">
        <v>42009</v>
      </c>
      <c r="B339" s="21">
        <v>8246</v>
      </c>
      <c r="C339" s="14" t="s">
        <v>98</v>
      </c>
      <c r="D339" s="22">
        <v>1426.4</v>
      </c>
      <c r="E339" s="23">
        <v>42010</v>
      </c>
      <c r="F339" s="24">
        <v>1426.4</v>
      </c>
      <c r="G339" s="31">
        <f t="shared" si="5"/>
        <v>0</v>
      </c>
      <c r="H339" s="19" t="s">
        <v>36</v>
      </c>
      <c r="I339" s="4"/>
      <c r="J339" s="4"/>
    </row>
    <row r="340" spans="1:10" s="3" customFormat="1" x14ac:dyDescent="0.25">
      <c r="A340" s="20">
        <v>42009</v>
      </c>
      <c r="B340" s="21">
        <v>8247</v>
      </c>
      <c r="C340" s="14" t="s">
        <v>189</v>
      </c>
      <c r="D340" s="22">
        <v>5148</v>
      </c>
      <c r="E340" s="23">
        <v>42010</v>
      </c>
      <c r="F340" s="24">
        <v>5148</v>
      </c>
      <c r="G340" s="31">
        <f t="shared" si="5"/>
        <v>0</v>
      </c>
      <c r="H340" s="19" t="s">
        <v>36</v>
      </c>
      <c r="I340" s="4"/>
      <c r="J340" s="4"/>
    </row>
    <row r="341" spans="1:10" s="3" customFormat="1" x14ac:dyDescent="0.25">
      <c r="A341" s="20">
        <v>42009</v>
      </c>
      <c r="B341" s="21">
        <v>8248</v>
      </c>
      <c r="C341" s="14" t="s">
        <v>93</v>
      </c>
      <c r="D341" s="22">
        <v>2834.6</v>
      </c>
      <c r="E341" s="23">
        <v>42010</v>
      </c>
      <c r="F341" s="24">
        <v>2834.6</v>
      </c>
      <c r="G341" s="31">
        <f t="shared" si="5"/>
        <v>0</v>
      </c>
      <c r="H341" s="19" t="s">
        <v>36</v>
      </c>
      <c r="I341" s="4"/>
      <c r="J341" s="4"/>
    </row>
    <row r="342" spans="1:10" s="3" customFormat="1" x14ac:dyDescent="0.25">
      <c r="A342" s="20">
        <v>42009</v>
      </c>
      <c r="B342" s="21">
        <v>8249</v>
      </c>
      <c r="C342" s="14" t="s">
        <v>93</v>
      </c>
      <c r="D342" s="22">
        <v>6324.4</v>
      </c>
      <c r="E342" s="23">
        <v>42010</v>
      </c>
      <c r="F342" s="24">
        <v>6324.4</v>
      </c>
      <c r="G342" s="31">
        <f t="shared" si="5"/>
        <v>0</v>
      </c>
      <c r="H342" s="19" t="s">
        <v>9</v>
      </c>
      <c r="I342" s="4"/>
      <c r="J342" s="4"/>
    </row>
    <row r="343" spans="1:10" s="3" customFormat="1" x14ac:dyDescent="0.25">
      <c r="A343" s="20">
        <v>42009</v>
      </c>
      <c r="B343" s="21">
        <v>8250</v>
      </c>
      <c r="C343" s="14" t="s">
        <v>190</v>
      </c>
      <c r="D343" s="22">
        <v>3027.2</v>
      </c>
      <c r="E343" s="23">
        <v>42010</v>
      </c>
      <c r="F343" s="24">
        <v>3027.2</v>
      </c>
      <c r="G343" s="31">
        <f t="shared" si="5"/>
        <v>0</v>
      </c>
      <c r="H343" s="19" t="s">
        <v>36</v>
      </c>
      <c r="I343" s="4"/>
      <c r="J343" s="4"/>
    </row>
    <row r="344" spans="1:10" s="3" customFormat="1" x14ac:dyDescent="0.25">
      <c r="A344" s="20">
        <v>42009</v>
      </c>
      <c r="B344" s="21">
        <v>8251</v>
      </c>
      <c r="C344" s="14" t="s">
        <v>104</v>
      </c>
      <c r="D344" s="22">
        <v>3091.2</v>
      </c>
      <c r="E344" s="23">
        <v>42010</v>
      </c>
      <c r="F344" s="24">
        <v>3091.2</v>
      </c>
      <c r="G344" s="31">
        <f t="shared" si="5"/>
        <v>0</v>
      </c>
      <c r="H344" s="19" t="s">
        <v>36</v>
      </c>
      <c r="I344" s="4"/>
      <c r="J344" s="4"/>
    </row>
    <row r="345" spans="1:10" s="3" customFormat="1" x14ac:dyDescent="0.25">
      <c r="A345" s="20">
        <v>42009</v>
      </c>
      <c r="B345" s="21">
        <v>8252</v>
      </c>
      <c r="C345" s="14" t="s">
        <v>191</v>
      </c>
      <c r="D345" s="22">
        <v>21781.200000000001</v>
      </c>
      <c r="E345" s="23">
        <v>42009</v>
      </c>
      <c r="F345" s="24">
        <v>21781.200000000001</v>
      </c>
      <c r="G345" s="31">
        <f t="shared" si="5"/>
        <v>0</v>
      </c>
      <c r="H345" s="19" t="s">
        <v>9</v>
      </c>
      <c r="I345" s="4"/>
      <c r="J345" s="28"/>
    </row>
    <row r="346" spans="1:10" s="3" customFormat="1" x14ac:dyDescent="0.25">
      <c r="A346" s="20">
        <v>42009</v>
      </c>
      <c r="B346" s="21">
        <v>8253</v>
      </c>
      <c r="C346" s="14" t="s">
        <v>102</v>
      </c>
      <c r="D346" s="22">
        <v>1792</v>
      </c>
      <c r="E346" s="23">
        <v>42009</v>
      </c>
      <c r="F346" s="24">
        <v>1792</v>
      </c>
      <c r="G346" s="31">
        <f t="shared" si="5"/>
        <v>0</v>
      </c>
      <c r="H346" s="19" t="s">
        <v>9</v>
      </c>
      <c r="I346" s="4"/>
      <c r="J346" s="28"/>
    </row>
    <row r="347" spans="1:10" s="3" customFormat="1" x14ac:dyDescent="0.25">
      <c r="A347" s="20">
        <v>42009</v>
      </c>
      <c r="B347" s="21">
        <v>8254</v>
      </c>
      <c r="C347" s="14" t="s">
        <v>192</v>
      </c>
      <c r="D347" s="22">
        <v>6674.4</v>
      </c>
      <c r="E347" s="23">
        <v>42019</v>
      </c>
      <c r="F347" s="24">
        <v>6674.4</v>
      </c>
      <c r="G347" s="31">
        <f t="shared" si="5"/>
        <v>0</v>
      </c>
      <c r="H347" s="19" t="s">
        <v>149</v>
      </c>
      <c r="I347" s="4"/>
      <c r="J347" s="28"/>
    </row>
    <row r="348" spans="1:10" s="3" customFormat="1" x14ac:dyDescent="0.25">
      <c r="A348" s="20">
        <v>42009</v>
      </c>
      <c r="B348" s="21">
        <v>8255</v>
      </c>
      <c r="C348" s="14" t="s">
        <v>47</v>
      </c>
      <c r="D348" s="22">
        <v>7028</v>
      </c>
      <c r="E348" s="23">
        <v>42011</v>
      </c>
      <c r="F348" s="24">
        <v>7028</v>
      </c>
      <c r="G348" s="31">
        <f t="shared" si="5"/>
        <v>0</v>
      </c>
      <c r="H348" s="19" t="s">
        <v>9</v>
      </c>
      <c r="I348" s="4"/>
      <c r="J348" s="28"/>
    </row>
    <row r="349" spans="1:10" s="3" customFormat="1" x14ac:dyDescent="0.25">
      <c r="A349" s="20">
        <v>42009</v>
      </c>
      <c r="B349" s="21">
        <v>8256</v>
      </c>
      <c r="C349" s="14" t="s">
        <v>24</v>
      </c>
      <c r="D349" s="22">
        <v>71033.399999999994</v>
      </c>
      <c r="E349" s="23">
        <v>42012</v>
      </c>
      <c r="F349" s="24">
        <v>71033.399999999994</v>
      </c>
      <c r="G349" s="31">
        <f t="shared" si="5"/>
        <v>0</v>
      </c>
      <c r="H349" s="19" t="s">
        <v>9</v>
      </c>
      <c r="I349" s="4"/>
      <c r="J349" s="28"/>
    </row>
    <row r="350" spans="1:10" s="3" customFormat="1" x14ac:dyDescent="0.25">
      <c r="A350" s="20">
        <v>42009</v>
      </c>
      <c r="B350" s="21">
        <v>8257</v>
      </c>
      <c r="C350" s="14" t="s">
        <v>80</v>
      </c>
      <c r="D350" s="22">
        <v>7344</v>
      </c>
      <c r="E350" s="23">
        <v>42009</v>
      </c>
      <c r="F350" s="24">
        <v>7344</v>
      </c>
      <c r="G350" s="31">
        <f t="shared" si="5"/>
        <v>0</v>
      </c>
      <c r="H350" s="19" t="s">
        <v>9</v>
      </c>
      <c r="I350" s="4"/>
      <c r="J350" s="4"/>
    </row>
    <row r="351" spans="1:10" s="3" customFormat="1" x14ac:dyDescent="0.25">
      <c r="A351" s="20">
        <v>42009</v>
      </c>
      <c r="B351" s="21">
        <v>8258</v>
      </c>
      <c r="C351" s="14" t="s">
        <v>125</v>
      </c>
      <c r="D351" s="22">
        <v>13899.6</v>
      </c>
      <c r="E351" s="23">
        <v>42013</v>
      </c>
      <c r="F351" s="24">
        <v>13899.6</v>
      </c>
      <c r="G351" s="31">
        <f t="shared" si="5"/>
        <v>0</v>
      </c>
      <c r="H351" s="19" t="s">
        <v>17</v>
      </c>
      <c r="I351" s="4"/>
      <c r="J351" s="4"/>
    </row>
    <row r="352" spans="1:10" s="3" customFormat="1" x14ac:dyDescent="0.25">
      <c r="A352" s="20">
        <v>42009</v>
      </c>
      <c r="B352" s="21">
        <v>8259</v>
      </c>
      <c r="C352" s="14" t="s">
        <v>91</v>
      </c>
      <c r="D352" s="22">
        <v>5195.6000000000004</v>
      </c>
      <c r="E352" s="23">
        <v>42009</v>
      </c>
      <c r="F352" s="24">
        <v>5195.6000000000004</v>
      </c>
      <c r="G352" s="31">
        <f t="shared" si="5"/>
        <v>0</v>
      </c>
      <c r="H352" s="19" t="s">
        <v>94</v>
      </c>
      <c r="I352" s="4"/>
      <c r="J352" s="4"/>
    </row>
    <row r="353" spans="1:10" s="3" customFormat="1" x14ac:dyDescent="0.25">
      <c r="A353" s="20">
        <v>42009</v>
      </c>
      <c r="B353" s="21">
        <v>8260</v>
      </c>
      <c r="C353" s="14" t="s">
        <v>193</v>
      </c>
      <c r="D353" s="22">
        <v>8396.48</v>
      </c>
      <c r="E353" s="30" t="s">
        <v>194</v>
      </c>
      <c r="F353" s="24">
        <v>8396.48</v>
      </c>
      <c r="G353" s="31">
        <f t="shared" si="5"/>
        <v>0</v>
      </c>
      <c r="H353" s="19" t="s">
        <v>9</v>
      </c>
      <c r="I353" s="4"/>
      <c r="J353" s="4"/>
    </row>
    <row r="354" spans="1:10" s="3" customFormat="1" x14ac:dyDescent="0.25">
      <c r="A354" s="20">
        <v>42009</v>
      </c>
      <c r="B354" s="21">
        <v>8261</v>
      </c>
      <c r="C354" s="14" t="s">
        <v>111</v>
      </c>
      <c r="D354" s="22">
        <v>339296</v>
      </c>
      <c r="E354" s="23">
        <v>42014</v>
      </c>
      <c r="F354" s="24">
        <v>339296</v>
      </c>
      <c r="G354" s="31">
        <f t="shared" si="5"/>
        <v>0</v>
      </c>
      <c r="H354" s="19" t="s">
        <v>9</v>
      </c>
      <c r="I354" s="4"/>
      <c r="J354" s="4"/>
    </row>
    <row r="355" spans="1:10" s="3" customFormat="1" x14ac:dyDescent="0.25">
      <c r="A355" s="20">
        <v>42009</v>
      </c>
      <c r="B355" s="21">
        <v>8262</v>
      </c>
      <c r="C355" s="14" t="s">
        <v>111</v>
      </c>
      <c r="D355" s="22">
        <v>120704</v>
      </c>
      <c r="E355" s="23">
        <v>42014</v>
      </c>
      <c r="F355" s="24">
        <v>120704</v>
      </c>
      <c r="G355" s="31">
        <f t="shared" si="5"/>
        <v>0</v>
      </c>
      <c r="H355" s="19" t="s">
        <v>9</v>
      </c>
      <c r="I355" s="4"/>
      <c r="J355" s="4"/>
    </row>
    <row r="356" spans="1:10" s="3" customFormat="1" x14ac:dyDescent="0.25">
      <c r="A356" s="20">
        <v>42009</v>
      </c>
      <c r="B356" s="21">
        <v>8263</v>
      </c>
      <c r="C356" s="14" t="s">
        <v>111</v>
      </c>
      <c r="D356" s="22">
        <v>134060</v>
      </c>
      <c r="E356" s="23">
        <v>42014</v>
      </c>
      <c r="F356" s="24">
        <v>134060</v>
      </c>
      <c r="G356" s="31">
        <f t="shared" si="5"/>
        <v>0</v>
      </c>
      <c r="H356" s="19" t="s">
        <v>9</v>
      </c>
      <c r="I356" s="4"/>
      <c r="J356" s="4"/>
    </row>
    <row r="357" spans="1:10" s="3" customFormat="1" x14ac:dyDescent="0.25">
      <c r="A357" s="20">
        <v>42009</v>
      </c>
      <c r="B357" s="21">
        <v>8264</v>
      </c>
      <c r="C357" s="14" t="s">
        <v>195</v>
      </c>
      <c r="D357" s="22">
        <v>82491.3</v>
      </c>
      <c r="E357" s="23">
        <v>42011</v>
      </c>
      <c r="F357" s="24">
        <v>82491.3</v>
      </c>
      <c r="G357" s="31">
        <f t="shared" si="5"/>
        <v>0</v>
      </c>
      <c r="H357" s="19" t="s">
        <v>149</v>
      </c>
      <c r="I357" s="4"/>
      <c r="J357" s="4"/>
    </row>
    <row r="358" spans="1:10" s="3" customFormat="1" x14ac:dyDescent="0.25">
      <c r="A358" s="20">
        <v>42009</v>
      </c>
      <c r="B358" s="21">
        <v>8265</v>
      </c>
      <c r="C358" s="14" t="s">
        <v>196</v>
      </c>
      <c r="D358" s="22">
        <v>22942.400000000001</v>
      </c>
      <c r="E358" s="23">
        <v>42011</v>
      </c>
      <c r="F358" s="24">
        <v>22942.400000000001</v>
      </c>
      <c r="G358" s="31">
        <f t="shared" si="5"/>
        <v>0</v>
      </c>
      <c r="H358" s="19" t="s">
        <v>149</v>
      </c>
      <c r="I358" s="4"/>
      <c r="J358" s="4"/>
    </row>
    <row r="359" spans="1:10" s="3" customFormat="1" x14ac:dyDescent="0.25">
      <c r="A359" s="20">
        <v>42009</v>
      </c>
      <c r="B359" s="21">
        <v>8266</v>
      </c>
      <c r="C359" s="14" t="s">
        <v>197</v>
      </c>
      <c r="D359" s="22">
        <v>5546.4</v>
      </c>
      <c r="E359" s="23">
        <v>42011</v>
      </c>
      <c r="F359" s="24">
        <v>5546.4</v>
      </c>
      <c r="G359" s="31">
        <f t="shared" si="5"/>
        <v>0</v>
      </c>
      <c r="H359" s="19" t="s">
        <v>149</v>
      </c>
      <c r="I359" s="4"/>
      <c r="J359" s="4"/>
    </row>
    <row r="360" spans="1:10" s="3" customFormat="1" x14ac:dyDescent="0.25">
      <c r="A360" s="20">
        <v>42009</v>
      </c>
      <c r="B360" s="21">
        <v>8267</v>
      </c>
      <c r="C360" s="14" t="s">
        <v>68</v>
      </c>
      <c r="D360" s="22">
        <v>6519.2</v>
      </c>
      <c r="E360" s="23">
        <v>42011</v>
      </c>
      <c r="F360" s="24">
        <v>6519.2</v>
      </c>
      <c r="G360" s="31">
        <f t="shared" si="5"/>
        <v>0</v>
      </c>
      <c r="H360" s="19" t="s">
        <v>149</v>
      </c>
      <c r="I360" s="4"/>
      <c r="J360" s="4"/>
    </row>
    <row r="361" spans="1:10" s="3" customFormat="1" x14ac:dyDescent="0.25">
      <c r="A361" s="20">
        <v>42009</v>
      </c>
      <c r="B361" s="21">
        <v>8268</v>
      </c>
      <c r="C361" s="14" t="s">
        <v>198</v>
      </c>
      <c r="D361" s="22">
        <v>10132.18</v>
      </c>
      <c r="E361" s="23">
        <v>42011</v>
      </c>
      <c r="F361" s="24">
        <v>10132.18</v>
      </c>
      <c r="G361" s="31">
        <f t="shared" si="5"/>
        <v>0</v>
      </c>
      <c r="H361" s="19" t="s">
        <v>149</v>
      </c>
      <c r="I361" s="4"/>
      <c r="J361" s="4"/>
    </row>
    <row r="362" spans="1:10" s="3" customFormat="1" x14ac:dyDescent="0.25">
      <c r="A362" s="20">
        <v>42009</v>
      </c>
      <c r="B362" s="21">
        <v>8269</v>
      </c>
      <c r="C362" s="14" t="s">
        <v>199</v>
      </c>
      <c r="D362" s="22">
        <v>7944.9</v>
      </c>
      <c r="E362" s="23">
        <v>42011</v>
      </c>
      <c r="F362" s="24">
        <v>7944.9</v>
      </c>
      <c r="G362" s="31">
        <f t="shared" si="5"/>
        <v>0</v>
      </c>
      <c r="H362" s="19" t="s">
        <v>149</v>
      </c>
      <c r="I362" s="4"/>
      <c r="J362" s="4"/>
    </row>
    <row r="363" spans="1:10" s="3" customFormat="1" x14ac:dyDescent="0.25">
      <c r="A363" s="20">
        <v>42009</v>
      </c>
      <c r="B363" s="21">
        <v>8270</v>
      </c>
      <c r="C363" s="14" t="s">
        <v>200</v>
      </c>
      <c r="D363" s="22">
        <v>3611.6</v>
      </c>
      <c r="E363" s="23">
        <v>42011</v>
      </c>
      <c r="F363" s="24">
        <v>3611.6</v>
      </c>
      <c r="G363" s="31">
        <f t="shared" si="5"/>
        <v>0</v>
      </c>
      <c r="H363" s="19" t="s">
        <v>149</v>
      </c>
      <c r="I363" s="4"/>
      <c r="J363" s="4"/>
    </row>
    <row r="364" spans="1:10" s="3" customFormat="1" x14ac:dyDescent="0.25">
      <c r="A364" s="20">
        <v>42009</v>
      </c>
      <c r="B364" s="21">
        <v>8271</v>
      </c>
      <c r="C364" s="14" t="s">
        <v>201</v>
      </c>
      <c r="D364" s="22">
        <v>1152.7</v>
      </c>
      <c r="E364" s="23">
        <v>42011</v>
      </c>
      <c r="F364" s="24">
        <v>1152.7</v>
      </c>
      <c r="G364" s="31">
        <f t="shared" si="5"/>
        <v>0</v>
      </c>
      <c r="H364" s="19" t="s">
        <v>149</v>
      </c>
      <c r="I364" s="4"/>
      <c r="J364" s="4"/>
    </row>
    <row r="365" spans="1:10" s="3" customFormat="1" x14ac:dyDescent="0.25">
      <c r="A365" s="20">
        <v>42009</v>
      </c>
      <c r="B365" s="21">
        <v>8272</v>
      </c>
      <c r="C365" s="14" t="s">
        <v>202</v>
      </c>
      <c r="D365" s="22">
        <v>14156.4</v>
      </c>
      <c r="E365" s="23">
        <v>42011</v>
      </c>
      <c r="F365" s="24">
        <v>14156.4</v>
      </c>
      <c r="G365" s="31">
        <f t="shared" si="5"/>
        <v>0</v>
      </c>
      <c r="H365" s="19" t="s">
        <v>149</v>
      </c>
      <c r="I365" s="4"/>
      <c r="J365" s="4"/>
    </row>
    <row r="366" spans="1:10" s="3" customFormat="1" x14ac:dyDescent="0.25">
      <c r="A366" s="20">
        <v>42009</v>
      </c>
      <c r="B366" s="21">
        <v>8273</v>
      </c>
      <c r="C366" s="14" t="s">
        <v>203</v>
      </c>
      <c r="D366" s="22">
        <v>36672.800000000003</v>
      </c>
      <c r="E366" s="23">
        <v>42011</v>
      </c>
      <c r="F366" s="24">
        <v>36672.800000000003</v>
      </c>
      <c r="G366" s="31">
        <f t="shared" si="5"/>
        <v>0</v>
      </c>
      <c r="H366" s="19" t="s">
        <v>149</v>
      </c>
      <c r="I366" s="4"/>
      <c r="J366" s="4"/>
    </row>
    <row r="367" spans="1:10" s="3" customFormat="1" x14ac:dyDescent="0.25">
      <c r="A367" s="20">
        <v>42009</v>
      </c>
      <c r="B367" s="21">
        <v>8274</v>
      </c>
      <c r="C367" s="14" t="s">
        <v>204</v>
      </c>
      <c r="D367" s="22">
        <v>11517.2</v>
      </c>
      <c r="E367" s="23">
        <v>42011</v>
      </c>
      <c r="F367" s="24">
        <v>11517.2</v>
      </c>
      <c r="G367" s="31">
        <f t="shared" si="5"/>
        <v>0</v>
      </c>
      <c r="H367" s="19" t="s">
        <v>149</v>
      </c>
      <c r="I367" s="4"/>
      <c r="J367" s="4"/>
    </row>
    <row r="368" spans="1:10" s="3" customFormat="1" x14ac:dyDescent="0.25">
      <c r="A368" s="20">
        <v>42009</v>
      </c>
      <c r="B368" s="21">
        <v>8275</v>
      </c>
      <c r="C368" s="14" t="s">
        <v>205</v>
      </c>
      <c r="D368" s="22">
        <v>7307.3</v>
      </c>
      <c r="E368" s="23">
        <v>42012</v>
      </c>
      <c r="F368" s="24">
        <v>7307.3</v>
      </c>
      <c r="G368" s="31">
        <f t="shared" si="5"/>
        <v>0</v>
      </c>
      <c r="H368" s="19" t="s">
        <v>149</v>
      </c>
      <c r="I368" s="4"/>
      <c r="J368" s="28"/>
    </row>
    <row r="369" spans="1:10" s="3" customFormat="1" x14ac:dyDescent="0.25">
      <c r="A369" s="20">
        <v>42009</v>
      </c>
      <c r="B369" s="21">
        <v>8276</v>
      </c>
      <c r="C369" s="14" t="s">
        <v>206</v>
      </c>
      <c r="D369" s="22">
        <v>27591.5</v>
      </c>
      <c r="E369" s="23">
        <v>42012</v>
      </c>
      <c r="F369" s="24">
        <v>27591.5</v>
      </c>
      <c r="G369" s="31">
        <f t="shared" si="5"/>
        <v>0</v>
      </c>
      <c r="H369" s="19" t="s">
        <v>149</v>
      </c>
      <c r="I369" s="4"/>
      <c r="J369" s="4"/>
    </row>
    <row r="370" spans="1:10" s="3" customFormat="1" x14ac:dyDescent="0.25">
      <c r="A370" s="20">
        <v>42009</v>
      </c>
      <c r="B370" s="21">
        <v>8277</v>
      </c>
      <c r="C370" s="14" t="s">
        <v>207</v>
      </c>
      <c r="D370" s="22">
        <v>67855.45</v>
      </c>
      <c r="E370" s="23">
        <v>42018</v>
      </c>
      <c r="F370" s="24">
        <v>67855.45</v>
      </c>
      <c r="G370" s="31">
        <f t="shared" si="5"/>
        <v>0</v>
      </c>
      <c r="H370" s="19" t="s">
        <v>149</v>
      </c>
      <c r="I370" s="4"/>
      <c r="J370" s="4"/>
    </row>
    <row r="371" spans="1:10" s="3" customFormat="1" x14ac:dyDescent="0.25">
      <c r="A371" s="20">
        <v>42009</v>
      </c>
      <c r="B371" s="21">
        <v>8278</v>
      </c>
      <c r="C371" s="14" t="s">
        <v>208</v>
      </c>
      <c r="D371" s="22">
        <v>43108.6</v>
      </c>
      <c r="E371" s="23">
        <v>42011</v>
      </c>
      <c r="F371" s="24">
        <v>43108.6</v>
      </c>
      <c r="G371" s="31">
        <f t="shared" si="5"/>
        <v>0</v>
      </c>
      <c r="H371" s="19" t="s">
        <v>149</v>
      </c>
      <c r="I371" s="4"/>
      <c r="J371" s="4"/>
    </row>
    <row r="372" spans="1:10" s="3" customFormat="1" x14ac:dyDescent="0.25">
      <c r="A372" s="20">
        <v>42009</v>
      </c>
      <c r="B372" s="21">
        <v>8279</v>
      </c>
      <c r="C372" s="14" t="s">
        <v>209</v>
      </c>
      <c r="D372" s="22">
        <v>640</v>
      </c>
      <c r="E372" s="23">
        <v>42011</v>
      </c>
      <c r="F372" s="24">
        <v>640</v>
      </c>
      <c r="G372" s="31">
        <f t="shared" si="5"/>
        <v>0</v>
      </c>
      <c r="H372" s="19" t="s">
        <v>149</v>
      </c>
      <c r="I372" s="4"/>
      <c r="J372" s="28"/>
    </row>
    <row r="373" spans="1:10" s="3" customFormat="1" x14ac:dyDescent="0.25">
      <c r="A373" s="20">
        <v>42009</v>
      </c>
      <c r="B373" s="21">
        <v>8280</v>
      </c>
      <c r="C373" s="14" t="s">
        <v>210</v>
      </c>
      <c r="D373" s="22">
        <v>8432.8799999999992</v>
      </c>
      <c r="E373" s="23">
        <v>42011</v>
      </c>
      <c r="F373" s="24">
        <v>8432.8799999999992</v>
      </c>
      <c r="G373" s="31">
        <f t="shared" si="5"/>
        <v>0</v>
      </c>
      <c r="H373" s="19" t="s">
        <v>149</v>
      </c>
      <c r="I373" s="4"/>
      <c r="J373" s="4"/>
    </row>
    <row r="374" spans="1:10" s="3" customFormat="1" x14ac:dyDescent="0.25">
      <c r="A374" s="20">
        <v>42010</v>
      </c>
      <c r="B374" s="21">
        <v>8281</v>
      </c>
      <c r="C374" s="14" t="s">
        <v>211</v>
      </c>
      <c r="D374" s="22">
        <v>63113.2</v>
      </c>
      <c r="E374" s="23">
        <v>42010</v>
      </c>
      <c r="F374" s="24">
        <v>63113.2</v>
      </c>
      <c r="G374" s="31">
        <f t="shared" si="5"/>
        <v>0</v>
      </c>
      <c r="H374" s="19" t="s">
        <v>9</v>
      </c>
      <c r="I374" s="4"/>
      <c r="J374" s="4"/>
    </row>
    <row r="375" spans="1:10" s="3" customFormat="1" x14ac:dyDescent="0.25">
      <c r="A375" s="20">
        <v>42010</v>
      </c>
      <c r="B375" s="21">
        <v>8282</v>
      </c>
      <c r="C375" s="14" t="s">
        <v>103</v>
      </c>
      <c r="D375" s="22">
        <v>35507.199999999997</v>
      </c>
      <c r="E375" s="23">
        <v>42012</v>
      </c>
      <c r="F375" s="24">
        <v>35507.199999999997</v>
      </c>
      <c r="G375" s="31">
        <f t="shared" si="5"/>
        <v>0</v>
      </c>
      <c r="H375" s="19" t="s">
        <v>9</v>
      </c>
      <c r="I375" s="4"/>
      <c r="J375" s="4"/>
    </row>
    <row r="376" spans="1:10" s="3" customFormat="1" x14ac:dyDescent="0.25">
      <c r="A376" s="20">
        <v>42010</v>
      </c>
      <c r="B376" s="21">
        <v>8283</v>
      </c>
      <c r="C376" s="14" t="s">
        <v>11</v>
      </c>
      <c r="D376" s="22">
        <v>9272</v>
      </c>
      <c r="E376" s="23">
        <v>42010</v>
      </c>
      <c r="F376" s="24">
        <v>9272</v>
      </c>
      <c r="G376" s="31">
        <f t="shared" si="5"/>
        <v>0</v>
      </c>
      <c r="H376" s="19" t="s">
        <v>9</v>
      </c>
      <c r="I376" s="4"/>
      <c r="J376" s="4"/>
    </row>
    <row r="377" spans="1:10" s="3" customFormat="1" x14ac:dyDescent="0.25">
      <c r="A377" s="20">
        <v>42010</v>
      </c>
      <c r="B377" s="21">
        <v>8284</v>
      </c>
      <c r="C377" s="14" t="s">
        <v>212</v>
      </c>
      <c r="D377" s="22">
        <v>8002.8</v>
      </c>
      <c r="E377" s="23">
        <v>42010</v>
      </c>
      <c r="F377" s="24">
        <v>8002.8</v>
      </c>
      <c r="G377" s="31">
        <f t="shared" si="5"/>
        <v>0</v>
      </c>
      <c r="H377" s="19" t="s">
        <v>17</v>
      </c>
      <c r="I377" s="4"/>
      <c r="J377" s="4"/>
    </row>
    <row r="378" spans="1:10" s="3" customFormat="1" x14ac:dyDescent="0.25">
      <c r="A378" s="20">
        <v>42010</v>
      </c>
      <c r="B378" s="21">
        <v>8285</v>
      </c>
      <c r="C378" s="14" t="s">
        <v>26</v>
      </c>
      <c r="D378" s="22">
        <v>2980</v>
      </c>
      <c r="E378" s="23">
        <v>42010</v>
      </c>
      <c r="F378" s="24">
        <v>2980</v>
      </c>
      <c r="G378" s="31">
        <f t="shared" si="5"/>
        <v>0</v>
      </c>
      <c r="H378" s="19" t="s">
        <v>27</v>
      </c>
      <c r="I378" s="4"/>
      <c r="J378" s="4"/>
    </row>
    <row r="379" spans="1:10" s="3" customFormat="1" x14ac:dyDescent="0.25">
      <c r="A379" s="20">
        <v>42010</v>
      </c>
      <c r="B379" s="21">
        <v>8286</v>
      </c>
      <c r="C379" s="14" t="s">
        <v>148</v>
      </c>
      <c r="D379" s="22">
        <v>3882.4</v>
      </c>
      <c r="E379" s="23">
        <v>42010</v>
      </c>
      <c r="F379" s="24">
        <v>3882.4</v>
      </c>
      <c r="G379" s="31">
        <f t="shared" si="5"/>
        <v>0</v>
      </c>
      <c r="H379" s="19" t="s">
        <v>59</v>
      </c>
      <c r="I379" s="4"/>
      <c r="J379" s="4"/>
    </row>
    <row r="380" spans="1:10" s="3" customFormat="1" x14ac:dyDescent="0.25">
      <c r="A380" s="20">
        <v>42010</v>
      </c>
      <c r="B380" s="21">
        <v>8287</v>
      </c>
      <c r="C380" s="14" t="s">
        <v>14</v>
      </c>
      <c r="D380" s="22">
        <v>19201.400000000001</v>
      </c>
      <c r="E380" s="23">
        <v>42013</v>
      </c>
      <c r="F380" s="24">
        <v>19201.400000000001</v>
      </c>
      <c r="G380" s="31">
        <f t="shared" si="5"/>
        <v>0</v>
      </c>
      <c r="H380" s="19" t="s">
        <v>15</v>
      </c>
      <c r="I380" s="4"/>
      <c r="J380" s="4"/>
    </row>
    <row r="381" spans="1:10" s="3" customFormat="1" x14ac:dyDescent="0.25">
      <c r="A381" s="20">
        <v>42010</v>
      </c>
      <c r="B381" s="21">
        <v>8288</v>
      </c>
      <c r="C381" s="14" t="s">
        <v>45</v>
      </c>
      <c r="D381" s="22">
        <v>29448.2</v>
      </c>
      <c r="E381" s="23">
        <v>42013</v>
      </c>
      <c r="F381" s="24">
        <v>29448.2</v>
      </c>
      <c r="G381" s="31">
        <f t="shared" si="5"/>
        <v>0</v>
      </c>
      <c r="H381" s="19" t="s">
        <v>9</v>
      </c>
      <c r="I381" s="4"/>
      <c r="J381" s="4"/>
    </row>
    <row r="382" spans="1:10" s="3" customFormat="1" x14ac:dyDescent="0.25">
      <c r="A382" s="20">
        <v>42010</v>
      </c>
      <c r="B382" s="21">
        <v>8289</v>
      </c>
      <c r="C382" s="14" t="s">
        <v>24</v>
      </c>
      <c r="D382" s="22">
        <v>16786.2</v>
      </c>
      <c r="E382" s="23">
        <v>42017</v>
      </c>
      <c r="F382" s="24">
        <v>16786.2</v>
      </c>
      <c r="G382" s="31">
        <f t="shared" si="5"/>
        <v>0</v>
      </c>
      <c r="H382" s="19" t="s">
        <v>94</v>
      </c>
      <c r="I382" s="4"/>
      <c r="J382" s="4"/>
    </row>
    <row r="383" spans="1:10" s="3" customFormat="1" x14ac:dyDescent="0.25">
      <c r="A383" s="20">
        <v>42010</v>
      </c>
      <c r="B383" s="21">
        <v>8290</v>
      </c>
      <c r="C383" s="14" t="s">
        <v>37</v>
      </c>
      <c r="D383" s="22">
        <v>52734.68</v>
      </c>
      <c r="E383" s="23">
        <v>42020</v>
      </c>
      <c r="F383" s="24">
        <v>52734.68</v>
      </c>
      <c r="G383" s="31">
        <f t="shared" si="5"/>
        <v>0</v>
      </c>
      <c r="H383" s="19" t="s">
        <v>19</v>
      </c>
      <c r="I383" s="4"/>
      <c r="J383" s="4"/>
    </row>
    <row r="384" spans="1:10" s="3" customFormat="1" x14ac:dyDescent="0.25">
      <c r="A384" s="20">
        <v>42010</v>
      </c>
      <c r="B384" s="21">
        <v>8291</v>
      </c>
      <c r="C384" s="14" t="s">
        <v>213</v>
      </c>
      <c r="D384" s="22">
        <v>6200</v>
      </c>
      <c r="E384" s="23">
        <v>42010</v>
      </c>
      <c r="F384" s="24">
        <v>6200</v>
      </c>
      <c r="G384" s="31">
        <f t="shared" si="5"/>
        <v>0</v>
      </c>
      <c r="H384" s="19" t="s">
        <v>94</v>
      </c>
      <c r="I384" s="4"/>
      <c r="J384" s="4"/>
    </row>
    <row r="385" spans="1:10" s="3" customFormat="1" x14ac:dyDescent="0.25">
      <c r="A385" s="20">
        <v>42010</v>
      </c>
      <c r="B385" s="21">
        <v>8292</v>
      </c>
      <c r="C385" s="14" t="s">
        <v>158</v>
      </c>
      <c r="D385" s="22">
        <v>2404</v>
      </c>
      <c r="E385" s="23">
        <v>42010</v>
      </c>
      <c r="F385" s="24">
        <v>2404</v>
      </c>
      <c r="G385" s="31">
        <f t="shared" si="5"/>
        <v>0</v>
      </c>
      <c r="H385" s="19" t="s">
        <v>9</v>
      </c>
      <c r="I385" s="4"/>
      <c r="J385" s="4"/>
    </row>
    <row r="386" spans="1:10" s="3" customFormat="1" x14ac:dyDescent="0.25">
      <c r="A386" s="20">
        <v>42010</v>
      </c>
      <c r="B386" s="21">
        <v>8293</v>
      </c>
      <c r="C386" s="14" t="s">
        <v>53</v>
      </c>
      <c r="D386" s="22">
        <v>860</v>
      </c>
      <c r="E386" s="23">
        <v>42010</v>
      </c>
      <c r="F386" s="24">
        <v>860</v>
      </c>
      <c r="G386" s="31">
        <f t="shared" si="5"/>
        <v>0</v>
      </c>
      <c r="H386" s="19" t="s">
        <v>59</v>
      </c>
      <c r="I386" s="4"/>
      <c r="J386" s="4"/>
    </row>
    <row r="387" spans="1:10" s="3" customFormat="1" x14ac:dyDescent="0.25">
      <c r="A387" s="20">
        <v>42010</v>
      </c>
      <c r="B387" s="21">
        <v>8294</v>
      </c>
      <c r="C387" s="14" t="s">
        <v>20</v>
      </c>
      <c r="D387" s="22">
        <v>15169.6</v>
      </c>
      <c r="E387" s="23">
        <v>42010</v>
      </c>
      <c r="F387" s="24">
        <v>15169.6</v>
      </c>
      <c r="G387" s="31">
        <f t="shared" ref="G387:G450" si="6">D387-F387</f>
        <v>0</v>
      </c>
      <c r="H387" s="19" t="s">
        <v>9</v>
      </c>
      <c r="I387" s="4"/>
      <c r="J387" s="4"/>
    </row>
    <row r="388" spans="1:10" s="3" customFormat="1" x14ac:dyDescent="0.25">
      <c r="A388" s="20">
        <v>42010</v>
      </c>
      <c r="B388" s="21">
        <v>8295</v>
      </c>
      <c r="C388" s="14" t="s">
        <v>52</v>
      </c>
      <c r="D388" s="22">
        <v>1600</v>
      </c>
      <c r="E388" s="23">
        <v>42017</v>
      </c>
      <c r="F388" s="24">
        <v>1600</v>
      </c>
      <c r="G388" s="31">
        <f t="shared" si="6"/>
        <v>0</v>
      </c>
      <c r="H388" s="19" t="s">
        <v>59</v>
      </c>
      <c r="I388" s="4"/>
      <c r="J388" s="4"/>
    </row>
    <row r="389" spans="1:10" s="3" customFormat="1" x14ac:dyDescent="0.25">
      <c r="A389" s="20">
        <v>42010</v>
      </c>
      <c r="B389" s="21">
        <v>8296</v>
      </c>
      <c r="C389" s="14" t="s">
        <v>58</v>
      </c>
      <c r="D389" s="22">
        <v>420</v>
      </c>
      <c r="E389" s="23">
        <v>42010</v>
      </c>
      <c r="F389" s="24">
        <v>420</v>
      </c>
      <c r="G389" s="31">
        <f t="shared" si="6"/>
        <v>0</v>
      </c>
      <c r="H389" s="19" t="s">
        <v>59</v>
      </c>
      <c r="I389" s="4"/>
      <c r="J389" s="4"/>
    </row>
    <row r="390" spans="1:10" s="3" customFormat="1" x14ac:dyDescent="0.25">
      <c r="A390" s="20">
        <v>42010</v>
      </c>
      <c r="B390" s="21">
        <v>8297</v>
      </c>
      <c r="C390" s="14" t="s">
        <v>214</v>
      </c>
      <c r="D390" s="22">
        <v>2860</v>
      </c>
      <c r="E390" s="23">
        <v>42010</v>
      </c>
      <c r="F390" s="24">
        <v>2860</v>
      </c>
      <c r="G390" s="31">
        <f t="shared" si="6"/>
        <v>0</v>
      </c>
      <c r="H390" s="19" t="s">
        <v>59</v>
      </c>
      <c r="I390" s="4"/>
      <c r="J390" s="4"/>
    </row>
    <row r="391" spans="1:10" s="3" customFormat="1" x14ac:dyDescent="0.25">
      <c r="A391" s="20">
        <v>42010</v>
      </c>
      <c r="B391" s="21">
        <v>8298</v>
      </c>
      <c r="C391" s="14" t="s">
        <v>114</v>
      </c>
      <c r="D391" s="22">
        <v>12503.6</v>
      </c>
      <c r="E391" s="23">
        <v>42010</v>
      </c>
      <c r="F391" s="24">
        <v>12503.6</v>
      </c>
      <c r="G391" s="31">
        <f t="shared" si="6"/>
        <v>0</v>
      </c>
      <c r="H391" s="19" t="s">
        <v>9</v>
      </c>
      <c r="I391" s="4"/>
      <c r="J391" s="28"/>
    </row>
    <row r="392" spans="1:10" s="3" customFormat="1" x14ac:dyDescent="0.25">
      <c r="A392" s="20">
        <v>42010</v>
      </c>
      <c r="B392" s="21">
        <v>8299</v>
      </c>
      <c r="C392" s="14" t="s">
        <v>215</v>
      </c>
      <c r="D392" s="22">
        <v>28336.2</v>
      </c>
      <c r="E392" s="23">
        <v>42010</v>
      </c>
      <c r="F392" s="24">
        <v>28336.2</v>
      </c>
      <c r="G392" s="31">
        <f t="shared" si="6"/>
        <v>0</v>
      </c>
      <c r="H392" s="19" t="s">
        <v>9</v>
      </c>
      <c r="I392" s="4"/>
      <c r="J392" s="4"/>
    </row>
    <row r="393" spans="1:10" s="3" customFormat="1" x14ac:dyDescent="0.25">
      <c r="A393" s="20">
        <v>42010</v>
      </c>
      <c r="B393" s="21">
        <v>8300</v>
      </c>
      <c r="C393" s="14" t="s">
        <v>51</v>
      </c>
      <c r="D393" s="22">
        <v>1200</v>
      </c>
      <c r="E393" s="23">
        <v>42020</v>
      </c>
      <c r="F393" s="24">
        <v>1200</v>
      </c>
      <c r="G393" s="31">
        <f t="shared" si="6"/>
        <v>0</v>
      </c>
      <c r="H393" s="19" t="s">
        <v>59</v>
      </c>
      <c r="I393" s="4"/>
      <c r="J393" s="4"/>
    </row>
    <row r="394" spans="1:10" s="3" customFormat="1" x14ac:dyDescent="0.25">
      <c r="A394" s="20">
        <v>42010</v>
      </c>
      <c r="B394" s="21">
        <v>8301</v>
      </c>
      <c r="C394" s="14" t="s">
        <v>64</v>
      </c>
      <c r="D394" s="22">
        <v>1823.2</v>
      </c>
      <c r="E394" s="23">
        <v>42010</v>
      </c>
      <c r="F394" s="24">
        <v>1823.2</v>
      </c>
      <c r="G394" s="31">
        <f t="shared" si="6"/>
        <v>0</v>
      </c>
      <c r="H394" s="19" t="s">
        <v>9</v>
      </c>
      <c r="I394" s="4"/>
      <c r="J394" s="4"/>
    </row>
    <row r="395" spans="1:10" s="3" customFormat="1" x14ac:dyDescent="0.25">
      <c r="A395" s="20">
        <v>42010</v>
      </c>
      <c r="B395" s="21">
        <v>8302</v>
      </c>
      <c r="C395" s="14" t="s">
        <v>110</v>
      </c>
      <c r="D395" s="22">
        <v>71461.39</v>
      </c>
      <c r="E395" s="23">
        <v>42014</v>
      </c>
      <c r="F395" s="24">
        <v>71461.39</v>
      </c>
      <c r="G395" s="31">
        <f t="shared" si="6"/>
        <v>0</v>
      </c>
      <c r="H395" s="19" t="s">
        <v>36</v>
      </c>
      <c r="I395" s="4"/>
      <c r="J395" s="4"/>
    </row>
    <row r="396" spans="1:10" s="3" customFormat="1" x14ac:dyDescent="0.25">
      <c r="A396" s="20">
        <v>42010</v>
      </c>
      <c r="B396" s="21">
        <v>8303</v>
      </c>
      <c r="C396" s="14" t="s">
        <v>40</v>
      </c>
      <c r="D396" s="22">
        <v>8000</v>
      </c>
      <c r="E396" s="23">
        <v>42017</v>
      </c>
      <c r="F396" s="24">
        <v>8000</v>
      </c>
      <c r="G396" s="31">
        <f t="shared" si="6"/>
        <v>0</v>
      </c>
      <c r="H396" s="19" t="s">
        <v>9</v>
      </c>
      <c r="I396" s="4"/>
      <c r="J396" s="46"/>
    </row>
    <row r="397" spans="1:10" s="3" customFormat="1" x14ac:dyDescent="0.25">
      <c r="A397" s="20">
        <v>42010</v>
      </c>
      <c r="B397" s="21">
        <v>8304</v>
      </c>
      <c r="C397" s="14" t="s">
        <v>14</v>
      </c>
      <c r="D397" s="22">
        <v>7164.8</v>
      </c>
      <c r="E397" s="23">
        <v>42013</v>
      </c>
      <c r="F397" s="24">
        <v>7164.8</v>
      </c>
      <c r="G397" s="31">
        <f t="shared" si="6"/>
        <v>0</v>
      </c>
      <c r="H397" s="19" t="s">
        <v>15</v>
      </c>
      <c r="I397" s="4"/>
      <c r="J397" s="4"/>
    </row>
    <row r="398" spans="1:10" s="3" customFormat="1" x14ac:dyDescent="0.25">
      <c r="A398" s="20">
        <v>42010</v>
      </c>
      <c r="B398" s="21">
        <v>8305</v>
      </c>
      <c r="C398" s="14" t="s">
        <v>50</v>
      </c>
      <c r="D398" s="22">
        <v>2160</v>
      </c>
      <c r="E398" s="23">
        <v>42010</v>
      </c>
      <c r="F398" s="24">
        <v>2160</v>
      </c>
      <c r="G398" s="31">
        <f t="shared" si="6"/>
        <v>0</v>
      </c>
      <c r="H398" s="19" t="s">
        <v>9</v>
      </c>
      <c r="I398" s="4"/>
      <c r="J398" s="4"/>
    </row>
    <row r="399" spans="1:10" s="3" customFormat="1" x14ac:dyDescent="0.25">
      <c r="A399" s="20">
        <v>42010</v>
      </c>
      <c r="B399" s="21">
        <v>8306</v>
      </c>
      <c r="C399" s="14" t="s">
        <v>87</v>
      </c>
      <c r="D399" s="22">
        <v>2401</v>
      </c>
      <c r="E399" s="29" t="s">
        <v>216</v>
      </c>
      <c r="F399" s="24">
        <f>1800+601</f>
        <v>2401</v>
      </c>
      <c r="G399" s="31">
        <f t="shared" si="6"/>
        <v>0</v>
      </c>
      <c r="H399" s="19" t="s">
        <v>9</v>
      </c>
      <c r="I399" s="4"/>
      <c r="J399" s="4"/>
    </row>
    <row r="400" spans="1:10" s="3" customFormat="1" x14ac:dyDescent="0.25">
      <c r="A400" s="20">
        <v>42010</v>
      </c>
      <c r="B400" s="21">
        <v>8307</v>
      </c>
      <c r="C400" s="14" t="s">
        <v>121</v>
      </c>
      <c r="D400" s="22">
        <v>1662.4</v>
      </c>
      <c r="E400" s="23">
        <v>42010</v>
      </c>
      <c r="F400" s="24">
        <v>1662.4</v>
      </c>
      <c r="G400" s="31">
        <f t="shared" si="6"/>
        <v>0</v>
      </c>
      <c r="H400" s="19" t="s">
        <v>9</v>
      </c>
      <c r="I400" s="4"/>
      <c r="J400" s="4"/>
    </row>
    <row r="401" spans="1:10" s="3" customFormat="1" x14ac:dyDescent="0.25">
      <c r="A401" s="20">
        <v>42010</v>
      </c>
      <c r="B401" s="21">
        <v>8308</v>
      </c>
      <c r="C401" s="14" t="s">
        <v>24</v>
      </c>
      <c r="D401" s="22">
        <v>10437</v>
      </c>
      <c r="E401" s="23">
        <v>42017</v>
      </c>
      <c r="F401" s="24">
        <v>10437</v>
      </c>
      <c r="G401" s="31">
        <f t="shared" si="6"/>
        <v>0</v>
      </c>
      <c r="H401" s="19" t="s">
        <v>46</v>
      </c>
      <c r="I401" s="4"/>
      <c r="J401" s="4"/>
    </row>
    <row r="402" spans="1:10" s="3" customFormat="1" x14ac:dyDescent="0.25">
      <c r="A402" s="20">
        <v>42010</v>
      </c>
      <c r="B402" s="21">
        <v>8309</v>
      </c>
      <c r="C402" s="14" t="s">
        <v>82</v>
      </c>
      <c r="D402" s="22">
        <v>6226.6</v>
      </c>
      <c r="E402" s="23">
        <v>42010</v>
      </c>
      <c r="F402" s="24">
        <v>6226.6</v>
      </c>
      <c r="G402" s="31">
        <f t="shared" si="6"/>
        <v>0</v>
      </c>
      <c r="H402" s="19" t="s">
        <v>59</v>
      </c>
    </row>
    <row r="403" spans="1:10" s="3" customFormat="1" x14ac:dyDescent="0.25">
      <c r="A403" s="20">
        <v>42010</v>
      </c>
      <c r="B403" s="21">
        <v>8310</v>
      </c>
      <c r="C403" s="14" t="s">
        <v>217</v>
      </c>
      <c r="D403" s="22">
        <v>1846.8</v>
      </c>
      <c r="E403" s="23">
        <v>42010</v>
      </c>
      <c r="F403" s="24">
        <v>1846.8</v>
      </c>
      <c r="G403" s="31">
        <f t="shared" si="6"/>
        <v>0</v>
      </c>
      <c r="H403" s="19" t="s">
        <v>59</v>
      </c>
    </row>
    <row r="404" spans="1:10" s="3" customFormat="1" x14ac:dyDescent="0.25">
      <c r="A404" s="20">
        <v>42010</v>
      </c>
      <c r="B404" s="21">
        <v>8311</v>
      </c>
      <c r="C404" s="26" t="s">
        <v>218</v>
      </c>
      <c r="D404" s="27">
        <v>0</v>
      </c>
      <c r="E404" s="23"/>
      <c r="F404" s="24"/>
      <c r="G404" s="31">
        <f t="shared" si="6"/>
        <v>0</v>
      </c>
      <c r="H404" s="19" t="s">
        <v>13</v>
      </c>
    </row>
    <row r="405" spans="1:10" s="3" customFormat="1" x14ac:dyDescent="0.25">
      <c r="A405" s="20">
        <v>42010</v>
      </c>
      <c r="B405" s="21">
        <v>8312</v>
      </c>
      <c r="C405" s="14" t="s">
        <v>151</v>
      </c>
      <c r="D405" s="22">
        <v>622.4</v>
      </c>
      <c r="E405" s="23">
        <v>42010</v>
      </c>
      <c r="F405" s="24">
        <v>622.4</v>
      </c>
      <c r="G405" s="31">
        <f t="shared" si="6"/>
        <v>0</v>
      </c>
      <c r="H405" s="19" t="s">
        <v>9</v>
      </c>
    </row>
    <row r="406" spans="1:10" s="3" customFormat="1" x14ac:dyDescent="0.25">
      <c r="A406" s="20">
        <v>42010</v>
      </c>
      <c r="B406" s="21">
        <v>8313</v>
      </c>
      <c r="C406" s="14" t="s">
        <v>219</v>
      </c>
      <c r="D406" s="22">
        <v>27443.06</v>
      </c>
      <c r="E406" s="23">
        <v>42011</v>
      </c>
      <c r="F406" s="24">
        <v>27443.06</v>
      </c>
      <c r="G406" s="31">
        <f t="shared" si="6"/>
        <v>0</v>
      </c>
      <c r="H406" s="19" t="s">
        <v>9</v>
      </c>
    </row>
    <row r="407" spans="1:10" s="3" customFormat="1" x14ac:dyDescent="0.25">
      <c r="A407" s="20">
        <v>42010</v>
      </c>
      <c r="B407" s="21">
        <v>8314</v>
      </c>
      <c r="C407" s="14" t="s">
        <v>151</v>
      </c>
      <c r="D407" s="22">
        <v>540</v>
      </c>
      <c r="E407" s="23">
        <v>42010</v>
      </c>
      <c r="F407" s="24">
        <v>540</v>
      </c>
      <c r="G407" s="31">
        <f t="shared" si="6"/>
        <v>0</v>
      </c>
      <c r="H407" s="19" t="s">
        <v>9</v>
      </c>
    </row>
    <row r="408" spans="1:10" s="3" customFormat="1" x14ac:dyDescent="0.25">
      <c r="A408" s="20">
        <v>42010</v>
      </c>
      <c r="B408" s="21">
        <v>8315</v>
      </c>
      <c r="C408" s="14" t="s">
        <v>115</v>
      </c>
      <c r="D408" s="22">
        <v>448</v>
      </c>
      <c r="E408" s="23">
        <v>42010</v>
      </c>
      <c r="F408" s="24">
        <v>448</v>
      </c>
      <c r="G408" s="31">
        <f t="shared" si="6"/>
        <v>0</v>
      </c>
      <c r="H408" s="19" t="s">
        <v>9</v>
      </c>
    </row>
    <row r="409" spans="1:10" s="3" customFormat="1" x14ac:dyDescent="0.25">
      <c r="A409" s="20">
        <v>42010</v>
      </c>
      <c r="B409" s="21">
        <v>8316</v>
      </c>
      <c r="C409" s="14" t="s">
        <v>131</v>
      </c>
      <c r="D409" s="22">
        <v>7906</v>
      </c>
      <c r="E409" s="23">
        <v>42011</v>
      </c>
      <c r="F409" s="24">
        <v>7906</v>
      </c>
      <c r="G409" s="31">
        <f t="shared" si="6"/>
        <v>0</v>
      </c>
      <c r="H409" s="19" t="s">
        <v>17</v>
      </c>
    </row>
    <row r="410" spans="1:10" s="3" customFormat="1" x14ac:dyDescent="0.25">
      <c r="A410" s="20">
        <v>42010</v>
      </c>
      <c r="B410" s="21">
        <v>8317</v>
      </c>
      <c r="C410" s="14" t="s">
        <v>130</v>
      </c>
      <c r="D410" s="22">
        <v>4375.3999999999996</v>
      </c>
      <c r="E410" s="29" t="s">
        <v>220</v>
      </c>
      <c r="F410" s="24">
        <f>3560.7+814.7</f>
        <v>4375.3999999999996</v>
      </c>
      <c r="G410" s="31">
        <f t="shared" si="6"/>
        <v>0</v>
      </c>
      <c r="H410" s="19" t="s">
        <v>17</v>
      </c>
    </row>
    <row r="411" spans="1:10" s="3" customFormat="1" x14ac:dyDescent="0.25">
      <c r="A411" s="20">
        <v>42010</v>
      </c>
      <c r="B411" s="21">
        <v>8318</v>
      </c>
      <c r="C411" s="14" t="s">
        <v>66</v>
      </c>
      <c r="D411" s="22">
        <v>3183.4</v>
      </c>
      <c r="E411" s="23">
        <v>42010</v>
      </c>
      <c r="F411" s="24">
        <v>3183.4</v>
      </c>
      <c r="G411" s="31">
        <f t="shared" si="6"/>
        <v>0</v>
      </c>
      <c r="H411" s="19" t="s">
        <v>9</v>
      </c>
    </row>
    <row r="412" spans="1:10" s="3" customFormat="1" x14ac:dyDescent="0.25">
      <c r="A412" s="20">
        <v>42010</v>
      </c>
      <c r="B412" s="21">
        <v>8319</v>
      </c>
      <c r="C412" s="14" t="s">
        <v>63</v>
      </c>
      <c r="D412" s="22">
        <v>1557.6</v>
      </c>
      <c r="E412" s="23">
        <v>42011</v>
      </c>
      <c r="F412" s="24">
        <v>1557.6</v>
      </c>
      <c r="G412" s="31">
        <f t="shared" si="6"/>
        <v>0</v>
      </c>
      <c r="H412" s="19" t="s">
        <v>62</v>
      </c>
    </row>
    <row r="413" spans="1:10" s="3" customFormat="1" x14ac:dyDescent="0.25">
      <c r="A413" s="20">
        <v>42010</v>
      </c>
      <c r="B413" s="21">
        <v>8320</v>
      </c>
      <c r="C413" s="14" t="s">
        <v>165</v>
      </c>
      <c r="D413" s="22">
        <v>3057.6</v>
      </c>
      <c r="E413" s="23">
        <v>42011</v>
      </c>
      <c r="F413" s="24">
        <v>3057.6</v>
      </c>
      <c r="G413" s="31">
        <f t="shared" si="6"/>
        <v>0</v>
      </c>
      <c r="H413" s="19" t="s">
        <v>17</v>
      </c>
    </row>
    <row r="414" spans="1:10" s="3" customFormat="1" x14ac:dyDescent="0.25">
      <c r="A414" s="20">
        <v>42010</v>
      </c>
      <c r="B414" s="21">
        <v>8321</v>
      </c>
      <c r="C414" s="14" t="s">
        <v>35</v>
      </c>
      <c r="D414" s="22">
        <v>27000.43</v>
      </c>
      <c r="E414" s="23">
        <v>42011</v>
      </c>
      <c r="F414" s="24">
        <v>27000.43</v>
      </c>
      <c r="G414" s="31">
        <f t="shared" si="6"/>
        <v>0</v>
      </c>
      <c r="H414" s="19" t="s">
        <v>62</v>
      </c>
    </row>
    <row r="415" spans="1:10" s="3" customFormat="1" x14ac:dyDescent="0.25">
      <c r="A415" s="20">
        <v>42010</v>
      </c>
      <c r="B415" s="21">
        <v>8322</v>
      </c>
      <c r="C415" s="14" t="s">
        <v>34</v>
      </c>
      <c r="D415" s="22">
        <v>5843.7</v>
      </c>
      <c r="E415" s="23">
        <v>42010</v>
      </c>
      <c r="F415" s="24">
        <v>5843.7</v>
      </c>
      <c r="G415" s="31">
        <f t="shared" si="6"/>
        <v>0</v>
      </c>
      <c r="H415" s="19" t="s">
        <v>9</v>
      </c>
    </row>
    <row r="416" spans="1:10" s="3" customFormat="1" x14ac:dyDescent="0.25">
      <c r="A416" s="20">
        <v>42010</v>
      </c>
      <c r="B416" s="21">
        <v>8323</v>
      </c>
      <c r="C416" s="14" t="s">
        <v>31</v>
      </c>
      <c r="D416" s="22">
        <v>2557.6</v>
      </c>
      <c r="E416" s="23">
        <v>42011</v>
      </c>
      <c r="F416" s="24">
        <v>2557.6</v>
      </c>
      <c r="G416" s="31">
        <f t="shared" si="6"/>
        <v>0</v>
      </c>
      <c r="H416" s="19" t="s">
        <v>17</v>
      </c>
    </row>
    <row r="417" spans="1:8" s="3" customFormat="1" x14ac:dyDescent="0.25">
      <c r="A417" s="20">
        <v>42010</v>
      </c>
      <c r="B417" s="21">
        <v>8324</v>
      </c>
      <c r="C417" s="14" t="s">
        <v>168</v>
      </c>
      <c r="D417" s="22">
        <v>8280</v>
      </c>
      <c r="E417" s="23">
        <v>42010</v>
      </c>
      <c r="F417" s="24">
        <v>8280</v>
      </c>
      <c r="G417" s="31">
        <f t="shared" si="6"/>
        <v>0</v>
      </c>
      <c r="H417" s="19" t="s">
        <v>59</v>
      </c>
    </row>
    <row r="418" spans="1:8" s="3" customFormat="1" x14ac:dyDescent="0.25">
      <c r="A418" s="20">
        <v>42010</v>
      </c>
      <c r="B418" s="21">
        <v>8325</v>
      </c>
      <c r="C418" s="14" t="s">
        <v>221</v>
      </c>
      <c r="D418" s="22">
        <v>1516.8</v>
      </c>
      <c r="E418" s="23">
        <v>42011</v>
      </c>
      <c r="F418" s="24">
        <v>1516.8</v>
      </c>
      <c r="G418" s="31">
        <f t="shared" si="6"/>
        <v>0</v>
      </c>
      <c r="H418" s="19" t="s">
        <v>17</v>
      </c>
    </row>
    <row r="419" spans="1:8" s="3" customFormat="1" x14ac:dyDescent="0.25">
      <c r="A419" s="20">
        <v>42010</v>
      </c>
      <c r="B419" s="21">
        <v>8326</v>
      </c>
      <c r="C419" s="14" t="s">
        <v>192</v>
      </c>
      <c r="D419" s="22">
        <v>504</v>
      </c>
      <c r="E419" s="47" t="s">
        <v>222</v>
      </c>
      <c r="F419" s="24">
        <f>2.24+501.76</f>
        <v>504</v>
      </c>
      <c r="G419" s="31">
        <f t="shared" si="6"/>
        <v>0</v>
      </c>
      <c r="H419" s="19" t="s">
        <v>17</v>
      </c>
    </row>
    <row r="420" spans="1:8" s="3" customFormat="1" x14ac:dyDescent="0.25">
      <c r="A420" s="20">
        <v>42010</v>
      </c>
      <c r="B420" s="21">
        <v>8327</v>
      </c>
      <c r="C420" s="14" t="s">
        <v>128</v>
      </c>
      <c r="D420" s="22">
        <v>3693.6</v>
      </c>
      <c r="E420" s="23">
        <v>42011</v>
      </c>
      <c r="F420" s="24">
        <v>3693.6</v>
      </c>
      <c r="G420" s="31">
        <f t="shared" si="6"/>
        <v>0</v>
      </c>
      <c r="H420" s="19" t="s">
        <v>17</v>
      </c>
    </row>
    <row r="421" spans="1:8" s="3" customFormat="1" x14ac:dyDescent="0.25">
      <c r="A421" s="20">
        <v>42010</v>
      </c>
      <c r="B421" s="21">
        <v>8328</v>
      </c>
      <c r="C421" s="14" t="s">
        <v>95</v>
      </c>
      <c r="D421" s="22">
        <v>4909.3999999999996</v>
      </c>
      <c r="E421" s="23">
        <v>42011</v>
      </c>
      <c r="F421" s="24">
        <v>4909.3999999999996</v>
      </c>
      <c r="G421" s="31">
        <f t="shared" si="6"/>
        <v>0</v>
      </c>
      <c r="H421" s="19" t="s">
        <v>94</v>
      </c>
    </row>
    <row r="422" spans="1:8" s="3" customFormat="1" x14ac:dyDescent="0.25">
      <c r="A422" s="20">
        <v>42010</v>
      </c>
      <c r="B422" s="21">
        <v>8329</v>
      </c>
      <c r="C422" s="14" t="s">
        <v>223</v>
      </c>
      <c r="D422" s="22">
        <v>1283.2</v>
      </c>
      <c r="E422" s="23">
        <v>42011</v>
      </c>
      <c r="F422" s="24">
        <v>1283.2</v>
      </c>
      <c r="G422" s="31">
        <f t="shared" si="6"/>
        <v>0</v>
      </c>
      <c r="H422" s="19" t="s">
        <v>94</v>
      </c>
    </row>
    <row r="423" spans="1:8" s="3" customFormat="1" x14ac:dyDescent="0.25">
      <c r="A423" s="20">
        <v>42010</v>
      </c>
      <c r="B423" s="21">
        <v>8330</v>
      </c>
      <c r="C423" s="14" t="s">
        <v>224</v>
      </c>
      <c r="D423" s="22">
        <v>5534.72</v>
      </c>
      <c r="E423" s="23">
        <v>42011</v>
      </c>
      <c r="F423" s="24">
        <v>5534.72</v>
      </c>
      <c r="G423" s="31">
        <f t="shared" si="6"/>
        <v>0</v>
      </c>
      <c r="H423" s="19" t="s">
        <v>94</v>
      </c>
    </row>
    <row r="424" spans="1:8" s="3" customFormat="1" x14ac:dyDescent="0.25">
      <c r="A424" s="20">
        <v>42010</v>
      </c>
      <c r="B424" s="21">
        <v>8331</v>
      </c>
      <c r="C424" s="14" t="s">
        <v>141</v>
      </c>
      <c r="D424" s="22">
        <v>4968</v>
      </c>
      <c r="E424" s="23">
        <v>42011</v>
      </c>
      <c r="F424" s="24">
        <v>4968</v>
      </c>
      <c r="G424" s="31">
        <f t="shared" si="6"/>
        <v>0</v>
      </c>
      <c r="H424" s="19" t="s">
        <v>9</v>
      </c>
    </row>
    <row r="425" spans="1:8" s="3" customFormat="1" x14ac:dyDescent="0.25">
      <c r="A425" s="20">
        <v>42010</v>
      </c>
      <c r="B425" s="21">
        <v>8332</v>
      </c>
      <c r="C425" s="14" t="s">
        <v>93</v>
      </c>
      <c r="D425" s="22">
        <v>2077.1999999999998</v>
      </c>
      <c r="E425" s="23">
        <v>42011</v>
      </c>
      <c r="F425" s="24">
        <v>2077.1999999999998</v>
      </c>
      <c r="G425" s="31">
        <f t="shared" si="6"/>
        <v>0</v>
      </c>
      <c r="H425" s="19" t="s">
        <v>62</v>
      </c>
    </row>
    <row r="426" spans="1:8" s="3" customFormat="1" x14ac:dyDescent="0.25">
      <c r="A426" s="20">
        <v>42010</v>
      </c>
      <c r="B426" s="21">
        <v>8333</v>
      </c>
      <c r="C426" s="14" t="s">
        <v>60</v>
      </c>
      <c r="D426" s="22">
        <v>6690.8</v>
      </c>
      <c r="E426" s="23">
        <v>42011</v>
      </c>
      <c r="F426" s="24">
        <v>6690.8</v>
      </c>
      <c r="G426" s="31">
        <f t="shared" si="6"/>
        <v>0</v>
      </c>
      <c r="H426" s="19" t="s">
        <v>62</v>
      </c>
    </row>
    <row r="427" spans="1:8" s="3" customFormat="1" x14ac:dyDescent="0.25">
      <c r="A427" s="20">
        <v>42010</v>
      </c>
      <c r="B427" s="21">
        <v>8334</v>
      </c>
      <c r="C427" s="14" t="s">
        <v>225</v>
      </c>
      <c r="D427" s="22">
        <v>3124.8</v>
      </c>
      <c r="E427" s="23">
        <v>42010</v>
      </c>
      <c r="F427" s="24">
        <v>3124.8</v>
      </c>
      <c r="G427" s="31">
        <f t="shared" si="6"/>
        <v>0</v>
      </c>
      <c r="H427" s="19" t="s">
        <v>9</v>
      </c>
    </row>
    <row r="428" spans="1:8" s="3" customFormat="1" x14ac:dyDescent="0.25">
      <c r="A428" s="20">
        <v>42010</v>
      </c>
      <c r="B428" s="21">
        <v>8335</v>
      </c>
      <c r="C428" s="14" t="s">
        <v>11</v>
      </c>
      <c r="D428" s="22">
        <v>400</v>
      </c>
      <c r="E428" s="23">
        <v>42010</v>
      </c>
      <c r="F428" s="24">
        <v>400</v>
      </c>
      <c r="G428" s="31">
        <f t="shared" si="6"/>
        <v>0</v>
      </c>
      <c r="H428" s="19" t="s">
        <v>9</v>
      </c>
    </row>
    <row r="429" spans="1:8" s="3" customFormat="1" x14ac:dyDescent="0.25">
      <c r="A429" s="20">
        <v>42010</v>
      </c>
      <c r="B429" s="21">
        <v>8336</v>
      </c>
      <c r="C429" s="14" t="s">
        <v>226</v>
      </c>
      <c r="D429" s="22">
        <v>1550.4</v>
      </c>
      <c r="E429" s="23">
        <v>42011</v>
      </c>
      <c r="F429" s="24">
        <v>1550.4</v>
      </c>
      <c r="G429" s="31">
        <f t="shared" si="6"/>
        <v>0</v>
      </c>
      <c r="H429" s="19" t="s">
        <v>94</v>
      </c>
    </row>
    <row r="430" spans="1:8" s="3" customFormat="1" x14ac:dyDescent="0.25">
      <c r="A430" s="20">
        <v>42010</v>
      </c>
      <c r="B430" s="21">
        <v>8337</v>
      </c>
      <c r="C430" s="14" t="s">
        <v>99</v>
      </c>
      <c r="D430" s="22">
        <v>1166.4000000000001</v>
      </c>
      <c r="E430" s="23">
        <v>42011</v>
      </c>
      <c r="F430" s="24">
        <v>1166.4000000000001</v>
      </c>
      <c r="G430" s="31">
        <f t="shared" si="6"/>
        <v>0</v>
      </c>
      <c r="H430" s="19" t="s">
        <v>94</v>
      </c>
    </row>
    <row r="431" spans="1:8" s="3" customFormat="1" x14ac:dyDescent="0.25">
      <c r="A431" s="20">
        <v>42010</v>
      </c>
      <c r="B431" s="21">
        <v>8338</v>
      </c>
      <c r="C431" s="14" t="s">
        <v>99</v>
      </c>
      <c r="D431" s="22">
        <v>281.2</v>
      </c>
      <c r="E431" s="23">
        <v>42011</v>
      </c>
      <c r="F431" s="24">
        <v>281.2</v>
      </c>
      <c r="G431" s="48">
        <f t="shared" si="6"/>
        <v>0</v>
      </c>
      <c r="H431" s="19" t="s">
        <v>94</v>
      </c>
    </row>
    <row r="432" spans="1:8" s="3" customFormat="1" x14ac:dyDescent="0.25">
      <c r="A432" s="20">
        <v>42010</v>
      </c>
      <c r="B432" s="21">
        <v>8339</v>
      </c>
      <c r="C432" s="14" t="s">
        <v>43</v>
      </c>
      <c r="D432" s="22">
        <v>16710.2</v>
      </c>
      <c r="E432" s="23">
        <v>42010</v>
      </c>
      <c r="F432" s="24">
        <v>16710.2</v>
      </c>
      <c r="G432" s="31">
        <f t="shared" si="6"/>
        <v>0</v>
      </c>
      <c r="H432" s="19" t="s">
        <v>9</v>
      </c>
    </row>
    <row r="433" spans="1:10" s="3" customFormat="1" x14ac:dyDescent="0.25">
      <c r="A433" s="20">
        <v>42010</v>
      </c>
      <c r="B433" s="21">
        <v>8340</v>
      </c>
      <c r="C433" s="26" t="s">
        <v>218</v>
      </c>
      <c r="D433" s="27">
        <v>0</v>
      </c>
      <c r="E433" s="23"/>
      <c r="F433" s="24"/>
      <c r="G433" s="31">
        <f t="shared" si="6"/>
        <v>0</v>
      </c>
      <c r="H433" s="19" t="s">
        <v>13</v>
      </c>
    </row>
    <row r="434" spans="1:10" s="3" customFormat="1" x14ac:dyDescent="0.25">
      <c r="A434" s="20">
        <v>42010</v>
      </c>
      <c r="B434" s="21">
        <v>8341</v>
      </c>
      <c r="C434" s="14" t="s">
        <v>32</v>
      </c>
      <c r="D434" s="22">
        <v>7436.8</v>
      </c>
      <c r="E434" s="23">
        <v>42035</v>
      </c>
      <c r="F434" s="24">
        <v>7436.8</v>
      </c>
      <c r="G434" s="31">
        <f t="shared" si="6"/>
        <v>0</v>
      </c>
      <c r="H434" s="19" t="s">
        <v>9</v>
      </c>
      <c r="I434" s="4"/>
      <c r="J434" s="4"/>
    </row>
    <row r="435" spans="1:10" s="3" customFormat="1" x14ac:dyDescent="0.25">
      <c r="A435" s="20">
        <v>42010</v>
      </c>
      <c r="B435" s="21">
        <v>8342</v>
      </c>
      <c r="C435" s="14" t="s">
        <v>136</v>
      </c>
      <c r="D435" s="22">
        <v>41172.199999999997</v>
      </c>
      <c r="E435" s="29" t="s">
        <v>227</v>
      </c>
      <c r="F435" s="24">
        <f>30000+11172.2</f>
        <v>41172.199999999997</v>
      </c>
      <c r="G435" s="31">
        <f t="shared" si="6"/>
        <v>0</v>
      </c>
      <c r="H435" s="19" t="s">
        <v>9</v>
      </c>
      <c r="I435" s="4"/>
      <c r="J435" s="28"/>
    </row>
    <row r="436" spans="1:10" s="3" customFormat="1" x14ac:dyDescent="0.25">
      <c r="A436" s="20">
        <v>42010</v>
      </c>
      <c r="B436" s="21">
        <v>8343</v>
      </c>
      <c r="C436" s="14" t="s">
        <v>228</v>
      </c>
      <c r="D436" s="22">
        <v>2641</v>
      </c>
      <c r="E436" s="23">
        <v>42010</v>
      </c>
      <c r="F436" s="24">
        <v>2641</v>
      </c>
      <c r="G436" s="31">
        <f t="shared" si="6"/>
        <v>0</v>
      </c>
      <c r="H436" s="19" t="s">
        <v>9</v>
      </c>
      <c r="I436" s="4"/>
      <c r="J436" s="4"/>
    </row>
    <row r="437" spans="1:10" s="3" customFormat="1" x14ac:dyDescent="0.25">
      <c r="A437" s="20">
        <v>42010</v>
      </c>
      <c r="B437" s="21">
        <v>8344</v>
      </c>
      <c r="C437" s="14" t="s">
        <v>98</v>
      </c>
      <c r="D437" s="22">
        <v>1791.2</v>
      </c>
      <c r="E437" s="23">
        <v>42011</v>
      </c>
      <c r="F437" s="24">
        <v>1791.2</v>
      </c>
      <c r="G437" s="31">
        <f t="shared" si="6"/>
        <v>0</v>
      </c>
      <c r="H437" s="19" t="s">
        <v>94</v>
      </c>
      <c r="I437" s="4"/>
      <c r="J437" s="4"/>
    </row>
    <row r="438" spans="1:10" s="3" customFormat="1" x14ac:dyDescent="0.25">
      <c r="A438" s="20">
        <v>42010</v>
      </c>
      <c r="B438" s="21">
        <v>8345</v>
      </c>
      <c r="C438" s="14" t="s">
        <v>229</v>
      </c>
      <c r="D438" s="22">
        <v>4492.72</v>
      </c>
      <c r="E438" s="23">
        <v>42011</v>
      </c>
      <c r="F438" s="24">
        <v>4492.72</v>
      </c>
      <c r="G438" s="31">
        <f t="shared" si="6"/>
        <v>0</v>
      </c>
      <c r="H438" s="19" t="s">
        <v>94</v>
      </c>
      <c r="I438" s="4"/>
      <c r="J438" s="4"/>
    </row>
    <row r="439" spans="1:10" s="3" customFormat="1" x14ac:dyDescent="0.25">
      <c r="A439" s="20">
        <v>42010</v>
      </c>
      <c r="B439" s="21">
        <v>8346</v>
      </c>
      <c r="C439" s="14" t="s">
        <v>55</v>
      </c>
      <c r="D439" s="22">
        <v>26645.78</v>
      </c>
      <c r="E439" s="23">
        <v>42010</v>
      </c>
      <c r="F439" s="24">
        <v>26645.78</v>
      </c>
      <c r="G439" s="31">
        <f t="shared" si="6"/>
        <v>0</v>
      </c>
      <c r="H439" s="19" t="s">
        <v>19</v>
      </c>
      <c r="I439" s="4"/>
      <c r="J439" s="4"/>
    </row>
    <row r="440" spans="1:10" s="3" customFormat="1" x14ac:dyDescent="0.25">
      <c r="A440" s="20">
        <v>42010</v>
      </c>
      <c r="B440" s="21">
        <v>8347</v>
      </c>
      <c r="C440" s="14" t="s">
        <v>89</v>
      </c>
      <c r="D440" s="22">
        <v>3892</v>
      </c>
      <c r="E440" s="23">
        <v>42010</v>
      </c>
      <c r="F440" s="24">
        <v>3892</v>
      </c>
      <c r="G440" s="31">
        <f t="shared" si="6"/>
        <v>0</v>
      </c>
      <c r="H440" s="19" t="s">
        <v>9</v>
      </c>
      <c r="I440" s="4"/>
      <c r="J440" s="4"/>
    </row>
    <row r="441" spans="1:10" s="3" customFormat="1" x14ac:dyDescent="0.25">
      <c r="A441" s="20">
        <v>42010</v>
      </c>
      <c r="B441" s="21">
        <v>8348</v>
      </c>
      <c r="C441" s="14" t="s">
        <v>121</v>
      </c>
      <c r="D441" s="22">
        <v>292</v>
      </c>
      <c r="E441" s="23">
        <v>42010</v>
      </c>
      <c r="F441" s="24">
        <v>292</v>
      </c>
      <c r="G441" s="31">
        <f t="shared" si="6"/>
        <v>0</v>
      </c>
      <c r="H441" s="19" t="s">
        <v>9</v>
      </c>
      <c r="I441" s="4"/>
      <c r="J441" s="4"/>
    </row>
    <row r="442" spans="1:10" s="3" customFormat="1" x14ac:dyDescent="0.25">
      <c r="A442" s="20">
        <v>42010</v>
      </c>
      <c r="B442" s="21">
        <v>8349</v>
      </c>
      <c r="C442" s="14" t="s">
        <v>102</v>
      </c>
      <c r="D442" s="22">
        <v>1238.4000000000001</v>
      </c>
      <c r="E442" s="23">
        <v>42010</v>
      </c>
      <c r="F442" s="24">
        <v>1238.4000000000001</v>
      </c>
      <c r="G442" s="31">
        <f t="shared" si="6"/>
        <v>0</v>
      </c>
      <c r="H442" s="19" t="s">
        <v>9</v>
      </c>
      <c r="I442" s="4"/>
      <c r="J442" s="4"/>
    </row>
    <row r="443" spans="1:10" s="3" customFormat="1" x14ac:dyDescent="0.25">
      <c r="A443" s="20">
        <v>42010</v>
      </c>
      <c r="B443" s="21">
        <v>8350</v>
      </c>
      <c r="C443" s="14" t="s">
        <v>230</v>
      </c>
      <c r="D443" s="22">
        <v>41781.870000000003</v>
      </c>
      <c r="E443" s="23">
        <v>42010</v>
      </c>
      <c r="F443" s="24">
        <v>41781.870000000003</v>
      </c>
      <c r="G443" s="31">
        <f t="shared" si="6"/>
        <v>0</v>
      </c>
      <c r="H443" s="19" t="s">
        <v>9</v>
      </c>
      <c r="I443" s="4"/>
      <c r="J443" s="4"/>
    </row>
    <row r="444" spans="1:10" s="3" customFormat="1" x14ac:dyDescent="0.25">
      <c r="A444" s="20">
        <v>42010</v>
      </c>
      <c r="B444" s="21">
        <v>8351</v>
      </c>
      <c r="C444" s="14" t="s">
        <v>74</v>
      </c>
      <c r="D444" s="22">
        <v>1830.8</v>
      </c>
      <c r="E444" s="23">
        <v>42010</v>
      </c>
      <c r="F444" s="24">
        <v>1830.8</v>
      </c>
      <c r="G444" s="31">
        <f t="shared" si="6"/>
        <v>0</v>
      </c>
      <c r="H444" s="19" t="s">
        <v>9</v>
      </c>
      <c r="I444" s="4"/>
      <c r="J444" s="4"/>
    </row>
    <row r="445" spans="1:10" s="3" customFormat="1" x14ac:dyDescent="0.25">
      <c r="A445" s="20">
        <v>42010</v>
      </c>
      <c r="B445" s="21">
        <v>8352</v>
      </c>
      <c r="C445" s="14" t="s">
        <v>106</v>
      </c>
      <c r="D445" s="22">
        <v>83275.490000000005</v>
      </c>
      <c r="E445" s="23">
        <v>42011</v>
      </c>
      <c r="F445" s="24">
        <v>83275.490000000005</v>
      </c>
      <c r="G445" s="31">
        <f t="shared" si="6"/>
        <v>0</v>
      </c>
      <c r="H445" s="19" t="s">
        <v>19</v>
      </c>
      <c r="I445" s="4"/>
      <c r="J445" s="4"/>
    </row>
    <row r="446" spans="1:10" s="3" customFormat="1" x14ac:dyDescent="0.25">
      <c r="A446" s="20">
        <v>42010</v>
      </c>
      <c r="B446" s="21">
        <v>8353</v>
      </c>
      <c r="C446" s="14" t="s">
        <v>91</v>
      </c>
      <c r="D446" s="22">
        <v>25751.42</v>
      </c>
      <c r="E446" s="23">
        <v>42011</v>
      </c>
      <c r="F446" s="24">
        <v>25751.42</v>
      </c>
      <c r="G446" s="31">
        <f t="shared" si="6"/>
        <v>0</v>
      </c>
      <c r="H446" s="19" t="s">
        <v>17</v>
      </c>
      <c r="I446" s="4"/>
      <c r="J446" s="4"/>
    </row>
    <row r="447" spans="1:10" s="3" customFormat="1" x14ac:dyDescent="0.25">
      <c r="A447" s="20">
        <v>42010</v>
      </c>
      <c r="B447" s="21">
        <v>8354</v>
      </c>
      <c r="C447" s="14" t="s">
        <v>126</v>
      </c>
      <c r="D447" s="22">
        <v>26027.79</v>
      </c>
      <c r="E447" s="23">
        <v>42011</v>
      </c>
      <c r="F447" s="24">
        <v>26027.79</v>
      </c>
      <c r="G447" s="31">
        <f t="shared" si="6"/>
        <v>0</v>
      </c>
      <c r="H447" s="19" t="s">
        <v>17</v>
      </c>
      <c r="I447" s="4"/>
      <c r="J447" s="4"/>
    </row>
    <row r="448" spans="1:10" s="3" customFormat="1" x14ac:dyDescent="0.25">
      <c r="A448" s="20">
        <v>42010</v>
      </c>
      <c r="B448" s="21">
        <v>8355</v>
      </c>
      <c r="C448" s="14" t="s">
        <v>108</v>
      </c>
      <c r="D448" s="22">
        <v>22898.799999999999</v>
      </c>
      <c r="E448" s="29" t="s">
        <v>231</v>
      </c>
      <c r="F448" s="24">
        <f>1324.8+21574</f>
        <v>22898.799999999999</v>
      </c>
      <c r="G448" s="31">
        <f t="shared" si="6"/>
        <v>0</v>
      </c>
      <c r="H448" s="19" t="s">
        <v>41</v>
      </c>
      <c r="I448" s="4"/>
      <c r="J448" s="4"/>
    </row>
    <row r="449" spans="1:10" s="3" customFormat="1" x14ac:dyDescent="0.25">
      <c r="A449" s="20">
        <v>42010</v>
      </c>
      <c r="B449" s="21">
        <v>8356</v>
      </c>
      <c r="C449" s="14" t="s">
        <v>132</v>
      </c>
      <c r="D449" s="22">
        <v>6520.6</v>
      </c>
      <c r="E449" s="23">
        <v>42010</v>
      </c>
      <c r="F449" s="24">
        <v>6520.6</v>
      </c>
      <c r="G449" s="31">
        <f t="shared" si="6"/>
        <v>0</v>
      </c>
      <c r="H449" s="19" t="s">
        <v>9</v>
      </c>
      <c r="I449" s="4"/>
      <c r="J449" s="4"/>
    </row>
    <row r="450" spans="1:10" s="3" customFormat="1" x14ac:dyDescent="0.25">
      <c r="A450" s="20">
        <v>42010</v>
      </c>
      <c r="B450" s="21">
        <v>8357</v>
      </c>
      <c r="C450" s="14" t="s">
        <v>232</v>
      </c>
      <c r="D450" s="22">
        <v>101712.49</v>
      </c>
      <c r="E450" s="23">
        <v>42011</v>
      </c>
      <c r="F450" s="24">
        <v>101712.49</v>
      </c>
      <c r="G450" s="31">
        <f t="shared" si="6"/>
        <v>0</v>
      </c>
      <c r="H450" s="19" t="s">
        <v>9</v>
      </c>
      <c r="I450" s="4"/>
      <c r="J450" s="4"/>
    </row>
    <row r="451" spans="1:10" s="3" customFormat="1" x14ac:dyDescent="0.25">
      <c r="A451" s="20">
        <v>42010</v>
      </c>
      <c r="B451" s="21">
        <v>8358</v>
      </c>
      <c r="C451" s="14" t="s">
        <v>233</v>
      </c>
      <c r="D451" s="22">
        <v>17740.8</v>
      </c>
      <c r="E451" s="23">
        <v>42011</v>
      </c>
      <c r="F451" s="24">
        <v>17740.8</v>
      </c>
      <c r="G451" s="31">
        <f t="shared" ref="G451:G514" si="7">D451-F451</f>
        <v>0</v>
      </c>
      <c r="H451" s="19" t="s">
        <v>19</v>
      </c>
      <c r="I451" s="4"/>
      <c r="J451" s="4"/>
    </row>
    <row r="452" spans="1:10" s="3" customFormat="1" x14ac:dyDescent="0.25">
      <c r="A452" s="20">
        <v>42010</v>
      </c>
      <c r="B452" s="21">
        <v>8359</v>
      </c>
      <c r="C452" s="14" t="s">
        <v>80</v>
      </c>
      <c r="D452" s="22">
        <v>7369.2</v>
      </c>
      <c r="E452" s="23">
        <v>42010</v>
      </c>
      <c r="F452" s="24">
        <v>7369.2</v>
      </c>
      <c r="G452" s="31">
        <f t="shared" si="7"/>
        <v>0</v>
      </c>
      <c r="H452" s="19" t="s">
        <v>9</v>
      </c>
      <c r="I452" s="4"/>
      <c r="J452" s="4"/>
    </row>
    <row r="453" spans="1:10" s="3" customFormat="1" x14ac:dyDescent="0.25">
      <c r="A453" s="20">
        <v>42010</v>
      </c>
      <c r="B453" s="21">
        <v>8360</v>
      </c>
      <c r="C453" s="14" t="s">
        <v>141</v>
      </c>
      <c r="D453" s="22">
        <v>204</v>
      </c>
      <c r="E453" s="23">
        <v>42010</v>
      </c>
      <c r="F453" s="24">
        <v>204</v>
      </c>
      <c r="G453" s="31">
        <f t="shared" si="7"/>
        <v>0</v>
      </c>
      <c r="H453" s="19" t="s">
        <v>9</v>
      </c>
      <c r="I453" s="4"/>
      <c r="J453" s="4"/>
    </row>
    <row r="454" spans="1:10" s="3" customFormat="1" x14ac:dyDescent="0.25">
      <c r="A454" s="20">
        <v>42010</v>
      </c>
      <c r="B454" s="21">
        <v>8361</v>
      </c>
      <c r="C454" s="14" t="s">
        <v>234</v>
      </c>
      <c r="D454" s="22">
        <v>336.6</v>
      </c>
      <c r="E454" s="23">
        <v>42010</v>
      </c>
      <c r="F454" s="24">
        <v>336.6</v>
      </c>
      <c r="G454" s="31">
        <f t="shared" si="7"/>
        <v>0</v>
      </c>
      <c r="H454" s="19" t="s">
        <v>9</v>
      </c>
      <c r="I454" s="4"/>
      <c r="J454" s="4"/>
    </row>
    <row r="455" spans="1:10" s="3" customFormat="1" x14ac:dyDescent="0.25">
      <c r="A455" s="20">
        <v>42010</v>
      </c>
      <c r="B455" s="21">
        <v>8362</v>
      </c>
      <c r="C455" s="14" t="s">
        <v>24</v>
      </c>
      <c r="D455" s="22">
        <v>188666</v>
      </c>
      <c r="E455" s="23">
        <v>42013</v>
      </c>
      <c r="F455" s="24">
        <v>188666</v>
      </c>
      <c r="G455" s="31">
        <f t="shared" si="7"/>
        <v>0</v>
      </c>
      <c r="H455" s="19" t="s">
        <v>46</v>
      </c>
      <c r="I455" s="4"/>
      <c r="J455" s="4"/>
    </row>
    <row r="456" spans="1:10" s="3" customFormat="1" x14ac:dyDescent="0.25">
      <c r="A456" s="20">
        <v>42011</v>
      </c>
      <c r="B456" s="21">
        <v>8363</v>
      </c>
      <c r="C456" s="14" t="s">
        <v>235</v>
      </c>
      <c r="D456" s="22">
        <v>2456.4</v>
      </c>
      <c r="E456" s="23">
        <v>42011</v>
      </c>
      <c r="F456" s="24">
        <v>2456.4</v>
      </c>
      <c r="G456" s="31">
        <f t="shared" si="7"/>
        <v>0</v>
      </c>
      <c r="H456" s="39" t="s">
        <v>17</v>
      </c>
      <c r="I456" s="4"/>
      <c r="J456" s="4"/>
    </row>
    <row r="457" spans="1:10" s="3" customFormat="1" x14ac:dyDescent="0.25">
      <c r="A457" s="20">
        <v>42011</v>
      </c>
      <c r="B457" s="21">
        <v>8364</v>
      </c>
      <c r="C457" s="14" t="s">
        <v>112</v>
      </c>
      <c r="D457" s="22">
        <v>13899.6</v>
      </c>
      <c r="E457" s="23">
        <v>42011</v>
      </c>
      <c r="F457" s="24">
        <f>13450+449.6</f>
        <v>13899.6</v>
      </c>
      <c r="G457" s="31">
        <f t="shared" si="7"/>
        <v>0</v>
      </c>
      <c r="H457" s="39" t="s">
        <v>9</v>
      </c>
      <c r="I457" s="4"/>
      <c r="J457" s="4"/>
    </row>
    <row r="458" spans="1:10" s="3" customFormat="1" x14ac:dyDescent="0.25">
      <c r="A458" s="20">
        <v>42011</v>
      </c>
      <c r="B458" s="21">
        <v>8365</v>
      </c>
      <c r="C458" s="14" t="s">
        <v>16</v>
      </c>
      <c r="D458" s="22">
        <v>6634.8</v>
      </c>
      <c r="E458" s="23">
        <v>42011</v>
      </c>
      <c r="F458" s="24">
        <v>6634.8</v>
      </c>
      <c r="G458" s="31">
        <f t="shared" si="7"/>
        <v>0</v>
      </c>
      <c r="H458" s="39" t="s">
        <v>17</v>
      </c>
      <c r="I458" s="4"/>
      <c r="J458" s="4"/>
    </row>
    <row r="459" spans="1:10" s="3" customFormat="1" x14ac:dyDescent="0.25">
      <c r="A459" s="20">
        <v>42011</v>
      </c>
      <c r="B459" s="21">
        <v>8366</v>
      </c>
      <c r="C459" s="14" t="s">
        <v>236</v>
      </c>
      <c r="D459" s="22">
        <v>35982</v>
      </c>
      <c r="E459" s="23">
        <v>42016</v>
      </c>
      <c r="F459" s="24">
        <v>35982</v>
      </c>
      <c r="G459" s="31">
        <f t="shared" si="7"/>
        <v>0</v>
      </c>
      <c r="H459" s="39" t="s">
        <v>36</v>
      </c>
      <c r="I459" s="4"/>
      <c r="J459" s="4"/>
    </row>
    <row r="460" spans="1:10" s="3" customFormat="1" x14ac:dyDescent="0.25">
      <c r="A460" s="20">
        <v>42011</v>
      </c>
      <c r="B460" s="21">
        <v>8367</v>
      </c>
      <c r="C460" s="26" t="s">
        <v>218</v>
      </c>
      <c r="D460" s="27">
        <v>0</v>
      </c>
      <c r="E460" s="23"/>
      <c r="F460" s="24"/>
      <c r="G460" s="31">
        <f t="shared" si="7"/>
        <v>0</v>
      </c>
      <c r="H460" s="39" t="s">
        <v>13</v>
      </c>
      <c r="I460" s="4"/>
      <c r="J460" s="46"/>
    </row>
    <row r="461" spans="1:10" s="3" customFormat="1" x14ac:dyDescent="0.25">
      <c r="A461" s="20">
        <v>42011</v>
      </c>
      <c r="B461" s="21">
        <v>8368</v>
      </c>
      <c r="C461" s="14" t="s">
        <v>14</v>
      </c>
      <c r="D461" s="22">
        <v>32010.6</v>
      </c>
      <c r="E461" s="23">
        <v>42016</v>
      </c>
      <c r="F461" s="24">
        <v>32010.6</v>
      </c>
      <c r="G461" s="31">
        <f t="shared" si="7"/>
        <v>0</v>
      </c>
      <c r="H461" s="39" t="s">
        <v>15</v>
      </c>
      <c r="I461" s="4"/>
      <c r="J461" s="4"/>
    </row>
    <row r="462" spans="1:10" s="3" customFormat="1" x14ac:dyDescent="0.25">
      <c r="A462" s="20">
        <v>42011</v>
      </c>
      <c r="B462" s="21">
        <v>8369</v>
      </c>
      <c r="C462" s="14" t="s">
        <v>103</v>
      </c>
      <c r="D462" s="22">
        <v>48973.26</v>
      </c>
      <c r="E462" s="23">
        <v>42012</v>
      </c>
      <c r="F462" s="24">
        <v>48973.26</v>
      </c>
      <c r="G462" s="31">
        <f t="shared" si="7"/>
        <v>0</v>
      </c>
      <c r="H462" s="39" t="s">
        <v>36</v>
      </c>
      <c r="I462" s="4"/>
      <c r="J462" s="4"/>
    </row>
    <row r="463" spans="1:10" s="3" customFormat="1" x14ac:dyDescent="0.25">
      <c r="A463" s="20">
        <v>42011</v>
      </c>
      <c r="B463" s="21">
        <v>8370</v>
      </c>
      <c r="C463" s="14" t="s">
        <v>161</v>
      </c>
      <c r="D463" s="22">
        <v>3093.75</v>
      </c>
      <c r="E463" s="23">
        <v>42011</v>
      </c>
      <c r="F463" s="24">
        <v>3093.75</v>
      </c>
      <c r="G463" s="31">
        <f t="shared" si="7"/>
        <v>0</v>
      </c>
      <c r="H463" s="39" t="s">
        <v>9</v>
      </c>
      <c r="I463" s="4"/>
      <c r="J463" s="4"/>
    </row>
    <row r="464" spans="1:10" s="3" customFormat="1" x14ac:dyDescent="0.25">
      <c r="A464" s="20">
        <v>42011</v>
      </c>
      <c r="B464" s="21">
        <v>8371</v>
      </c>
      <c r="C464" s="14" t="s">
        <v>148</v>
      </c>
      <c r="D464" s="22">
        <v>3919.2</v>
      </c>
      <c r="E464" s="23">
        <v>42011</v>
      </c>
      <c r="F464" s="24">
        <v>3919.2</v>
      </c>
      <c r="G464" s="31">
        <f t="shared" si="7"/>
        <v>0</v>
      </c>
      <c r="H464" s="39" t="s">
        <v>9</v>
      </c>
      <c r="I464" s="4"/>
      <c r="J464" s="4"/>
    </row>
    <row r="465" spans="1:10" s="3" customFormat="1" x14ac:dyDescent="0.25">
      <c r="A465" s="20">
        <v>42011</v>
      </c>
      <c r="B465" s="21">
        <v>8372</v>
      </c>
      <c r="C465" s="14" t="s">
        <v>20</v>
      </c>
      <c r="D465" s="22">
        <v>21600</v>
      </c>
      <c r="E465" s="23">
        <v>42011</v>
      </c>
      <c r="F465" s="24">
        <v>21600</v>
      </c>
      <c r="G465" s="31">
        <f t="shared" si="7"/>
        <v>0</v>
      </c>
      <c r="H465" s="39" t="s">
        <v>9</v>
      </c>
      <c r="I465" s="4"/>
      <c r="J465" s="4"/>
    </row>
    <row r="466" spans="1:10" s="3" customFormat="1" x14ac:dyDescent="0.25">
      <c r="A466" s="20">
        <v>42011</v>
      </c>
      <c r="B466" s="21">
        <v>8373</v>
      </c>
      <c r="C466" s="14" t="s">
        <v>158</v>
      </c>
      <c r="D466" s="22">
        <v>2724</v>
      </c>
      <c r="E466" s="23">
        <v>42011</v>
      </c>
      <c r="F466" s="24">
        <v>2724</v>
      </c>
      <c r="G466" s="31">
        <f t="shared" si="7"/>
        <v>0</v>
      </c>
      <c r="H466" s="39" t="s">
        <v>9</v>
      </c>
    </row>
    <row r="467" spans="1:10" s="3" customFormat="1" x14ac:dyDescent="0.25">
      <c r="A467" s="20">
        <v>42011</v>
      </c>
      <c r="B467" s="21">
        <v>8374</v>
      </c>
      <c r="C467" s="14" t="s">
        <v>121</v>
      </c>
      <c r="D467" s="22">
        <v>2792.4</v>
      </c>
      <c r="E467" s="23">
        <v>42011</v>
      </c>
      <c r="F467" s="24">
        <v>2792.4</v>
      </c>
      <c r="G467" s="31">
        <f t="shared" si="7"/>
        <v>0</v>
      </c>
      <c r="H467" s="39" t="s">
        <v>9</v>
      </c>
    </row>
    <row r="468" spans="1:10" s="3" customFormat="1" x14ac:dyDescent="0.25">
      <c r="A468" s="20">
        <v>42011</v>
      </c>
      <c r="B468" s="21">
        <v>8375</v>
      </c>
      <c r="C468" s="14" t="s">
        <v>26</v>
      </c>
      <c r="D468" s="22">
        <v>1788</v>
      </c>
      <c r="E468" s="23">
        <v>42011</v>
      </c>
      <c r="F468" s="24">
        <v>1788</v>
      </c>
      <c r="G468" s="31">
        <f t="shared" si="7"/>
        <v>0</v>
      </c>
      <c r="H468" s="39" t="s">
        <v>27</v>
      </c>
    </row>
    <row r="469" spans="1:10" s="3" customFormat="1" x14ac:dyDescent="0.25">
      <c r="A469" s="20">
        <v>42011</v>
      </c>
      <c r="B469" s="21">
        <v>8376</v>
      </c>
      <c r="C469" s="14" t="s">
        <v>89</v>
      </c>
      <c r="D469" s="22">
        <v>3992.8</v>
      </c>
      <c r="E469" s="23">
        <v>42011</v>
      </c>
      <c r="F469" s="24">
        <v>3992.8</v>
      </c>
      <c r="G469" s="31">
        <f t="shared" si="7"/>
        <v>0</v>
      </c>
      <c r="H469" s="39" t="s">
        <v>19</v>
      </c>
    </row>
    <row r="470" spans="1:10" s="3" customFormat="1" x14ac:dyDescent="0.25">
      <c r="A470" s="20">
        <v>42011</v>
      </c>
      <c r="B470" s="21">
        <v>8377</v>
      </c>
      <c r="C470" s="14" t="s">
        <v>40</v>
      </c>
      <c r="D470" s="22">
        <v>2800</v>
      </c>
      <c r="E470" s="23">
        <v>42017</v>
      </c>
      <c r="F470" s="24">
        <v>2800</v>
      </c>
      <c r="G470" s="31">
        <f t="shared" si="7"/>
        <v>0</v>
      </c>
      <c r="H470" s="39" t="s">
        <v>19</v>
      </c>
    </row>
    <row r="471" spans="1:10" s="3" customFormat="1" x14ac:dyDescent="0.25">
      <c r="A471" s="20">
        <v>42011</v>
      </c>
      <c r="B471" s="21">
        <v>8378</v>
      </c>
      <c r="C471" s="14" t="s">
        <v>49</v>
      </c>
      <c r="D471" s="22">
        <v>1651.2</v>
      </c>
      <c r="E471" s="23">
        <v>42011</v>
      </c>
      <c r="F471" s="24">
        <v>1651.2</v>
      </c>
      <c r="G471" s="31">
        <f t="shared" si="7"/>
        <v>0</v>
      </c>
      <c r="H471" s="39" t="s">
        <v>19</v>
      </c>
    </row>
    <row r="472" spans="1:10" s="3" customFormat="1" x14ac:dyDescent="0.25">
      <c r="A472" s="20">
        <v>42011</v>
      </c>
      <c r="B472" s="21">
        <v>8379</v>
      </c>
      <c r="C472" s="14" t="s">
        <v>122</v>
      </c>
      <c r="D472" s="22">
        <v>15766.4</v>
      </c>
      <c r="E472" s="23">
        <v>42011</v>
      </c>
      <c r="F472" s="24">
        <v>15766.4</v>
      </c>
      <c r="G472" s="31">
        <f t="shared" si="7"/>
        <v>0</v>
      </c>
      <c r="H472" s="39" t="s">
        <v>9</v>
      </c>
    </row>
    <row r="473" spans="1:10" s="3" customFormat="1" x14ac:dyDescent="0.25">
      <c r="A473" s="20">
        <v>42011</v>
      </c>
      <c r="B473" s="21">
        <v>8380</v>
      </c>
      <c r="C473" s="14" t="s">
        <v>157</v>
      </c>
      <c r="D473" s="22">
        <v>4533.2</v>
      </c>
      <c r="E473" s="23">
        <v>42011</v>
      </c>
      <c r="F473" s="24">
        <v>4533.2</v>
      </c>
      <c r="G473" s="31">
        <f t="shared" si="7"/>
        <v>0</v>
      </c>
      <c r="H473" s="39" t="s">
        <v>9</v>
      </c>
    </row>
    <row r="474" spans="1:10" s="3" customFormat="1" x14ac:dyDescent="0.25">
      <c r="A474" s="20">
        <v>42011</v>
      </c>
      <c r="B474" s="21">
        <v>8381</v>
      </c>
      <c r="C474" s="14" t="s">
        <v>22</v>
      </c>
      <c r="D474" s="22">
        <v>4020.8</v>
      </c>
      <c r="E474" s="23">
        <v>42011</v>
      </c>
      <c r="F474" s="24">
        <v>4020.8</v>
      </c>
      <c r="G474" s="31">
        <f t="shared" si="7"/>
        <v>0</v>
      </c>
      <c r="H474" s="39" t="s">
        <v>9</v>
      </c>
    </row>
    <row r="475" spans="1:10" s="3" customFormat="1" x14ac:dyDescent="0.25">
      <c r="A475" s="20">
        <v>42011</v>
      </c>
      <c r="B475" s="21">
        <v>8382</v>
      </c>
      <c r="C475" s="14" t="s">
        <v>215</v>
      </c>
      <c r="D475" s="22">
        <v>14659.2</v>
      </c>
      <c r="E475" s="23">
        <v>42011</v>
      </c>
      <c r="F475" s="24">
        <v>14659.2</v>
      </c>
      <c r="G475" s="31">
        <f t="shared" si="7"/>
        <v>0</v>
      </c>
      <c r="H475" s="39" t="s">
        <v>9</v>
      </c>
    </row>
    <row r="476" spans="1:10" s="3" customFormat="1" x14ac:dyDescent="0.25">
      <c r="A476" s="20">
        <v>42011</v>
      </c>
      <c r="B476" s="21">
        <v>8383</v>
      </c>
      <c r="C476" s="14" t="s">
        <v>237</v>
      </c>
      <c r="D476" s="22">
        <v>370</v>
      </c>
      <c r="E476" s="23">
        <v>42011</v>
      </c>
      <c r="F476" s="24">
        <v>370</v>
      </c>
      <c r="G476" s="31">
        <f t="shared" si="7"/>
        <v>0</v>
      </c>
      <c r="H476" s="39" t="s">
        <v>9</v>
      </c>
    </row>
    <row r="477" spans="1:10" s="3" customFormat="1" x14ac:dyDescent="0.25">
      <c r="A477" s="20">
        <v>42011</v>
      </c>
      <c r="B477" s="21">
        <v>8384</v>
      </c>
      <c r="C477" s="14" t="s">
        <v>45</v>
      </c>
      <c r="D477" s="22">
        <v>75593.81</v>
      </c>
      <c r="E477" s="23">
        <v>42025</v>
      </c>
      <c r="F477" s="24">
        <v>75593.81</v>
      </c>
      <c r="G477" s="31">
        <f t="shared" si="7"/>
        <v>0</v>
      </c>
      <c r="H477" s="39" t="s">
        <v>183</v>
      </c>
    </row>
    <row r="478" spans="1:10" s="3" customFormat="1" x14ac:dyDescent="0.25">
      <c r="A478" s="20">
        <v>42011</v>
      </c>
      <c r="B478" s="21">
        <v>8385</v>
      </c>
      <c r="C478" s="14" t="s">
        <v>14</v>
      </c>
      <c r="D478" s="22">
        <v>100598.97</v>
      </c>
      <c r="E478" s="23">
        <v>42016</v>
      </c>
      <c r="F478" s="24">
        <v>100598.97</v>
      </c>
      <c r="G478" s="31">
        <f t="shared" si="7"/>
        <v>0</v>
      </c>
      <c r="H478" s="39" t="s">
        <v>46</v>
      </c>
    </row>
    <row r="479" spans="1:10" s="3" customFormat="1" x14ac:dyDescent="0.25">
      <c r="A479" s="20">
        <v>42011</v>
      </c>
      <c r="B479" s="21">
        <v>8386</v>
      </c>
      <c r="C479" s="14" t="s">
        <v>135</v>
      </c>
      <c r="D479" s="22">
        <v>2373.6</v>
      </c>
      <c r="E479" s="23">
        <v>42011</v>
      </c>
      <c r="F479" s="24">
        <v>2373.6</v>
      </c>
      <c r="G479" s="31">
        <f t="shared" si="7"/>
        <v>0</v>
      </c>
      <c r="H479" s="39" t="s">
        <v>9</v>
      </c>
    </row>
    <row r="480" spans="1:10" s="3" customFormat="1" x14ac:dyDescent="0.25">
      <c r="A480" s="20">
        <v>42011</v>
      </c>
      <c r="B480" s="21">
        <v>8387</v>
      </c>
      <c r="C480" s="14" t="s">
        <v>152</v>
      </c>
      <c r="D480" s="22">
        <v>4790.2</v>
      </c>
      <c r="E480" s="23">
        <v>42011</v>
      </c>
      <c r="F480" s="24">
        <v>4790.2</v>
      </c>
      <c r="G480" s="31">
        <f t="shared" si="7"/>
        <v>0</v>
      </c>
      <c r="H480" s="39" t="s">
        <v>19</v>
      </c>
    </row>
    <row r="481" spans="1:10" s="3" customFormat="1" x14ac:dyDescent="0.25">
      <c r="A481" s="20">
        <v>42011</v>
      </c>
      <c r="B481" s="21">
        <v>8388</v>
      </c>
      <c r="C481" s="14" t="s">
        <v>238</v>
      </c>
      <c r="D481" s="22">
        <v>320</v>
      </c>
      <c r="E481" s="23">
        <v>42012</v>
      </c>
      <c r="F481" s="24">
        <v>320</v>
      </c>
      <c r="G481" s="31">
        <f t="shared" si="7"/>
        <v>0</v>
      </c>
      <c r="H481" s="39" t="s">
        <v>19</v>
      </c>
    </row>
    <row r="482" spans="1:10" s="3" customFormat="1" x14ac:dyDescent="0.25">
      <c r="A482" s="20">
        <v>42011</v>
      </c>
      <c r="B482" s="21">
        <v>8389</v>
      </c>
      <c r="C482" s="14" t="s">
        <v>82</v>
      </c>
      <c r="D482" s="22">
        <v>2957</v>
      </c>
      <c r="E482" s="23">
        <v>42011</v>
      </c>
      <c r="F482" s="24">
        <v>2957</v>
      </c>
      <c r="G482" s="31">
        <f t="shared" si="7"/>
        <v>0</v>
      </c>
      <c r="H482" s="39" t="s">
        <v>19</v>
      </c>
      <c r="I482" s="4"/>
      <c r="J482" s="4"/>
    </row>
    <row r="483" spans="1:10" s="3" customFormat="1" x14ac:dyDescent="0.25">
      <c r="A483" s="20">
        <v>42011</v>
      </c>
      <c r="B483" s="21">
        <v>8390</v>
      </c>
      <c r="C483" s="14" t="s">
        <v>81</v>
      </c>
      <c r="D483" s="22">
        <v>1386</v>
      </c>
      <c r="E483" s="23">
        <v>42011</v>
      </c>
      <c r="F483" s="24">
        <v>1386</v>
      </c>
      <c r="G483" s="31">
        <f t="shared" si="7"/>
        <v>0</v>
      </c>
      <c r="H483" s="39" t="s">
        <v>19</v>
      </c>
      <c r="I483" s="4"/>
      <c r="J483" s="4"/>
    </row>
    <row r="484" spans="1:10" s="3" customFormat="1" x14ac:dyDescent="0.25">
      <c r="A484" s="20">
        <v>42011</v>
      </c>
      <c r="B484" s="21">
        <v>8391</v>
      </c>
      <c r="C484" s="14" t="s">
        <v>31</v>
      </c>
      <c r="D484" s="22">
        <v>2519.1999999999998</v>
      </c>
      <c r="E484" s="23">
        <v>42011</v>
      </c>
      <c r="F484" s="24">
        <v>2519.1999999999998</v>
      </c>
      <c r="G484" s="31">
        <f t="shared" si="7"/>
        <v>0</v>
      </c>
      <c r="H484" s="39" t="s">
        <v>19</v>
      </c>
      <c r="I484" s="4"/>
      <c r="J484" s="4"/>
    </row>
    <row r="485" spans="1:10" s="3" customFormat="1" x14ac:dyDescent="0.25">
      <c r="A485" s="20">
        <v>42011</v>
      </c>
      <c r="B485" s="21">
        <v>8392</v>
      </c>
      <c r="C485" s="14" t="s">
        <v>30</v>
      </c>
      <c r="D485" s="22">
        <v>5187</v>
      </c>
      <c r="E485" s="23">
        <v>42011</v>
      </c>
      <c r="F485" s="24">
        <v>5187</v>
      </c>
      <c r="G485" s="31">
        <f t="shared" si="7"/>
        <v>0</v>
      </c>
      <c r="H485" s="39" t="s">
        <v>9</v>
      </c>
      <c r="I485" s="4"/>
      <c r="J485" s="4"/>
    </row>
    <row r="486" spans="1:10" s="3" customFormat="1" x14ac:dyDescent="0.25">
      <c r="A486" s="20">
        <v>42011</v>
      </c>
      <c r="B486" s="21">
        <v>8393</v>
      </c>
      <c r="C486" s="14" t="s">
        <v>118</v>
      </c>
      <c r="D486" s="22">
        <v>18086.8</v>
      </c>
      <c r="E486" s="23">
        <v>42012</v>
      </c>
      <c r="F486" s="24">
        <v>18086.8</v>
      </c>
      <c r="G486" s="31">
        <f t="shared" si="7"/>
        <v>0</v>
      </c>
      <c r="H486" s="39" t="s">
        <v>9</v>
      </c>
      <c r="I486" s="4"/>
      <c r="J486" s="4"/>
    </row>
    <row r="487" spans="1:10" s="3" customFormat="1" x14ac:dyDescent="0.25">
      <c r="A487" s="20">
        <v>42011</v>
      </c>
      <c r="B487" s="21">
        <v>8394</v>
      </c>
      <c r="C487" s="14" t="s">
        <v>118</v>
      </c>
      <c r="D487" s="22">
        <v>600</v>
      </c>
      <c r="E487" s="23">
        <v>42012</v>
      </c>
      <c r="F487" s="24">
        <v>600</v>
      </c>
      <c r="G487" s="31">
        <f t="shared" si="7"/>
        <v>0</v>
      </c>
      <c r="H487" s="39" t="s">
        <v>59</v>
      </c>
      <c r="I487" s="4"/>
      <c r="J487" s="4"/>
    </row>
    <row r="488" spans="1:10" s="3" customFormat="1" x14ac:dyDescent="0.25">
      <c r="A488" s="20">
        <v>42011</v>
      </c>
      <c r="B488" s="21">
        <v>8395</v>
      </c>
      <c r="C488" s="14" t="s">
        <v>52</v>
      </c>
      <c r="D488" s="22">
        <v>1600</v>
      </c>
      <c r="E488" s="23">
        <v>42017</v>
      </c>
      <c r="F488" s="24">
        <v>1600</v>
      </c>
      <c r="G488" s="31">
        <f t="shared" si="7"/>
        <v>0</v>
      </c>
      <c r="H488" s="39" t="s">
        <v>94</v>
      </c>
      <c r="I488" s="4"/>
      <c r="J488" s="4"/>
    </row>
    <row r="489" spans="1:10" s="3" customFormat="1" x14ac:dyDescent="0.25">
      <c r="A489" s="20">
        <v>42011</v>
      </c>
      <c r="B489" s="21">
        <v>8396</v>
      </c>
      <c r="C489" s="14" t="s">
        <v>51</v>
      </c>
      <c r="D489" s="22">
        <v>1200</v>
      </c>
      <c r="E489" s="23">
        <v>42017</v>
      </c>
      <c r="F489" s="24">
        <v>1200</v>
      </c>
      <c r="G489" s="31">
        <f t="shared" si="7"/>
        <v>0</v>
      </c>
      <c r="H489" s="39" t="s">
        <v>19</v>
      </c>
      <c r="I489" s="4"/>
      <c r="J489" s="4"/>
    </row>
    <row r="490" spans="1:10" s="3" customFormat="1" x14ac:dyDescent="0.25">
      <c r="A490" s="20">
        <v>42011</v>
      </c>
      <c r="B490" s="21">
        <v>8397</v>
      </c>
      <c r="C490" s="14" t="s">
        <v>214</v>
      </c>
      <c r="D490" s="22">
        <v>1505</v>
      </c>
      <c r="E490" s="23">
        <v>42011</v>
      </c>
      <c r="F490" s="24">
        <v>1505</v>
      </c>
      <c r="G490" s="31">
        <f t="shared" si="7"/>
        <v>0</v>
      </c>
      <c r="H490" s="39" t="s">
        <v>59</v>
      </c>
      <c r="I490" s="4"/>
      <c r="J490" s="4"/>
    </row>
    <row r="491" spans="1:10" s="3" customFormat="1" x14ac:dyDescent="0.25">
      <c r="A491" s="20">
        <v>42011</v>
      </c>
      <c r="B491" s="21">
        <v>8398</v>
      </c>
      <c r="C491" s="14" t="s">
        <v>58</v>
      </c>
      <c r="D491" s="22">
        <v>420</v>
      </c>
      <c r="E491" s="23">
        <v>42011</v>
      </c>
      <c r="F491" s="24">
        <v>420</v>
      </c>
      <c r="G491" s="31">
        <f t="shared" si="7"/>
        <v>0</v>
      </c>
      <c r="H491" s="39" t="s">
        <v>59</v>
      </c>
      <c r="I491" s="4"/>
      <c r="J491" s="4"/>
    </row>
    <row r="492" spans="1:10" s="3" customFormat="1" x14ac:dyDescent="0.25">
      <c r="A492" s="20">
        <v>42011</v>
      </c>
      <c r="B492" s="21">
        <v>8399</v>
      </c>
      <c r="C492" s="14" t="s">
        <v>53</v>
      </c>
      <c r="D492" s="22">
        <v>1290</v>
      </c>
      <c r="E492" s="23">
        <v>42011</v>
      </c>
      <c r="F492" s="24">
        <v>1290</v>
      </c>
      <c r="G492" s="31">
        <f t="shared" si="7"/>
        <v>0</v>
      </c>
      <c r="H492" s="39" t="s">
        <v>59</v>
      </c>
      <c r="I492" s="4"/>
      <c r="J492" s="4"/>
    </row>
    <row r="493" spans="1:10" s="3" customFormat="1" x14ac:dyDescent="0.25">
      <c r="A493" s="20">
        <v>42011</v>
      </c>
      <c r="B493" s="21">
        <v>8400</v>
      </c>
      <c r="C493" s="14" t="s">
        <v>57</v>
      </c>
      <c r="D493" s="22">
        <v>1505</v>
      </c>
      <c r="E493" s="23">
        <v>42011</v>
      </c>
      <c r="F493" s="24">
        <v>1505</v>
      </c>
      <c r="G493" s="31">
        <f t="shared" si="7"/>
        <v>0</v>
      </c>
      <c r="H493" s="39" t="s">
        <v>59</v>
      </c>
      <c r="I493" s="4"/>
      <c r="J493" s="4"/>
    </row>
    <row r="494" spans="1:10" s="3" customFormat="1" x14ac:dyDescent="0.25">
      <c r="A494" s="20">
        <v>42011</v>
      </c>
      <c r="B494" s="21">
        <v>8401</v>
      </c>
      <c r="C494" s="14" t="s">
        <v>125</v>
      </c>
      <c r="D494" s="22">
        <v>24739.33</v>
      </c>
      <c r="E494" s="23">
        <v>42011</v>
      </c>
      <c r="F494" s="24">
        <v>24739.33</v>
      </c>
      <c r="G494" s="31">
        <f t="shared" si="7"/>
        <v>0</v>
      </c>
      <c r="H494" s="39" t="s">
        <v>9</v>
      </c>
      <c r="I494" s="4"/>
      <c r="J494" s="4"/>
    </row>
    <row r="495" spans="1:10" s="3" customFormat="1" x14ac:dyDescent="0.25">
      <c r="A495" s="20">
        <v>42011</v>
      </c>
      <c r="B495" s="21">
        <v>8402</v>
      </c>
      <c r="C495" s="14" t="s">
        <v>120</v>
      </c>
      <c r="D495" s="22">
        <v>2511.6</v>
      </c>
      <c r="E495" s="23">
        <v>42011</v>
      </c>
      <c r="F495" s="24">
        <v>2511.6</v>
      </c>
      <c r="G495" s="31">
        <f t="shared" si="7"/>
        <v>0</v>
      </c>
      <c r="H495" s="39" t="s">
        <v>59</v>
      </c>
      <c r="I495" s="4"/>
      <c r="J495" s="28"/>
    </row>
    <row r="496" spans="1:10" s="3" customFormat="1" x14ac:dyDescent="0.25">
      <c r="A496" s="20">
        <v>42011</v>
      </c>
      <c r="B496" s="21">
        <v>8403</v>
      </c>
      <c r="C496" s="14" t="s">
        <v>239</v>
      </c>
      <c r="D496" s="22">
        <v>1084</v>
      </c>
      <c r="E496" s="23">
        <v>42011</v>
      </c>
      <c r="F496" s="24">
        <v>1084</v>
      </c>
      <c r="G496" s="31">
        <f t="shared" si="7"/>
        <v>0</v>
      </c>
      <c r="H496" s="39" t="s">
        <v>9</v>
      </c>
      <c r="I496" s="4"/>
      <c r="J496" s="28"/>
    </row>
    <row r="497" spans="1:10" s="3" customFormat="1" x14ac:dyDescent="0.25">
      <c r="A497" s="20">
        <v>42011</v>
      </c>
      <c r="B497" s="21">
        <v>8404</v>
      </c>
      <c r="C497" s="14" t="s">
        <v>131</v>
      </c>
      <c r="D497" s="22">
        <v>4937.3999999999996</v>
      </c>
      <c r="E497" s="23">
        <v>42012</v>
      </c>
      <c r="F497" s="24">
        <v>4937.3999999999996</v>
      </c>
      <c r="G497" s="31">
        <f t="shared" si="7"/>
        <v>0</v>
      </c>
      <c r="H497" s="39" t="s">
        <v>17</v>
      </c>
      <c r="I497" s="4"/>
      <c r="J497" s="4"/>
    </row>
    <row r="498" spans="1:10" s="3" customFormat="1" x14ac:dyDescent="0.25">
      <c r="A498" s="20">
        <v>42011</v>
      </c>
      <c r="B498" s="21">
        <v>8405</v>
      </c>
      <c r="C498" s="14" t="s">
        <v>34</v>
      </c>
      <c r="D498" s="22">
        <v>4110.8</v>
      </c>
      <c r="E498" s="23">
        <v>42011</v>
      </c>
      <c r="F498" s="24">
        <v>4110.8</v>
      </c>
      <c r="G498" s="31">
        <f t="shared" si="7"/>
        <v>0</v>
      </c>
      <c r="H498" s="39" t="s">
        <v>9</v>
      </c>
      <c r="I498" s="4"/>
      <c r="J498" s="4"/>
    </row>
    <row r="499" spans="1:10" s="3" customFormat="1" x14ac:dyDescent="0.25">
      <c r="A499" s="20">
        <v>42011</v>
      </c>
      <c r="B499" s="21">
        <v>8406</v>
      </c>
      <c r="C499" s="14" t="s">
        <v>131</v>
      </c>
      <c r="D499" s="22">
        <v>3968</v>
      </c>
      <c r="E499" s="23">
        <v>42012</v>
      </c>
      <c r="F499" s="24">
        <v>3968</v>
      </c>
      <c r="G499" s="31">
        <f t="shared" si="7"/>
        <v>0</v>
      </c>
      <c r="H499" s="39" t="s">
        <v>17</v>
      </c>
      <c r="I499" s="4"/>
      <c r="J499" s="4"/>
    </row>
    <row r="500" spans="1:10" s="3" customFormat="1" x14ac:dyDescent="0.25">
      <c r="A500" s="20">
        <v>42011</v>
      </c>
      <c r="B500" s="21">
        <v>8407</v>
      </c>
      <c r="C500" s="14" t="s">
        <v>130</v>
      </c>
      <c r="D500" s="22">
        <v>8501.2000000000007</v>
      </c>
      <c r="E500" s="23" t="s">
        <v>240</v>
      </c>
      <c r="F500" s="24">
        <f>2157.9+6343.3</f>
        <v>8501.2000000000007</v>
      </c>
      <c r="G500" s="31">
        <f t="shared" si="7"/>
        <v>0</v>
      </c>
      <c r="H500" s="39" t="s">
        <v>17</v>
      </c>
      <c r="I500" s="4"/>
      <c r="J500" s="4"/>
    </row>
    <row r="501" spans="1:10" s="3" customFormat="1" x14ac:dyDescent="0.25">
      <c r="A501" s="20">
        <v>42011</v>
      </c>
      <c r="B501" s="21">
        <v>8408</v>
      </c>
      <c r="C501" s="14" t="s">
        <v>143</v>
      </c>
      <c r="D501" s="22">
        <v>1419</v>
      </c>
      <c r="E501" s="23">
        <v>42013</v>
      </c>
      <c r="F501" s="24">
        <v>1419</v>
      </c>
      <c r="G501" s="31">
        <f t="shared" si="7"/>
        <v>0</v>
      </c>
      <c r="H501" s="39" t="s">
        <v>17</v>
      </c>
      <c r="I501" s="4"/>
      <c r="J501" s="4"/>
    </row>
    <row r="502" spans="1:10" s="3" customFormat="1" x14ac:dyDescent="0.25">
      <c r="A502" s="20">
        <v>42011</v>
      </c>
      <c r="B502" s="21">
        <v>8409</v>
      </c>
      <c r="C502" s="14" t="s">
        <v>165</v>
      </c>
      <c r="D502" s="22">
        <v>3085.6</v>
      </c>
      <c r="E502" s="23">
        <v>42011</v>
      </c>
      <c r="F502" s="24">
        <v>3085.6</v>
      </c>
      <c r="G502" s="31">
        <f t="shared" si="7"/>
        <v>0</v>
      </c>
      <c r="H502" s="39" t="s">
        <v>17</v>
      </c>
      <c r="I502" s="4"/>
      <c r="J502" s="4"/>
    </row>
    <row r="503" spans="1:10" s="3" customFormat="1" x14ac:dyDescent="0.25">
      <c r="A503" s="20">
        <v>42011</v>
      </c>
      <c r="B503" s="21">
        <v>8410</v>
      </c>
      <c r="C503" s="14" t="s">
        <v>35</v>
      </c>
      <c r="D503" s="22">
        <v>26704.65</v>
      </c>
      <c r="E503" s="23">
        <v>42011</v>
      </c>
      <c r="F503" s="24">
        <f>450+26254.65</f>
        <v>26704.65</v>
      </c>
      <c r="G503" s="31">
        <f t="shared" si="7"/>
        <v>0</v>
      </c>
      <c r="H503" s="39" t="s">
        <v>94</v>
      </c>
      <c r="I503" s="4"/>
      <c r="J503" s="4"/>
    </row>
    <row r="504" spans="1:10" s="3" customFormat="1" x14ac:dyDescent="0.25">
      <c r="A504" s="20">
        <v>42011</v>
      </c>
      <c r="B504" s="21">
        <v>8411</v>
      </c>
      <c r="C504" s="14" t="s">
        <v>123</v>
      </c>
      <c r="D504" s="22">
        <v>1920</v>
      </c>
      <c r="E504" s="23">
        <v>42011</v>
      </c>
      <c r="F504" s="24">
        <v>1920</v>
      </c>
      <c r="G504" s="31">
        <f t="shared" si="7"/>
        <v>0</v>
      </c>
      <c r="H504" s="39" t="s">
        <v>94</v>
      </c>
      <c r="I504" s="4"/>
      <c r="J504" s="28"/>
    </row>
    <row r="505" spans="1:10" s="3" customFormat="1" x14ac:dyDescent="0.25">
      <c r="A505" s="20">
        <v>42011</v>
      </c>
      <c r="B505" s="21">
        <v>8412</v>
      </c>
      <c r="C505" s="14" t="s">
        <v>63</v>
      </c>
      <c r="D505" s="22">
        <v>1476</v>
      </c>
      <c r="E505" s="23">
        <v>42011</v>
      </c>
      <c r="F505" s="24">
        <v>1476</v>
      </c>
      <c r="G505" s="31">
        <f t="shared" si="7"/>
        <v>0</v>
      </c>
      <c r="H505" s="39" t="s">
        <v>46</v>
      </c>
      <c r="I505" s="4"/>
      <c r="J505" s="4"/>
    </row>
    <row r="506" spans="1:10" s="3" customFormat="1" x14ac:dyDescent="0.25">
      <c r="A506" s="20">
        <v>42011</v>
      </c>
      <c r="B506" s="21">
        <v>8413</v>
      </c>
      <c r="C506" s="14" t="s">
        <v>56</v>
      </c>
      <c r="D506" s="22">
        <v>4079.6</v>
      </c>
      <c r="E506" s="23">
        <v>42011</v>
      </c>
      <c r="F506" s="24">
        <v>4079.6</v>
      </c>
      <c r="G506" s="31">
        <f t="shared" si="7"/>
        <v>0</v>
      </c>
      <c r="H506" s="39" t="s">
        <v>94</v>
      </c>
      <c r="I506" s="4"/>
      <c r="J506" s="4"/>
    </row>
    <row r="507" spans="1:10" s="3" customFormat="1" x14ac:dyDescent="0.25">
      <c r="A507" s="20">
        <v>42011</v>
      </c>
      <c r="B507" s="21">
        <v>8414</v>
      </c>
      <c r="C507" s="14" t="s">
        <v>241</v>
      </c>
      <c r="D507" s="22">
        <v>741.6</v>
      </c>
      <c r="E507" s="23">
        <v>42011</v>
      </c>
      <c r="F507" s="24">
        <v>741.6</v>
      </c>
      <c r="G507" s="31">
        <f t="shared" si="7"/>
        <v>0</v>
      </c>
      <c r="H507" s="39" t="s">
        <v>9</v>
      </c>
      <c r="I507" s="4"/>
      <c r="J507" s="4"/>
    </row>
    <row r="508" spans="1:10" s="3" customFormat="1" x14ac:dyDescent="0.25">
      <c r="A508" s="20">
        <v>42011</v>
      </c>
      <c r="B508" s="21">
        <v>8415</v>
      </c>
      <c r="C508" s="14" t="s">
        <v>228</v>
      </c>
      <c r="D508" s="22">
        <v>3465.6</v>
      </c>
      <c r="E508" s="23">
        <v>42011</v>
      </c>
      <c r="F508" s="24">
        <v>3465.6</v>
      </c>
      <c r="G508" s="31">
        <f t="shared" si="7"/>
        <v>0</v>
      </c>
      <c r="H508" s="39" t="s">
        <v>9</v>
      </c>
      <c r="I508" s="4"/>
      <c r="J508" s="4"/>
    </row>
    <row r="509" spans="1:10" s="3" customFormat="1" x14ac:dyDescent="0.25">
      <c r="A509" s="20">
        <v>42011</v>
      </c>
      <c r="B509" s="21">
        <v>8416</v>
      </c>
      <c r="C509" s="14" t="s">
        <v>134</v>
      </c>
      <c r="D509" s="22">
        <v>1443</v>
      </c>
      <c r="E509" s="23">
        <v>42011</v>
      </c>
      <c r="F509" s="24">
        <v>1443</v>
      </c>
      <c r="G509" s="31">
        <f t="shared" si="7"/>
        <v>0</v>
      </c>
      <c r="H509" s="39" t="s">
        <v>94</v>
      </c>
      <c r="I509" s="4"/>
      <c r="J509" s="4"/>
    </row>
    <row r="510" spans="1:10" s="3" customFormat="1" x14ac:dyDescent="0.25">
      <c r="A510" s="20">
        <v>42011</v>
      </c>
      <c r="B510" s="21">
        <v>8417</v>
      </c>
      <c r="C510" s="14" t="s">
        <v>60</v>
      </c>
      <c r="D510" s="22">
        <v>11356.8</v>
      </c>
      <c r="E510" s="23">
        <v>42011</v>
      </c>
      <c r="F510" s="24">
        <v>11356.8</v>
      </c>
      <c r="G510" s="31">
        <f t="shared" si="7"/>
        <v>0</v>
      </c>
      <c r="H510" s="39" t="s">
        <v>94</v>
      </c>
      <c r="I510" s="4"/>
      <c r="J510" s="4"/>
    </row>
    <row r="511" spans="1:10" s="3" customFormat="1" x14ac:dyDescent="0.25">
      <c r="A511" s="20">
        <v>42011</v>
      </c>
      <c r="B511" s="21">
        <v>8418</v>
      </c>
      <c r="C511" s="14" t="s">
        <v>32</v>
      </c>
      <c r="D511" s="22">
        <v>221548.25</v>
      </c>
      <c r="E511" s="23">
        <v>42035</v>
      </c>
      <c r="F511" s="24">
        <v>221548.25</v>
      </c>
      <c r="G511" s="31">
        <f t="shared" si="7"/>
        <v>0</v>
      </c>
      <c r="H511" s="39" t="s">
        <v>149</v>
      </c>
      <c r="I511" s="4"/>
      <c r="J511" s="4"/>
    </row>
    <row r="512" spans="1:10" s="3" customFormat="1" x14ac:dyDescent="0.25">
      <c r="A512" s="20">
        <v>42011</v>
      </c>
      <c r="B512" s="21">
        <v>8419</v>
      </c>
      <c r="C512" s="14" t="s">
        <v>116</v>
      </c>
      <c r="D512" s="22">
        <v>6994.2</v>
      </c>
      <c r="E512" s="23">
        <v>42011</v>
      </c>
      <c r="F512" s="24">
        <v>6994.2</v>
      </c>
      <c r="G512" s="31">
        <f t="shared" si="7"/>
        <v>0</v>
      </c>
      <c r="H512" s="39" t="s">
        <v>59</v>
      </c>
      <c r="I512" s="4"/>
      <c r="J512" s="4"/>
    </row>
    <row r="513" spans="1:10" s="3" customFormat="1" x14ac:dyDescent="0.25">
      <c r="A513" s="20">
        <v>42011</v>
      </c>
      <c r="B513" s="21">
        <v>8420</v>
      </c>
      <c r="C513" s="14" t="s">
        <v>78</v>
      </c>
      <c r="D513" s="22">
        <v>12421.4</v>
      </c>
      <c r="E513" s="23">
        <v>42012</v>
      </c>
      <c r="F513" s="24">
        <v>12421.4</v>
      </c>
      <c r="G513" s="31">
        <f t="shared" si="7"/>
        <v>0</v>
      </c>
      <c r="H513" s="39" t="s">
        <v>62</v>
      </c>
      <c r="I513" s="4"/>
      <c r="J513" s="28"/>
    </row>
    <row r="514" spans="1:10" s="3" customFormat="1" x14ac:dyDescent="0.25">
      <c r="A514" s="20">
        <v>42011</v>
      </c>
      <c r="B514" s="21">
        <v>8421</v>
      </c>
      <c r="C514" s="14" t="s">
        <v>75</v>
      </c>
      <c r="D514" s="22">
        <v>21924</v>
      </c>
      <c r="E514" s="29" t="s">
        <v>242</v>
      </c>
      <c r="F514" s="24">
        <f>8924+13000</f>
        <v>21924</v>
      </c>
      <c r="G514" s="31">
        <f t="shared" si="7"/>
        <v>0</v>
      </c>
      <c r="H514" s="39" t="s">
        <v>62</v>
      </c>
      <c r="I514" s="4"/>
      <c r="J514" s="49"/>
    </row>
    <row r="515" spans="1:10" s="3" customFormat="1" x14ac:dyDescent="0.25">
      <c r="A515" s="20">
        <v>42011</v>
      </c>
      <c r="B515" s="21">
        <v>8422</v>
      </c>
      <c r="C515" s="14" t="s">
        <v>47</v>
      </c>
      <c r="D515" s="22">
        <v>25647.7</v>
      </c>
      <c r="E515" s="23">
        <v>42011</v>
      </c>
      <c r="F515" s="24">
        <v>25647.7</v>
      </c>
      <c r="G515" s="31">
        <f t="shared" ref="G515:G578" si="8">D515-F515</f>
        <v>0</v>
      </c>
      <c r="H515" s="39" t="s">
        <v>9</v>
      </c>
      <c r="I515" s="4"/>
      <c r="J515" s="4"/>
    </row>
    <row r="516" spans="1:10" s="3" customFormat="1" x14ac:dyDescent="0.25">
      <c r="A516" s="20">
        <v>42011</v>
      </c>
      <c r="B516" s="21">
        <v>8423</v>
      </c>
      <c r="C516" s="14" t="s">
        <v>77</v>
      </c>
      <c r="D516" s="22">
        <v>13017.6</v>
      </c>
      <c r="E516" s="23">
        <v>42012</v>
      </c>
      <c r="F516" s="24">
        <v>13017.6</v>
      </c>
      <c r="G516" s="31">
        <f t="shared" si="8"/>
        <v>0</v>
      </c>
      <c r="H516" s="39" t="s">
        <v>62</v>
      </c>
      <c r="I516" s="4"/>
      <c r="J516" s="4"/>
    </row>
    <row r="517" spans="1:10" s="3" customFormat="1" x14ac:dyDescent="0.25">
      <c r="A517" s="20">
        <v>42011</v>
      </c>
      <c r="B517" s="21">
        <v>8424</v>
      </c>
      <c r="C517" s="14" t="s">
        <v>77</v>
      </c>
      <c r="D517" s="22">
        <v>6879.6</v>
      </c>
      <c r="E517" s="23">
        <v>42012</v>
      </c>
      <c r="F517" s="24">
        <v>6879.6</v>
      </c>
      <c r="G517" s="31">
        <f t="shared" si="8"/>
        <v>0</v>
      </c>
      <c r="H517" s="39" t="s">
        <v>62</v>
      </c>
      <c r="I517" s="4"/>
      <c r="J517" s="4"/>
    </row>
    <row r="518" spans="1:10" s="3" customFormat="1" x14ac:dyDescent="0.25">
      <c r="A518" s="20">
        <v>42011</v>
      </c>
      <c r="B518" s="21">
        <v>8425</v>
      </c>
      <c r="C518" s="14" t="s">
        <v>24</v>
      </c>
      <c r="D518" s="22">
        <v>189479.42</v>
      </c>
      <c r="E518" s="23">
        <v>42021</v>
      </c>
      <c r="F518" s="24">
        <v>189479.42</v>
      </c>
      <c r="G518" s="31">
        <f t="shared" si="8"/>
        <v>0</v>
      </c>
      <c r="H518" s="39" t="s">
        <v>46</v>
      </c>
      <c r="I518" s="4"/>
      <c r="J518" s="4"/>
    </row>
    <row r="519" spans="1:10" s="3" customFormat="1" x14ac:dyDescent="0.25">
      <c r="A519" s="20">
        <v>42011</v>
      </c>
      <c r="B519" s="21">
        <v>8426</v>
      </c>
      <c r="C519" s="14" t="s">
        <v>65</v>
      </c>
      <c r="D519" s="22">
        <v>28922.6</v>
      </c>
      <c r="E519" s="23">
        <v>42012</v>
      </c>
      <c r="F519" s="24">
        <v>28922.6</v>
      </c>
      <c r="G519" s="31">
        <f t="shared" si="8"/>
        <v>0</v>
      </c>
      <c r="H519" s="39" t="s">
        <v>62</v>
      </c>
      <c r="I519" s="4"/>
      <c r="J519" s="4"/>
    </row>
    <row r="520" spans="1:10" s="3" customFormat="1" x14ac:dyDescent="0.25">
      <c r="A520" s="20">
        <v>42011</v>
      </c>
      <c r="B520" s="21">
        <v>8427</v>
      </c>
      <c r="C520" s="14" t="s">
        <v>92</v>
      </c>
      <c r="D520" s="22">
        <v>2313.6</v>
      </c>
      <c r="E520" s="23">
        <v>42012</v>
      </c>
      <c r="F520" s="24">
        <v>2313.6</v>
      </c>
      <c r="G520" s="31">
        <f t="shared" si="8"/>
        <v>0</v>
      </c>
      <c r="H520" s="39" t="s">
        <v>62</v>
      </c>
      <c r="I520" s="4"/>
      <c r="J520" s="4"/>
    </row>
    <row r="521" spans="1:10" s="3" customFormat="1" x14ac:dyDescent="0.25">
      <c r="A521" s="20">
        <v>42011</v>
      </c>
      <c r="B521" s="21">
        <v>8428</v>
      </c>
      <c r="C521" s="14" t="s">
        <v>67</v>
      </c>
      <c r="D521" s="22">
        <v>3772.2</v>
      </c>
      <c r="E521" s="23">
        <v>42012</v>
      </c>
      <c r="F521" s="24">
        <v>3772.2</v>
      </c>
      <c r="G521" s="31">
        <f t="shared" si="8"/>
        <v>0</v>
      </c>
      <c r="H521" s="39" t="s">
        <v>62</v>
      </c>
      <c r="I521" s="4"/>
      <c r="J521" s="4"/>
    </row>
    <row r="522" spans="1:10" s="3" customFormat="1" x14ac:dyDescent="0.25">
      <c r="A522" s="20">
        <v>42011</v>
      </c>
      <c r="B522" s="21">
        <v>8429</v>
      </c>
      <c r="C522" s="14" t="s">
        <v>243</v>
      </c>
      <c r="D522" s="22">
        <v>1307.52</v>
      </c>
      <c r="E522" s="23">
        <v>42012</v>
      </c>
      <c r="F522" s="24">
        <v>1307.52</v>
      </c>
      <c r="G522" s="31">
        <f t="shared" si="8"/>
        <v>0</v>
      </c>
      <c r="H522" s="39" t="s">
        <v>62</v>
      </c>
      <c r="I522" s="4"/>
      <c r="J522" s="4"/>
    </row>
    <row r="523" spans="1:10" s="3" customFormat="1" x14ac:dyDescent="0.25">
      <c r="A523" s="20">
        <v>42011</v>
      </c>
      <c r="B523" s="21">
        <v>8430</v>
      </c>
      <c r="C523" s="14" t="s">
        <v>108</v>
      </c>
      <c r="D523" s="22">
        <v>46413.34</v>
      </c>
      <c r="E523" s="23">
        <v>42021</v>
      </c>
      <c r="F523" s="24">
        <v>46413.34</v>
      </c>
      <c r="G523" s="31">
        <f t="shared" si="8"/>
        <v>0</v>
      </c>
      <c r="H523" s="39" t="s">
        <v>17</v>
      </c>
      <c r="I523" s="4"/>
      <c r="J523" s="4"/>
    </row>
    <row r="524" spans="1:10" s="3" customFormat="1" x14ac:dyDescent="0.25">
      <c r="A524" s="20">
        <v>42011</v>
      </c>
      <c r="B524" s="21">
        <v>8431</v>
      </c>
      <c r="C524" s="14" t="s">
        <v>61</v>
      </c>
      <c r="D524" s="22">
        <v>11774.24</v>
      </c>
      <c r="E524" s="23">
        <v>42012</v>
      </c>
      <c r="F524" s="24">
        <v>11774.24</v>
      </c>
      <c r="G524" s="31">
        <f t="shared" si="8"/>
        <v>0</v>
      </c>
      <c r="H524" s="39" t="s">
        <v>17</v>
      </c>
      <c r="I524" s="4"/>
      <c r="J524" s="4"/>
    </row>
    <row r="525" spans="1:10" s="3" customFormat="1" x14ac:dyDescent="0.25">
      <c r="A525" s="20">
        <v>42011</v>
      </c>
      <c r="B525" s="21">
        <v>8432</v>
      </c>
      <c r="C525" s="14" t="s">
        <v>173</v>
      </c>
      <c r="D525" s="22">
        <v>36480.800000000003</v>
      </c>
      <c r="E525" s="30" t="s">
        <v>244</v>
      </c>
      <c r="F525" s="24">
        <v>36480.800000000003</v>
      </c>
      <c r="G525" s="31">
        <f t="shared" si="8"/>
        <v>0</v>
      </c>
      <c r="H525" s="39" t="s">
        <v>62</v>
      </c>
      <c r="I525" s="4"/>
      <c r="J525" s="4"/>
    </row>
    <row r="526" spans="1:10" s="3" customFormat="1" x14ac:dyDescent="0.25">
      <c r="A526" s="20">
        <v>42011</v>
      </c>
      <c r="B526" s="21">
        <v>8433</v>
      </c>
      <c r="C526" s="14" t="s">
        <v>245</v>
      </c>
      <c r="D526" s="22">
        <v>4634.76</v>
      </c>
      <c r="E526" s="30" t="s">
        <v>246</v>
      </c>
      <c r="F526" s="24">
        <v>4634.76</v>
      </c>
      <c r="G526" s="31">
        <f t="shared" si="8"/>
        <v>0</v>
      </c>
      <c r="H526" s="39" t="s">
        <v>9</v>
      </c>
      <c r="I526" s="4"/>
      <c r="J526" s="4"/>
    </row>
    <row r="527" spans="1:10" s="3" customFormat="1" x14ac:dyDescent="0.25">
      <c r="A527" s="20">
        <v>42011</v>
      </c>
      <c r="B527" s="21">
        <v>8434</v>
      </c>
      <c r="C527" s="14" t="s">
        <v>37</v>
      </c>
      <c r="D527" s="22">
        <v>46776.19</v>
      </c>
      <c r="E527" s="23">
        <v>42020</v>
      </c>
      <c r="F527" s="24">
        <v>46776.19</v>
      </c>
      <c r="G527" s="31">
        <f t="shared" si="8"/>
        <v>0</v>
      </c>
      <c r="H527" s="39" t="s">
        <v>19</v>
      </c>
      <c r="I527" s="4"/>
      <c r="J527" s="4"/>
    </row>
    <row r="528" spans="1:10" s="3" customFormat="1" x14ac:dyDescent="0.25">
      <c r="A528" s="20">
        <v>42011</v>
      </c>
      <c r="B528" s="21">
        <v>8435</v>
      </c>
      <c r="C528" s="14" t="s">
        <v>18</v>
      </c>
      <c r="D528" s="22">
        <v>154404.70000000001</v>
      </c>
      <c r="E528" s="23">
        <v>42028</v>
      </c>
      <c r="F528" s="24">
        <v>154404.70000000001</v>
      </c>
      <c r="G528" s="31">
        <f t="shared" si="8"/>
        <v>0</v>
      </c>
      <c r="H528" s="39" t="s">
        <v>36</v>
      </c>
      <c r="I528" s="4"/>
      <c r="J528" s="4"/>
    </row>
    <row r="529" spans="1:10" s="3" customFormat="1" x14ac:dyDescent="0.25">
      <c r="A529" s="20">
        <v>42011</v>
      </c>
      <c r="B529" s="21">
        <v>8436</v>
      </c>
      <c r="C529" s="14" t="s">
        <v>178</v>
      </c>
      <c r="D529" s="22">
        <v>9660</v>
      </c>
      <c r="E529" s="23">
        <v>42012</v>
      </c>
      <c r="F529" s="24">
        <v>9660</v>
      </c>
      <c r="G529" s="31">
        <f t="shared" si="8"/>
        <v>0</v>
      </c>
      <c r="H529" s="39" t="s">
        <v>62</v>
      </c>
      <c r="I529" s="4"/>
      <c r="J529" s="4"/>
    </row>
    <row r="530" spans="1:10" s="3" customFormat="1" x14ac:dyDescent="0.25">
      <c r="A530" s="20">
        <v>42011</v>
      </c>
      <c r="B530" s="21">
        <v>8437</v>
      </c>
      <c r="C530" s="14" t="s">
        <v>89</v>
      </c>
      <c r="D530" s="22">
        <v>3643</v>
      </c>
      <c r="E530" s="23">
        <v>42011</v>
      </c>
      <c r="F530" s="24">
        <v>3643</v>
      </c>
      <c r="G530" s="31">
        <f t="shared" si="8"/>
        <v>0</v>
      </c>
      <c r="H530" s="39" t="s">
        <v>9</v>
      </c>
    </row>
    <row r="531" spans="1:10" s="3" customFormat="1" x14ac:dyDescent="0.25">
      <c r="A531" s="20">
        <v>42011</v>
      </c>
      <c r="B531" s="21">
        <v>8438</v>
      </c>
      <c r="C531" s="14" t="s">
        <v>110</v>
      </c>
      <c r="D531" s="22">
        <v>25006.06</v>
      </c>
      <c r="E531" s="23">
        <v>42014</v>
      </c>
      <c r="F531" s="24">
        <v>25006.06</v>
      </c>
      <c r="G531" s="31">
        <f t="shared" si="8"/>
        <v>0</v>
      </c>
      <c r="H531" s="39" t="s">
        <v>183</v>
      </c>
    </row>
    <row r="532" spans="1:10" s="3" customFormat="1" x14ac:dyDescent="0.25">
      <c r="A532" s="20">
        <v>42011</v>
      </c>
      <c r="B532" s="21">
        <v>8439</v>
      </c>
      <c r="C532" s="14" t="s">
        <v>247</v>
      </c>
      <c r="D532" s="22">
        <v>4690.3999999999996</v>
      </c>
      <c r="E532" s="23">
        <v>42011</v>
      </c>
      <c r="F532" s="24">
        <v>4690.3999999999996</v>
      </c>
      <c r="G532" s="31">
        <f t="shared" si="8"/>
        <v>0</v>
      </c>
      <c r="H532" s="39" t="s">
        <v>41</v>
      </c>
    </row>
    <row r="533" spans="1:10" s="3" customFormat="1" x14ac:dyDescent="0.25">
      <c r="A533" s="20">
        <v>42011</v>
      </c>
      <c r="B533" s="21">
        <v>8440</v>
      </c>
      <c r="C533" s="50" t="s">
        <v>136</v>
      </c>
      <c r="D533" s="22">
        <v>12923.2</v>
      </c>
      <c r="E533" s="29" t="s">
        <v>248</v>
      </c>
      <c r="F533" s="24">
        <f>11400+1523.2</f>
        <v>12923.2</v>
      </c>
      <c r="G533" s="31">
        <f t="shared" si="8"/>
        <v>0</v>
      </c>
      <c r="H533" s="39" t="s">
        <v>9</v>
      </c>
    </row>
    <row r="534" spans="1:10" s="3" customFormat="1" x14ac:dyDescent="0.25">
      <c r="A534" s="20">
        <v>42011</v>
      </c>
      <c r="B534" s="21">
        <v>8441</v>
      </c>
      <c r="C534" s="14" t="s">
        <v>50</v>
      </c>
      <c r="D534" s="22">
        <v>3597</v>
      </c>
      <c r="E534" s="23">
        <v>42011</v>
      </c>
      <c r="F534" s="24">
        <v>3597</v>
      </c>
      <c r="G534" s="31">
        <f t="shared" si="8"/>
        <v>0</v>
      </c>
      <c r="H534" s="39" t="s">
        <v>27</v>
      </c>
    </row>
    <row r="535" spans="1:10" s="3" customFormat="1" x14ac:dyDescent="0.25">
      <c r="A535" s="20">
        <v>42011</v>
      </c>
      <c r="B535" s="21">
        <v>8442</v>
      </c>
      <c r="C535" s="14" t="s">
        <v>141</v>
      </c>
      <c r="D535" s="22">
        <v>21256.7</v>
      </c>
      <c r="E535" s="23">
        <v>42022</v>
      </c>
      <c r="F535" s="24">
        <v>21256.7</v>
      </c>
      <c r="G535" s="31">
        <f t="shared" si="8"/>
        <v>0</v>
      </c>
      <c r="H535" s="39" t="s">
        <v>9</v>
      </c>
    </row>
    <row r="536" spans="1:10" s="3" customFormat="1" x14ac:dyDescent="0.25">
      <c r="A536" s="20">
        <v>42011</v>
      </c>
      <c r="B536" s="21">
        <v>8443</v>
      </c>
      <c r="C536" s="14" t="s">
        <v>64</v>
      </c>
      <c r="D536" s="22">
        <v>1651.2</v>
      </c>
      <c r="E536" s="23">
        <v>42011</v>
      </c>
      <c r="F536" s="24">
        <v>1651.2</v>
      </c>
      <c r="G536" s="31">
        <f t="shared" si="8"/>
        <v>0</v>
      </c>
      <c r="H536" s="39" t="s">
        <v>9</v>
      </c>
    </row>
    <row r="537" spans="1:10" s="3" customFormat="1" x14ac:dyDescent="0.25">
      <c r="A537" s="20">
        <v>42011</v>
      </c>
      <c r="B537" s="21">
        <v>8444</v>
      </c>
      <c r="C537" s="14" t="s">
        <v>249</v>
      </c>
      <c r="D537" s="22">
        <v>4600</v>
      </c>
      <c r="E537" s="23">
        <v>42011</v>
      </c>
      <c r="F537" s="24">
        <v>4600</v>
      </c>
      <c r="G537" s="31">
        <f t="shared" si="8"/>
        <v>0</v>
      </c>
      <c r="H537" s="39" t="s">
        <v>41</v>
      </c>
    </row>
    <row r="538" spans="1:10" s="3" customFormat="1" x14ac:dyDescent="0.25">
      <c r="A538" s="20">
        <v>42011</v>
      </c>
      <c r="B538" s="21">
        <v>8445</v>
      </c>
      <c r="C538" s="14" t="s">
        <v>185</v>
      </c>
      <c r="D538" s="22">
        <v>75625.600000000006</v>
      </c>
      <c r="E538" s="23">
        <v>42012</v>
      </c>
      <c r="F538" s="24">
        <v>75625.600000000006</v>
      </c>
      <c r="G538" s="31">
        <f t="shared" si="8"/>
        <v>0</v>
      </c>
      <c r="H538" s="39" t="s">
        <v>183</v>
      </c>
    </row>
    <row r="539" spans="1:10" s="3" customFormat="1" x14ac:dyDescent="0.25">
      <c r="A539" s="20">
        <v>42011</v>
      </c>
      <c r="B539" s="21">
        <v>8446</v>
      </c>
      <c r="C539" s="14" t="s">
        <v>128</v>
      </c>
      <c r="D539" s="22">
        <v>7743.6</v>
      </c>
      <c r="E539" s="23">
        <v>42011</v>
      </c>
      <c r="F539" s="24">
        <v>7743.6</v>
      </c>
      <c r="G539" s="31">
        <f t="shared" si="8"/>
        <v>0</v>
      </c>
      <c r="H539" s="39" t="s">
        <v>17</v>
      </c>
    </row>
    <row r="540" spans="1:10" s="3" customFormat="1" x14ac:dyDescent="0.25">
      <c r="A540" s="20">
        <v>42011</v>
      </c>
      <c r="B540" s="21">
        <v>8447</v>
      </c>
      <c r="C540" s="14" t="s">
        <v>250</v>
      </c>
      <c r="D540" s="22">
        <v>2286</v>
      </c>
      <c r="E540" s="23">
        <v>42012</v>
      </c>
      <c r="F540" s="24">
        <v>2286</v>
      </c>
      <c r="G540" s="31">
        <f t="shared" si="8"/>
        <v>0</v>
      </c>
      <c r="H540" s="39" t="s">
        <v>9</v>
      </c>
    </row>
    <row r="541" spans="1:10" s="3" customFormat="1" x14ac:dyDescent="0.25">
      <c r="A541" s="20">
        <v>42011</v>
      </c>
      <c r="B541" s="21">
        <v>8448</v>
      </c>
      <c r="C541" s="14" t="s">
        <v>95</v>
      </c>
      <c r="D541" s="22">
        <v>3010.3</v>
      </c>
      <c r="E541" s="23">
        <v>42012</v>
      </c>
      <c r="F541" s="24">
        <v>3010.3</v>
      </c>
      <c r="G541" s="31">
        <f t="shared" si="8"/>
        <v>0</v>
      </c>
      <c r="H541" s="39" t="s">
        <v>9</v>
      </c>
    </row>
    <row r="542" spans="1:10" s="3" customFormat="1" x14ac:dyDescent="0.25">
      <c r="A542" s="20">
        <v>42011</v>
      </c>
      <c r="B542" s="21">
        <v>8449</v>
      </c>
      <c r="C542" s="14" t="s">
        <v>132</v>
      </c>
      <c r="D542" s="22">
        <v>5041.6000000000004</v>
      </c>
      <c r="E542" s="23">
        <v>42011</v>
      </c>
      <c r="F542" s="24">
        <v>5041.6000000000004</v>
      </c>
      <c r="G542" s="31">
        <f t="shared" si="8"/>
        <v>0</v>
      </c>
      <c r="H542" s="39" t="s">
        <v>17</v>
      </c>
    </row>
    <row r="543" spans="1:10" s="3" customFormat="1" x14ac:dyDescent="0.25">
      <c r="A543" s="20">
        <v>42011</v>
      </c>
      <c r="B543" s="21">
        <v>8450</v>
      </c>
      <c r="C543" s="14" t="s">
        <v>93</v>
      </c>
      <c r="D543" s="22">
        <v>372</v>
      </c>
      <c r="E543" s="23">
        <v>42012</v>
      </c>
      <c r="F543" s="24">
        <v>372</v>
      </c>
      <c r="G543" s="31">
        <f t="shared" si="8"/>
        <v>0</v>
      </c>
      <c r="H543" s="39" t="s">
        <v>9</v>
      </c>
    </row>
    <row r="544" spans="1:10" s="3" customFormat="1" x14ac:dyDescent="0.25">
      <c r="A544" s="20">
        <v>42011</v>
      </c>
      <c r="B544" s="21">
        <v>8451</v>
      </c>
      <c r="C544" s="14" t="s">
        <v>112</v>
      </c>
      <c r="D544" s="22">
        <v>4710</v>
      </c>
      <c r="E544" s="51">
        <v>42011</v>
      </c>
      <c r="F544" s="24">
        <v>4710</v>
      </c>
      <c r="G544" s="31">
        <f t="shared" si="8"/>
        <v>0</v>
      </c>
      <c r="H544" s="39" t="s">
        <v>9</v>
      </c>
    </row>
    <row r="545" spans="1:8" s="3" customFormat="1" x14ac:dyDescent="0.25">
      <c r="A545" s="20">
        <v>42011</v>
      </c>
      <c r="B545" s="21">
        <v>8452</v>
      </c>
      <c r="C545" s="14" t="s">
        <v>74</v>
      </c>
      <c r="D545" s="22">
        <v>922.3</v>
      </c>
      <c r="E545" s="23">
        <v>42011</v>
      </c>
      <c r="F545" s="24">
        <v>922.3</v>
      </c>
      <c r="G545" s="31">
        <f t="shared" si="8"/>
        <v>0</v>
      </c>
      <c r="H545" s="39" t="s">
        <v>9</v>
      </c>
    </row>
    <row r="546" spans="1:8" s="3" customFormat="1" x14ac:dyDescent="0.25">
      <c r="A546" s="20">
        <v>42011</v>
      </c>
      <c r="B546" s="21">
        <v>8453</v>
      </c>
      <c r="C546" s="14" t="s">
        <v>111</v>
      </c>
      <c r="D546" s="22">
        <v>195150</v>
      </c>
      <c r="E546" s="23">
        <v>42014</v>
      </c>
      <c r="F546" s="24">
        <v>195150</v>
      </c>
      <c r="G546" s="31">
        <f t="shared" si="8"/>
        <v>0</v>
      </c>
      <c r="H546" s="39" t="s">
        <v>9</v>
      </c>
    </row>
    <row r="547" spans="1:8" s="3" customFormat="1" x14ac:dyDescent="0.25">
      <c r="A547" s="20">
        <v>42011</v>
      </c>
      <c r="B547" s="21">
        <v>8454</v>
      </c>
      <c r="C547" s="14" t="s">
        <v>251</v>
      </c>
      <c r="D547" s="22">
        <v>30381</v>
      </c>
      <c r="E547" s="23">
        <v>42012</v>
      </c>
      <c r="F547" s="24">
        <v>30381</v>
      </c>
      <c r="G547" s="31">
        <f t="shared" si="8"/>
        <v>0</v>
      </c>
      <c r="H547" s="39" t="s">
        <v>19</v>
      </c>
    </row>
    <row r="548" spans="1:8" s="3" customFormat="1" x14ac:dyDescent="0.25">
      <c r="A548" s="20">
        <v>42011</v>
      </c>
      <c r="B548" s="21">
        <v>8455</v>
      </c>
      <c r="C548" s="14" t="s">
        <v>252</v>
      </c>
      <c r="D548" s="22">
        <v>7191</v>
      </c>
      <c r="E548" s="23">
        <v>42011</v>
      </c>
      <c r="F548" s="24">
        <v>7191</v>
      </c>
      <c r="G548" s="31">
        <f t="shared" si="8"/>
        <v>0</v>
      </c>
      <c r="H548" s="39" t="s">
        <v>9</v>
      </c>
    </row>
    <row r="549" spans="1:8" s="3" customFormat="1" x14ac:dyDescent="0.25">
      <c r="A549" s="20">
        <v>42011</v>
      </c>
      <c r="B549" s="21">
        <v>8456</v>
      </c>
      <c r="C549" s="14" t="s">
        <v>38</v>
      </c>
      <c r="D549" s="22">
        <v>46392</v>
      </c>
      <c r="E549" s="23">
        <v>42022</v>
      </c>
      <c r="F549" s="24">
        <v>46392</v>
      </c>
      <c r="G549" s="31">
        <f t="shared" si="8"/>
        <v>0</v>
      </c>
      <c r="H549" s="39" t="s">
        <v>94</v>
      </c>
    </row>
    <row r="550" spans="1:8" s="3" customFormat="1" x14ac:dyDescent="0.25">
      <c r="A550" s="20">
        <v>42011</v>
      </c>
      <c r="B550" s="21">
        <v>8457</v>
      </c>
      <c r="C550" s="26" t="s">
        <v>218</v>
      </c>
      <c r="D550" s="27">
        <v>0</v>
      </c>
      <c r="E550" s="23"/>
      <c r="F550" s="24"/>
      <c r="G550" s="31">
        <f t="shared" si="8"/>
        <v>0</v>
      </c>
      <c r="H550" s="39" t="s">
        <v>13</v>
      </c>
    </row>
    <row r="551" spans="1:8" s="3" customFormat="1" x14ac:dyDescent="0.25">
      <c r="A551" s="20">
        <v>42011</v>
      </c>
      <c r="B551" s="21">
        <v>8458</v>
      </c>
      <c r="C551" s="14" t="s">
        <v>80</v>
      </c>
      <c r="D551" s="22">
        <v>7308</v>
      </c>
      <c r="E551" s="23">
        <v>42011</v>
      </c>
      <c r="F551" s="24">
        <v>7308</v>
      </c>
      <c r="G551" s="31">
        <f t="shared" si="8"/>
        <v>0</v>
      </c>
      <c r="H551" s="39" t="s">
        <v>9</v>
      </c>
    </row>
    <row r="552" spans="1:8" s="3" customFormat="1" x14ac:dyDescent="0.25">
      <c r="A552" s="20">
        <v>42011</v>
      </c>
      <c r="B552" s="21">
        <v>8459</v>
      </c>
      <c r="C552" s="14" t="s">
        <v>24</v>
      </c>
      <c r="D552" s="22">
        <v>53504</v>
      </c>
      <c r="E552" s="30">
        <v>42055</v>
      </c>
      <c r="F552" s="96">
        <v>53504</v>
      </c>
      <c r="G552" s="31">
        <f t="shared" si="8"/>
        <v>0</v>
      </c>
      <c r="H552" s="39" t="s">
        <v>9</v>
      </c>
    </row>
    <row r="553" spans="1:8" s="3" customFormat="1" x14ac:dyDescent="0.25">
      <c r="A553" s="20">
        <v>42012</v>
      </c>
      <c r="B553" s="21">
        <v>8460</v>
      </c>
      <c r="C553" s="14" t="s">
        <v>98</v>
      </c>
      <c r="D553" s="22">
        <v>4996</v>
      </c>
      <c r="E553" s="23">
        <v>42012</v>
      </c>
      <c r="F553" s="24">
        <v>4996</v>
      </c>
      <c r="G553" s="31">
        <f t="shared" si="8"/>
        <v>0</v>
      </c>
      <c r="H553" s="39" t="s">
        <v>9</v>
      </c>
    </row>
    <row r="554" spans="1:8" s="3" customFormat="1" x14ac:dyDescent="0.25">
      <c r="A554" s="20">
        <v>42012</v>
      </c>
      <c r="B554" s="21">
        <v>8461</v>
      </c>
      <c r="C554" s="14" t="s">
        <v>211</v>
      </c>
      <c r="D554" s="22">
        <v>109344.6</v>
      </c>
      <c r="E554" s="23">
        <v>42012</v>
      </c>
      <c r="F554" s="24">
        <v>109344.6</v>
      </c>
      <c r="G554" s="31">
        <f t="shared" si="8"/>
        <v>0</v>
      </c>
      <c r="H554" s="39" t="s">
        <v>9</v>
      </c>
    </row>
    <row r="555" spans="1:8" s="3" customFormat="1" x14ac:dyDescent="0.25">
      <c r="A555" s="20">
        <v>42012</v>
      </c>
      <c r="B555" s="21">
        <v>8462</v>
      </c>
      <c r="C555" s="14" t="s">
        <v>121</v>
      </c>
      <c r="D555" s="22">
        <v>2860.3</v>
      </c>
      <c r="E555" s="23">
        <v>42012</v>
      </c>
      <c r="F555" s="24">
        <v>2860.3</v>
      </c>
      <c r="G555" s="31">
        <f t="shared" si="8"/>
        <v>0</v>
      </c>
      <c r="H555" s="39" t="s">
        <v>9</v>
      </c>
    </row>
    <row r="556" spans="1:8" s="3" customFormat="1" x14ac:dyDescent="0.25">
      <c r="A556" s="20">
        <v>42012</v>
      </c>
      <c r="B556" s="21">
        <v>8463</v>
      </c>
      <c r="C556" s="14" t="s">
        <v>14</v>
      </c>
      <c r="D556" s="22">
        <v>14600.65</v>
      </c>
      <c r="E556" s="23">
        <v>42016</v>
      </c>
      <c r="F556" s="24">
        <v>14600.65</v>
      </c>
      <c r="G556" s="31">
        <f t="shared" si="8"/>
        <v>0</v>
      </c>
      <c r="H556" s="39" t="s">
        <v>9</v>
      </c>
    </row>
    <row r="557" spans="1:8" s="3" customFormat="1" x14ac:dyDescent="0.25">
      <c r="A557" s="20">
        <v>42012</v>
      </c>
      <c r="B557" s="21">
        <v>8464</v>
      </c>
      <c r="C557" s="14" t="s">
        <v>16</v>
      </c>
      <c r="D557" s="22">
        <v>6023.6</v>
      </c>
      <c r="E557" s="23">
        <v>42012</v>
      </c>
      <c r="F557" s="24">
        <v>6023.6</v>
      </c>
      <c r="G557" s="31">
        <f t="shared" si="8"/>
        <v>0</v>
      </c>
      <c r="H557" s="39" t="s">
        <v>17</v>
      </c>
    </row>
    <row r="558" spans="1:8" s="3" customFormat="1" x14ac:dyDescent="0.25">
      <c r="A558" s="20">
        <v>42012</v>
      </c>
      <c r="B558" s="21">
        <v>8465</v>
      </c>
      <c r="C558" s="14" t="s">
        <v>103</v>
      </c>
      <c r="D558" s="22">
        <v>48017.08</v>
      </c>
      <c r="E558" s="23">
        <v>42017</v>
      </c>
      <c r="F558" s="24">
        <v>48017.08</v>
      </c>
      <c r="G558" s="31">
        <f t="shared" si="8"/>
        <v>0</v>
      </c>
      <c r="H558" s="39" t="s">
        <v>36</v>
      </c>
    </row>
    <row r="559" spans="1:8" s="3" customFormat="1" x14ac:dyDescent="0.25">
      <c r="A559" s="20">
        <v>42012</v>
      </c>
      <c r="B559" s="21">
        <v>8466</v>
      </c>
      <c r="C559" s="14" t="s">
        <v>37</v>
      </c>
      <c r="D559" s="22">
        <v>72213</v>
      </c>
      <c r="E559" s="23">
        <v>42020</v>
      </c>
      <c r="F559" s="24">
        <v>72213</v>
      </c>
      <c r="G559" s="31">
        <f t="shared" si="8"/>
        <v>0</v>
      </c>
      <c r="H559" s="39" t="s">
        <v>36</v>
      </c>
    </row>
    <row r="560" spans="1:8" s="3" customFormat="1" x14ac:dyDescent="0.25">
      <c r="A560" s="20">
        <v>42012</v>
      </c>
      <c r="B560" s="21">
        <v>8467</v>
      </c>
      <c r="C560" s="14" t="s">
        <v>55</v>
      </c>
      <c r="D560" s="22">
        <v>22253.15</v>
      </c>
      <c r="E560" s="23">
        <v>42012</v>
      </c>
      <c r="F560" s="24">
        <v>22253.151999999998</v>
      </c>
      <c r="G560" s="31">
        <f t="shared" si="8"/>
        <v>-1.9999999967694748E-3</v>
      </c>
      <c r="H560" s="39" t="s">
        <v>36</v>
      </c>
    </row>
    <row r="561" spans="1:10" s="3" customFormat="1" x14ac:dyDescent="0.25">
      <c r="A561" s="20">
        <v>42012</v>
      </c>
      <c r="B561" s="21">
        <v>8468</v>
      </c>
      <c r="C561" s="14" t="s">
        <v>148</v>
      </c>
      <c r="D561" s="22">
        <v>4066.4</v>
      </c>
      <c r="E561" s="23">
        <v>42012</v>
      </c>
      <c r="F561" s="24">
        <v>4066.4</v>
      </c>
      <c r="G561" s="31">
        <f t="shared" si="8"/>
        <v>0</v>
      </c>
      <c r="H561" s="39" t="s">
        <v>9</v>
      </c>
    </row>
    <row r="562" spans="1:10" s="3" customFormat="1" x14ac:dyDescent="0.25">
      <c r="A562" s="20">
        <v>42012</v>
      </c>
      <c r="B562" s="21">
        <v>8469</v>
      </c>
      <c r="C562" s="26" t="s">
        <v>218</v>
      </c>
      <c r="D562" s="27">
        <v>0</v>
      </c>
      <c r="E562" s="23"/>
      <c r="F562" s="24"/>
      <c r="G562" s="31">
        <f t="shared" si="8"/>
        <v>0</v>
      </c>
      <c r="H562" s="39" t="s">
        <v>13</v>
      </c>
      <c r="I562" s="4"/>
      <c r="J562" s="4"/>
    </row>
    <row r="563" spans="1:10" s="3" customFormat="1" x14ac:dyDescent="0.25">
      <c r="A563" s="20">
        <v>42012</v>
      </c>
      <c r="B563" s="21">
        <v>8470</v>
      </c>
      <c r="C563" s="14" t="s">
        <v>20</v>
      </c>
      <c r="D563" s="22">
        <v>9562.35</v>
      </c>
      <c r="E563" s="23">
        <v>42012</v>
      </c>
      <c r="F563" s="24">
        <v>9562.5</v>
      </c>
      <c r="G563" s="31">
        <f t="shared" si="8"/>
        <v>-0.1499999999996362</v>
      </c>
      <c r="H563" s="39" t="s">
        <v>94</v>
      </c>
      <c r="I563" s="4"/>
      <c r="J563" s="4"/>
    </row>
    <row r="564" spans="1:10" s="3" customFormat="1" x14ac:dyDescent="0.25">
      <c r="A564" s="20">
        <v>42012</v>
      </c>
      <c r="B564" s="21">
        <v>8471</v>
      </c>
      <c r="C564" s="14" t="s">
        <v>141</v>
      </c>
      <c r="D564" s="22">
        <v>556.6</v>
      </c>
      <c r="E564" s="23">
        <v>42012</v>
      </c>
      <c r="F564" s="24">
        <v>556.6</v>
      </c>
      <c r="G564" s="31">
        <f t="shared" si="8"/>
        <v>0</v>
      </c>
      <c r="H564" s="39" t="s">
        <v>9</v>
      </c>
      <c r="I564" s="4"/>
      <c r="J564" s="4"/>
    </row>
    <row r="565" spans="1:10" s="3" customFormat="1" x14ac:dyDescent="0.25">
      <c r="A565" s="20">
        <v>42012</v>
      </c>
      <c r="B565" s="21">
        <v>8472</v>
      </c>
      <c r="C565" s="14" t="s">
        <v>158</v>
      </c>
      <c r="D565" s="22">
        <v>9602.6</v>
      </c>
      <c r="E565" s="23">
        <v>42012</v>
      </c>
      <c r="F565" s="24">
        <v>9602.6</v>
      </c>
      <c r="G565" s="31">
        <f t="shared" si="8"/>
        <v>0</v>
      </c>
      <c r="H565" s="39" t="s">
        <v>9</v>
      </c>
      <c r="I565" s="4"/>
      <c r="J565" s="4"/>
    </row>
    <row r="566" spans="1:10" s="3" customFormat="1" x14ac:dyDescent="0.25">
      <c r="A566" s="20">
        <v>42012</v>
      </c>
      <c r="B566" s="21">
        <v>8473</v>
      </c>
      <c r="C566" s="14" t="s">
        <v>151</v>
      </c>
      <c r="D566" s="22">
        <v>3442.4</v>
      </c>
      <c r="E566" s="23">
        <v>42013</v>
      </c>
      <c r="F566" s="24">
        <v>3442.4</v>
      </c>
      <c r="G566" s="31">
        <f t="shared" si="8"/>
        <v>0</v>
      </c>
      <c r="H566" s="39" t="s">
        <v>9</v>
      </c>
      <c r="I566" s="4"/>
      <c r="J566" s="4"/>
    </row>
    <row r="567" spans="1:10" s="3" customFormat="1" x14ac:dyDescent="0.25">
      <c r="A567" s="20">
        <v>42012</v>
      </c>
      <c r="B567" s="21">
        <v>8474</v>
      </c>
      <c r="C567" s="14" t="s">
        <v>253</v>
      </c>
      <c r="D567" s="22">
        <v>498</v>
      </c>
      <c r="E567" s="23">
        <v>42012</v>
      </c>
      <c r="F567" s="24">
        <v>498</v>
      </c>
      <c r="G567" s="31">
        <f t="shared" si="8"/>
        <v>0</v>
      </c>
      <c r="H567" s="39" t="s">
        <v>9</v>
      </c>
      <c r="I567" s="4"/>
      <c r="J567" s="4"/>
    </row>
    <row r="568" spans="1:10" s="3" customFormat="1" x14ac:dyDescent="0.25">
      <c r="A568" s="20">
        <v>42012</v>
      </c>
      <c r="B568" s="21">
        <v>8475</v>
      </c>
      <c r="C568" s="14" t="s">
        <v>23</v>
      </c>
      <c r="D568" s="22">
        <v>6891.48</v>
      </c>
      <c r="E568" s="23">
        <v>42012</v>
      </c>
      <c r="F568" s="24">
        <v>6891.48</v>
      </c>
      <c r="G568" s="31">
        <f t="shared" si="8"/>
        <v>0</v>
      </c>
      <c r="H568" s="39" t="s">
        <v>9</v>
      </c>
      <c r="I568" s="4"/>
      <c r="J568" s="4"/>
    </row>
    <row r="569" spans="1:10" s="3" customFormat="1" x14ac:dyDescent="0.25">
      <c r="A569" s="20">
        <v>42012</v>
      </c>
      <c r="B569" s="21">
        <v>8476</v>
      </c>
      <c r="C569" s="14" t="s">
        <v>26</v>
      </c>
      <c r="D569" s="22">
        <v>1788</v>
      </c>
      <c r="E569" s="23">
        <v>42012</v>
      </c>
      <c r="F569" s="24">
        <v>1788</v>
      </c>
      <c r="G569" s="31">
        <f t="shared" si="8"/>
        <v>0</v>
      </c>
      <c r="H569" s="39" t="s">
        <v>9</v>
      </c>
      <c r="I569" s="4"/>
      <c r="J569" s="4"/>
    </row>
    <row r="570" spans="1:10" s="3" customFormat="1" x14ac:dyDescent="0.25">
      <c r="A570" s="20">
        <v>42012</v>
      </c>
      <c r="B570" s="21">
        <v>8477</v>
      </c>
      <c r="C570" s="14" t="s">
        <v>56</v>
      </c>
      <c r="D570" s="22">
        <v>17524.400000000001</v>
      </c>
      <c r="E570" s="23">
        <v>42012</v>
      </c>
      <c r="F570" s="24">
        <v>17524.400000000001</v>
      </c>
      <c r="G570" s="31">
        <f t="shared" si="8"/>
        <v>0</v>
      </c>
      <c r="H570" s="39" t="s">
        <v>19</v>
      </c>
      <c r="I570" s="4"/>
      <c r="J570" s="4"/>
    </row>
    <row r="571" spans="1:10" s="3" customFormat="1" x14ac:dyDescent="0.25">
      <c r="A571" s="20">
        <v>42012</v>
      </c>
      <c r="B571" s="21">
        <v>8478</v>
      </c>
      <c r="C571" s="14" t="s">
        <v>60</v>
      </c>
      <c r="D571" s="22">
        <v>5103.8</v>
      </c>
      <c r="E571" s="23">
        <v>42012</v>
      </c>
      <c r="F571" s="24">
        <v>5103.8</v>
      </c>
      <c r="G571" s="31">
        <f t="shared" si="8"/>
        <v>0</v>
      </c>
      <c r="H571" s="39" t="s">
        <v>19</v>
      </c>
      <c r="I571" s="4"/>
      <c r="J571" s="4"/>
    </row>
    <row r="572" spans="1:10" s="3" customFormat="1" x14ac:dyDescent="0.25">
      <c r="A572" s="20">
        <v>42012</v>
      </c>
      <c r="B572" s="21">
        <v>8479</v>
      </c>
      <c r="C572" s="14" t="s">
        <v>63</v>
      </c>
      <c r="D572" s="22">
        <v>1599.2</v>
      </c>
      <c r="E572" s="23">
        <v>42012</v>
      </c>
      <c r="F572" s="24">
        <v>1599.2</v>
      </c>
      <c r="G572" s="31">
        <f t="shared" si="8"/>
        <v>0</v>
      </c>
      <c r="H572" s="39" t="s">
        <v>19</v>
      </c>
      <c r="I572" s="4"/>
      <c r="J572" s="4"/>
    </row>
    <row r="573" spans="1:10" s="3" customFormat="1" x14ac:dyDescent="0.25">
      <c r="A573" s="20">
        <v>42012</v>
      </c>
      <c r="B573" s="21">
        <v>8480</v>
      </c>
      <c r="C573" s="14" t="s">
        <v>83</v>
      </c>
      <c r="D573" s="22">
        <v>8274.5</v>
      </c>
      <c r="E573" s="23">
        <v>42012</v>
      </c>
      <c r="F573" s="24">
        <v>8274.5</v>
      </c>
      <c r="G573" s="31">
        <f t="shared" si="8"/>
        <v>0</v>
      </c>
      <c r="H573" s="39" t="s">
        <v>19</v>
      </c>
      <c r="I573" s="4"/>
      <c r="J573" s="28"/>
    </row>
    <row r="574" spans="1:10" s="3" customFormat="1" x14ac:dyDescent="0.25">
      <c r="A574" s="20">
        <v>42012</v>
      </c>
      <c r="B574" s="21">
        <v>8481</v>
      </c>
      <c r="C574" s="14" t="s">
        <v>126</v>
      </c>
      <c r="D574" s="22">
        <v>3022.1</v>
      </c>
      <c r="E574" s="23">
        <v>42012</v>
      </c>
      <c r="F574" s="24">
        <v>3022.1</v>
      </c>
      <c r="G574" s="31">
        <f t="shared" si="8"/>
        <v>0</v>
      </c>
      <c r="H574" s="39" t="s">
        <v>59</v>
      </c>
      <c r="I574" s="4"/>
      <c r="J574" s="4"/>
    </row>
    <row r="575" spans="1:10" s="3" customFormat="1" x14ac:dyDescent="0.25">
      <c r="A575" s="20">
        <v>42012</v>
      </c>
      <c r="B575" s="21">
        <v>8482</v>
      </c>
      <c r="C575" s="14" t="s">
        <v>254</v>
      </c>
      <c r="D575" s="22">
        <v>10668.5</v>
      </c>
      <c r="E575" s="23">
        <v>42012</v>
      </c>
      <c r="F575" s="24">
        <v>10668.5</v>
      </c>
      <c r="G575" s="31">
        <f t="shared" si="8"/>
        <v>0</v>
      </c>
      <c r="H575" s="39" t="s">
        <v>9</v>
      </c>
      <c r="I575" s="4"/>
      <c r="J575" s="4"/>
    </row>
    <row r="576" spans="1:10" s="3" customFormat="1" x14ac:dyDescent="0.25">
      <c r="A576" s="20">
        <v>42012</v>
      </c>
      <c r="B576" s="21">
        <v>8483</v>
      </c>
      <c r="C576" s="26" t="s">
        <v>218</v>
      </c>
      <c r="D576" s="27">
        <v>0</v>
      </c>
      <c r="E576" s="23"/>
      <c r="F576" s="24"/>
      <c r="G576" s="31">
        <f t="shared" si="8"/>
        <v>0</v>
      </c>
      <c r="H576" s="39" t="s">
        <v>13</v>
      </c>
      <c r="I576" s="4"/>
      <c r="J576" s="4"/>
    </row>
    <row r="577" spans="1:10" s="3" customFormat="1" x14ac:dyDescent="0.25">
      <c r="A577" s="20">
        <v>42012</v>
      </c>
      <c r="B577" s="21">
        <v>8484</v>
      </c>
      <c r="C577" s="14" t="s">
        <v>155</v>
      </c>
      <c r="D577" s="22">
        <v>1839</v>
      </c>
      <c r="E577" s="23">
        <v>42012</v>
      </c>
      <c r="F577" s="24">
        <v>1839</v>
      </c>
      <c r="G577" s="31">
        <f t="shared" si="8"/>
        <v>0</v>
      </c>
      <c r="H577" s="39" t="s">
        <v>59</v>
      </c>
      <c r="I577" s="4"/>
      <c r="J577" s="4"/>
    </row>
    <row r="578" spans="1:10" s="3" customFormat="1" x14ac:dyDescent="0.25">
      <c r="A578" s="20">
        <v>42012</v>
      </c>
      <c r="B578" s="21">
        <v>8485</v>
      </c>
      <c r="C578" s="14" t="s">
        <v>97</v>
      </c>
      <c r="D578" s="22">
        <v>7210.4</v>
      </c>
      <c r="E578" s="23">
        <v>42012</v>
      </c>
      <c r="F578" s="24">
        <v>7210.4</v>
      </c>
      <c r="G578" s="31">
        <f t="shared" si="8"/>
        <v>0</v>
      </c>
      <c r="H578" s="39" t="s">
        <v>9</v>
      </c>
    </row>
    <row r="579" spans="1:10" s="3" customFormat="1" x14ac:dyDescent="0.25">
      <c r="A579" s="20">
        <v>42012</v>
      </c>
      <c r="B579" s="21">
        <v>8486</v>
      </c>
      <c r="C579" s="14" t="s">
        <v>82</v>
      </c>
      <c r="D579" s="22">
        <v>4881.3</v>
      </c>
      <c r="E579" s="23">
        <v>42012</v>
      </c>
      <c r="F579" s="24">
        <v>4881.3</v>
      </c>
      <c r="G579" s="31">
        <f t="shared" ref="G579:G642" si="9">D579-F579</f>
        <v>0</v>
      </c>
      <c r="H579" s="39" t="s">
        <v>59</v>
      </c>
    </row>
    <row r="580" spans="1:10" s="3" customFormat="1" x14ac:dyDescent="0.25">
      <c r="A580" s="20">
        <v>42012</v>
      </c>
      <c r="B580" s="21">
        <v>8487</v>
      </c>
      <c r="C580" s="26" t="s">
        <v>218</v>
      </c>
      <c r="D580" s="27">
        <v>0</v>
      </c>
      <c r="E580" s="23"/>
      <c r="F580" s="24"/>
      <c r="G580" s="31">
        <f t="shared" si="9"/>
        <v>0</v>
      </c>
      <c r="H580" s="39" t="s">
        <v>13</v>
      </c>
    </row>
    <row r="581" spans="1:10" s="3" customFormat="1" x14ac:dyDescent="0.25">
      <c r="A581" s="20">
        <v>42012</v>
      </c>
      <c r="B581" s="21">
        <v>8488</v>
      </c>
      <c r="C581" s="14" t="s">
        <v>135</v>
      </c>
      <c r="D581" s="22">
        <v>2378.8000000000002</v>
      </c>
      <c r="E581" s="23">
        <v>42012</v>
      </c>
      <c r="F581" s="24">
        <v>2378.8000000000002</v>
      </c>
      <c r="G581" s="31">
        <f t="shared" si="9"/>
        <v>0</v>
      </c>
      <c r="H581" s="39" t="s">
        <v>9</v>
      </c>
    </row>
    <row r="582" spans="1:10" s="3" customFormat="1" x14ac:dyDescent="0.25">
      <c r="A582" s="20">
        <v>42012</v>
      </c>
      <c r="B582" s="21">
        <v>8489</v>
      </c>
      <c r="C582" s="14" t="s">
        <v>127</v>
      </c>
      <c r="D582" s="22">
        <v>10231.200000000001</v>
      </c>
      <c r="E582" s="23">
        <v>42012</v>
      </c>
      <c r="F582" s="24">
        <v>10231.200000000001</v>
      </c>
      <c r="G582" s="31">
        <f t="shared" si="9"/>
        <v>0</v>
      </c>
      <c r="H582" s="39" t="s">
        <v>9</v>
      </c>
    </row>
    <row r="583" spans="1:10" s="3" customFormat="1" x14ac:dyDescent="0.25">
      <c r="A583" s="20">
        <v>42012</v>
      </c>
      <c r="B583" s="21">
        <v>8490</v>
      </c>
      <c r="C583" s="14" t="s">
        <v>53</v>
      </c>
      <c r="D583" s="22">
        <v>840</v>
      </c>
      <c r="E583" s="23">
        <v>42012</v>
      </c>
      <c r="F583" s="24">
        <v>840</v>
      </c>
      <c r="G583" s="31">
        <f t="shared" si="9"/>
        <v>0</v>
      </c>
      <c r="H583" s="39" t="s">
        <v>59</v>
      </c>
    </row>
    <row r="584" spans="1:10" s="3" customFormat="1" x14ac:dyDescent="0.25">
      <c r="A584" s="20">
        <v>42012</v>
      </c>
      <c r="B584" s="21">
        <v>8491</v>
      </c>
      <c r="C584" s="14" t="s">
        <v>214</v>
      </c>
      <c r="D584" s="22">
        <v>840</v>
      </c>
      <c r="E584" s="23">
        <v>42012</v>
      </c>
      <c r="F584" s="24">
        <v>840</v>
      </c>
      <c r="G584" s="31">
        <f t="shared" si="9"/>
        <v>0</v>
      </c>
      <c r="H584" s="39" t="s">
        <v>59</v>
      </c>
    </row>
    <row r="585" spans="1:10" s="3" customFormat="1" x14ac:dyDescent="0.25">
      <c r="A585" s="20">
        <v>42012</v>
      </c>
      <c r="B585" s="21">
        <v>8492</v>
      </c>
      <c r="C585" s="14" t="s">
        <v>57</v>
      </c>
      <c r="D585" s="22">
        <v>840</v>
      </c>
      <c r="E585" s="23">
        <v>42012</v>
      </c>
      <c r="F585" s="24">
        <v>840</v>
      </c>
      <c r="G585" s="31">
        <f t="shared" si="9"/>
        <v>0</v>
      </c>
      <c r="H585" s="39" t="s">
        <v>62</v>
      </c>
    </row>
    <row r="586" spans="1:10" s="3" customFormat="1" x14ac:dyDescent="0.25">
      <c r="A586" s="20">
        <v>42012</v>
      </c>
      <c r="B586" s="21">
        <v>8493</v>
      </c>
      <c r="C586" s="14" t="s">
        <v>24</v>
      </c>
      <c r="D586" s="22">
        <v>103196.06</v>
      </c>
      <c r="E586" s="23">
        <v>42017</v>
      </c>
      <c r="F586" s="24">
        <v>103196.06</v>
      </c>
      <c r="G586" s="31">
        <f t="shared" si="9"/>
        <v>0</v>
      </c>
      <c r="H586" s="39" t="s">
        <v>183</v>
      </c>
    </row>
    <row r="587" spans="1:10" s="3" customFormat="1" x14ac:dyDescent="0.25">
      <c r="A587" s="20">
        <v>42012</v>
      </c>
      <c r="B587" s="21">
        <v>8494</v>
      </c>
      <c r="C587" s="14" t="s">
        <v>14</v>
      </c>
      <c r="D587" s="22">
        <v>101414.74</v>
      </c>
      <c r="E587" s="23">
        <v>42016</v>
      </c>
      <c r="F587" s="24">
        <v>101414.74</v>
      </c>
      <c r="G587" s="31">
        <f t="shared" si="9"/>
        <v>0</v>
      </c>
      <c r="H587" s="39" t="s">
        <v>9</v>
      </c>
    </row>
    <row r="588" spans="1:10" s="3" customFormat="1" x14ac:dyDescent="0.25">
      <c r="A588" s="20">
        <v>42012</v>
      </c>
      <c r="B588" s="21">
        <v>8495</v>
      </c>
      <c r="C588" s="14" t="s">
        <v>34</v>
      </c>
      <c r="D588" s="22">
        <v>5643.6</v>
      </c>
      <c r="E588" s="23">
        <v>42012</v>
      </c>
      <c r="F588" s="24">
        <v>5643.6</v>
      </c>
      <c r="G588" s="31">
        <f t="shared" si="9"/>
        <v>0</v>
      </c>
      <c r="H588" s="39" t="s">
        <v>9</v>
      </c>
    </row>
    <row r="589" spans="1:10" s="3" customFormat="1" x14ac:dyDescent="0.25">
      <c r="A589" s="20">
        <v>42012</v>
      </c>
      <c r="B589" s="21">
        <v>8496</v>
      </c>
      <c r="C589" s="14" t="s">
        <v>81</v>
      </c>
      <c r="D589" s="22">
        <v>2098.4</v>
      </c>
      <c r="E589" s="23">
        <v>42012</v>
      </c>
      <c r="F589" s="24">
        <v>2098.4</v>
      </c>
      <c r="G589" s="31">
        <f t="shared" si="9"/>
        <v>0</v>
      </c>
      <c r="H589" s="39" t="s">
        <v>59</v>
      </c>
    </row>
    <row r="590" spans="1:10" s="3" customFormat="1" x14ac:dyDescent="0.25">
      <c r="A590" s="20">
        <v>42012</v>
      </c>
      <c r="B590" s="21">
        <v>8497</v>
      </c>
      <c r="C590" s="14" t="s">
        <v>91</v>
      </c>
      <c r="D590" s="22">
        <v>4513.6000000000004</v>
      </c>
      <c r="E590" s="23">
        <v>42012</v>
      </c>
      <c r="F590" s="24">
        <v>4513.6000000000004</v>
      </c>
      <c r="G590" s="31">
        <f t="shared" si="9"/>
        <v>0</v>
      </c>
      <c r="H590" s="39" t="s">
        <v>59</v>
      </c>
    </row>
    <row r="591" spans="1:10" s="3" customFormat="1" x14ac:dyDescent="0.25">
      <c r="A591" s="20">
        <v>42012</v>
      </c>
      <c r="B591" s="21">
        <v>8498</v>
      </c>
      <c r="C591" s="14" t="s">
        <v>125</v>
      </c>
      <c r="D591" s="22">
        <v>28335.22</v>
      </c>
      <c r="E591" s="23">
        <v>42012</v>
      </c>
      <c r="F591" s="24">
        <v>28335.22</v>
      </c>
      <c r="G591" s="31">
        <f t="shared" si="9"/>
        <v>0</v>
      </c>
      <c r="H591" s="39" t="s">
        <v>94</v>
      </c>
    </row>
    <row r="592" spans="1:10" s="3" customFormat="1" x14ac:dyDescent="0.25">
      <c r="A592" s="20">
        <v>42012</v>
      </c>
      <c r="B592" s="21">
        <v>8499</v>
      </c>
      <c r="C592" s="14" t="s">
        <v>114</v>
      </c>
      <c r="D592" s="22">
        <v>5286.2</v>
      </c>
      <c r="E592" s="23">
        <v>42012</v>
      </c>
      <c r="F592" s="24">
        <v>5286.2</v>
      </c>
      <c r="G592" s="31">
        <f t="shared" si="9"/>
        <v>0</v>
      </c>
      <c r="H592" s="39" t="s">
        <v>9</v>
      </c>
    </row>
    <row r="593" spans="1:10" s="3" customFormat="1" x14ac:dyDescent="0.25">
      <c r="A593" s="20">
        <v>42012</v>
      </c>
      <c r="B593" s="21">
        <v>8500</v>
      </c>
      <c r="C593" s="14" t="s">
        <v>49</v>
      </c>
      <c r="D593" s="22">
        <v>1358.4</v>
      </c>
      <c r="E593" s="23">
        <v>42012</v>
      </c>
      <c r="F593" s="24">
        <v>1358.4</v>
      </c>
      <c r="G593" s="31">
        <f t="shared" si="9"/>
        <v>0</v>
      </c>
      <c r="H593" s="39" t="s">
        <v>94</v>
      </c>
    </row>
    <row r="594" spans="1:10" s="3" customFormat="1" x14ac:dyDescent="0.25">
      <c r="A594" s="20">
        <v>42012</v>
      </c>
      <c r="B594" s="21">
        <v>8501</v>
      </c>
      <c r="C594" s="14" t="s">
        <v>48</v>
      </c>
      <c r="D594" s="22">
        <v>3473.5</v>
      </c>
      <c r="E594" s="23">
        <v>42012</v>
      </c>
      <c r="F594" s="24">
        <v>3473.5</v>
      </c>
      <c r="G594" s="31">
        <f t="shared" si="9"/>
        <v>0</v>
      </c>
      <c r="H594" s="39" t="s">
        <v>94</v>
      </c>
      <c r="I594" s="4"/>
      <c r="J594" s="4"/>
    </row>
    <row r="595" spans="1:10" s="3" customFormat="1" x14ac:dyDescent="0.25">
      <c r="A595" s="20">
        <v>42012</v>
      </c>
      <c r="B595" s="21">
        <v>8502</v>
      </c>
      <c r="C595" s="14" t="s">
        <v>229</v>
      </c>
      <c r="D595" s="22">
        <v>5426.41</v>
      </c>
      <c r="E595" s="23">
        <v>42012</v>
      </c>
      <c r="F595" s="24">
        <v>5426.41</v>
      </c>
      <c r="G595" s="31">
        <f t="shared" si="9"/>
        <v>0</v>
      </c>
      <c r="H595" s="39" t="s">
        <v>9</v>
      </c>
      <c r="I595" s="4"/>
      <c r="J595" s="4"/>
    </row>
    <row r="596" spans="1:10" s="3" customFormat="1" x14ac:dyDescent="0.25">
      <c r="A596" s="20">
        <v>42012</v>
      </c>
      <c r="B596" s="21">
        <v>8503</v>
      </c>
      <c r="C596" s="14" t="s">
        <v>128</v>
      </c>
      <c r="D596" s="22">
        <v>9774</v>
      </c>
      <c r="E596" s="23">
        <v>42012</v>
      </c>
      <c r="F596" s="24">
        <v>9774</v>
      </c>
      <c r="G596" s="31">
        <f t="shared" si="9"/>
        <v>0</v>
      </c>
      <c r="H596" s="39" t="s">
        <v>94</v>
      </c>
      <c r="I596" s="4"/>
      <c r="J596" s="4"/>
    </row>
    <row r="597" spans="1:10" s="3" customFormat="1" x14ac:dyDescent="0.25">
      <c r="A597" s="20">
        <v>42012</v>
      </c>
      <c r="B597" s="21">
        <v>8504</v>
      </c>
      <c r="C597" s="14" t="s">
        <v>130</v>
      </c>
      <c r="D597" s="22">
        <v>4027.4</v>
      </c>
      <c r="E597" s="23">
        <v>42012</v>
      </c>
      <c r="F597" s="24">
        <v>4027.4</v>
      </c>
      <c r="G597" s="31">
        <f t="shared" si="9"/>
        <v>0</v>
      </c>
      <c r="H597" s="39" t="s">
        <v>17</v>
      </c>
      <c r="I597" s="4"/>
      <c r="J597" s="4"/>
    </row>
    <row r="598" spans="1:10" s="3" customFormat="1" x14ac:dyDescent="0.25">
      <c r="A598" s="20">
        <v>42012</v>
      </c>
      <c r="B598" s="21">
        <v>8505</v>
      </c>
      <c r="C598" s="14" t="s">
        <v>100</v>
      </c>
      <c r="D598" s="22">
        <v>1205.0999999999999</v>
      </c>
      <c r="E598" s="23">
        <v>42012</v>
      </c>
      <c r="F598" s="24">
        <v>1205.0999999999999</v>
      </c>
      <c r="G598" s="31">
        <f t="shared" si="9"/>
        <v>0</v>
      </c>
      <c r="H598" s="39" t="s">
        <v>9</v>
      </c>
      <c r="I598" s="4"/>
      <c r="J598" s="4"/>
    </row>
    <row r="599" spans="1:10" s="3" customFormat="1" x14ac:dyDescent="0.25">
      <c r="A599" s="20">
        <v>42012</v>
      </c>
      <c r="B599" s="21">
        <v>8506</v>
      </c>
      <c r="C599" s="14" t="s">
        <v>131</v>
      </c>
      <c r="D599" s="22">
        <v>4770.8</v>
      </c>
      <c r="E599" s="23">
        <v>42013</v>
      </c>
      <c r="F599" s="24">
        <v>4770.8</v>
      </c>
      <c r="G599" s="31">
        <f t="shared" si="9"/>
        <v>0</v>
      </c>
      <c r="H599" s="39" t="s">
        <v>17</v>
      </c>
      <c r="I599" s="4"/>
      <c r="J599" s="4"/>
    </row>
    <row r="600" spans="1:10" s="3" customFormat="1" x14ac:dyDescent="0.25">
      <c r="A600" s="20">
        <v>42012</v>
      </c>
      <c r="B600" s="21">
        <v>8507</v>
      </c>
      <c r="C600" s="14" t="s">
        <v>255</v>
      </c>
      <c r="D600" s="22">
        <v>3726</v>
      </c>
      <c r="E600" s="23">
        <v>42012</v>
      </c>
      <c r="F600" s="24">
        <v>3726</v>
      </c>
      <c r="G600" s="31">
        <f t="shared" si="9"/>
        <v>0</v>
      </c>
      <c r="H600" s="39" t="s">
        <v>17</v>
      </c>
      <c r="I600" s="4"/>
      <c r="J600" s="4"/>
    </row>
    <row r="601" spans="1:10" s="3" customFormat="1" x14ac:dyDescent="0.25">
      <c r="A601" s="20">
        <v>42012</v>
      </c>
      <c r="B601" s="21">
        <v>8508</v>
      </c>
      <c r="C601" s="14" t="s">
        <v>32</v>
      </c>
      <c r="D601" s="22">
        <v>55162.8</v>
      </c>
      <c r="E601" s="23">
        <v>42035</v>
      </c>
      <c r="F601" s="24">
        <v>55162.8</v>
      </c>
      <c r="G601" s="31">
        <f t="shared" si="9"/>
        <v>0</v>
      </c>
      <c r="H601" s="39" t="s">
        <v>149</v>
      </c>
      <c r="I601" s="4"/>
      <c r="J601" s="28"/>
    </row>
    <row r="602" spans="1:10" s="3" customFormat="1" x14ac:dyDescent="0.25">
      <c r="A602" s="20">
        <v>42012</v>
      </c>
      <c r="B602" s="21">
        <v>8509</v>
      </c>
      <c r="C602" s="14" t="s">
        <v>256</v>
      </c>
      <c r="D602" s="22">
        <v>25975.01</v>
      </c>
      <c r="E602" s="23">
        <v>42012</v>
      </c>
      <c r="F602" s="24">
        <v>25975.01</v>
      </c>
      <c r="G602" s="31">
        <f t="shared" si="9"/>
        <v>0</v>
      </c>
      <c r="H602" s="39" t="s">
        <v>62</v>
      </c>
      <c r="I602" s="4"/>
      <c r="J602" s="4"/>
    </row>
    <row r="603" spans="1:10" s="3" customFormat="1" x14ac:dyDescent="0.25">
      <c r="A603" s="20">
        <v>42012</v>
      </c>
      <c r="B603" s="21">
        <v>8510</v>
      </c>
      <c r="C603" s="14" t="s">
        <v>137</v>
      </c>
      <c r="D603" s="22">
        <v>729</v>
      </c>
      <c r="E603" s="23">
        <v>42012</v>
      </c>
      <c r="F603" s="24">
        <v>729</v>
      </c>
      <c r="G603" s="31">
        <f t="shared" si="9"/>
        <v>0</v>
      </c>
      <c r="H603" s="39" t="s">
        <v>9</v>
      </c>
      <c r="I603" s="4"/>
      <c r="J603" s="4"/>
    </row>
    <row r="604" spans="1:10" s="3" customFormat="1" x14ac:dyDescent="0.25">
      <c r="A604" s="20">
        <v>42012</v>
      </c>
      <c r="B604" s="21">
        <v>8511</v>
      </c>
      <c r="C604" s="14" t="s">
        <v>110</v>
      </c>
      <c r="D604" s="22">
        <v>8301.5</v>
      </c>
      <c r="E604" s="23">
        <v>42014</v>
      </c>
      <c r="F604" s="24">
        <v>8301.5</v>
      </c>
      <c r="G604" s="31">
        <f t="shared" si="9"/>
        <v>0</v>
      </c>
      <c r="H604" s="39" t="s">
        <v>41</v>
      </c>
      <c r="I604" s="4"/>
      <c r="J604" s="4"/>
    </row>
    <row r="605" spans="1:10" s="3" customFormat="1" x14ac:dyDescent="0.25">
      <c r="A605" s="20">
        <v>42012</v>
      </c>
      <c r="B605" s="21">
        <v>8512</v>
      </c>
      <c r="C605" s="14" t="s">
        <v>87</v>
      </c>
      <c r="D605" s="22">
        <v>2582.3000000000002</v>
      </c>
      <c r="E605" s="23">
        <v>42012</v>
      </c>
      <c r="F605" s="24">
        <v>2582.3000000000002</v>
      </c>
      <c r="G605" s="31">
        <f t="shared" si="9"/>
        <v>0</v>
      </c>
      <c r="H605" s="39" t="s">
        <v>9</v>
      </c>
      <c r="I605" s="4"/>
      <c r="J605" s="4"/>
    </row>
    <row r="606" spans="1:10" s="3" customFormat="1" x14ac:dyDescent="0.25">
      <c r="A606" s="20">
        <v>42012</v>
      </c>
      <c r="B606" s="21">
        <v>8513</v>
      </c>
      <c r="C606" s="14" t="s">
        <v>110</v>
      </c>
      <c r="D606" s="22">
        <v>79026.13</v>
      </c>
      <c r="E606" s="23">
        <v>42014</v>
      </c>
      <c r="F606" s="24">
        <v>79026.13</v>
      </c>
      <c r="G606" s="31">
        <f t="shared" si="9"/>
        <v>0</v>
      </c>
      <c r="H606" s="39" t="s">
        <v>183</v>
      </c>
      <c r="I606" s="4"/>
      <c r="J606" s="4"/>
    </row>
    <row r="607" spans="1:10" s="3" customFormat="1" x14ac:dyDescent="0.25">
      <c r="A607" s="20">
        <v>42012</v>
      </c>
      <c r="B607" s="21">
        <v>8514</v>
      </c>
      <c r="C607" s="14" t="s">
        <v>89</v>
      </c>
      <c r="D607" s="22">
        <v>3589.2</v>
      </c>
      <c r="E607" s="23">
        <v>42012</v>
      </c>
      <c r="F607" s="24">
        <v>3589.2</v>
      </c>
      <c r="G607" s="31">
        <f t="shared" si="9"/>
        <v>0</v>
      </c>
      <c r="H607" s="39" t="s">
        <v>9</v>
      </c>
      <c r="I607" s="4"/>
      <c r="J607" s="4"/>
    </row>
    <row r="608" spans="1:10" s="3" customFormat="1" x14ac:dyDescent="0.25">
      <c r="A608" s="20">
        <v>42012</v>
      </c>
      <c r="B608" s="21">
        <v>8515</v>
      </c>
      <c r="C608" s="14" t="s">
        <v>89</v>
      </c>
      <c r="D608" s="22">
        <v>197.2</v>
      </c>
      <c r="E608" s="23">
        <v>42012</v>
      </c>
      <c r="F608" s="24">
        <v>197.2</v>
      </c>
      <c r="G608" s="31">
        <f t="shared" si="9"/>
        <v>0</v>
      </c>
      <c r="H608" s="39" t="s">
        <v>9</v>
      </c>
      <c r="I608" s="4"/>
      <c r="J608" s="4"/>
    </row>
    <row r="609" spans="1:10" s="3" customFormat="1" x14ac:dyDescent="0.25">
      <c r="A609" s="20">
        <v>42012</v>
      </c>
      <c r="B609" s="21">
        <v>8516</v>
      </c>
      <c r="C609" s="14" t="s">
        <v>74</v>
      </c>
      <c r="D609" s="22">
        <v>1987.2</v>
      </c>
      <c r="E609" s="23">
        <v>42012</v>
      </c>
      <c r="F609" s="24">
        <v>1987.2</v>
      </c>
      <c r="G609" s="31">
        <f t="shared" si="9"/>
        <v>0</v>
      </c>
      <c r="H609" s="39" t="s">
        <v>9</v>
      </c>
      <c r="I609" s="4"/>
      <c r="J609" s="4"/>
    </row>
    <row r="610" spans="1:10" s="3" customFormat="1" x14ac:dyDescent="0.25">
      <c r="A610" s="20">
        <v>42012</v>
      </c>
      <c r="B610" s="21">
        <v>8517</v>
      </c>
      <c r="C610" s="14" t="s">
        <v>74</v>
      </c>
      <c r="D610" s="22">
        <v>87.4</v>
      </c>
      <c r="E610" s="23">
        <v>42012</v>
      </c>
      <c r="F610" s="24">
        <v>87.4</v>
      </c>
      <c r="G610" s="31">
        <f t="shared" si="9"/>
        <v>0</v>
      </c>
      <c r="H610" s="39" t="s">
        <v>9</v>
      </c>
      <c r="I610" s="4"/>
      <c r="J610" s="4"/>
    </row>
    <row r="611" spans="1:10" s="3" customFormat="1" x14ac:dyDescent="0.25">
      <c r="A611" s="20">
        <v>42012</v>
      </c>
      <c r="B611" s="21">
        <v>8518</v>
      </c>
      <c r="C611" s="14" t="s">
        <v>237</v>
      </c>
      <c r="D611" s="22">
        <v>474</v>
      </c>
      <c r="E611" s="23">
        <v>42012</v>
      </c>
      <c r="F611" s="24">
        <v>474</v>
      </c>
      <c r="G611" s="31">
        <f t="shared" si="9"/>
        <v>0</v>
      </c>
      <c r="H611" s="39" t="s">
        <v>9</v>
      </c>
      <c r="I611" s="4"/>
      <c r="J611" s="4"/>
    </row>
    <row r="612" spans="1:10" s="3" customFormat="1" x14ac:dyDescent="0.25">
      <c r="A612" s="20">
        <v>42012</v>
      </c>
      <c r="B612" s="21">
        <v>8519</v>
      </c>
      <c r="C612" s="14" t="s">
        <v>96</v>
      </c>
      <c r="D612" s="22">
        <v>4996</v>
      </c>
      <c r="E612" s="23">
        <v>42013</v>
      </c>
      <c r="F612" s="24">
        <v>4996</v>
      </c>
      <c r="G612" s="31">
        <f t="shared" si="9"/>
        <v>0</v>
      </c>
      <c r="H612" s="39" t="s">
        <v>19</v>
      </c>
      <c r="I612" s="4"/>
      <c r="J612" s="4"/>
    </row>
    <row r="613" spans="1:10" s="3" customFormat="1" x14ac:dyDescent="0.25">
      <c r="A613" s="20">
        <v>42012</v>
      </c>
      <c r="B613" s="21">
        <v>8520</v>
      </c>
      <c r="C613" s="14" t="s">
        <v>98</v>
      </c>
      <c r="D613" s="22">
        <v>735</v>
      </c>
      <c r="E613" s="23">
        <v>42013</v>
      </c>
      <c r="F613" s="24">
        <v>735</v>
      </c>
      <c r="G613" s="31">
        <f t="shared" si="9"/>
        <v>0</v>
      </c>
      <c r="H613" s="39" t="s">
        <v>19</v>
      </c>
      <c r="I613" s="4"/>
      <c r="J613" s="4"/>
    </row>
    <row r="614" spans="1:10" s="3" customFormat="1" x14ac:dyDescent="0.25">
      <c r="A614" s="20">
        <v>42012</v>
      </c>
      <c r="B614" s="21">
        <v>8521</v>
      </c>
      <c r="C614" s="14" t="s">
        <v>93</v>
      </c>
      <c r="D614" s="22">
        <v>2280</v>
      </c>
      <c r="E614" s="23">
        <v>42013</v>
      </c>
      <c r="F614" s="24">
        <v>2280</v>
      </c>
      <c r="G614" s="31">
        <f t="shared" si="9"/>
        <v>0</v>
      </c>
      <c r="H614" s="39" t="s">
        <v>19</v>
      </c>
      <c r="I614" s="4"/>
      <c r="J614" s="28"/>
    </row>
    <row r="615" spans="1:10" s="3" customFormat="1" x14ac:dyDescent="0.25">
      <c r="A615" s="20">
        <v>42012</v>
      </c>
      <c r="B615" s="21">
        <v>8522</v>
      </c>
      <c r="C615" s="14" t="s">
        <v>95</v>
      </c>
      <c r="D615" s="22">
        <v>2100</v>
      </c>
      <c r="E615" s="23">
        <v>42013</v>
      </c>
      <c r="F615" s="24">
        <v>2100</v>
      </c>
      <c r="G615" s="31">
        <f t="shared" si="9"/>
        <v>0</v>
      </c>
      <c r="H615" s="39" t="s">
        <v>19</v>
      </c>
      <c r="I615" s="4"/>
      <c r="J615" s="4"/>
    </row>
    <row r="616" spans="1:10" s="3" customFormat="1" x14ac:dyDescent="0.25">
      <c r="A616" s="20">
        <v>42012</v>
      </c>
      <c r="B616" s="21">
        <v>8523</v>
      </c>
      <c r="C616" s="14" t="s">
        <v>136</v>
      </c>
      <c r="D616" s="22">
        <v>40893.4</v>
      </c>
      <c r="E616" s="29" t="s">
        <v>257</v>
      </c>
      <c r="F616" s="24">
        <f>30000+10893.4</f>
        <v>40893.4</v>
      </c>
      <c r="G616" s="31">
        <f t="shared" si="9"/>
        <v>0</v>
      </c>
      <c r="H616" s="39" t="s">
        <v>9</v>
      </c>
      <c r="I616" s="4"/>
      <c r="J616" s="28"/>
    </row>
    <row r="617" spans="1:10" s="3" customFormat="1" x14ac:dyDescent="0.25">
      <c r="A617" s="20">
        <v>42012</v>
      </c>
      <c r="B617" s="21">
        <v>8524</v>
      </c>
      <c r="C617" s="14" t="s">
        <v>106</v>
      </c>
      <c r="D617" s="22">
        <v>6779.2</v>
      </c>
      <c r="E617" s="23">
        <v>42013</v>
      </c>
      <c r="F617" s="24">
        <v>6779.2</v>
      </c>
      <c r="G617" s="31">
        <f t="shared" si="9"/>
        <v>0</v>
      </c>
      <c r="H617" s="39" t="s">
        <v>19</v>
      </c>
      <c r="I617" s="4"/>
      <c r="J617" s="4"/>
    </row>
    <row r="618" spans="1:10" s="3" customFormat="1" x14ac:dyDescent="0.25">
      <c r="A618" s="20">
        <v>42012</v>
      </c>
      <c r="B618" s="21">
        <v>8525</v>
      </c>
      <c r="C618" s="14" t="s">
        <v>190</v>
      </c>
      <c r="D618" s="22">
        <v>4348.3599999999997</v>
      </c>
      <c r="E618" s="23">
        <v>42013</v>
      </c>
      <c r="F618" s="24">
        <v>4348.3599999999997</v>
      </c>
      <c r="G618" s="31">
        <f t="shared" si="9"/>
        <v>0</v>
      </c>
      <c r="H618" s="39" t="s">
        <v>19</v>
      </c>
      <c r="I618" s="4"/>
      <c r="J618" s="4"/>
    </row>
    <row r="619" spans="1:10" s="3" customFormat="1" x14ac:dyDescent="0.25">
      <c r="A619" s="20">
        <v>42012</v>
      </c>
      <c r="B619" s="21">
        <v>8526</v>
      </c>
      <c r="C619" s="14" t="s">
        <v>258</v>
      </c>
      <c r="D619" s="22">
        <v>631.79999999999995</v>
      </c>
      <c r="E619" s="23">
        <v>42012</v>
      </c>
      <c r="F619" s="24">
        <v>631.79999999999995</v>
      </c>
      <c r="G619" s="31">
        <f t="shared" si="9"/>
        <v>0</v>
      </c>
      <c r="H619" s="39" t="s">
        <v>9</v>
      </c>
      <c r="I619" s="4"/>
      <c r="J619" s="4"/>
    </row>
    <row r="620" spans="1:10" s="3" customFormat="1" x14ac:dyDescent="0.25">
      <c r="A620" s="20">
        <v>42012</v>
      </c>
      <c r="B620" s="21">
        <v>8527</v>
      </c>
      <c r="C620" s="14" t="s">
        <v>259</v>
      </c>
      <c r="D620" s="22">
        <v>187.1</v>
      </c>
      <c r="E620" s="23">
        <v>42012</v>
      </c>
      <c r="F620" s="24">
        <v>187.1</v>
      </c>
      <c r="G620" s="31">
        <f t="shared" si="9"/>
        <v>0</v>
      </c>
      <c r="H620" s="39" t="s">
        <v>9</v>
      </c>
      <c r="I620" s="4"/>
      <c r="J620" s="4"/>
    </row>
    <row r="621" spans="1:10" s="3" customFormat="1" x14ac:dyDescent="0.25">
      <c r="A621" s="20">
        <v>42012</v>
      </c>
      <c r="B621" s="21">
        <v>8528</v>
      </c>
      <c r="C621" s="14" t="s">
        <v>35</v>
      </c>
      <c r="D621" s="22">
        <v>26212.3</v>
      </c>
      <c r="E621" s="23">
        <v>42012</v>
      </c>
      <c r="F621" s="24">
        <v>26212.3</v>
      </c>
      <c r="G621" s="31">
        <f t="shared" si="9"/>
        <v>0</v>
      </c>
      <c r="H621" s="39" t="s">
        <v>94</v>
      </c>
      <c r="I621" s="4"/>
      <c r="J621" s="4"/>
    </row>
    <row r="622" spans="1:10" s="3" customFormat="1" x14ac:dyDescent="0.25">
      <c r="A622" s="20">
        <v>42012</v>
      </c>
      <c r="B622" s="21">
        <v>8529</v>
      </c>
      <c r="C622" s="14" t="s">
        <v>207</v>
      </c>
      <c r="D622" s="22">
        <v>30263.71</v>
      </c>
      <c r="E622" s="23">
        <v>42014</v>
      </c>
      <c r="F622" s="24">
        <v>30263.71</v>
      </c>
      <c r="G622" s="31">
        <f t="shared" si="9"/>
        <v>0</v>
      </c>
      <c r="H622" s="39" t="s">
        <v>149</v>
      </c>
      <c r="I622" s="4"/>
      <c r="J622" s="4"/>
    </row>
    <row r="623" spans="1:10" s="3" customFormat="1" x14ac:dyDescent="0.25">
      <c r="A623" s="20">
        <v>42012</v>
      </c>
      <c r="B623" s="21">
        <v>8530</v>
      </c>
      <c r="C623" s="26" t="s">
        <v>218</v>
      </c>
      <c r="D623" s="27">
        <v>0</v>
      </c>
      <c r="E623" s="23"/>
      <c r="F623" s="24"/>
      <c r="G623" s="31">
        <f t="shared" si="9"/>
        <v>0</v>
      </c>
      <c r="H623" s="39" t="s">
        <v>13</v>
      </c>
      <c r="I623" s="4"/>
      <c r="J623" s="4"/>
    </row>
    <row r="624" spans="1:10" s="3" customFormat="1" x14ac:dyDescent="0.25">
      <c r="A624" s="20">
        <v>42012</v>
      </c>
      <c r="B624" s="21">
        <v>8531</v>
      </c>
      <c r="C624" s="14" t="s">
        <v>47</v>
      </c>
      <c r="D624" s="22">
        <v>31101.8</v>
      </c>
      <c r="E624" s="23">
        <v>42012</v>
      </c>
      <c r="F624" s="24">
        <v>31101.8</v>
      </c>
      <c r="G624" s="31">
        <f t="shared" si="9"/>
        <v>0</v>
      </c>
      <c r="H624" s="39" t="s">
        <v>94</v>
      </c>
      <c r="I624" s="4"/>
      <c r="J624" s="4"/>
    </row>
    <row r="625" spans="1:10" s="3" customFormat="1" x14ac:dyDescent="0.25">
      <c r="A625" s="20">
        <v>42012</v>
      </c>
      <c r="B625" s="21">
        <v>8532</v>
      </c>
      <c r="C625" s="14" t="s">
        <v>179</v>
      </c>
      <c r="D625" s="22">
        <v>4867.8500000000004</v>
      </c>
      <c r="E625" s="23">
        <v>42012</v>
      </c>
      <c r="F625" s="24">
        <v>4867.8500000000004</v>
      </c>
      <c r="G625" s="31">
        <f t="shared" si="9"/>
        <v>0</v>
      </c>
      <c r="H625" s="39" t="s">
        <v>17</v>
      </c>
      <c r="I625" s="4"/>
      <c r="J625" s="4"/>
    </row>
    <row r="626" spans="1:10" s="3" customFormat="1" x14ac:dyDescent="0.25">
      <c r="A626" s="20">
        <v>42012</v>
      </c>
      <c r="B626" s="21">
        <v>8533</v>
      </c>
      <c r="C626" s="14" t="s">
        <v>195</v>
      </c>
      <c r="D626" s="22">
        <v>127492.78</v>
      </c>
      <c r="E626" s="30" t="s">
        <v>260</v>
      </c>
      <c r="F626" s="24">
        <v>127492.78</v>
      </c>
      <c r="G626" s="31">
        <f t="shared" si="9"/>
        <v>0</v>
      </c>
      <c r="H626" s="39" t="s">
        <v>149</v>
      </c>
    </row>
    <row r="627" spans="1:10" s="3" customFormat="1" x14ac:dyDescent="0.25">
      <c r="A627" s="20">
        <v>42012</v>
      </c>
      <c r="B627" s="21">
        <v>8534</v>
      </c>
      <c r="C627" s="14" t="s">
        <v>76</v>
      </c>
      <c r="D627" s="22">
        <v>1848</v>
      </c>
      <c r="E627" s="23">
        <v>42012</v>
      </c>
      <c r="F627" s="24">
        <v>1848</v>
      </c>
      <c r="G627" s="31">
        <f t="shared" si="9"/>
        <v>0</v>
      </c>
      <c r="H627" s="39" t="s">
        <v>9</v>
      </c>
    </row>
    <row r="628" spans="1:10" s="3" customFormat="1" x14ac:dyDescent="0.25">
      <c r="A628" s="20">
        <v>42012</v>
      </c>
      <c r="B628" s="21">
        <v>8535</v>
      </c>
      <c r="C628" s="14" t="s">
        <v>202</v>
      </c>
      <c r="D628" s="22">
        <v>13545</v>
      </c>
      <c r="E628" s="23">
        <v>42014</v>
      </c>
      <c r="F628" s="24">
        <v>13545</v>
      </c>
      <c r="G628" s="31">
        <f t="shared" si="9"/>
        <v>0</v>
      </c>
      <c r="H628" s="39" t="s">
        <v>149</v>
      </c>
    </row>
    <row r="629" spans="1:10" s="3" customFormat="1" x14ac:dyDescent="0.25">
      <c r="A629" s="20">
        <v>42012</v>
      </c>
      <c r="B629" s="21">
        <v>8536</v>
      </c>
      <c r="C629" s="14" t="s">
        <v>201</v>
      </c>
      <c r="D629" s="22">
        <v>2013.2</v>
      </c>
      <c r="E629" s="23">
        <v>42014</v>
      </c>
      <c r="F629" s="24">
        <v>2013.2</v>
      </c>
      <c r="G629" s="31">
        <f t="shared" si="9"/>
        <v>0</v>
      </c>
      <c r="H629" s="39" t="s">
        <v>149</v>
      </c>
    </row>
    <row r="630" spans="1:10" s="3" customFormat="1" x14ac:dyDescent="0.25">
      <c r="A630" s="20">
        <v>42012</v>
      </c>
      <c r="B630" s="21">
        <v>8537</v>
      </c>
      <c r="C630" s="14" t="s">
        <v>192</v>
      </c>
      <c r="D630" s="22">
        <v>4384.24</v>
      </c>
      <c r="E630" s="23">
        <v>42019</v>
      </c>
      <c r="F630" s="24">
        <v>4384.24</v>
      </c>
      <c r="G630" s="31">
        <f t="shared" si="9"/>
        <v>0</v>
      </c>
      <c r="H630" s="39" t="s">
        <v>41</v>
      </c>
    </row>
    <row r="631" spans="1:10" s="3" customFormat="1" x14ac:dyDescent="0.25">
      <c r="A631" s="20">
        <v>42012</v>
      </c>
      <c r="B631" s="21">
        <v>8538</v>
      </c>
      <c r="C631" s="14" t="s">
        <v>261</v>
      </c>
      <c r="D631" s="22">
        <v>20303.400000000001</v>
      </c>
      <c r="E631" s="23">
        <v>42014</v>
      </c>
      <c r="F631" s="24">
        <v>20303.400000000001</v>
      </c>
      <c r="G631" s="31">
        <f t="shared" si="9"/>
        <v>0</v>
      </c>
      <c r="H631" s="39" t="s">
        <v>149</v>
      </c>
    </row>
    <row r="632" spans="1:10" s="3" customFormat="1" x14ac:dyDescent="0.25">
      <c r="A632" s="20">
        <v>42012</v>
      </c>
      <c r="B632" s="21">
        <v>8539</v>
      </c>
      <c r="C632" s="14" t="s">
        <v>208</v>
      </c>
      <c r="D632" s="22">
        <v>18584.7</v>
      </c>
      <c r="E632" s="23">
        <v>42014</v>
      </c>
      <c r="F632" s="24">
        <v>18584.7</v>
      </c>
      <c r="G632" s="31">
        <f t="shared" si="9"/>
        <v>0</v>
      </c>
      <c r="H632" s="39" t="s">
        <v>149</v>
      </c>
    </row>
    <row r="633" spans="1:10" s="3" customFormat="1" x14ac:dyDescent="0.25">
      <c r="A633" s="20">
        <v>42012</v>
      </c>
      <c r="B633" s="21">
        <v>8540</v>
      </c>
      <c r="C633" s="14" t="s">
        <v>64</v>
      </c>
      <c r="D633" s="22">
        <v>2024.4</v>
      </c>
      <c r="E633" s="23">
        <v>42012</v>
      </c>
      <c r="F633" s="24">
        <v>2024.4</v>
      </c>
      <c r="G633" s="31">
        <f t="shared" si="9"/>
        <v>0</v>
      </c>
      <c r="H633" s="39" t="s">
        <v>9</v>
      </c>
    </row>
    <row r="634" spans="1:10" s="3" customFormat="1" x14ac:dyDescent="0.25">
      <c r="A634" s="20">
        <v>42012</v>
      </c>
      <c r="B634" s="21">
        <v>8541</v>
      </c>
      <c r="C634" s="14" t="s">
        <v>68</v>
      </c>
      <c r="D634" s="22">
        <v>1968.8</v>
      </c>
      <c r="E634" s="23">
        <v>42014</v>
      </c>
      <c r="F634" s="24">
        <v>1968.8</v>
      </c>
      <c r="G634" s="31">
        <f t="shared" si="9"/>
        <v>0</v>
      </c>
      <c r="H634" s="39" t="s">
        <v>149</v>
      </c>
    </row>
    <row r="635" spans="1:10" s="3" customFormat="1" x14ac:dyDescent="0.25">
      <c r="A635" s="20">
        <v>42012</v>
      </c>
      <c r="B635" s="21">
        <v>8542</v>
      </c>
      <c r="C635" s="14" t="s">
        <v>200</v>
      </c>
      <c r="D635" s="22">
        <v>3093.8</v>
      </c>
      <c r="E635" s="23">
        <v>42014</v>
      </c>
      <c r="F635" s="24">
        <v>3093.8</v>
      </c>
      <c r="G635" s="31">
        <f t="shared" si="9"/>
        <v>0</v>
      </c>
      <c r="H635" s="39" t="s">
        <v>149</v>
      </c>
    </row>
    <row r="636" spans="1:10" s="3" customFormat="1" x14ac:dyDescent="0.25">
      <c r="A636" s="20">
        <v>42012</v>
      </c>
      <c r="B636" s="21">
        <v>8543</v>
      </c>
      <c r="C636" s="14" t="s">
        <v>262</v>
      </c>
      <c r="D636" s="22">
        <v>21231.1</v>
      </c>
      <c r="E636" s="23">
        <v>42014</v>
      </c>
      <c r="F636" s="24">
        <v>21231.1</v>
      </c>
      <c r="G636" s="31">
        <f t="shared" si="9"/>
        <v>0</v>
      </c>
      <c r="H636" s="39" t="s">
        <v>149</v>
      </c>
    </row>
    <row r="637" spans="1:10" s="3" customFormat="1" x14ac:dyDescent="0.25">
      <c r="A637" s="20">
        <v>42012</v>
      </c>
      <c r="B637" s="21">
        <v>8544</v>
      </c>
      <c r="C637" s="14" t="s">
        <v>203</v>
      </c>
      <c r="D637" s="22">
        <v>33022.32</v>
      </c>
      <c r="E637" s="23">
        <v>42014</v>
      </c>
      <c r="F637" s="24">
        <v>33022.32</v>
      </c>
      <c r="G637" s="31">
        <f t="shared" si="9"/>
        <v>0</v>
      </c>
      <c r="H637" s="39" t="s">
        <v>149</v>
      </c>
    </row>
    <row r="638" spans="1:10" s="3" customFormat="1" x14ac:dyDescent="0.25">
      <c r="A638" s="20">
        <v>42012</v>
      </c>
      <c r="B638" s="21">
        <v>8545</v>
      </c>
      <c r="C638" s="14" t="s">
        <v>263</v>
      </c>
      <c r="D638" s="22">
        <v>11812</v>
      </c>
      <c r="E638" s="23">
        <v>42014</v>
      </c>
      <c r="F638" s="24">
        <v>11812</v>
      </c>
      <c r="G638" s="31">
        <f t="shared" si="9"/>
        <v>0</v>
      </c>
      <c r="H638" s="39" t="s">
        <v>149</v>
      </c>
    </row>
    <row r="639" spans="1:10" s="3" customFormat="1" x14ac:dyDescent="0.25">
      <c r="A639" s="20">
        <v>42012</v>
      </c>
      <c r="B639" s="21">
        <v>8546</v>
      </c>
      <c r="C639" s="14" t="s">
        <v>264</v>
      </c>
      <c r="D639" s="22">
        <v>320</v>
      </c>
      <c r="E639" s="23">
        <v>42012</v>
      </c>
      <c r="F639" s="24">
        <v>320</v>
      </c>
      <c r="G639" s="31">
        <f t="shared" si="9"/>
        <v>0</v>
      </c>
      <c r="H639" s="39" t="s">
        <v>9</v>
      </c>
    </row>
    <row r="640" spans="1:10" s="3" customFormat="1" x14ac:dyDescent="0.25">
      <c r="A640" s="20">
        <v>42012</v>
      </c>
      <c r="B640" s="21">
        <v>8547</v>
      </c>
      <c r="C640" s="14" t="s">
        <v>265</v>
      </c>
      <c r="D640" s="22">
        <v>4004.55</v>
      </c>
      <c r="E640" s="23">
        <v>42012</v>
      </c>
      <c r="F640" s="24">
        <v>4004.55</v>
      </c>
      <c r="G640" s="31">
        <f t="shared" si="9"/>
        <v>0</v>
      </c>
      <c r="H640" s="39" t="s">
        <v>9</v>
      </c>
    </row>
    <row r="641" spans="1:10" s="3" customFormat="1" x14ac:dyDescent="0.25">
      <c r="A641" s="20">
        <v>42012</v>
      </c>
      <c r="B641" s="21">
        <v>8548</v>
      </c>
      <c r="C641" s="14" t="s">
        <v>215</v>
      </c>
      <c r="D641" s="22">
        <v>31374.95</v>
      </c>
      <c r="E641" s="23">
        <v>42013</v>
      </c>
      <c r="F641" s="24">
        <v>31374.95</v>
      </c>
      <c r="G641" s="31">
        <f t="shared" si="9"/>
        <v>0</v>
      </c>
      <c r="H641" s="39" t="s">
        <v>36</v>
      </c>
    </row>
    <row r="642" spans="1:10" s="3" customFormat="1" x14ac:dyDescent="0.25">
      <c r="A642" s="20">
        <v>42012</v>
      </c>
      <c r="B642" s="21">
        <v>8549</v>
      </c>
      <c r="C642" s="14" t="s">
        <v>141</v>
      </c>
      <c r="D642" s="22">
        <v>255.4</v>
      </c>
      <c r="E642" s="23">
        <v>42012</v>
      </c>
      <c r="F642" s="24">
        <v>255.4</v>
      </c>
      <c r="G642" s="31">
        <f t="shared" si="9"/>
        <v>0</v>
      </c>
      <c r="H642" s="39" t="s">
        <v>9</v>
      </c>
      <c r="I642" s="4"/>
      <c r="J642" s="4"/>
    </row>
    <row r="643" spans="1:10" s="3" customFormat="1" x14ac:dyDescent="0.25">
      <c r="A643" s="20">
        <v>42012</v>
      </c>
      <c r="B643" s="21">
        <v>8550</v>
      </c>
      <c r="C643" s="14" t="s">
        <v>205</v>
      </c>
      <c r="D643" s="22">
        <v>1588.8</v>
      </c>
      <c r="E643" s="23">
        <v>42018</v>
      </c>
      <c r="F643" s="24">
        <v>1588.8</v>
      </c>
      <c r="G643" s="31">
        <f t="shared" ref="G643:G706" si="10">D643-F643</f>
        <v>0</v>
      </c>
      <c r="H643" s="39" t="s">
        <v>149</v>
      </c>
      <c r="I643" s="4"/>
      <c r="J643" s="4"/>
    </row>
    <row r="644" spans="1:10" s="3" customFormat="1" x14ac:dyDescent="0.25">
      <c r="A644" s="20">
        <v>42012</v>
      </c>
      <c r="B644" s="21">
        <v>8551</v>
      </c>
      <c r="C644" s="14" t="s">
        <v>59</v>
      </c>
      <c r="D644" s="22">
        <v>93.6</v>
      </c>
      <c r="E644" s="23">
        <v>42012</v>
      </c>
      <c r="F644" s="24">
        <v>93.6</v>
      </c>
      <c r="G644" s="31">
        <f t="shared" si="10"/>
        <v>0</v>
      </c>
      <c r="H644" s="39" t="s">
        <v>9</v>
      </c>
      <c r="I644" s="4"/>
      <c r="J644" s="4"/>
    </row>
    <row r="645" spans="1:10" s="3" customFormat="1" x14ac:dyDescent="0.25">
      <c r="A645" s="20">
        <v>42012</v>
      </c>
      <c r="B645" s="21">
        <v>8552</v>
      </c>
      <c r="C645" s="14" t="s">
        <v>266</v>
      </c>
      <c r="D645" s="22">
        <v>220</v>
      </c>
      <c r="E645" s="23">
        <v>42013</v>
      </c>
      <c r="F645" s="24">
        <v>220</v>
      </c>
      <c r="G645" s="31">
        <f t="shared" si="10"/>
        <v>0</v>
      </c>
      <c r="H645" s="39" t="s">
        <v>9</v>
      </c>
      <c r="I645" s="4"/>
      <c r="J645" s="4"/>
    </row>
    <row r="646" spans="1:10" s="3" customFormat="1" x14ac:dyDescent="0.25">
      <c r="A646" s="20">
        <v>42012</v>
      </c>
      <c r="B646" s="21">
        <v>8553</v>
      </c>
      <c r="C646" s="14" t="s">
        <v>198</v>
      </c>
      <c r="D646" s="22">
        <v>9606.7999999999993</v>
      </c>
      <c r="E646" s="23">
        <v>42014</v>
      </c>
      <c r="F646" s="24">
        <v>9606.7999999999993</v>
      </c>
      <c r="G646" s="31">
        <f t="shared" si="10"/>
        <v>0</v>
      </c>
      <c r="H646" s="39" t="s">
        <v>149</v>
      </c>
      <c r="I646" s="4"/>
      <c r="J646" s="4"/>
    </row>
    <row r="647" spans="1:10" s="3" customFormat="1" x14ac:dyDescent="0.25">
      <c r="A647" s="20">
        <v>42012</v>
      </c>
      <c r="B647" s="21">
        <v>8554</v>
      </c>
      <c r="C647" s="14" t="s">
        <v>80</v>
      </c>
      <c r="D647" s="22">
        <v>7300.8</v>
      </c>
      <c r="E647" s="23">
        <v>42012</v>
      </c>
      <c r="F647" s="24">
        <v>7300.8</v>
      </c>
      <c r="G647" s="31">
        <f t="shared" si="10"/>
        <v>0</v>
      </c>
      <c r="H647" s="39" t="s">
        <v>9</v>
      </c>
      <c r="I647" s="4"/>
      <c r="J647" s="4"/>
    </row>
    <row r="648" spans="1:10" s="3" customFormat="1" x14ac:dyDescent="0.25">
      <c r="A648" s="20">
        <v>42012</v>
      </c>
      <c r="B648" s="21">
        <v>8555</v>
      </c>
      <c r="C648" s="14" t="s">
        <v>106</v>
      </c>
      <c r="D648" s="22">
        <v>3101</v>
      </c>
      <c r="E648" s="23">
        <v>42017</v>
      </c>
      <c r="F648" s="24">
        <v>3101</v>
      </c>
      <c r="G648" s="31">
        <f t="shared" si="10"/>
        <v>0</v>
      </c>
      <c r="H648" s="39" t="s">
        <v>9</v>
      </c>
      <c r="I648" s="4"/>
      <c r="J648" s="28"/>
    </row>
    <row r="649" spans="1:10" s="3" customFormat="1" x14ac:dyDescent="0.25">
      <c r="A649" s="20">
        <v>42013</v>
      </c>
      <c r="B649" s="21">
        <v>8556</v>
      </c>
      <c r="C649" s="14" t="s">
        <v>267</v>
      </c>
      <c r="D649" s="22">
        <v>291.7</v>
      </c>
      <c r="E649" s="23">
        <v>42013</v>
      </c>
      <c r="F649" s="24">
        <v>291.7</v>
      </c>
      <c r="G649" s="31">
        <f t="shared" si="10"/>
        <v>0</v>
      </c>
      <c r="H649" s="39" t="s">
        <v>9</v>
      </c>
      <c r="I649" s="4"/>
      <c r="J649" s="4"/>
    </row>
    <row r="650" spans="1:10" s="3" customFormat="1" x14ac:dyDescent="0.25">
      <c r="A650" s="20">
        <v>42013</v>
      </c>
      <c r="B650" s="21">
        <v>8557</v>
      </c>
      <c r="C650" s="14" t="s">
        <v>21</v>
      </c>
      <c r="D650" s="22">
        <v>2999.8</v>
      </c>
      <c r="E650" s="23">
        <v>42013</v>
      </c>
      <c r="F650" s="24">
        <v>2999.8</v>
      </c>
      <c r="G650" s="31">
        <f t="shared" si="10"/>
        <v>0</v>
      </c>
      <c r="H650" s="39" t="s">
        <v>9</v>
      </c>
      <c r="I650" s="4"/>
      <c r="J650" s="4"/>
    </row>
    <row r="651" spans="1:10" s="3" customFormat="1" x14ac:dyDescent="0.25">
      <c r="A651" s="20">
        <v>42013</v>
      </c>
      <c r="B651" s="21">
        <v>8558</v>
      </c>
      <c r="C651" s="14" t="s">
        <v>16</v>
      </c>
      <c r="D651" s="22">
        <v>13534.6</v>
      </c>
      <c r="E651" s="23">
        <v>42013</v>
      </c>
      <c r="F651" s="24">
        <v>13534.6</v>
      </c>
      <c r="G651" s="31">
        <f t="shared" si="10"/>
        <v>0</v>
      </c>
      <c r="H651" s="39" t="s">
        <v>62</v>
      </c>
      <c r="I651" s="4"/>
      <c r="J651" s="4"/>
    </row>
    <row r="652" spans="1:10" s="3" customFormat="1" x14ac:dyDescent="0.25">
      <c r="A652" s="20">
        <v>42013</v>
      </c>
      <c r="B652" s="21">
        <v>8559</v>
      </c>
      <c r="C652" s="14" t="s">
        <v>20</v>
      </c>
      <c r="D652" s="22">
        <v>19403.8</v>
      </c>
      <c r="E652" s="23">
        <v>42013</v>
      </c>
      <c r="F652" s="24">
        <v>19403.8</v>
      </c>
      <c r="G652" s="31">
        <f t="shared" si="10"/>
        <v>0</v>
      </c>
      <c r="H652" s="39" t="s">
        <v>94</v>
      </c>
      <c r="I652" s="4"/>
      <c r="J652" s="4"/>
    </row>
    <row r="653" spans="1:10" s="3" customFormat="1" x14ac:dyDescent="0.25">
      <c r="A653" s="20">
        <v>42013</v>
      </c>
      <c r="B653" s="21">
        <v>8560</v>
      </c>
      <c r="C653" s="14" t="s">
        <v>148</v>
      </c>
      <c r="D653" s="22">
        <v>4347</v>
      </c>
      <c r="E653" s="23">
        <v>42013</v>
      </c>
      <c r="F653" s="24">
        <v>4347</v>
      </c>
      <c r="G653" s="31">
        <f t="shared" si="10"/>
        <v>0</v>
      </c>
      <c r="H653" s="39" t="s">
        <v>9</v>
      </c>
      <c r="I653" s="4"/>
      <c r="J653" s="4"/>
    </row>
    <row r="654" spans="1:10" s="3" customFormat="1" x14ac:dyDescent="0.25">
      <c r="A654" s="20">
        <v>42013</v>
      </c>
      <c r="B654" s="21">
        <v>8561</v>
      </c>
      <c r="C654" s="14" t="s">
        <v>122</v>
      </c>
      <c r="D654" s="22">
        <v>9975.7999999999993</v>
      </c>
      <c r="E654" s="23">
        <v>42013</v>
      </c>
      <c r="F654" s="24">
        <v>9975.7999999999993</v>
      </c>
      <c r="G654" s="31">
        <f t="shared" si="10"/>
        <v>0</v>
      </c>
      <c r="H654" s="39" t="s">
        <v>9</v>
      </c>
      <c r="I654" s="4"/>
      <c r="J654" s="4"/>
    </row>
    <row r="655" spans="1:10" s="3" customFormat="1" x14ac:dyDescent="0.25">
      <c r="A655" s="20">
        <v>42013</v>
      </c>
      <c r="B655" s="21">
        <v>8562</v>
      </c>
      <c r="C655" s="14" t="s">
        <v>268</v>
      </c>
      <c r="D655" s="22">
        <v>17353.599999999999</v>
      </c>
      <c r="E655" s="23">
        <v>42015</v>
      </c>
      <c r="F655" s="24">
        <v>17353.599999999999</v>
      </c>
      <c r="G655" s="31">
        <f t="shared" si="10"/>
        <v>0</v>
      </c>
      <c r="H655" s="39" t="s">
        <v>62</v>
      </c>
      <c r="I655" s="4"/>
      <c r="J655" s="4"/>
    </row>
    <row r="656" spans="1:10" s="3" customFormat="1" x14ac:dyDescent="0.25">
      <c r="A656" s="20">
        <v>42013</v>
      </c>
      <c r="B656" s="21">
        <v>8563</v>
      </c>
      <c r="C656" s="14" t="s">
        <v>114</v>
      </c>
      <c r="D656" s="22">
        <v>28630</v>
      </c>
      <c r="E656" s="23">
        <v>42013</v>
      </c>
      <c r="F656" s="24">
        <v>28630</v>
      </c>
      <c r="G656" s="31">
        <f t="shared" si="10"/>
        <v>0</v>
      </c>
      <c r="H656" s="39" t="s">
        <v>19</v>
      </c>
      <c r="I656" s="4"/>
      <c r="J656" s="4"/>
    </row>
    <row r="657" spans="1:10" s="3" customFormat="1" x14ac:dyDescent="0.25">
      <c r="A657" s="20">
        <v>42013</v>
      </c>
      <c r="B657" s="21">
        <v>8564</v>
      </c>
      <c r="C657" s="14" t="s">
        <v>26</v>
      </c>
      <c r="D657" s="22">
        <v>2880</v>
      </c>
      <c r="E657" s="23">
        <v>42013</v>
      </c>
      <c r="F657" s="24">
        <v>2880</v>
      </c>
      <c r="G657" s="31">
        <f t="shared" si="10"/>
        <v>0</v>
      </c>
      <c r="H657" s="39" t="s">
        <v>27</v>
      </c>
      <c r="I657" s="4"/>
      <c r="J657" s="4"/>
    </row>
    <row r="658" spans="1:10" s="3" customFormat="1" x14ac:dyDescent="0.25">
      <c r="A658" s="20">
        <v>42013</v>
      </c>
      <c r="B658" s="21">
        <v>8565</v>
      </c>
      <c r="C658" s="14" t="s">
        <v>120</v>
      </c>
      <c r="D658" s="22">
        <v>2641.5</v>
      </c>
      <c r="E658" s="23">
        <v>42013</v>
      </c>
      <c r="F658" s="24">
        <v>2641.5</v>
      </c>
      <c r="G658" s="31">
        <f t="shared" si="10"/>
        <v>0</v>
      </c>
      <c r="H658" s="39" t="s">
        <v>59</v>
      </c>
      <c r="I658" s="4"/>
      <c r="J658" s="4"/>
    </row>
    <row r="659" spans="1:10" s="3" customFormat="1" x14ac:dyDescent="0.25">
      <c r="A659" s="20">
        <v>42013</v>
      </c>
      <c r="B659" s="21">
        <v>8566</v>
      </c>
      <c r="C659" s="14" t="s">
        <v>57</v>
      </c>
      <c r="D659" s="22">
        <v>1680</v>
      </c>
      <c r="E659" s="23">
        <v>42013</v>
      </c>
      <c r="F659" s="24">
        <v>1680</v>
      </c>
      <c r="G659" s="31">
        <f t="shared" si="10"/>
        <v>0</v>
      </c>
      <c r="H659" s="39" t="s">
        <v>59</v>
      </c>
      <c r="I659" s="4"/>
      <c r="J659" s="28"/>
    </row>
    <row r="660" spans="1:10" s="3" customFormat="1" x14ac:dyDescent="0.25">
      <c r="A660" s="20">
        <v>42013</v>
      </c>
      <c r="B660" s="21">
        <v>8567</v>
      </c>
      <c r="C660" s="14" t="s">
        <v>53</v>
      </c>
      <c r="D660" s="22">
        <v>2780</v>
      </c>
      <c r="E660" s="23">
        <v>42013</v>
      </c>
      <c r="F660" s="24">
        <v>2780</v>
      </c>
      <c r="G660" s="31">
        <f t="shared" si="10"/>
        <v>0</v>
      </c>
      <c r="H660" s="39" t="s">
        <v>59</v>
      </c>
      <c r="I660" s="4"/>
      <c r="J660" s="4"/>
    </row>
    <row r="661" spans="1:10" s="3" customFormat="1" x14ac:dyDescent="0.25">
      <c r="A661" s="20">
        <v>42013</v>
      </c>
      <c r="B661" s="21">
        <v>8568</v>
      </c>
      <c r="C661" s="14" t="s">
        <v>81</v>
      </c>
      <c r="D661" s="22">
        <v>2739.1</v>
      </c>
      <c r="E661" s="23">
        <v>42013</v>
      </c>
      <c r="F661" s="24">
        <v>2739.1</v>
      </c>
      <c r="G661" s="31">
        <f t="shared" si="10"/>
        <v>0</v>
      </c>
      <c r="H661" s="39" t="s">
        <v>59</v>
      </c>
      <c r="I661" s="4"/>
      <c r="J661" s="4"/>
    </row>
    <row r="662" spans="1:10" s="3" customFormat="1" x14ac:dyDescent="0.25">
      <c r="A662" s="20">
        <v>42013</v>
      </c>
      <c r="B662" s="21">
        <v>8569</v>
      </c>
      <c r="C662" s="14" t="s">
        <v>31</v>
      </c>
      <c r="D662" s="22">
        <v>2571.4</v>
      </c>
      <c r="E662" s="23">
        <v>42013</v>
      </c>
      <c r="F662" s="24">
        <v>2571.4</v>
      </c>
      <c r="G662" s="31">
        <f t="shared" si="10"/>
        <v>0</v>
      </c>
      <c r="H662" s="39" t="s">
        <v>59</v>
      </c>
      <c r="I662" s="4"/>
      <c r="J662" s="4"/>
    </row>
    <row r="663" spans="1:10" s="3" customFormat="1" x14ac:dyDescent="0.25">
      <c r="A663" s="20">
        <v>42013</v>
      </c>
      <c r="B663" s="21">
        <v>8570</v>
      </c>
      <c r="C663" s="14" t="s">
        <v>82</v>
      </c>
      <c r="D663" s="22">
        <v>5157</v>
      </c>
      <c r="E663" s="23">
        <v>42013</v>
      </c>
      <c r="F663" s="24">
        <v>5157</v>
      </c>
      <c r="G663" s="31">
        <f t="shared" si="10"/>
        <v>0</v>
      </c>
      <c r="H663" s="39" t="s">
        <v>59</v>
      </c>
      <c r="I663" s="4"/>
      <c r="J663" s="4"/>
    </row>
    <row r="664" spans="1:10" s="3" customFormat="1" x14ac:dyDescent="0.25">
      <c r="A664" s="20">
        <v>42013</v>
      </c>
      <c r="B664" s="21">
        <v>8571</v>
      </c>
      <c r="C664" s="14" t="s">
        <v>118</v>
      </c>
      <c r="D664" s="22">
        <v>4603.2</v>
      </c>
      <c r="E664" s="23">
        <v>42017</v>
      </c>
      <c r="F664" s="24">
        <v>4603.2</v>
      </c>
      <c r="G664" s="31">
        <f t="shared" si="10"/>
        <v>0</v>
      </c>
      <c r="H664" s="39" t="s">
        <v>59</v>
      </c>
      <c r="I664" s="4"/>
      <c r="J664" s="4"/>
    </row>
    <row r="665" spans="1:10" s="3" customFormat="1" x14ac:dyDescent="0.25">
      <c r="A665" s="20">
        <v>42013</v>
      </c>
      <c r="B665" s="21">
        <v>8572</v>
      </c>
      <c r="C665" s="14" t="s">
        <v>168</v>
      </c>
      <c r="D665" s="22">
        <v>1471.5</v>
      </c>
      <c r="E665" s="23">
        <v>42013</v>
      </c>
      <c r="F665" s="24">
        <v>1471.5</v>
      </c>
      <c r="G665" s="31">
        <f t="shared" si="10"/>
        <v>0</v>
      </c>
      <c r="H665" s="19" t="s">
        <v>59</v>
      </c>
      <c r="I665" s="4"/>
      <c r="J665" s="4"/>
    </row>
    <row r="666" spans="1:10" s="3" customFormat="1" x14ac:dyDescent="0.25">
      <c r="A666" s="20">
        <v>42013</v>
      </c>
      <c r="B666" s="21">
        <v>8573</v>
      </c>
      <c r="C666" s="14" t="s">
        <v>86</v>
      </c>
      <c r="D666" s="22">
        <v>354</v>
      </c>
      <c r="E666" s="23">
        <v>42013</v>
      </c>
      <c r="F666" s="24">
        <v>354</v>
      </c>
      <c r="G666" s="31">
        <f t="shared" si="10"/>
        <v>0</v>
      </c>
      <c r="H666" s="19" t="s">
        <v>9</v>
      </c>
      <c r="I666" s="4"/>
      <c r="J666" s="4"/>
    </row>
    <row r="667" spans="1:10" s="3" customFormat="1" x14ac:dyDescent="0.25">
      <c r="A667" s="20">
        <v>42013</v>
      </c>
      <c r="B667" s="21">
        <v>8574</v>
      </c>
      <c r="C667" s="14" t="s">
        <v>121</v>
      </c>
      <c r="D667" s="22">
        <v>1825.6</v>
      </c>
      <c r="E667" s="23">
        <v>42013</v>
      </c>
      <c r="F667" s="24">
        <v>1825.6</v>
      </c>
      <c r="G667" s="31">
        <f t="shared" si="10"/>
        <v>0</v>
      </c>
      <c r="H667" s="19" t="s">
        <v>9</v>
      </c>
      <c r="I667" s="4"/>
      <c r="J667" s="4"/>
    </row>
    <row r="668" spans="1:10" s="3" customFormat="1" x14ac:dyDescent="0.25">
      <c r="A668" s="20">
        <v>42013</v>
      </c>
      <c r="B668" s="21">
        <v>8575</v>
      </c>
      <c r="C668" s="14" t="s">
        <v>135</v>
      </c>
      <c r="D668" s="22">
        <v>7470.4</v>
      </c>
      <c r="E668" s="23">
        <v>42013</v>
      </c>
      <c r="F668" s="24">
        <v>7470.4</v>
      </c>
      <c r="G668" s="31">
        <f t="shared" si="10"/>
        <v>0</v>
      </c>
      <c r="H668" s="19" t="s">
        <v>9</v>
      </c>
      <c r="I668" s="4"/>
      <c r="J668" s="4"/>
    </row>
    <row r="669" spans="1:10" s="3" customFormat="1" x14ac:dyDescent="0.25">
      <c r="A669" s="20">
        <v>42013</v>
      </c>
      <c r="B669" s="21">
        <v>8576</v>
      </c>
      <c r="C669" s="14" t="s">
        <v>151</v>
      </c>
      <c r="D669" s="22">
        <v>5056.8999999999996</v>
      </c>
      <c r="E669" s="23">
        <v>42015</v>
      </c>
      <c r="F669" s="24">
        <v>5056.8999999999996</v>
      </c>
      <c r="G669" s="31">
        <f t="shared" si="10"/>
        <v>0</v>
      </c>
      <c r="H669" s="19" t="s">
        <v>9</v>
      </c>
      <c r="I669" s="4"/>
      <c r="J669" s="4"/>
    </row>
    <row r="670" spans="1:10" s="3" customFormat="1" x14ac:dyDescent="0.25">
      <c r="A670" s="20">
        <v>42013</v>
      </c>
      <c r="B670" s="21">
        <v>8577</v>
      </c>
      <c r="C670" s="14" t="s">
        <v>14</v>
      </c>
      <c r="D670" s="22">
        <v>117511.24</v>
      </c>
      <c r="E670" s="23">
        <v>42016</v>
      </c>
      <c r="F670" s="24">
        <v>117511.24</v>
      </c>
      <c r="G670" s="31">
        <f t="shared" si="10"/>
        <v>0</v>
      </c>
      <c r="H670" s="19" t="s">
        <v>46</v>
      </c>
      <c r="I670" s="4"/>
      <c r="J670" s="4"/>
    </row>
    <row r="671" spans="1:10" s="3" customFormat="1" x14ac:dyDescent="0.25">
      <c r="A671" s="20">
        <v>42013</v>
      </c>
      <c r="B671" s="21">
        <v>8578</v>
      </c>
      <c r="C671" s="14" t="s">
        <v>14</v>
      </c>
      <c r="D671" s="22">
        <v>127.6</v>
      </c>
      <c r="E671" s="23">
        <v>42016</v>
      </c>
      <c r="F671" s="24">
        <v>127.6</v>
      </c>
      <c r="G671" s="31">
        <f t="shared" si="10"/>
        <v>0</v>
      </c>
      <c r="H671" s="19" t="s">
        <v>9</v>
      </c>
      <c r="I671" s="4"/>
      <c r="J671" s="4"/>
    </row>
    <row r="672" spans="1:10" s="3" customFormat="1" x14ac:dyDescent="0.25">
      <c r="A672" s="20">
        <v>42013</v>
      </c>
      <c r="B672" s="21">
        <v>8579</v>
      </c>
      <c r="C672" s="14" t="s">
        <v>45</v>
      </c>
      <c r="D672" s="22">
        <v>63186.36</v>
      </c>
      <c r="E672" s="29" t="s">
        <v>494</v>
      </c>
      <c r="F672" s="24">
        <f>44406.19+18780.17</f>
        <v>63186.36</v>
      </c>
      <c r="G672" s="31">
        <f t="shared" si="10"/>
        <v>0</v>
      </c>
      <c r="H672" s="19" t="s">
        <v>183</v>
      </c>
      <c r="I672" s="4"/>
      <c r="J672" s="4"/>
    </row>
    <row r="673" spans="1:10" s="3" customFormat="1" x14ac:dyDescent="0.25">
      <c r="A673" s="20">
        <v>42013</v>
      </c>
      <c r="B673" s="21">
        <v>8580</v>
      </c>
      <c r="C673" s="14" t="s">
        <v>269</v>
      </c>
      <c r="D673" s="22">
        <v>2845.2</v>
      </c>
      <c r="E673" s="23">
        <v>42013</v>
      </c>
      <c r="F673" s="24">
        <v>2845.2</v>
      </c>
      <c r="G673" s="31">
        <f t="shared" si="10"/>
        <v>0</v>
      </c>
      <c r="H673" s="19" t="s">
        <v>9</v>
      </c>
      <c r="I673" s="4"/>
      <c r="J673" s="4"/>
    </row>
    <row r="674" spans="1:10" s="3" customFormat="1" x14ac:dyDescent="0.25">
      <c r="A674" s="20">
        <v>42013</v>
      </c>
      <c r="B674" s="21">
        <v>8581</v>
      </c>
      <c r="C674" s="14" t="s">
        <v>49</v>
      </c>
      <c r="D674" s="22">
        <v>1742.4</v>
      </c>
      <c r="E674" s="23">
        <v>42013</v>
      </c>
      <c r="F674" s="24">
        <v>1742.4</v>
      </c>
      <c r="G674" s="31">
        <f t="shared" si="10"/>
        <v>0</v>
      </c>
      <c r="H674" s="19" t="s">
        <v>19</v>
      </c>
    </row>
    <row r="675" spans="1:10" s="3" customFormat="1" x14ac:dyDescent="0.25">
      <c r="A675" s="20">
        <v>42013</v>
      </c>
      <c r="B675" s="21">
        <v>8582</v>
      </c>
      <c r="C675" s="14" t="s">
        <v>270</v>
      </c>
      <c r="D675" s="22">
        <v>1438.6</v>
      </c>
      <c r="E675" s="23">
        <v>42013</v>
      </c>
      <c r="F675" s="24">
        <v>1438.6</v>
      </c>
      <c r="G675" s="31">
        <f t="shared" si="10"/>
        <v>0</v>
      </c>
      <c r="H675" s="19" t="s">
        <v>9</v>
      </c>
    </row>
    <row r="676" spans="1:10" s="3" customFormat="1" x14ac:dyDescent="0.25">
      <c r="A676" s="20">
        <v>42013</v>
      </c>
      <c r="B676" s="21">
        <v>8583</v>
      </c>
      <c r="C676" s="14" t="s">
        <v>271</v>
      </c>
      <c r="D676" s="22">
        <v>4278</v>
      </c>
      <c r="E676" s="23">
        <v>42013</v>
      </c>
      <c r="F676" s="24">
        <v>4278</v>
      </c>
      <c r="G676" s="31">
        <f t="shared" si="10"/>
        <v>0</v>
      </c>
      <c r="H676" s="19" t="s">
        <v>19</v>
      </c>
    </row>
    <row r="677" spans="1:10" s="3" customFormat="1" x14ac:dyDescent="0.25">
      <c r="A677" s="20">
        <v>42013</v>
      </c>
      <c r="B677" s="21">
        <v>8584</v>
      </c>
      <c r="C677" s="14" t="s">
        <v>115</v>
      </c>
      <c r="D677" s="22">
        <v>2249.1</v>
      </c>
      <c r="E677" s="23">
        <v>42013</v>
      </c>
      <c r="F677" s="24">
        <v>2249.1</v>
      </c>
      <c r="G677" s="31">
        <f t="shared" si="10"/>
        <v>0</v>
      </c>
      <c r="H677" s="19" t="s">
        <v>9</v>
      </c>
    </row>
    <row r="678" spans="1:10" s="3" customFormat="1" x14ac:dyDescent="0.25">
      <c r="A678" s="20">
        <v>42013</v>
      </c>
      <c r="B678" s="21">
        <v>8585</v>
      </c>
      <c r="C678" s="14" t="s">
        <v>269</v>
      </c>
      <c r="D678" s="22">
        <v>362.5</v>
      </c>
      <c r="E678" s="23">
        <v>42013</v>
      </c>
      <c r="F678" s="24">
        <v>362.5</v>
      </c>
      <c r="G678" s="31">
        <f t="shared" si="10"/>
        <v>0</v>
      </c>
      <c r="H678" s="19" t="s">
        <v>9</v>
      </c>
    </row>
    <row r="679" spans="1:10" s="3" customFormat="1" x14ac:dyDescent="0.25">
      <c r="A679" s="20">
        <v>42013</v>
      </c>
      <c r="B679" s="21">
        <v>8586</v>
      </c>
      <c r="C679" s="14" t="s">
        <v>239</v>
      </c>
      <c r="D679" s="22">
        <v>753</v>
      </c>
      <c r="E679" s="23">
        <v>42013</v>
      </c>
      <c r="F679" s="24">
        <v>753</v>
      </c>
      <c r="G679" s="31">
        <f t="shared" si="10"/>
        <v>0</v>
      </c>
      <c r="H679" s="19" t="s">
        <v>9</v>
      </c>
    </row>
    <row r="680" spans="1:10" s="3" customFormat="1" x14ac:dyDescent="0.25">
      <c r="A680" s="20">
        <v>42013</v>
      </c>
      <c r="B680" s="21">
        <v>8587</v>
      </c>
      <c r="C680" s="14" t="s">
        <v>48</v>
      </c>
      <c r="D680" s="22">
        <v>4387.6000000000004</v>
      </c>
      <c r="E680" s="23">
        <v>42013</v>
      </c>
      <c r="F680" s="24">
        <v>4387.6000000000004</v>
      </c>
      <c r="G680" s="31">
        <f t="shared" si="10"/>
        <v>0</v>
      </c>
      <c r="H680" s="19" t="s">
        <v>19</v>
      </c>
    </row>
    <row r="681" spans="1:10" s="3" customFormat="1" x14ac:dyDescent="0.25">
      <c r="A681" s="20">
        <v>42013</v>
      </c>
      <c r="B681" s="21">
        <v>8588</v>
      </c>
      <c r="C681" s="14" t="s">
        <v>66</v>
      </c>
      <c r="D681" s="22">
        <v>104.4</v>
      </c>
      <c r="E681" s="23">
        <v>42013</v>
      </c>
      <c r="F681" s="24">
        <v>104.4</v>
      </c>
      <c r="G681" s="31">
        <f t="shared" si="10"/>
        <v>0</v>
      </c>
      <c r="H681" s="19" t="s">
        <v>9</v>
      </c>
    </row>
    <row r="682" spans="1:10" s="3" customFormat="1" x14ac:dyDescent="0.25">
      <c r="A682" s="20">
        <v>42013</v>
      </c>
      <c r="B682" s="21">
        <v>8589</v>
      </c>
      <c r="C682" s="14" t="s">
        <v>65</v>
      </c>
      <c r="D682" s="22">
        <v>15486</v>
      </c>
      <c r="E682" s="23">
        <v>42015</v>
      </c>
      <c r="F682" s="24">
        <v>15486</v>
      </c>
      <c r="G682" s="31">
        <f t="shared" si="10"/>
        <v>0</v>
      </c>
      <c r="H682" s="19" t="s">
        <v>62</v>
      </c>
    </row>
    <row r="683" spans="1:10" s="3" customFormat="1" x14ac:dyDescent="0.25">
      <c r="A683" s="20">
        <v>42013</v>
      </c>
      <c r="B683" s="21">
        <v>8590</v>
      </c>
      <c r="C683" s="14" t="s">
        <v>137</v>
      </c>
      <c r="D683" s="22">
        <v>867.2</v>
      </c>
      <c r="E683" s="23">
        <v>42013</v>
      </c>
      <c r="F683" s="24">
        <v>867.2</v>
      </c>
      <c r="G683" s="31">
        <f t="shared" si="10"/>
        <v>0</v>
      </c>
      <c r="H683" s="19" t="s">
        <v>9</v>
      </c>
    </row>
    <row r="684" spans="1:10" s="3" customFormat="1" x14ac:dyDescent="0.25">
      <c r="A684" s="20">
        <v>42013</v>
      </c>
      <c r="B684" s="21">
        <v>8591</v>
      </c>
      <c r="C684" s="14" t="s">
        <v>77</v>
      </c>
      <c r="D684" s="22">
        <v>16968</v>
      </c>
      <c r="E684" s="23">
        <v>42015</v>
      </c>
      <c r="F684" s="24">
        <v>16968</v>
      </c>
      <c r="G684" s="31">
        <f t="shared" si="10"/>
        <v>0</v>
      </c>
      <c r="H684" s="19" t="s">
        <v>62</v>
      </c>
    </row>
    <row r="685" spans="1:10" s="3" customFormat="1" x14ac:dyDescent="0.25">
      <c r="A685" s="20">
        <v>42013</v>
      </c>
      <c r="B685" s="21">
        <v>8592</v>
      </c>
      <c r="C685" s="14" t="s">
        <v>140</v>
      </c>
      <c r="D685" s="22">
        <v>21827</v>
      </c>
      <c r="E685" s="23">
        <v>42013</v>
      </c>
      <c r="F685" s="24">
        <v>21827</v>
      </c>
      <c r="G685" s="31">
        <f t="shared" si="10"/>
        <v>0</v>
      </c>
      <c r="H685" s="19" t="s">
        <v>19</v>
      </c>
    </row>
    <row r="686" spans="1:10" s="3" customFormat="1" x14ac:dyDescent="0.25">
      <c r="A686" s="20">
        <v>42013</v>
      </c>
      <c r="B686" s="21">
        <v>8593</v>
      </c>
      <c r="C686" s="14" t="s">
        <v>176</v>
      </c>
      <c r="D686" s="22">
        <v>10838.55</v>
      </c>
      <c r="E686" s="30" t="s">
        <v>272</v>
      </c>
      <c r="F686" s="24">
        <v>10838.55</v>
      </c>
      <c r="G686" s="31">
        <f t="shared" si="10"/>
        <v>0</v>
      </c>
      <c r="H686" s="19" t="s">
        <v>62</v>
      </c>
    </row>
    <row r="687" spans="1:10" s="3" customFormat="1" x14ac:dyDescent="0.25">
      <c r="A687" s="20">
        <v>42013</v>
      </c>
      <c r="B687" s="21">
        <v>8594</v>
      </c>
      <c r="C687" s="14" t="s">
        <v>131</v>
      </c>
      <c r="D687" s="22">
        <v>8970.7999999999993</v>
      </c>
      <c r="E687" s="23">
        <v>42016</v>
      </c>
      <c r="F687" s="24">
        <v>8970.7999999999993</v>
      </c>
      <c r="G687" s="31">
        <f t="shared" si="10"/>
        <v>0</v>
      </c>
      <c r="H687" s="19" t="s">
        <v>9</v>
      </c>
    </row>
    <row r="688" spans="1:10" s="3" customFormat="1" x14ac:dyDescent="0.25">
      <c r="A688" s="20">
        <v>42013</v>
      </c>
      <c r="B688" s="21">
        <v>8595</v>
      </c>
      <c r="C688" s="14" t="s">
        <v>273</v>
      </c>
      <c r="D688" s="22">
        <v>1413</v>
      </c>
      <c r="E688" s="23">
        <v>42013</v>
      </c>
      <c r="F688" s="24">
        <v>1413</v>
      </c>
      <c r="G688" s="31">
        <f t="shared" si="10"/>
        <v>0</v>
      </c>
      <c r="H688" s="19" t="s">
        <v>9</v>
      </c>
    </row>
    <row r="689" spans="1:8" s="3" customFormat="1" x14ac:dyDescent="0.25">
      <c r="A689" s="20">
        <v>42013</v>
      </c>
      <c r="B689" s="21">
        <v>8596</v>
      </c>
      <c r="C689" s="14" t="s">
        <v>67</v>
      </c>
      <c r="D689" s="22">
        <v>5866.4</v>
      </c>
      <c r="E689" s="23">
        <v>42015</v>
      </c>
      <c r="F689" s="24">
        <v>5866.4</v>
      </c>
      <c r="G689" s="31">
        <f t="shared" si="10"/>
        <v>0</v>
      </c>
      <c r="H689" s="19" t="s">
        <v>62</v>
      </c>
    </row>
    <row r="690" spans="1:8" s="3" customFormat="1" x14ac:dyDescent="0.25">
      <c r="A690" s="20">
        <v>42013</v>
      </c>
      <c r="B690" s="21">
        <v>8597</v>
      </c>
      <c r="C690" s="14" t="s">
        <v>78</v>
      </c>
      <c r="D690" s="22">
        <v>9630.4</v>
      </c>
      <c r="E690" s="23">
        <v>42015</v>
      </c>
      <c r="F690" s="24">
        <v>9630.4</v>
      </c>
      <c r="G690" s="31">
        <f t="shared" si="10"/>
        <v>0</v>
      </c>
      <c r="H690" s="19" t="s">
        <v>62</v>
      </c>
    </row>
    <row r="691" spans="1:8" s="3" customFormat="1" x14ac:dyDescent="0.25">
      <c r="A691" s="20">
        <v>42013</v>
      </c>
      <c r="B691" s="21">
        <v>8598</v>
      </c>
      <c r="C691" s="14" t="s">
        <v>170</v>
      </c>
      <c r="D691" s="22">
        <v>3276</v>
      </c>
      <c r="E691" s="23">
        <v>42015</v>
      </c>
      <c r="F691" s="24">
        <v>3276</v>
      </c>
      <c r="G691" s="31">
        <f t="shared" si="10"/>
        <v>0</v>
      </c>
      <c r="H691" s="19" t="s">
        <v>62</v>
      </c>
    </row>
    <row r="692" spans="1:8" s="3" customFormat="1" x14ac:dyDescent="0.25">
      <c r="A692" s="20">
        <v>42013</v>
      </c>
      <c r="B692" s="21">
        <v>8599</v>
      </c>
      <c r="C692" s="14" t="s">
        <v>274</v>
      </c>
      <c r="D692" s="22">
        <v>43977.15</v>
      </c>
      <c r="E692" s="30" t="s">
        <v>275</v>
      </c>
      <c r="F692" s="24">
        <v>43977.15</v>
      </c>
      <c r="G692" s="31">
        <f t="shared" si="10"/>
        <v>0</v>
      </c>
      <c r="H692" s="19" t="s">
        <v>62</v>
      </c>
    </row>
    <row r="693" spans="1:8" s="3" customFormat="1" x14ac:dyDescent="0.25">
      <c r="A693" s="20">
        <v>42013</v>
      </c>
      <c r="B693" s="21">
        <v>8600</v>
      </c>
      <c r="C693" s="14" t="s">
        <v>173</v>
      </c>
      <c r="D693" s="22">
        <v>16795.5</v>
      </c>
      <c r="E693" s="30" t="s">
        <v>276</v>
      </c>
      <c r="F693" s="24">
        <v>16795.5</v>
      </c>
      <c r="G693" s="31">
        <f t="shared" si="10"/>
        <v>0</v>
      </c>
      <c r="H693" s="19" t="s">
        <v>62</v>
      </c>
    </row>
    <row r="694" spans="1:8" s="3" customFormat="1" x14ac:dyDescent="0.25">
      <c r="A694" s="20">
        <v>42013</v>
      </c>
      <c r="B694" s="21">
        <v>8601</v>
      </c>
      <c r="C694" s="14" t="s">
        <v>72</v>
      </c>
      <c r="D694" s="22">
        <v>21374.65</v>
      </c>
      <c r="E694" s="30" t="s">
        <v>277</v>
      </c>
      <c r="F694" s="24">
        <v>21374.65</v>
      </c>
      <c r="G694" s="31">
        <f t="shared" si="10"/>
        <v>0</v>
      </c>
      <c r="H694" s="19" t="s">
        <v>62</v>
      </c>
    </row>
    <row r="695" spans="1:8" s="3" customFormat="1" x14ac:dyDescent="0.25">
      <c r="A695" s="20">
        <v>42013</v>
      </c>
      <c r="B695" s="21">
        <v>8602</v>
      </c>
      <c r="C695" s="14" t="s">
        <v>145</v>
      </c>
      <c r="D695" s="22">
        <v>5025.6000000000004</v>
      </c>
      <c r="E695" s="23">
        <v>42013</v>
      </c>
      <c r="F695" s="24">
        <v>5025.6000000000004</v>
      </c>
      <c r="G695" s="31">
        <f t="shared" si="10"/>
        <v>0</v>
      </c>
      <c r="H695" s="19" t="s">
        <v>9</v>
      </c>
    </row>
    <row r="696" spans="1:8" s="3" customFormat="1" x14ac:dyDescent="0.25">
      <c r="A696" s="20">
        <v>42013</v>
      </c>
      <c r="B696" s="21">
        <v>8603</v>
      </c>
      <c r="C696" s="14" t="s">
        <v>133</v>
      </c>
      <c r="D696" s="22">
        <v>29192.799999999999</v>
      </c>
      <c r="E696" s="23">
        <v>42013</v>
      </c>
      <c r="F696" s="24">
        <v>29192.799999999999</v>
      </c>
      <c r="G696" s="31">
        <f t="shared" si="10"/>
        <v>0</v>
      </c>
      <c r="H696" s="19" t="s">
        <v>9</v>
      </c>
    </row>
    <row r="697" spans="1:8" s="3" customFormat="1" x14ac:dyDescent="0.25">
      <c r="A697" s="20">
        <v>42013</v>
      </c>
      <c r="B697" s="21">
        <v>8604</v>
      </c>
      <c r="C697" s="14" t="s">
        <v>34</v>
      </c>
      <c r="D697" s="22">
        <v>3368.4</v>
      </c>
      <c r="E697" s="23">
        <v>42013</v>
      </c>
      <c r="F697" s="24">
        <v>3368.4</v>
      </c>
      <c r="G697" s="31">
        <f t="shared" si="10"/>
        <v>0</v>
      </c>
      <c r="H697" s="19" t="s">
        <v>9</v>
      </c>
    </row>
    <row r="698" spans="1:8" s="3" customFormat="1" x14ac:dyDescent="0.25">
      <c r="A698" s="20">
        <v>42013</v>
      </c>
      <c r="B698" s="21">
        <v>8605</v>
      </c>
      <c r="C698" s="14" t="s">
        <v>75</v>
      </c>
      <c r="D698" s="22">
        <v>20388.400000000001</v>
      </c>
      <c r="E698" s="23">
        <v>42015</v>
      </c>
      <c r="F698" s="24">
        <v>20388.400000000001</v>
      </c>
      <c r="G698" s="31">
        <f t="shared" si="10"/>
        <v>0</v>
      </c>
      <c r="H698" s="19" t="s">
        <v>62</v>
      </c>
    </row>
    <row r="699" spans="1:8" s="3" customFormat="1" x14ac:dyDescent="0.25">
      <c r="A699" s="20">
        <v>42013</v>
      </c>
      <c r="B699" s="21">
        <v>8606</v>
      </c>
      <c r="C699" s="14" t="s">
        <v>71</v>
      </c>
      <c r="D699" s="22">
        <v>6309</v>
      </c>
      <c r="E699" s="23">
        <v>42013</v>
      </c>
      <c r="F699" s="24">
        <v>6309</v>
      </c>
      <c r="G699" s="31">
        <f t="shared" si="10"/>
        <v>0</v>
      </c>
      <c r="H699" s="19" t="s">
        <v>9</v>
      </c>
    </row>
    <row r="700" spans="1:8" s="3" customFormat="1" x14ac:dyDescent="0.25">
      <c r="A700" s="20">
        <v>42013</v>
      </c>
      <c r="B700" s="21">
        <v>8607</v>
      </c>
      <c r="C700" s="14" t="s">
        <v>24</v>
      </c>
      <c r="D700" s="22">
        <v>63168.45</v>
      </c>
      <c r="E700" s="23">
        <v>42017</v>
      </c>
      <c r="F700" s="24">
        <v>63168.45</v>
      </c>
      <c r="G700" s="31">
        <f t="shared" si="10"/>
        <v>0</v>
      </c>
      <c r="H700" s="19" t="s">
        <v>94</v>
      </c>
    </row>
    <row r="701" spans="1:8" s="3" customFormat="1" x14ac:dyDescent="0.25">
      <c r="A701" s="20">
        <v>42013</v>
      </c>
      <c r="B701" s="21">
        <v>8608</v>
      </c>
      <c r="C701" s="14" t="s">
        <v>172</v>
      </c>
      <c r="D701" s="22">
        <v>14749</v>
      </c>
      <c r="E701" s="23">
        <v>42015</v>
      </c>
      <c r="F701" s="24">
        <v>14749</v>
      </c>
      <c r="G701" s="31">
        <f t="shared" si="10"/>
        <v>0</v>
      </c>
      <c r="H701" s="19" t="s">
        <v>62</v>
      </c>
    </row>
    <row r="702" spans="1:8" s="3" customFormat="1" x14ac:dyDescent="0.25">
      <c r="A702" s="20">
        <v>42013</v>
      </c>
      <c r="B702" s="21">
        <v>8609</v>
      </c>
      <c r="C702" s="14" t="s">
        <v>274</v>
      </c>
      <c r="D702" s="22">
        <v>15840.24</v>
      </c>
      <c r="E702" s="30" t="s">
        <v>278</v>
      </c>
      <c r="F702" s="24">
        <v>15840.24</v>
      </c>
      <c r="G702" s="31">
        <f t="shared" si="10"/>
        <v>0</v>
      </c>
      <c r="H702" s="19" t="s">
        <v>62</v>
      </c>
    </row>
    <row r="703" spans="1:8" s="3" customFormat="1" x14ac:dyDescent="0.25">
      <c r="A703" s="20">
        <v>42013</v>
      </c>
      <c r="B703" s="21">
        <v>8610</v>
      </c>
      <c r="C703" s="14" t="s">
        <v>89</v>
      </c>
      <c r="D703" s="22">
        <v>5335.2</v>
      </c>
      <c r="E703" s="23">
        <v>42013</v>
      </c>
      <c r="F703" s="24">
        <v>5335.2</v>
      </c>
      <c r="G703" s="31">
        <f t="shared" si="10"/>
        <v>0</v>
      </c>
      <c r="H703" s="19" t="s">
        <v>9</v>
      </c>
    </row>
    <row r="704" spans="1:8" s="3" customFormat="1" x14ac:dyDescent="0.25">
      <c r="A704" s="20">
        <v>42013</v>
      </c>
      <c r="B704" s="21">
        <v>8611</v>
      </c>
      <c r="C704" s="14" t="s">
        <v>279</v>
      </c>
      <c r="D704" s="22">
        <v>2978.5</v>
      </c>
      <c r="E704" s="23">
        <v>42013</v>
      </c>
      <c r="F704" s="24">
        <v>2978.5</v>
      </c>
      <c r="G704" s="31">
        <f t="shared" si="10"/>
        <v>0</v>
      </c>
      <c r="H704" s="19" t="s">
        <v>9</v>
      </c>
    </row>
    <row r="705" spans="1:8" s="3" customFormat="1" x14ac:dyDescent="0.25">
      <c r="A705" s="20">
        <v>42013</v>
      </c>
      <c r="B705" s="21">
        <v>8612</v>
      </c>
      <c r="C705" s="14" t="s">
        <v>141</v>
      </c>
      <c r="D705" s="22">
        <v>324</v>
      </c>
      <c r="E705" s="23">
        <v>42013</v>
      </c>
      <c r="F705" s="24">
        <v>324</v>
      </c>
      <c r="G705" s="31">
        <f t="shared" si="10"/>
        <v>0</v>
      </c>
      <c r="H705" s="19" t="s">
        <v>9</v>
      </c>
    </row>
    <row r="706" spans="1:8" s="3" customFormat="1" x14ac:dyDescent="0.25">
      <c r="A706" s="20">
        <v>42013</v>
      </c>
      <c r="B706" s="21">
        <v>8613</v>
      </c>
      <c r="C706" s="14" t="s">
        <v>61</v>
      </c>
      <c r="D706" s="22">
        <v>500</v>
      </c>
      <c r="E706" s="23">
        <v>42015</v>
      </c>
      <c r="F706" s="24">
        <v>500</v>
      </c>
      <c r="G706" s="31">
        <f t="shared" si="10"/>
        <v>0</v>
      </c>
      <c r="H706" s="19" t="s">
        <v>9</v>
      </c>
    </row>
    <row r="707" spans="1:8" s="3" customFormat="1" x14ac:dyDescent="0.25">
      <c r="A707" s="20">
        <v>42013</v>
      </c>
      <c r="B707" s="21">
        <v>8614</v>
      </c>
      <c r="C707" s="14" t="s">
        <v>128</v>
      </c>
      <c r="D707" s="22">
        <v>12776.4</v>
      </c>
      <c r="E707" s="29" t="s">
        <v>280</v>
      </c>
      <c r="F707" s="24">
        <f>8400+4376.4</f>
        <v>12776.4</v>
      </c>
      <c r="G707" s="31">
        <f t="shared" ref="G707:G770" si="11">D707-F707</f>
        <v>0</v>
      </c>
      <c r="H707" s="19" t="s">
        <v>17</v>
      </c>
    </row>
    <row r="708" spans="1:8" s="3" customFormat="1" x14ac:dyDescent="0.25">
      <c r="A708" s="20">
        <v>42013</v>
      </c>
      <c r="B708" s="21">
        <v>8615</v>
      </c>
      <c r="C708" s="14" t="s">
        <v>130</v>
      </c>
      <c r="D708" s="22">
        <v>2327.8000000000002</v>
      </c>
      <c r="E708" s="23">
        <v>42014</v>
      </c>
      <c r="F708" s="24">
        <v>2327.8000000000002</v>
      </c>
      <c r="G708" s="31">
        <f t="shared" si="11"/>
        <v>0</v>
      </c>
      <c r="H708" s="19" t="s">
        <v>17</v>
      </c>
    </row>
    <row r="709" spans="1:8" s="3" customFormat="1" x14ac:dyDescent="0.25">
      <c r="A709" s="20">
        <v>42013</v>
      </c>
      <c r="B709" s="21">
        <v>8616</v>
      </c>
      <c r="C709" s="14" t="s">
        <v>110</v>
      </c>
      <c r="D709" s="22">
        <v>5414.4</v>
      </c>
      <c r="E709" s="23">
        <v>42014</v>
      </c>
      <c r="F709" s="24">
        <v>5414.4</v>
      </c>
      <c r="G709" s="31">
        <f t="shared" si="11"/>
        <v>0</v>
      </c>
      <c r="H709" s="19" t="s">
        <v>41</v>
      </c>
    </row>
    <row r="710" spans="1:8" s="3" customFormat="1" x14ac:dyDescent="0.25">
      <c r="A710" s="20">
        <v>42013</v>
      </c>
      <c r="B710" s="21">
        <v>8617</v>
      </c>
      <c r="C710" s="14" t="s">
        <v>143</v>
      </c>
      <c r="D710" s="22">
        <v>26932.2</v>
      </c>
      <c r="E710" s="23">
        <v>42013</v>
      </c>
      <c r="F710" s="24">
        <v>26932.2</v>
      </c>
      <c r="G710" s="31">
        <f t="shared" si="11"/>
        <v>0</v>
      </c>
      <c r="H710" s="19" t="s">
        <v>17</v>
      </c>
    </row>
    <row r="711" spans="1:8" s="3" customFormat="1" x14ac:dyDescent="0.25">
      <c r="A711" s="20">
        <v>42013</v>
      </c>
      <c r="B711" s="21">
        <v>8618</v>
      </c>
      <c r="C711" s="14" t="s">
        <v>136</v>
      </c>
      <c r="D711" s="22">
        <v>16520</v>
      </c>
      <c r="E711" s="29" t="s">
        <v>281</v>
      </c>
      <c r="F711" s="24">
        <f>7600+8920</f>
        <v>16520</v>
      </c>
      <c r="G711" s="31">
        <f t="shared" si="11"/>
        <v>0</v>
      </c>
      <c r="H711" s="19" t="s">
        <v>9</v>
      </c>
    </row>
    <row r="712" spans="1:8" s="3" customFormat="1" x14ac:dyDescent="0.25">
      <c r="A712" s="20">
        <v>42013</v>
      </c>
      <c r="B712" s="21">
        <v>8619</v>
      </c>
      <c r="C712" s="14" t="s">
        <v>140</v>
      </c>
      <c r="D712" s="22">
        <v>789.6</v>
      </c>
      <c r="E712" s="23">
        <v>42013</v>
      </c>
      <c r="F712" s="24">
        <v>789.6</v>
      </c>
      <c r="G712" s="31">
        <f t="shared" si="11"/>
        <v>0</v>
      </c>
      <c r="H712" s="19" t="s">
        <v>9</v>
      </c>
    </row>
    <row r="713" spans="1:8" s="3" customFormat="1" x14ac:dyDescent="0.25">
      <c r="A713" s="20">
        <v>42013</v>
      </c>
      <c r="B713" s="21">
        <v>8620</v>
      </c>
      <c r="C713" s="14" t="s">
        <v>47</v>
      </c>
      <c r="D713" s="22">
        <v>19997.400000000001</v>
      </c>
      <c r="E713" s="23">
        <v>42014</v>
      </c>
      <c r="F713" s="24">
        <v>19997.400000000001</v>
      </c>
      <c r="G713" s="31">
        <f t="shared" si="11"/>
        <v>0</v>
      </c>
      <c r="H713" s="19" t="s">
        <v>36</v>
      </c>
    </row>
    <row r="714" spans="1:8" s="3" customFormat="1" x14ac:dyDescent="0.25">
      <c r="A714" s="20">
        <v>42013</v>
      </c>
      <c r="B714" s="21">
        <v>8621</v>
      </c>
      <c r="C714" s="14" t="s">
        <v>60</v>
      </c>
      <c r="D714" s="22">
        <v>6633.8</v>
      </c>
      <c r="E714" s="23">
        <v>42014</v>
      </c>
      <c r="F714" s="24">
        <v>6633.8</v>
      </c>
      <c r="G714" s="31">
        <f t="shared" si="11"/>
        <v>0</v>
      </c>
      <c r="H714" s="19" t="s">
        <v>36</v>
      </c>
    </row>
    <row r="715" spans="1:8" s="3" customFormat="1" x14ac:dyDescent="0.25">
      <c r="A715" s="20">
        <v>42013</v>
      </c>
      <c r="B715" s="21">
        <v>8622</v>
      </c>
      <c r="C715" s="14" t="s">
        <v>55</v>
      </c>
      <c r="D715" s="22">
        <v>25832.799999999999</v>
      </c>
      <c r="E715" s="23">
        <v>42014</v>
      </c>
      <c r="F715" s="24">
        <v>25832.799999999999</v>
      </c>
      <c r="G715" s="31">
        <f t="shared" si="11"/>
        <v>0</v>
      </c>
      <c r="H715" s="19" t="s">
        <v>36</v>
      </c>
    </row>
    <row r="716" spans="1:8" s="3" customFormat="1" x14ac:dyDescent="0.25">
      <c r="A716" s="20">
        <v>42013</v>
      </c>
      <c r="B716" s="21">
        <v>8623</v>
      </c>
      <c r="C716" s="14" t="s">
        <v>35</v>
      </c>
      <c r="D716" s="22">
        <v>25320.400000000001</v>
      </c>
      <c r="E716" s="23">
        <v>42014</v>
      </c>
      <c r="F716" s="24">
        <v>25320.400000000001</v>
      </c>
      <c r="G716" s="31">
        <f t="shared" si="11"/>
        <v>0</v>
      </c>
      <c r="H716" s="19" t="s">
        <v>36</v>
      </c>
    </row>
    <row r="717" spans="1:8" s="3" customFormat="1" x14ac:dyDescent="0.25">
      <c r="A717" s="20">
        <v>42013</v>
      </c>
      <c r="B717" s="21">
        <v>8624</v>
      </c>
      <c r="C717" s="14" t="s">
        <v>37</v>
      </c>
      <c r="D717" s="22">
        <v>3226.3</v>
      </c>
      <c r="E717" s="23">
        <v>42020</v>
      </c>
      <c r="F717" s="24">
        <v>3226.3</v>
      </c>
      <c r="G717" s="31">
        <f t="shared" si="11"/>
        <v>0</v>
      </c>
      <c r="H717" s="19" t="s">
        <v>36</v>
      </c>
    </row>
    <row r="718" spans="1:8" s="3" customFormat="1" x14ac:dyDescent="0.25">
      <c r="A718" s="20">
        <v>42013</v>
      </c>
      <c r="B718" s="21">
        <v>8625</v>
      </c>
      <c r="C718" s="14" t="s">
        <v>63</v>
      </c>
      <c r="D718" s="22">
        <v>2494</v>
      </c>
      <c r="E718" s="23">
        <v>42014</v>
      </c>
      <c r="F718" s="24">
        <v>2494</v>
      </c>
      <c r="G718" s="31">
        <f t="shared" si="11"/>
        <v>0</v>
      </c>
      <c r="H718" s="19" t="s">
        <v>36</v>
      </c>
    </row>
    <row r="719" spans="1:8" s="3" customFormat="1" x14ac:dyDescent="0.25">
      <c r="A719" s="20">
        <v>42013</v>
      </c>
      <c r="B719" s="21">
        <v>8626</v>
      </c>
      <c r="C719" s="14" t="s">
        <v>24</v>
      </c>
      <c r="D719" s="22">
        <v>8237.5</v>
      </c>
      <c r="E719" s="23">
        <v>42013</v>
      </c>
      <c r="F719" s="24">
        <v>8237.5</v>
      </c>
      <c r="G719" s="31">
        <f t="shared" si="11"/>
        <v>0</v>
      </c>
      <c r="H719" s="19" t="s">
        <v>94</v>
      </c>
    </row>
    <row r="720" spans="1:8" s="3" customFormat="1" x14ac:dyDescent="0.25">
      <c r="A720" s="20">
        <v>42013</v>
      </c>
      <c r="B720" s="21">
        <v>8627</v>
      </c>
      <c r="C720" s="14" t="s">
        <v>71</v>
      </c>
      <c r="D720" s="22">
        <v>1461.6</v>
      </c>
      <c r="E720" s="23">
        <v>42013</v>
      </c>
      <c r="F720" s="24">
        <v>1461.6</v>
      </c>
      <c r="G720" s="31">
        <f t="shared" si="11"/>
        <v>0</v>
      </c>
      <c r="H720" s="19" t="s">
        <v>9</v>
      </c>
    </row>
    <row r="721" spans="1:8" s="3" customFormat="1" x14ac:dyDescent="0.25">
      <c r="A721" s="20">
        <v>42013</v>
      </c>
      <c r="B721" s="21">
        <v>8628</v>
      </c>
      <c r="C721" s="14" t="s">
        <v>185</v>
      </c>
      <c r="D721" s="22">
        <v>81332.800000000003</v>
      </c>
      <c r="E721" s="23">
        <v>42013</v>
      </c>
      <c r="F721" s="24">
        <v>81332.800000000003</v>
      </c>
      <c r="G721" s="31">
        <f t="shared" si="11"/>
        <v>0</v>
      </c>
      <c r="H721" s="19" t="s">
        <v>46</v>
      </c>
    </row>
    <row r="722" spans="1:8" s="3" customFormat="1" x14ac:dyDescent="0.25">
      <c r="A722" s="20">
        <v>42013</v>
      </c>
      <c r="B722" s="21">
        <v>8629</v>
      </c>
      <c r="C722" s="14" t="s">
        <v>282</v>
      </c>
      <c r="D722" s="22">
        <v>12521.2</v>
      </c>
      <c r="E722" s="30" t="s">
        <v>283</v>
      </c>
      <c r="F722" s="24">
        <v>12521.2</v>
      </c>
      <c r="G722" s="31">
        <f t="shared" si="11"/>
        <v>0</v>
      </c>
      <c r="H722" s="19" t="s">
        <v>9</v>
      </c>
    </row>
    <row r="723" spans="1:8" s="3" customFormat="1" x14ac:dyDescent="0.25">
      <c r="A723" s="20">
        <v>42013</v>
      </c>
      <c r="B723" s="21">
        <v>8630</v>
      </c>
      <c r="C723" s="14" t="s">
        <v>284</v>
      </c>
      <c r="D723" s="22">
        <v>669.6</v>
      </c>
      <c r="E723" s="23">
        <v>42013</v>
      </c>
      <c r="F723" s="24">
        <v>669.6</v>
      </c>
      <c r="G723" s="31">
        <f t="shared" si="11"/>
        <v>0</v>
      </c>
      <c r="H723" s="19" t="s">
        <v>9</v>
      </c>
    </row>
    <row r="724" spans="1:8" s="3" customFormat="1" x14ac:dyDescent="0.25">
      <c r="A724" s="20">
        <v>42013</v>
      </c>
      <c r="B724" s="21">
        <v>8631</v>
      </c>
      <c r="C724" s="14" t="s">
        <v>102</v>
      </c>
      <c r="D724" s="22">
        <v>2400</v>
      </c>
      <c r="E724" s="23">
        <v>42013</v>
      </c>
      <c r="F724" s="24">
        <v>2400</v>
      </c>
      <c r="G724" s="31">
        <f t="shared" si="11"/>
        <v>0</v>
      </c>
      <c r="H724" s="19" t="s">
        <v>9</v>
      </c>
    </row>
    <row r="725" spans="1:8" s="3" customFormat="1" x14ac:dyDescent="0.25">
      <c r="A725" s="20">
        <v>42013</v>
      </c>
      <c r="B725" s="21">
        <v>8632</v>
      </c>
      <c r="C725" s="14" t="s">
        <v>95</v>
      </c>
      <c r="D725" s="22">
        <v>3372</v>
      </c>
      <c r="E725" s="23">
        <v>42014</v>
      </c>
      <c r="F725" s="24">
        <v>3372</v>
      </c>
      <c r="G725" s="31">
        <f t="shared" si="11"/>
        <v>0</v>
      </c>
      <c r="H725" s="19" t="s">
        <v>94</v>
      </c>
    </row>
    <row r="726" spans="1:8" s="3" customFormat="1" x14ac:dyDescent="0.25">
      <c r="A726" s="20">
        <v>42013</v>
      </c>
      <c r="B726" s="21">
        <v>8633</v>
      </c>
      <c r="C726" s="14" t="s">
        <v>93</v>
      </c>
      <c r="D726" s="22">
        <v>3014</v>
      </c>
      <c r="E726" s="23">
        <v>42014</v>
      </c>
      <c r="F726" s="24">
        <v>3014</v>
      </c>
      <c r="G726" s="31">
        <f t="shared" si="11"/>
        <v>0</v>
      </c>
      <c r="H726" s="19" t="s">
        <v>94</v>
      </c>
    </row>
    <row r="727" spans="1:8" s="3" customFormat="1" x14ac:dyDescent="0.25">
      <c r="A727" s="20">
        <v>42013</v>
      </c>
      <c r="B727" s="21">
        <v>8634</v>
      </c>
      <c r="C727" s="14" t="s">
        <v>98</v>
      </c>
      <c r="D727" s="22">
        <v>1410</v>
      </c>
      <c r="E727" s="23">
        <v>42014</v>
      </c>
      <c r="F727" s="24">
        <v>1410</v>
      </c>
      <c r="G727" s="31">
        <f t="shared" si="11"/>
        <v>0</v>
      </c>
      <c r="H727" s="19" t="s">
        <v>94</v>
      </c>
    </row>
    <row r="728" spans="1:8" s="3" customFormat="1" x14ac:dyDescent="0.25">
      <c r="A728" s="20">
        <v>42013</v>
      </c>
      <c r="B728" s="21">
        <v>8635</v>
      </c>
      <c r="C728" s="14" t="s">
        <v>285</v>
      </c>
      <c r="D728" s="22">
        <v>1116</v>
      </c>
      <c r="E728" s="23">
        <v>42014</v>
      </c>
      <c r="F728" s="24">
        <v>1116</v>
      </c>
      <c r="G728" s="31">
        <f t="shared" si="11"/>
        <v>0</v>
      </c>
      <c r="H728" s="19" t="s">
        <v>94</v>
      </c>
    </row>
    <row r="729" spans="1:8" s="3" customFormat="1" x14ac:dyDescent="0.25">
      <c r="A729" s="20">
        <v>42013</v>
      </c>
      <c r="B729" s="21">
        <v>8636</v>
      </c>
      <c r="C729" s="14" t="s">
        <v>24</v>
      </c>
      <c r="D729" s="22">
        <v>225354.1</v>
      </c>
      <c r="E729" s="23">
        <v>42021</v>
      </c>
      <c r="F729" s="24">
        <v>225354.1</v>
      </c>
      <c r="G729" s="31">
        <f t="shared" si="11"/>
        <v>0</v>
      </c>
      <c r="H729" s="19" t="s">
        <v>183</v>
      </c>
    </row>
    <row r="730" spans="1:8" s="3" customFormat="1" x14ac:dyDescent="0.25">
      <c r="A730" s="20">
        <v>42013</v>
      </c>
      <c r="B730" s="21">
        <v>8637</v>
      </c>
      <c r="C730" s="14" t="s">
        <v>250</v>
      </c>
      <c r="D730" s="22">
        <v>2874</v>
      </c>
      <c r="E730" s="23">
        <v>42014</v>
      </c>
      <c r="F730" s="24">
        <v>2874</v>
      </c>
      <c r="G730" s="31">
        <f t="shared" si="11"/>
        <v>0</v>
      </c>
      <c r="H730" s="19" t="s">
        <v>94</v>
      </c>
    </row>
    <row r="731" spans="1:8" s="3" customFormat="1" x14ac:dyDescent="0.25">
      <c r="A731" s="20">
        <v>42013</v>
      </c>
      <c r="B731" s="21">
        <v>8638</v>
      </c>
      <c r="C731" s="14" t="s">
        <v>90</v>
      </c>
      <c r="D731" s="22">
        <v>1526.6</v>
      </c>
      <c r="E731" s="23">
        <v>42013</v>
      </c>
      <c r="F731" s="24">
        <v>1526.6</v>
      </c>
      <c r="G731" s="31">
        <f t="shared" si="11"/>
        <v>0</v>
      </c>
      <c r="H731" s="19" t="s">
        <v>9</v>
      </c>
    </row>
    <row r="732" spans="1:8" s="3" customFormat="1" x14ac:dyDescent="0.25">
      <c r="A732" s="20">
        <v>42013</v>
      </c>
      <c r="B732" s="21">
        <v>8639</v>
      </c>
      <c r="C732" s="14" t="s">
        <v>243</v>
      </c>
      <c r="D732" s="22">
        <v>2590</v>
      </c>
      <c r="E732" s="23">
        <v>42014</v>
      </c>
      <c r="F732" s="24">
        <v>2590</v>
      </c>
      <c r="G732" s="31">
        <f t="shared" si="11"/>
        <v>0</v>
      </c>
      <c r="H732" s="39" t="s">
        <v>94</v>
      </c>
    </row>
    <row r="733" spans="1:8" s="3" customFormat="1" x14ac:dyDescent="0.25">
      <c r="A733" s="20">
        <v>42013</v>
      </c>
      <c r="B733" s="21">
        <v>8640</v>
      </c>
      <c r="C733" s="14" t="s">
        <v>111</v>
      </c>
      <c r="D733" s="22">
        <v>370885</v>
      </c>
      <c r="E733" s="23">
        <v>42017</v>
      </c>
      <c r="F733" s="24">
        <v>370885</v>
      </c>
      <c r="G733" s="31">
        <f t="shared" si="11"/>
        <v>0</v>
      </c>
      <c r="H733" s="39" t="s">
        <v>9</v>
      </c>
    </row>
    <row r="734" spans="1:8" s="3" customFormat="1" x14ac:dyDescent="0.25">
      <c r="A734" s="20">
        <v>42013</v>
      </c>
      <c r="B734" s="21">
        <v>8641</v>
      </c>
      <c r="C734" s="14" t="s">
        <v>286</v>
      </c>
      <c r="D734" s="22">
        <v>1400</v>
      </c>
      <c r="E734" s="29" t="s">
        <v>287</v>
      </c>
      <c r="F734" s="24">
        <f>350+350+350+350</f>
        <v>1400</v>
      </c>
      <c r="G734" s="31">
        <f t="shared" si="11"/>
        <v>0</v>
      </c>
      <c r="H734" s="39" t="s">
        <v>9</v>
      </c>
    </row>
    <row r="735" spans="1:8" s="3" customFormat="1" x14ac:dyDescent="0.25">
      <c r="A735" s="20">
        <v>42013</v>
      </c>
      <c r="B735" s="21">
        <v>8642</v>
      </c>
      <c r="C735" s="14" t="s">
        <v>107</v>
      </c>
      <c r="D735" s="22">
        <v>2769.2</v>
      </c>
      <c r="E735" s="23">
        <v>42013</v>
      </c>
      <c r="F735" s="24">
        <v>2769.2</v>
      </c>
      <c r="G735" s="31">
        <f t="shared" si="11"/>
        <v>0</v>
      </c>
      <c r="H735" s="39" t="s">
        <v>9</v>
      </c>
    </row>
    <row r="736" spans="1:8" s="3" customFormat="1" x14ac:dyDescent="0.25">
      <c r="A736" s="20">
        <v>42013</v>
      </c>
      <c r="B736" s="21">
        <v>8643</v>
      </c>
      <c r="C736" s="14" t="s">
        <v>132</v>
      </c>
      <c r="D736" s="22">
        <v>10497.2</v>
      </c>
      <c r="E736" s="23">
        <v>42013</v>
      </c>
      <c r="F736" s="24">
        <v>10497.2</v>
      </c>
      <c r="G736" s="31">
        <f t="shared" si="11"/>
        <v>0</v>
      </c>
      <c r="H736" s="39" t="s">
        <v>19</v>
      </c>
    </row>
    <row r="737" spans="1:8" s="3" customFormat="1" x14ac:dyDescent="0.25">
      <c r="A737" s="20">
        <v>42013</v>
      </c>
      <c r="B737" s="21">
        <v>8644</v>
      </c>
      <c r="C737" s="14" t="s">
        <v>131</v>
      </c>
      <c r="D737" s="22">
        <v>1740</v>
      </c>
      <c r="E737" s="23">
        <v>42013</v>
      </c>
      <c r="F737" s="24">
        <v>1740</v>
      </c>
      <c r="G737" s="31">
        <f t="shared" si="11"/>
        <v>0</v>
      </c>
      <c r="H737" s="39" t="s">
        <v>19</v>
      </c>
    </row>
    <row r="738" spans="1:8" s="3" customFormat="1" x14ac:dyDescent="0.25">
      <c r="A738" s="20">
        <v>42013</v>
      </c>
      <c r="B738" s="21">
        <v>8645</v>
      </c>
      <c r="C738" s="14" t="s">
        <v>64</v>
      </c>
      <c r="D738" s="22">
        <v>2402.4</v>
      </c>
      <c r="E738" s="23">
        <v>42013</v>
      </c>
      <c r="F738" s="24">
        <v>2402.4</v>
      </c>
      <c r="G738" s="31">
        <f t="shared" si="11"/>
        <v>0</v>
      </c>
      <c r="H738" s="39" t="s">
        <v>9</v>
      </c>
    </row>
    <row r="739" spans="1:8" s="3" customFormat="1" x14ac:dyDescent="0.25">
      <c r="A739" s="20">
        <v>42013</v>
      </c>
      <c r="B739" s="21">
        <v>8646</v>
      </c>
      <c r="C739" s="14" t="s">
        <v>265</v>
      </c>
      <c r="D739" s="22">
        <v>1020</v>
      </c>
      <c r="E739" s="23">
        <v>42013</v>
      </c>
      <c r="F739" s="24">
        <v>1020</v>
      </c>
      <c r="G739" s="31">
        <f t="shared" si="11"/>
        <v>0</v>
      </c>
      <c r="H739" s="39" t="s">
        <v>9</v>
      </c>
    </row>
    <row r="740" spans="1:8" s="3" customFormat="1" x14ac:dyDescent="0.25">
      <c r="A740" s="20">
        <v>42013</v>
      </c>
      <c r="B740" s="21">
        <v>8647</v>
      </c>
      <c r="C740" s="14" t="s">
        <v>159</v>
      </c>
      <c r="D740" s="22">
        <v>12285.2</v>
      </c>
      <c r="E740" s="23">
        <v>42013</v>
      </c>
      <c r="F740" s="24">
        <v>12285.2</v>
      </c>
      <c r="G740" s="31">
        <f t="shared" si="11"/>
        <v>0</v>
      </c>
      <c r="H740" s="39" t="s">
        <v>9</v>
      </c>
    </row>
    <row r="741" spans="1:8" s="3" customFormat="1" x14ac:dyDescent="0.25">
      <c r="A741" s="20">
        <v>42013</v>
      </c>
      <c r="B741" s="21">
        <v>8648</v>
      </c>
      <c r="C741" s="14" t="s">
        <v>282</v>
      </c>
      <c r="D741" s="22">
        <v>3300</v>
      </c>
      <c r="E741" s="30" t="s">
        <v>288</v>
      </c>
      <c r="F741" s="24">
        <v>3300</v>
      </c>
      <c r="G741" s="31">
        <f t="shared" si="11"/>
        <v>0</v>
      </c>
      <c r="H741" s="39" t="s">
        <v>9</v>
      </c>
    </row>
    <row r="742" spans="1:8" s="3" customFormat="1" x14ac:dyDescent="0.25">
      <c r="A742" s="20">
        <v>42013</v>
      </c>
      <c r="B742" s="21">
        <v>8649</v>
      </c>
      <c r="C742" s="14" t="s">
        <v>234</v>
      </c>
      <c r="D742" s="22">
        <v>527.20000000000005</v>
      </c>
      <c r="E742" s="23">
        <v>42013</v>
      </c>
      <c r="F742" s="24">
        <v>527.20000000000005</v>
      </c>
      <c r="G742" s="31">
        <f t="shared" si="11"/>
        <v>0</v>
      </c>
      <c r="H742" s="39" t="s">
        <v>9</v>
      </c>
    </row>
    <row r="743" spans="1:8" s="3" customFormat="1" x14ac:dyDescent="0.25">
      <c r="A743" s="20">
        <v>42013</v>
      </c>
      <c r="B743" s="21">
        <v>8650</v>
      </c>
      <c r="C743" s="14" t="s">
        <v>24</v>
      </c>
      <c r="D743" s="22">
        <v>45045</v>
      </c>
      <c r="E743" s="23">
        <v>42019</v>
      </c>
      <c r="F743" s="24">
        <v>45045</v>
      </c>
      <c r="G743" s="31">
        <f t="shared" si="11"/>
        <v>0</v>
      </c>
      <c r="H743" s="39" t="s">
        <v>17</v>
      </c>
    </row>
    <row r="744" spans="1:8" s="3" customFormat="1" x14ac:dyDescent="0.25">
      <c r="A744" s="20">
        <v>42013</v>
      </c>
      <c r="B744" s="21">
        <v>8651</v>
      </c>
      <c r="C744" s="14" t="s">
        <v>252</v>
      </c>
      <c r="D744" s="22">
        <v>5483</v>
      </c>
      <c r="E744" s="23">
        <v>42013</v>
      </c>
      <c r="F744" s="24">
        <v>5483</v>
      </c>
      <c r="G744" s="31">
        <f t="shared" si="11"/>
        <v>0</v>
      </c>
      <c r="H744" s="39" t="s">
        <v>9</v>
      </c>
    </row>
    <row r="745" spans="1:8" s="3" customFormat="1" x14ac:dyDescent="0.25">
      <c r="A745" s="20">
        <v>42013</v>
      </c>
      <c r="B745" s="21">
        <v>8652</v>
      </c>
      <c r="C745" s="14" t="s">
        <v>80</v>
      </c>
      <c r="D745" s="22">
        <v>7394.4</v>
      </c>
      <c r="E745" s="23">
        <v>42013</v>
      </c>
      <c r="F745" s="24">
        <v>7394.4</v>
      </c>
      <c r="G745" s="31">
        <f t="shared" si="11"/>
        <v>0</v>
      </c>
      <c r="H745" s="39" t="s">
        <v>9</v>
      </c>
    </row>
    <row r="746" spans="1:8" s="3" customFormat="1" x14ac:dyDescent="0.25">
      <c r="A746" s="20">
        <v>42013</v>
      </c>
      <c r="B746" s="21">
        <v>8653</v>
      </c>
      <c r="C746" s="14" t="s">
        <v>284</v>
      </c>
      <c r="D746" s="22">
        <v>2679.6</v>
      </c>
      <c r="E746" s="23">
        <v>42013</v>
      </c>
      <c r="F746" s="24">
        <v>2679.6</v>
      </c>
      <c r="G746" s="31">
        <f t="shared" si="11"/>
        <v>0</v>
      </c>
      <c r="H746" s="39" t="s">
        <v>9</v>
      </c>
    </row>
    <row r="747" spans="1:8" s="3" customFormat="1" x14ac:dyDescent="0.25">
      <c r="A747" s="20">
        <v>42013</v>
      </c>
      <c r="B747" s="21">
        <v>8654</v>
      </c>
      <c r="C747" s="14" t="s">
        <v>110</v>
      </c>
      <c r="D747" s="22">
        <v>78418.7</v>
      </c>
      <c r="E747" s="23">
        <v>42016</v>
      </c>
      <c r="F747" s="24">
        <v>78418.7</v>
      </c>
      <c r="G747" s="31">
        <f t="shared" si="11"/>
        <v>0</v>
      </c>
      <c r="H747" s="39" t="s">
        <v>183</v>
      </c>
    </row>
    <row r="748" spans="1:8" s="3" customFormat="1" x14ac:dyDescent="0.25">
      <c r="A748" s="20">
        <v>42014</v>
      </c>
      <c r="B748" s="21">
        <v>8655</v>
      </c>
      <c r="C748" s="14" t="s">
        <v>111</v>
      </c>
      <c r="D748" s="22">
        <v>214853</v>
      </c>
      <c r="E748" s="23">
        <v>42017</v>
      </c>
      <c r="F748" s="24">
        <v>214853</v>
      </c>
      <c r="G748" s="31">
        <f t="shared" si="11"/>
        <v>0</v>
      </c>
      <c r="H748" s="39" t="s">
        <v>9</v>
      </c>
    </row>
    <row r="749" spans="1:8" s="3" customFormat="1" x14ac:dyDescent="0.25">
      <c r="A749" s="20">
        <v>42014</v>
      </c>
      <c r="B749" s="21">
        <v>8656</v>
      </c>
      <c r="C749" s="14" t="s">
        <v>267</v>
      </c>
      <c r="D749" s="22">
        <v>4806</v>
      </c>
      <c r="E749" s="23">
        <v>42014</v>
      </c>
      <c r="F749" s="24">
        <v>4806</v>
      </c>
      <c r="G749" s="31">
        <f t="shared" si="11"/>
        <v>0</v>
      </c>
      <c r="H749" s="39" t="s">
        <v>9</v>
      </c>
    </row>
    <row r="750" spans="1:8" s="3" customFormat="1" x14ac:dyDescent="0.25">
      <c r="A750" s="20">
        <v>42014</v>
      </c>
      <c r="B750" s="21">
        <v>8657</v>
      </c>
      <c r="C750" s="14" t="s">
        <v>211</v>
      </c>
      <c r="D750" s="22">
        <v>56211.3</v>
      </c>
      <c r="E750" s="23">
        <v>42014</v>
      </c>
      <c r="F750" s="24">
        <v>56211.3</v>
      </c>
      <c r="G750" s="31">
        <f t="shared" si="11"/>
        <v>0</v>
      </c>
      <c r="H750" s="39" t="s">
        <v>9</v>
      </c>
    </row>
    <row r="751" spans="1:8" s="3" customFormat="1" x14ac:dyDescent="0.25">
      <c r="A751" s="20">
        <v>42014</v>
      </c>
      <c r="B751" s="21">
        <v>8658</v>
      </c>
      <c r="C751" s="14" t="s">
        <v>21</v>
      </c>
      <c r="D751" s="22">
        <v>3381.4</v>
      </c>
      <c r="E751" s="23">
        <v>42014</v>
      </c>
      <c r="F751" s="24">
        <v>3381.4</v>
      </c>
      <c r="G751" s="31">
        <f t="shared" si="11"/>
        <v>0</v>
      </c>
      <c r="H751" s="39" t="s">
        <v>9</v>
      </c>
    </row>
    <row r="752" spans="1:8" s="3" customFormat="1" x14ac:dyDescent="0.25">
      <c r="A752" s="20">
        <v>42014</v>
      </c>
      <c r="B752" s="21">
        <v>8659</v>
      </c>
      <c r="C752" s="14" t="s">
        <v>16</v>
      </c>
      <c r="D752" s="22">
        <v>12641.8</v>
      </c>
      <c r="E752" s="23">
        <v>42014</v>
      </c>
      <c r="F752" s="24">
        <v>12641.8</v>
      </c>
      <c r="G752" s="31">
        <f t="shared" si="11"/>
        <v>0</v>
      </c>
      <c r="H752" s="39" t="s">
        <v>17</v>
      </c>
    </row>
    <row r="753" spans="1:8" s="3" customFormat="1" x14ac:dyDescent="0.25">
      <c r="A753" s="20">
        <v>42014</v>
      </c>
      <c r="B753" s="21">
        <v>8660</v>
      </c>
      <c r="C753" s="14" t="s">
        <v>103</v>
      </c>
      <c r="D753" s="22">
        <v>50800.5</v>
      </c>
      <c r="E753" s="23">
        <v>42021</v>
      </c>
      <c r="F753" s="24">
        <v>50800.5</v>
      </c>
      <c r="G753" s="31">
        <f t="shared" si="11"/>
        <v>0</v>
      </c>
      <c r="H753" s="39" t="s">
        <v>36</v>
      </c>
    </row>
    <row r="754" spans="1:8" s="3" customFormat="1" x14ac:dyDescent="0.25">
      <c r="A754" s="20">
        <v>42014</v>
      </c>
      <c r="B754" s="21">
        <v>8661</v>
      </c>
      <c r="C754" s="14" t="s">
        <v>14</v>
      </c>
      <c r="D754" s="22">
        <v>19522.5</v>
      </c>
      <c r="E754" s="23">
        <v>42016</v>
      </c>
      <c r="F754" s="24">
        <v>19522.5</v>
      </c>
      <c r="G754" s="31">
        <f t="shared" si="11"/>
        <v>0</v>
      </c>
      <c r="H754" s="39" t="s">
        <v>15</v>
      </c>
    </row>
    <row r="755" spans="1:8" s="3" customFormat="1" x14ac:dyDescent="0.25">
      <c r="A755" s="20">
        <v>42014</v>
      </c>
      <c r="B755" s="21">
        <v>8662</v>
      </c>
      <c r="C755" s="14" t="s">
        <v>31</v>
      </c>
      <c r="D755" s="22">
        <v>4648</v>
      </c>
      <c r="E755" s="23">
        <v>42014</v>
      </c>
      <c r="F755" s="24">
        <v>4648</v>
      </c>
      <c r="G755" s="31">
        <f t="shared" si="11"/>
        <v>0</v>
      </c>
      <c r="H755" s="39" t="s">
        <v>19</v>
      </c>
    </row>
    <row r="756" spans="1:8" s="3" customFormat="1" x14ac:dyDescent="0.25">
      <c r="A756" s="20">
        <v>42014</v>
      </c>
      <c r="B756" s="21">
        <v>8663</v>
      </c>
      <c r="C756" s="14" t="s">
        <v>112</v>
      </c>
      <c r="D756" s="22">
        <v>10833.9</v>
      </c>
      <c r="E756" s="23">
        <v>42014</v>
      </c>
      <c r="F756" s="24">
        <v>10833.9</v>
      </c>
      <c r="G756" s="31">
        <f t="shared" si="11"/>
        <v>0</v>
      </c>
      <c r="H756" s="39" t="s">
        <v>9</v>
      </c>
    </row>
    <row r="757" spans="1:8" s="3" customFormat="1" x14ac:dyDescent="0.25">
      <c r="A757" s="20">
        <v>42014</v>
      </c>
      <c r="B757" s="21">
        <v>8664</v>
      </c>
      <c r="C757" s="14" t="s">
        <v>112</v>
      </c>
      <c r="D757" s="22">
        <v>100</v>
      </c>
      <c r="E757" s="23">
        <v>42014</v>
      </c>
      <c r="F757" s="24">
        <v>100</v>
      </c>
      <c r="G757" s="31">
        <f t="shared" si="11"/>
        <v>0</v>
      </c>
      <c r="H757" s="39" t="s">
        <v>9</v>
      </c>
    </row>
    <row r="758" spans="1:8" s="3" customFormat="1" x14ac:dyDescent="0.25">
      <c r="A758" s="20">
        <v>42014</v>
      </c>
      <c r="B758" s="21">
        <v>8665</v>
      </c>
      <c r="C758" s="14" t="s">
        <v>148</v>
      </c>
      <c r="D758" s="22">
        <v>4680</v>
      </c>
      <c r="E758" s="23">
        <v>42014</v>
      </c>
      <c r="F758" s="24">
        <v>4680</v>
      </c>
      <c r="G758" s="31">
        <f t="shared" si="11"/>
        <v>0</v>
      </c>
      <c r="H758" s="39" t="s">
        <v>9</v>
      </c>
    </row>
    <row r="759" spans="1:8" s="3" customFormat="1" x14ac:dyDescent="0.25">
      <c r="A759" s="20">
        <v>42014</v>
      </c>
      <c r="B759" s="21">
        <v>8666</v>
      </c>
      <c r="C759" s="14" t="s">
        <v>22</v>
      </c>
      <c r="D759" s="22">
        <v>1276.8</v>
      </c>
      <c r="E759" s="23">
        <v>42014</v>
      </c>
      <c r="F759" s="24">
        <v>1276.8</v>
      </c>
      <c r="G759" s="31">
        <f t="shared" si="11"/>
        <v>0</v>
      </c>
      <c r="H759" s="39" t="s">
        <v>9</v>
      </c>
    </row>
    <row r="760" spans="1:8" s="3" customFormat="1" x14ac:dyDescent="0.25">
      <c r="A760" s="20">
        <v>42014</v>
      </c>
      <c r="B760" s="21">
        <v>8667</v>
      </c>
      <c r="C760" s="14" t="s">
        <v>38</v>
      </c>
      <c r="D760" s="22">
        <v>40115.4</v>
      </c>
      <c r="E760" s="29" t="s">
        <v>289</v>
      </c>
      <c r="F760" s="24">
        <f>351+39764.4</f>
        <v>40115.4</v>
      </c>
      <c r="G760" s="31">
        <f t="shared" si="11"/>
        <v>0</v>
      </c>
      <c r="H760" s="19" t="s">
        <v>19</v>
      </c>
    </row>
    <row r="761" spans="1:8" s="3" customFormat="1" x14ac:dyDescent="0.25">
      <c r="A761" s="20">
        <v>42014</v>
      </c>
      <c r="B761" s="21">
        <v>8668</v>
      </c>
      <c r="C761" s="14" t="s">
        <v>25</v>
      </c>
      <c r="D761" s="22">
        <v>972</v>
      </c>
      <c r="E761" s="23">
        <v>42014</v>
      </c>
      <c r="F761" s="24">
        <v>972</v>
      </c>
      <c r="G761" s="31">
        <f t="shared" si="11"/>
        <v>0</v>
      </c>
      <c r="H761" s="19" t="s">
        <v>9</v>
      </c>
    </row>
    <row r="762" spans="1:8" s="3" customFormat="1" x14ac:dyDescent="0.25">
      <c r="A762" s="20">
        <v>42014</v>
      </c>
      <c r="B762" s="21">
        <v>8669</v>
      </c>
      <c r="C762" s="14" t="s">
        <v>121</v>
      </c>
      <c r="D762" s="22">
        <v>3014.55</v>
      </c>
      <c r="E762" s="23">
        <v>42014</v>
      </c>
      <c r="F762" s="24">
        <v>3014.55</v>
      </c>
      <c r="G762" s="31">
        <f t="shared" si="11"/>
        <v>0</v>
      </c>
      <c r="H762" s="19" t="s">
        <v>9</v>
      </c>
    </row>
    <row r="763" spans="1:8" s="3" customFormat="1" x14ac:dyDescent="0.25">
      <c r="A763" s="20">
        <v>42014</v>
      </c>
      <c r="B763" s="21">
        <v>8670</v>
      </c>
      <c r="C763" s="14" t="s">
        <v>290</v>
      </c>
      <c r="D763" s="22">
        <v>195</v>
      </c>
      <c r="E763" s="23">
        <v>42014</v>
      </c>
      <c r="F763" s="24">
        <v>195</v>
      </c>
      <c r="G763" s="31">
        <f t="shared" si="11"/>
        <v>0</v>
      </c>
      <c r="H763" s="19" t="s">
        <v>9</v>
      </c>
    </row>
    <row r="764" spans="1:8" s="3" customFormat="1" x14ac:dyDescent="0.25">
      <c r="A764" s="20">
        <v>42014</v>
      </c>
      <c r="B764" s="21">
        <v>8671</v>
      </c>
      <c r="C764" s="14" t="s">
        <v>20</v>
      </c>
      <c r="D764" s="22">
        <v>19950</v>
      </c>
      <c r="E764" s="23">
        <v>42014</v>
      </c>
      <c r="F764" s="24">
        <v>19950</v>
      </c>
      <c r="G764" s="31">
        <f t="shared" si="11"/>
        <v>0</v>
      </c>
      <c r="H764" s="19" t="s">
        <v>94</v>
      </c>
    </row>
    <row r="765" spans="1:8" s="3" customFormat="1" x14ac:dyDescent="0.25">
      <c r="A765" s="20">
        <v>42014</v>
      </c>
      <c r="B765" s="21">
        <v>8672</v>
      </c>
      <c r="C765" s="14" t="s">
        <v>291</v>
      </c>
      <c r="D765" s="22">
        <v>10566.27</v>
      </c>
      <c r="E765" s="23">
        <v>42014</v>
      </c>
      <c r="F765" s="24">
        <v>10566.27</v>
      </c>
      <c r="G765" s="31">
        <f t="shared" si="11"/>
        <v>0</v>
      </c>
      <c r="H765" s="19" t="s">
        <v>9</v>
      </c>
    </row>
    <row r="766" spans="1:8" s="3" customFormat="1" x14ac:dyDescent="0.25">
      <c r="A766" s="20">
        <v>42014</v>
      </c>
      <c r="B766" s="21">
        <v>8673</v>
      </c>
      <c r="C766" s="14" t="s">
        <v>20</v>
      </c>
      <c r="D766" s="22">
        <v>952.5</v>
      </c>
      <c r="E766" s="23">
        <v>42014</v>
      </c>
      <c r="F766" s="24">
        <v>952.5</v>
      </c>
      <c r="G766" s="31">
        <f t="shared" si="11"/>
        <v>0</v>
      </c>
      <c r="H766" s="19" t="s">
        <v>94</v>
      </c>
    </row>
    <row r="767" spans="1:8" s="3" customFormat="1" x14ac:dyDescent="0.25">
      <c r="A767" s="20">
        <v>42014</v>
      </c>
      <c r="B767" s="21">
        <v>8674</v>
      </c>
      <c r="C767" s="14" t="s">
        <v>114</v>
      </c>
      <c r="D767" s="22">
        <v>2730</v>
      </c>
      <c r="E767" s="23">
        <v>42014</v>
      </c>
      <c r="F767" s="24">
        <v>2730</v>
      </c>
      <c r="G767" s="31">
        <f t="shared" si="11"/>
        <v>0</v>
      </c>
      <c r="H767" s="19" t="s">
        <v>9</v>
      </c>
    </row>
    <row r="768" spans="1:8" s="3" customFormat="1" x14ac:dyDescent="0.25">
      <c r="A768" s="20">
        <v>42014</v>
      </c>
      <c r="B768" s="21">
        <v>8675</v>
      </c>
      <c r="C768" s="14" t="s">
        <v>116</v>
      </c>
      <c r="D768" s="22">
        <v>11601.6</v>
      </c>
      <c r="E768" s="23">
        <v>42014</v>
      </c>
      <c r="F768" s="24">
        <v>11601.6</v>
      </c>
      <c r="G768" s="31">
        <f t="shared" si="11"/>
        <v>0</v>
      </c>
      <c r="H768" s="19" t="s">
        <v>9</v>
      </c>
    </row>
    <row r="769" spans="1:10" s="3" customFormat="1" x14ac:dyDescent="0.25">
      <c r="A769" s="20">
        <v>42014</v>
      </c>
      <c r="B769" s="21">
        <v>8676</v>
      </c>
      <c r="C769" s="14" t="s">
        <v>124</v>
      </c>
      <c r="D769" s="22">
        <v>1274</v>
      </c>
      <c r="E769" s="23">
        <v>42014</v>
      </c>
      <c r="F769" s="24">
        <v>1274</v>
      </c>
      <c r="G769" s="31">
        <f t="shared" si="11"/>
        <v>0</v>
      </c>
      <c r="H769" s="19" t="s">
        <v>9</v>
      </c>
    </row>
    <row r="770" spans="1:10" s="3" customFormat="1" x14ac:dyDescent="0.25">
      <c r="A770" s="20">
        <v>42014</v>
      </c>
      <c r="B770" s="21">
        <v>8677</v>
      </c>
      <c r="C770" s="14" t="s">
        <v>292</v>
      </c>
      <c r="D770" s="22">
        <v>9090</v>
      </c>
      <c r="E770" s="23">
        <v>42014</v>
      </c>
      <c r="F770" s="24">
        <v>9090</v>
      </c>
      <c r="G770" s="31">
        <f t="shared" si="11"/>
        <v>0</v>
      </c>
      <c r="H770" s="19" t="s">
        <v>59</v>
      </c>
      <c r="I770" s="4"/>
      <c r="J770" s="4"/>
    </row>
    <row r="771" spans="1:10" s="3" customFormat="1" x14ac:dyDescent="0.25">
      <c r="A771" s="20">
        <v>42014</v>
      </c>
      <c r="B771" s="21">
        <v>8678</v>
      </c>
      <c r="C771" s="14" t="s">
        <v>293</v>
      </c>
      <c r="D771" s="22">
        <v>8821.7999999999993</v>
      </c>
      <c r="E771" s="23">
        <v>42014</v>
      </c>
      <c r="F771" s="24">
        <v>8821.7999999999993</v>
      </c>
      <c r="G771" s="31">
        <f t="shared" ref="G771:G834" si="12">D771-F771</f>
        <v>0</v>
      </c>
      <c r="H771" s="19" t="s">
        <v>59</v>
      </c>
      <c r="I771" s="4"/>
      <c r="J771" s="4"/>
    </row>
    <row r="772" spans="1:10" s="3" customFormat="1" x14ac:dyDescent="0.25">
      <c r="A772" s="20">
        <v>42014</v>
      </c>
      <c r="B772" s="21">
        <v>8679</v>
      </c>
      <c r="C772" s="157" t="s">
        <v>45</v>
      </c>
      <c r="D772" s="22">
        <v>34464.6</v>
      </c>
      <c r="E772" s="23">
        <v>42007</v>
      </c>
      <c r="F772" s="54">
        <v>11219.83</v>
      </c>
      <c r="G772" s="55">
        <f t="shared" si="12"/>
        <v>23244.769999999997</v>
      </c>
      <c r="H772" s="19" t="s">
        <v>9</v>
      </c>
      <c r="I772" s="4"/>
      <c r="J772" s="4"/>
    </row>
    <row r="773" spans="1:10" s="3" customFormat="1" x14ac:dyDescent="0.25">
      <c r="A773" s="20">
        <v>42014</v>
      </c>
      <c r="B773" s="21">
        <v>8680</v>
      </c>
      <c r="C773" s="14" t="s">
        <v>161</v>
      </c>
      <c r="D773" s="22">
        <v>3315</v>
      </c>
      <c r="E773" s="23">
        <v>42014</v>
      </c>
      <c r="F773" s="24">
        <v>3315</v>
      </c>
      <c r="G773" s="31">
        <f t="shared" si="12"/>
        <v>0</v>
      </c>
      <c r="H773" s="19" t="s">
        <v>9</v>
      </c>
      <c r="I773" s="4"/>
      <c r="J773" s="4"/>
    </row>
    <row r="774" spans="1:10" s="3" customFormat="1" x14ac:dyDescent="0.25">
      <c r="A774" s="20">
        <v>42014</v>
      </c>
      <c r="B774" s="21">
        <v>8681</v>
      </c>
      <c r="C774" s="14" t="s">
        <v>26</v>
      </c>
      <c r="D774" s="22">
        <v>2304</v>
      </c>
      <c r="E774" s="23">
        <v>42014</v>
      </c>
      <c r="F774" s="24">
        <v>2304</v>
      </c>
      <c r="G774" s="31">
        <f t="shared" si="12"/>
        <v>0</v>
      </c>
      <c r="H774" s="19" t="s">
        <v>27</v>
      </c>
      <c r="I774" s="4"/>
      <c r="J774" s="4"/>
    </row>
    <row r="775" spans="1:10" s="3" customFormat="1" x14ac:dyDescent="0.25">
      <c r="A775" s="20">
        <v>42014</v>
      </c>
      <c r="B775" s="21">
        <v>8682</v>
      </c>
      <c r="C775" s="14" t="s">
        <v>66</v>
      </c>
      <c r="D775" s="22">
        <v>2530.3000000000002</v>
      </c>
      <c r="E775" s="23">
        <v>42014</v>
      </c>
      <c r="F775" s="24">
        <v>2530.3000000000002</v>
      </c>
      <c r="G775" s="31">
        <f t="shared" si="12"/>
        <v>0</v>
      </c>
      <c r="H775" s="19" t="s">
        <v>9</v>
      </c>
      <c r="I775" s="4"/>
      <c r="J775" s="4"/>
    </row>
    <row r="776" spans="1:10" s="3" customFormat="1" x14ac:dyDescent="0.25">
      <c r="A776" s="20">
        <v>42014</v>
      </c>
      <c r="B776" s="21">
        <v>8683</v>
      </c>
      <c r="C776" s="14" t="s">
        <v>91</v>
      </c>
      <c r="D776" s="22">
        <v>13966.32</v>
      </c>
      <c r="E776" s="23">
        <v>42014</v>
      </c>
      <c r="F776" s="24">
        <v>13966.32</v>
      </c>
      <c r="G776" s="31">
        <f t="shared" si="12"/>
        <v>0</v>
      </c>
      <c r="H776" s="19" t="s">
        <v>59</v>
      </c>
      <c r="I776" s="4"/>
      <c r="J776" s="4"/>
    </row>
    <row r="777" spans="1:10" s="3" customFormat="1" x14ac:dyDescent="0.25">
      <c r="A777" s="20">
        <v>42014</v>
      </c>
      <c r="B777" s="21">
        <v>8684</v>
      </c>
      <c r="C777" s="14" t="s">
        <v>126</v>
      </c>
      <c r="D777" s="22">
        <v>660</v>
      </c>
      <c r="E777" s="23">
        <v>42014</v>
      </c>
      <c r="F777" s="24">
        <v>660</v>
      </c>
      <c r="G777" s="31">
        <f t="shared" si="12"/>
        <v>0</v>
      </c>
      <c r="H777" s="19" t="s">
        <v>59</v>
      </c>
      <c r="I777" s="4"/>
      <c r="J777" s="4"/>
    </row>
    <row r="778" spans="1:10" s="3" customFormat="1" x14ac:dyDescent="0.25">
      <c r="A778" s="20">
        <v>42014</v>
      </c>
      <c r="B778" s="21">
        <v>8685</v>
      </c>
      <c r="C778" s="14" t="s">
        <v>167</v>
      </c>
      <c r="D778" s="22">
        <v>712.8</v>
      </c>
      <c r="E778" s="23">
        <v>42014</v>
      </c>
      <c r="F778" s="24">
        <v>712.8</v>
      </c>
      <c r="G778" s="31">
        <f t="shared" si="12"/>
        <v>0</v>
      </c>
      <c r="H778" s="19" t="s">
        <v>59</v>
      </c>
      <c r="I778" s="4"/>
      <c r="J778" s="28"/>
    </row>
    <row r="779" spans="1:10" s="3" customFormat="1" x14ac:dyDescent="0.25">
      <c r="A779" s="20">
        <v>42014</v>
      </c>
      <c r="B779" s="21">
        <v>8686</v>
      </c>
      <c r="C779" s="14" t="s">
        <v>81</v>
      </c>
      <c r="D779" s="22">
        <v>3362.6</v>
      </c>
      <c r="E779" s="23">
        <v>42014</v>
      </c>
      <c r="F779" s="24">
        <v>3362.6</v>
      </c>
      <c r="G779" s="31">
        <f t="shared" si="12"/>
        <v>0</v>
      </c>
      <c r="H779" s="19" t="s">
        <v>59</v>
      </c>
      <c r="I779" s="4"/>
      <c r="J779" s="4"/>
    </row>
    <row r="780" spans="1:10" s="3" customFormat="1" x14ac:dyDescent="0.25">
      <c r="A780" s="20">
        <v>42014</v>
      </c>
      <c r="B780" s="21">
        <v>8687</v>
      </c>
      <c r="C780" s="14" t="s">
        <v>53</v>
      </c>
      <c r="D780" s="22">
        <v>3540</v>
      </c>
      <c r="E780" s="23">
        <v>42014</v>
      </c>
      <c r="F780" s="24">
        <v>3540</v>
      </c>
      <c r="G780" s="31">
        <f t="shared" si="12"/>
        <v>0</v>
      </c>
      <c r="H780" s="19" t="s">
        <v>59</v>
      </c>
      <c r="I780" s="4"/>
      <c r="J780" s="4"/>
    </row>
    <row r="781" spans="1:10" s="3" customFormat="1" x14ac:dyDescent="0.25">
      <c r="A781" s="20">
        <v>42014</v>
      </c>
      <c r="B781" s="21">
        <v>8688</v>
      </c>
      <c r="C781" s="14" t="s">
        <v>58</v>
      </c>
      <c r="D781" s="22">
        <v>420</v>
      </c>
      <c r="E781" s="23">
        <v>42014</v>
      </c>
      <c r="F781" s="24">
        <v>420</v>
      </c>
      <c r="G781" s="31">
        <f t="shared" si="12"/>
        <v>0</v>
      </c>
      <c r="H781" s="19" t="s">
        <v>59</v>
      </c>
      <c r="I781" s="4"/>
      <c r="J781" s="4"/>
    </row>
    <row r="782" spans="1:10" s="3" customFormat="1" x14ac:dyDescent="0.25">
      <c r="A782" s="20">
        <v>42014</v>
      </c>
      <c r="B782" s="21">
        <v>8689</v>
      </c>
      <c r="C782" s="14" t="s">
        <v>30</v>
      </c>
      <c r="D782" s="22">
        <v>3027.8</v>
      </c>
      <c r="E782" s="23">
        <v>42014</v>
      </c>
      <c r="F782" s="24">
        <v>3027.8</v>
      </c>
      <c r="G782" s="31">
        <f t="shared" si="12"/>
        <v>0</v>
      </c>
      <c r="H782" s="19" t="s">
        <v>9</v>
      </c>
      <c r="I782" s="4"/>
      <c r="J782" s="4"/>
    </row>
    <row r="783" spans="1:10" s="3" customFormat="1" x14ac:dyDescent="0.25">
      <c r="A783" s="20">
        <v>42014</v>
      </c>
      <c r="B783" s="21">
        <v>8690</v>
      </c>
      <c r="C783" s="14" t="s">
        <v>82</v>
      </c>
      <c r="D783" s="22">
        <v>9474</v>
      </c>
      <c r="E783" s="23">
        <v>42014</v>
      </c>
      <c r="F783" s="24">
        <v>9474</v>
      </c>
      <c r="G783" s="31">
        <f t="shared" si="12"/>
        <v>0</v>
      </c>
      <c r="H783" s="19" t="s">
        <v>59</v>
      </c>
      <c r="I783" s="4"/>
      <c r="J783" s="4"/>
    </row>
    <row r="784" spans="1:10" s="3" customFormat="1" x14ac:dyDescent="0.25">
      <c r="A784" s="20">
        <v>42014</v>
      </c>
      <c r="B784" s="21">
        <v>8691</v>
      </c>
      <c r="C784" s="14" t="s">
        <v>88</v>
      </c>
      <c r="D784" s="22">
        <v>861.9</v>
      </c>
      <c r="E784" s="23">
        <v>42014</v>
      </c>
      <c r="F784" s="24">
        <v>861.9</v>
      </c>
      <c r="G784" s="31">
        <f t="shared" si="12"/>
        <v>0</v>
      </c>
      <c r="H784" s="19" t="s">
        <v>9</v>
      </c>
      <c r="I784" s="4"/>
      <c r="J784" s="4"/>
    </row>
    <row r="785" spans="1:10" s="3" customFormat="1" x14ac:dyDescent="0.25">
      <c r="A785" s="20">
        <v>42014</v>
      </c>
      <c r="B785" s="21">
        <v>8692</v>
      </c>
      <c r="C785" s="14" t="s">
        <v>30</v>
      </c>
      <c r="D785" s="22">
        <v>80</v>
      </c>
      <c r="E785" s="23">
        <v>42014</v>
      </c>
      <c r="F785" s="24">
        <v>80</v>
      </c>
      <c r="G785" s="31">
        <f t="shared" si="12"/>
        <v>0</v>
      </c>
      <c r="H785" s="19" t="s">
        <v>9</v>
      </c>
      <c r="I785" s="4"/>
      <c r="J785" s="4"/>
    </row>
    <row r="786" spans="1:10" s="3" customFormat="1" x14ac:dyDescent="0.25">
      <c r="A786" s="20">
        <v>42014</v>
      </c>
      <c r="B786" s="21">
        <v>8693</v>
      </c>
      <c r="C786" s="14" t="s">
        <v>294</v>
      </c>
      <c r="D786" s="22">
        <v>3730.8</v>
      </c>
      <c r="E786" s="23">
        <v>42014</v>
      </c>
      <c r="F786" s="24">
        <v>3730.8</v>
      </c>
      <c r="G786" s="31">
        <f t="shared" si="12"/>
        <v>0</v>
      </c>
      <c r="H786" s="19" t="s">
        <v>9</v>
      </c>
      <c r="I786" s="4"/>
      <c r="J786" s="4"/>
    </row>
    <row r="787" spans="1:10" s="3" customFormat="1" x14ac:dyDescent="0.25">
      <c r="A787" s="20">
        <v>42014</v>
      </c>
      <c r="B787" s="21">
        <v>8694</v>
      </c>
      <c r="C787" s="14" t="s">
        <v>57</v>
      </c>
      <c r="D787" s="22">
        <v>2100</v>
      </c>
      <c r="E787" s="23">
        <v>42014</v>
      </c>
      <c r="F787" s="24">
        <v>2100</v>
      </c>
      <c r="G787" s="31">
        <f t="shared" si="12"/>
        <v>0</v>
      </c>
      <c r="H787" s="19" t="s">
        <v>59</v>
      </c>
      <c r="I787" s="4"/>
      <c r="J787" s="28"/>
    </row>
    <row r="788" spans="1:10" s="3" customFormat="1" x14ac:dyDescent="0.25">
      <c r="A788" s="20">
        <v>42014</v>
      </c>
      <c r="B788" s="21">
        <v>8695</v>
      </c>
      <c r="C788" s="14" t="s">
        <v>151</v>
      </c>
      <c r="D788" s="22">
        <v>2930.2</v>
      </c>
      <c r="E788" s="23">
        <v>42014</v>
      </c>
      <c r="F788" s="24">
        <v>2930.2</v>
      </c>
      <c r="G788" s="31">
        <f t="shared" si="12"/>
        <v>0</v>
      </c>
      <c r="H788" s="19" t="s">
        <v>9</v>
      </c>
      <c r="I788" s="4"/>
      <c r="J788" s="4"/>
    </row>
    <row r="789" spans="1:10" s="3" customFormat="1" x14ac:dyDescent="0.25">
      <c r="A789" s="20">
        <v>42014</v>
      </c>
      <c r="B789" s="21">
        <v>8696</v>
      </c>
      <c r="C789" s="14" t="s">
        <v>215</v>
      </c>
      <c r="D789" s="22">
        <v>17212.2</v>
      </c>
      <c r="E789" s="23">
        <v>42014</v>
      </c>
      <c r="F789" s="24">
        <v>17212.2</v>
      </c>
      <c r="G789" s="31">
        <f t="shared" si="12"/>
        <v>0</v>
      </c>
      <c r="H789" s="19" t="s">
        <v>9</v>
      </c>
      <c r="I789" s="4"/>
      <c r="J789" s="4"/>
    </row>
    <row r="790" spans="1:10" s="3" customFormat="1" x14ac:dyDescent="0.25">
      <c r="A790" s="20">
        <v>42014</v>
      </c>
      <c r="B790" s="21">
        <v>8697</v>
      </c>
      <c r="C790" s="14" t="s">
        <v>295</v>
      </c>
      <c r="D790" s="22">
        <v>975.5</v>
      </c>
      <c r="E790" s="23">
        <v>42014</v>
      </c>
      <c r="F790" s="24">
        <v>975.5</v>
      </c>
      <c r="G790" s="31">
        <f t="shared" si="12"/>
        <v>0</v>
      </c>
      <c r="H790" s="19" t="s">
        <v>9</v>
      </c>
      <c r="I790" s="4"/>
      <c r="J790" s="4"/>
    </row>
    <row r="791" spans="1:10" s="3" customFormat="1" x14ac:dyDescent="0.25">
      <c r="A791" s="20">
        <v>42014</v>
      </c>
      <c r="B791" s="21">
        <v>8698</v>
      </c>
      <c r="C791" s="14" t="s">
        <v>296</v>
      </c>
      <c r="D791" s="22">
        <v>417</v>
      </c>
      <c r="E791" s="23">
        <v>42014</v>
      </c>
      <c r="F791" s="24">
        <v>417</v>
      </c>
      <c r="G791" s="31">
        <f t="shared" si="12"/>
        <v>0</v>
      </c>
      <c r="H791" s="19" t="s">
        <v>9</v>
      </c>
      <c r="I791" s="4"/>
      <c r="J791" s="4"/>
    </row>
    <row r="792" spans="1:10" s="3" customFormat="1" x14ac:dyDescent="0.25">
      <c r="A792" s="20">
        <v>42014</v>
      </c>
      <c r="B792" s="21">
        <v>8699</v>
      </c>
      <c r="C792" s="14" t="s">
        <v>217</v>
      </c>
      <c r="D792" s="22">
        <v>1925.8</v>
      </c>
      <c r="E792" s="23">
        <v>42014</v>
      </c>
      <c r="F792" s="24">
        <v>1925.8</v>
      </c>
      <c r="G792" s="31">
        <f t="shared" si="12"/>
        <v>0</v>
      </c>
      <c r="H792" s="19" t="s">
        <v>59</v>
      </c>
      <c r="I792" s="4"/>
      <c r="J792" s="4"/>
    </row>
    <row r="793" spans="1:10" s="3" customFormat="1" x14ac:dyDescent="0.25">
      <c r="A793" s="20">
        <v>42014</v>
      </c>
      <c r="B793" s="21">
        <v>8700</v>
      </c>
      <c r="C793" s="14" t="s">
        <v>34</v>
      </c>
      <c r="D793" s="22">
        <v>2658.6</v>
      </c>
      <c r="E793" s="23">
        <v>42014</v>
      </c>
      <c r="F793" s="24">
        <v>2658.6</v>
      </c>
      <c r="G793" s="31">
        <f t="shared" si="12"/>
        <v>0</v>
      </c>
      <c r="H793" s="19" t="s">
        <v>9</v>
      </c>
      <c r="I793" s="4"/>
      <c r="J793" s="4"/>
    </row>
    <row r="794" spans="1:10" s="3" customFormat="1" x14ac:dyDescent="0.25">
      <c r="A794" s="20">
        <v>42014</v>
      </c>
      <c r="B794" s="21">
        <v>8701</v>
      </c>
      <c r="C794" s="14" t="s">
        <v>168</v>
      </c>
      <c r="D794" s="22">
        <v>7929</v>
      </c>
      <c r="E794" s="23">
        <v>42014</v>
      </c>
      <c r="F794" s="24">
        <v>7929</v>
      </c>
      <c r="G794" s="31">
        <f t="shared" si="12"/>
        <v>0</v>
      </c>
      <c r="H794" s="19" t="s">
        <v>59</v>
      </c>
      <c r="I794" s="4"/>
      <c r="J794" s="4"/>
    </row>
    <row r="795" spans="1:10" s="3" customFormat="1" x14ac:dyDescent="0.25">
      <c r="A795" s="20">
        <v>42014</v>
      </c>
      <c r="B795" s="21">
        <v>8702</v>
      </c>
      <c r="C795" s="14" t="s">
        <v>110</v>
      </c>
      <c r="D795" s="22">
        <v>79831.759999999995</v>
      </c>
      <c r="E795" s="23">
        <v>42016</v>
      </c>
      <c r="F795" s="24">
        <v>79831.759999999995</v>
      </c>
      <c r="G795" s="31">
        <f t="shared" si="12"/>
        <v>0</v>
      </c>
      <c r="H795" s="19" t="s">
        <v>183</v>
      </c>
      <c r="I795" s="4"/>
      <c r="J795" s="4"/>
    </row>
    <row r="796" spans="1:10" s="3" customFormat="1" x14ac:dyDescent="0.25">
      <c r="A796" s="20">
        <v>42014</v>
      </c>
      <c r="B796" s="21">
        <v>8703</v>
      </c>
      <c r="C796" s="14" t="s">
        <v>141</v>
      </c>
      <c r="D796" s="22">
        <v>18532.400000000001</v>
      </c>
      <c r="E796" s="29" t="s">
        <v>297</v>
      </c>
      <c r="F796" s="24">
        <f>18000+532.4</f>
        <v>18532.400000000001</v>
      </c>
      <c r="G796" s="31">
        <f t="shared" si="12"/>
        <v>0</v>
      </c>
      <c r="H796" s="19" t="s">
        <v>41</v>
      </c>
      <c r="I796" s="4"/>
      <c r="J796" s="4"/>
    </row>
    <row r="797" spans="1:10" s="3" customFormat="1" x14ac:dyDescent="0.25">
      <c r="A797" s="20">
        <v>42014</v>
      </c>
      <c r="B797" s="21">
        <v>8704</v>
      </c>
      <c r="C797" s="14" t="s">
        <v>14</v>
      </c>
      <c r="D797" s="22">
        <v>25765.040000000001</v>
      </c>
      <c r="E797" s="23">
        <v>42016</v>
      </c>
      <c r="F797" s="24">
        <v>25765.040000000001</v>
      </c>
      <c r="G797" s="31">
        <f t="shared" si="12"/>
        <v>0</v>
      </c>
      <c r="H797" s="19" t="s">
        <v>15</v>
      </c>
      <c r="I797" s="4"/>
      <c r="J797" s="4"/>
    </row>
    <row r="798" spans="1:10" s="3" customFormat="1" x14ac:dyDescent="0.25">
      <c r="A798" s="20">
        <v>42014</v>
      </c>
      <c r="B798" s="21">
        <v>8705</v>
      </c>
      <c r="C798" s="14" t="s">
        <v>125</v>
      </c>
      <c r="D798" s="22">
        <v>46241.32</v>
      </c>
      <c r="E798" s="29" t="s">
        <v>298</v>
      </c>
      <c r="F798" s="24">
        <f>3500+38000+4741.32</f>
        <v>46241.32</v>
      </c>
      <c r="G798" s="31">
        <f t="shared" si="12"/>
        <v>0</v>
      </c>
      <c r="H798" s="19" t="s">
        <v>9</v>
      </c>
      <c r="I798" s="4"/>
      <c r="J798" s="4"/>
    </row>
    <row r="799" spans="1:10" s="3" customFormat="1" x14ac:dyDescent="0.25">
      <c r="A799" s="20">
        <v>42014</v>
      </c>
      <c r="B799" s="21">
        <v>8706</v>
      </c>
      <c r="C799" s="14" t="s">
        <v>133</v>
      </c>
      <c r="D799" s="22">
        <v>1350.6</v>
      </c>
      <c r="E799" s="23">
        <v>42014</v>
      </c>
      <c r="F799" s="24">
        <v>1350.6</v>
      </c>
      <c r="G799" s="31">
        <f t="shared" si="12"/>
        <v>0</v>
      </c>
      <c r="H799" s="19" t="s">
        <v>9</v>
      </c>
      <c r="I799" s="4"/>
      <c r="J799" s="4"/>
    </row>
    <row r="800" spans="1:10" s="3" customFormat="1" x14ac:dyDescent="0.25">
      <c r="A800" s="20">
        <v>42014</v>
      </c>
      <c r="B800" s="21">
        <v>8707</v>
      </c>
      <c r="C800" s="14" t="s">
        <v>270</v>
      </c>
      <c r="D800" s="22">
        <v>1285.8</v>
      </c>
      <c r="E800" s="23">
        <v>42014</v>
      </c>
      <c r="F800" s="24">
        <v>1285.8</v>
      </c>
      <c r="G800" s="31">
        <f t="shared" si="12"/>
        <v>0</v>
      </c>
      <c r="H800" s="19" t="s">
        <v>9</v>
      </c>
      <c r="I800" s="4"/>
      <c r="J800" s="4"/>
    </row>
    <row r="801" spans="1:8" s="3" customFormat="1" x14ac:dyDescent="0.25">
      <c r="A801" s="20">
        <v>42014</v>
      </c>
      <c r="B801" s="21">
        <v>8708</v>
      </c>
      <c r="C801" s="14" t="s">
        <v>299</v>
      </c>
      <c r="D801" s="22">
        <v>4241.7</v>
      </c>
      <c r="E801" s="23">
        <v>42014</v>
      </c>
      <c r="F801" s="24">
        <v>4241.7</v>
      </c>
      <c r="G801" s="31">
        <f t="shared" si="12"/>
        <v>0</v>
      </c>
      <c r="H801" s="19" t="s">
        <v>17</v>
      </c>
    </row>
    <row r="802" spans="1:8" s="3" customFormat="1" x14ac:dyDescent="0.25">
      <c r="A802" s="20">
        <v>42014</v>
      </c>
      <c r="B802" s="21">
        <v>8709</v>
      </c>
      <c r="C802" s="14" t="s">
        <v>130</v>
      </c>
      <c r="D802" s="22">
        <v>7356.5</v>
      </c>
      <c r="E802" s="29" t="s">
        <v>300</v>
      </c>
      <c r="F802" s="24">
        <f>1800+5556.5</f>
        <v>7356.5</v>
      </c>
      <c r="G802" s="31">
        <f t="shared" si="12"/>
        <v>0</v>
      </c>
      <c r="H802" s="19" t="s">
        <v>17</v>
      </c>
    </row>
    <row r="803" spans="1:8" s="3" customFormat="1" x14ac:dyDescent="0.25">
      <c r="A803" s="20">
        <v>42014</v>
      </c>
      <c r="B803" s="21">
        <v>8710</v>
      </c>
      <c r="C803" s="14" t="s">
        <v>128</v>
      </c>
      <c r="D803" s="22">
        <v>3531.6</v>
      </c>
      <c r="E803" s="23">
        <v>42014</v>
      </c>
      <c r="F803" s="24">
        <v>3531.6</v>
      </c>
      <c r="G803" s="31">
        <f t="shared" si="12"/>
        <v>0</v>
      </c>
      <c r="H803" s="19" t="s">
        <v>17</v>
      </c>
    </row>
    <row r="804" spans="1:8" s="3" customFormat="1" x14ac:dyDescent="0.25">
      <c r="A804" s="20">
        <v>42014</v>
      </c>
      <c r="B804" s="21">
        <v>8711</v>
      </c>
      <c r="C804" s="14" t="s">
        <v>131</v>
      </c>
      <c r="D804" s="22">
        <v>2975.4</v>
      </c>
      <c r="E804" s="23">
        <v>42014</v>
      </c>
      <c r="F804" s="24">
        <v>2975.4</v>
      </c>
      <c r="G804" s="31">
        <f t="shared" si="12"/>
        <v>0</v>
      </c>
      <c r="H804" s="19" t="s">
        <v>17</v>
      </c>
    </row>
    <row r="805" spans="1:8" s="3" customFormat="1" x14ac:dyDescent="0.25">
      <c r="A805" s="20">
        <v>42014</v>
      </c>
      <c r="B805" s="21">
        <v>8712</v>
      </c>
      <c r="C805" s="26" t="s">
        <v>218</v>
      </c>
      <c r="D805" s="27">
        <v>0</v>
      </c>
      <c r="E805" s="23"/>
      <c r="F805" s="24"/>
      <c r="G805" s="31">
        <f t="shared" si="12"/>
        <v>0</v>
      </c>
      <c r="H805" s="19" t="s">
        <v>13</v>
      </c>
    </row>
    <row r="806" spans="1:8" s="3" customFormat="1" x14ac:dyDescent="0.25">
      <c r="A806" s="20">
        <v>42014</v>
      </c>
      <c r="B806" s="21">
        <v>8713</v>
      </c>
      <c r="C806" s="14" t="s">
        <v>155</v>
      </c>
      <c r="D806" s="22">
        <v>716.8</v>
      </c>
      <c r="E806" s="23">
        <v>42014</v>
      </c>
      <c r="F806" s="24">
        <v>716.8</v>
      </c>
      <c r="G806" s="31">
        <f t="shared" si="12"/>
        <v>0</v>
      </c>
      <c r="H806" s="19" t="s">
        <v>9</v>
      </c>
    </row>
    <row r="807" spans="1:8" s="3" customFormat="1" x14ac:dyDescent="0.25">
      <c r="A807" s="20">
        <v>42014</v>
      </c>
      <c r="B807" s="21">
        <v>8714</v>
      </c>
      <c r="C807" s="14" t="s">
        <v>137</v>
      </c>
      <c r="D807" s="22">
        <v>3428.5</v>
      </c>
      <c r="E807" s="23">
        <v>42014</v>
      </c>
      <c r="F807" s="24">
        <v>3428.5</v>
      </c>
      <c r="G807" s="31">
        <f t="shared" si="12"/>
        <v>0</v>
      </c>
      <c r="H807" s="19" t="s">
        <v>9</v>
      </c>
    </row>
    <row r="808" spans="1:8" s="3" customFormat="1" x14ac:dyDescent="0.25">
      <c r="A808" s="20">
        <v>42014</v>
      </c>
      <c r="B808" s="21">
        <v>8715</v>
      </c>
      <c r="C808" s="14" t="s">
        <v>32</v>
      </c>
      <c r="D808" s="22">
        <v>285635.40000000002</v>
      </c>
      <c r="E808" s="23">
        <v>42035</v>
      </c>
      <c r="F808" s="24">
        <v>285635.40000000002</v>
      </c>
      <c r="G808" s="31">
        <f t="shared" si="12"/>
        <v>0</v>
      </c>
      <c r="H808" s="19" t="s">
        <v>149</v>
      </c>
    </row>
    <row r="809" spans="1:8" s="3" customFormat="1" x14ac:dyDescent="0.25">
      <c r="A809" s="20">
        <v>42014</v>
      </c>
      <c r="B809" s="21">
        <v>8716</v>
      </c>
      <c r="C809" s="14" t="s">
        <v>24</v>
      </c>
      <c r="D809" s="22">
        <v>98594.1</v>
      </c>
      <c r="E809" s="23">
        <v>42023</v>
      </c>
      <c r="F809" s="24">
        <v>98594.1</v>
      </c>
      <c r="G809" s="31">
        <f t="shared" si="12"/>
        <v>0</v>
      </c>
      <c r="H809" s="19" t="s">
        <v>94</v>
      </c>
    </row>
    <row r="810" spans="1:8" s="3" customFormat="1" x14ac:dyDescent="0.25">
      <c r="A810" s="20">
        <v>42014</v>
      </c>
      <c r="B810" s="21">
        <v>8717</v>
      </c>
      <c r="C810" s="14" t="s">
        <v>228</v>
      </c>
      <c r="D810" s="22">
        <v>2921.25</v>
      </c>
      <c r="E810" s="23">
        <v>42014</v>
      </c>
      <c r="F810" s="24">
        <v>2921.25</v>
      </c>
      <c r="G810" s="31">
        <f t="shared" si="12"/>
        <v>0</v>
      </c>
      <c r="H810" s="19" t="s">
        <v>9</v>
      </c>
    </row>
    <row r="811" spans="1:8" s="3" customFormat="1" x14ac:dyDescent="0.25">
      <c r="A811" s="20">
        <v>42014</v>
      </c>
      <c r="B811" s="21">
        <v>8718</v>
      </c>
      <c r="C811" s="14" t="s">
        <v>50</v>
      </c>
      <c r="D811" s="22">
        <v>5039.6000000000004</v>
      </c>
      <c r="E811" s="23">
        <v>42014</v>
      </c>
      <c r="F811" s="24">
        <v>5039.6000000000004</v>
      </c>
      <c r="G811" s="31">
        <f t="shared" si="12"/>
        <v>0</v>
      </c>
      <c r="H811" s="19" t="s">
        <v>9</v>
      </c>
    </row>
    <row r="812" spans="1:8" s="3" customFormat="1" x14ac:dyDescent="0.25">
      <c r="A812" s="20">
        <v>42014</v>
      </c>
      <c r="B812" s="21">
        <v>8719</v>
      </c>
      <c r="C812" s="14" t="s">
        <v>93</v>
      </c>
      <c r="D812" s="22">
        <v>3832</v>
      </c>
      <c r="E812" s="23">
        <v>42014</v>
      </c>
      <c r="F812" s="24">
        <v>3832</v>
      </c>
      <c r="G812" s="31">
        <f t="shared" si="12"/>
        <v>0</v>
      </c>
      <c r="H812" s="19" t="s">
        <v>19</v>
      </c>
    </row>
    <row r="813" spans="1:8" s="3" customFormat="1" x14ac:dyDescent="0.25">
      <c r="A813" s="20">
        <v>42014</v>
      </c>
      <c r="B813" s="21">
        <v>8720</v>
      </c>
      <c r="C813" s="14" t="s">
        <v>95</v>
      </c>
      <c r="D813" s="22">
        <v>7916</v>
      </c>
      <c r="E813" s="23">
        <v>42014</v>
      </c>
      <c r="F813" s="24">
        <v>7916</v>
      </c>
      <c r="G813" s="31">
        <f t="shared" si="12"/>
        <v>0</v>
      </c>
      <c r="H813" s="19" t="s">
        <v>19</v>
      </c>
    </row>
    <row r="814" spans="1:8" s="3" customFormat="1" x14ac:dyDescent="0.25">
      <c r="A814" s="20">
        <v>42014</v>
      </c>
      <c r="B814" s="21">
        <v>8721</v>
      </c>
      <c r="C814" s="14" t="s">
        <v>96</v>
      </c>
      <c r="D814" s="22">
        <v>3436.3</v>
      </c>
      <c r="E814" s="23">
        <v>42014</v>
      </c>
      <c r="F814" s="24">
        <v>3436.3</v>
      </c>
      <c r="G814" s="31">
        <f t="shared" si="12"/>
        <v>0</v>
      </c>
      <c r="H814" s="19" t="s">
        <v>19</v>
      </c>
    </row>
    <row r="815" spans="1:8" s="3" customFormat="1" x14ac:dyDescent="0.25">
      <c r="A815" s="20">
        <v>42014</v>
      </c>
      <c r="B815" s="21">
        <v>8722</v>
      </c>
      <c r="C815" s="14" t="s">
        <v>89</v>
      </c>
      <c r="D815" s="22">
        <v>4868</v>
      </c>
      <c r="E815" s="23">
        <v>42014</v>
      </c>
      <c r="F815" s="24">
        <v>4868</v>
      </c>
      <c r="G815" s="31">
        <f t="shared" si="12"/>
        <v>0</v>
      </c>
      <c r="H815" s="19" t="s">
        <v>9</v>
      </c>
    </row>
    <row r="816" spans="1:8" s="3" customFormat="1" x14ac:dyDescent="0.25">
      <c r="A816" s="20">
        <v>42014</v>
      </c>
      <c r="B816" s="21">
        <v>8723</v>
      </c>
      <c r="C816" s="14" t="s">
        <v>250</v>
      </c>
      <c r="D816" s="22">
        <v>952</v>
      </c>
      <c r="E816" s="23">
        <v>42014</v>
      </c>
      <c r="F816" s="24">
        <v>952</v>
      </c>
      <c r="G816" s="31">
        <f t="shared" si="12"/>
        <v>0</v>
      </c>
      <c r="H816" s="19" t="s">
        <v>19</v>
      </c>
    </row>
    <row r="817" spans="1:10" s="3" customFormat="1" x14ac:dyDescent="0.25">
      <c r="A817" s="20">
        <v>42014</v>
      </c>
      <c r="B817" s="21">
        <v>8724</v>
      </c>
      <c r="C817" s="14" t="s">
        <v>136</v>
      </c>
      <c r="D817" s="22">
        <v>2192</v>
      </c>
      <c r="E817" s="23">
        <v>42014</v>
      </c>
      <c r="F817" s="24">
        <v>2192</v>
      </c>
      <c r="G817" s="31">
        <f t="shared" si="12"/>
        <v>0</v>
      </c>
      <c r="H817" s="19" t="s">
        <v>9</v>
      </c>
      <c r="I817" s="4"/>
      <c r="J817" s="28"/>
    </row>
    <row r="818" spans="1:10" s="3" customFormat="1" x14ac:dyDescent="0.25">
      <c r="A818" s="20">
        <v>42014</v>
      </c>
      <c r="B818" s="21">
        <v>8725</v>
      </c>
      <c r="C818" s="14" t="s">
        <v>301</v>
      </c>
      <c r="D818" s="22">
        <v>694.6</v>
      </c>
      <c r="E818" s="23">
        <v>42014</v>
      </c>
      <c r="F818" s="24">
        <v>694.6</v>
      </c>
      <c r="G818" s="31">
        <f t="shared" si="12"/>
        <v>0</v>
      </c>
      <c r="H818" s="19" t="s">
        <v>19</v>
      </c>
      <c r="I818" s="4"/>
      <c r="J818" s="4"/>
    </row>
    <row r="819" spans="1:10" s="3" customFormat="1" x14ac:dyDescent="0.25">
      <c r="A819" s="20">
        <v>42014</v>
      </c>
      <c r="B819" s="21">
        <v>8726</v>
      </c>
      <c r="C819" s="14" t="s">
        <v>49</v>
      </c>
      <c r="D819" s="22">
        <v>1616.8</v>
      </c>
      <c r="E819" s="23">
        <v>42014</v>
      </c>
      <c r="F819" s="24">
        <v>1616.8</v>
      </c>
      <c r="G819" s="31">
        <f t="shared" si="12"/>
        <v>0</v>
      </c>
      <c r="H819" s="19" t="s">
        <v>41</v>
      </c>
      <c r="I819" s="4"/>
      <c r="J819" s="4"/>
    </row>
    <row r="820" spans="1:10" s="3" customFormat="1" x14ac:dyDescent="0.25">
      <c r="A820" s="20">
        <v>42014</v>
      </c>
      <c r="B820" s="21">
        <v>8727</v>
      </c>
      <c r="C820" s="14" t="s">
        <v>48</v>
      </c>
      <c r="D820" s="22">
        <v>2100.9</v>
      </c>
      <c r="E820" s="23">
        <v>42014</v>
      </c>
      <c r="F820" s="24">
        <v>2100.9</v>
      </c>
      <c r="G820" s="31">
        <f t="shared" si="12"/>
        <v>0</v>
      </c>
      <c r="H820" s="19" t="s">
        <v>41</v>
      </c>
      <c r="I820" s="4"/>
      <c r="J820" s="4"/>
    </row>
    <row r="821" spans="1:10" s="3" customFormat="1" x14ac:dyDescent="0.25">
      <c r="A821" s="20">
        <v>42014</v>
      </c>
      <c r="B821" s="21">
        <v>8728</v>
      </c>
      <c r="C821" s="14" t="s">
        <v>98</v>
      </c>
      <c r="D821" s="22">
        <v>1206</v>
      </c>
      <c r="E821" s="23">
        <v>42014</v>
      </c>
      <c r="F821" s="24">
        <v>1206</v>
      </c>
      <c r="G821" s="31">
        <f t="shared" si="12"/>
        <v>0</v>
      </c>
      <c r="H821" s="19" t="s">
        <v>19</v>
      </c>
      <c r="I821" s="4"/>
      <c r="J821" s="4"/>
    </row>
    <row r="822" spans="1:10" s="3" customFormat="1" x14ac:dyDescent="0.25">
      <c r="A822" s="20">
        <v>42014</v>
      </c>
      <c r="B822" s="21">
        <v>8729</v>
      </c>
      <c r="C822" s="14" t="s">
        <v>136</v>
      </c>
      <c r="D822" s="22">
        <v>37864</v>
      </c>
      <c r="E822" s="29" t="s">
        <v>302</v>
      </c>
      <c r="F822" s="24">
        <f>12500+25364</f>
        <v>37864</v>
      </c>
      <c r="G822" s="31">
        <f t="shared" si="12"/>
        <v>0</v>
      </c>
      <c r="H822" s="19" t="s">
        <v>9</v>
      </c>
      <c r="I822" s="4"/>
      <c r="J822" s="4"/>
    </row>
    <row r="823" spans="1:10" s="3" customFormat="1" x14ac:dyDescent="0.25">
      <c r="A823" s="20">
        <v>42014</v>
      </c>
      <c r="B823" s="21">
        <v>8730</v>
      </c>
      <c r="C823" s="14" t="s">
        <v>130</v>
      </c>
      <c r="D823" s="22">
        <v>3150</v>
      </c>
      <c r="E823" s="23">
        <v>42014</v>
      </c>
      <c r="F823" s="24">
        <v>3150</v>
      </c>
      <c r="G823" s="31">
        <f t="shared" si="12"/>
        <v>0</v>
      </c>
      <c r="H823" s="19" t="s">
        <v>17</v>
      </c>
      <c r="I823" s="4"/>
      <c r="J823" s="4"/>
    </row>
    <row r="824" spans="1:10" s="3" customFormat="1" x14ac:dyDescent="0.25">
      <c r="A824" s="20">
        <v>42014</v>
      </c>
      <c r="B824" s="21">
        <v>8731</v>
      </c>
      <c r="C824" s="14" t="s">
        <v>135</v>
      </c>
      <c r="D824" s="22">
        <v>5526.8</v>
      </c>
      <c r="E824" s="23">
        <v>42014</v>
      </c>
      <c r="F824" s="24">
        <v>5526.8</v>
      </c>
      <c r="G824" s="31">
        <f t="shared" si="12"/>
        <v>0</v>
      </c>
      <c r="H824" s="19" t="s">
        <v>9</v>
      </c>
      <c r="I824" s="4"/>
      <c r="J824" s="4"/>
    </row>
    <row r="825" spans="1:10" s="3" customFormat="1" x14ac:dyDescent="0.25">
      <c r="A825" s="20">
        <v>42014</v>
      </c>
      <c r="B825" s="21">
        <v>8732</v>
      </c>
      <c r="C825" s="14" t="s">
        <v>303</v>
      </c>
      <c r="D825" s="22">
        <v>342.6</v>
      </c>
      <c r="E825" s="23">
        <v>42014</v>
      </c>
      <c r="F825" s="24">
        <v>342.6</v>
      </c>
      <c r="G825" s="31">
        <f t="shared" si="12"/>
        <v>0</v>
      </c>
      <c r="H825" s="19" t="s">
        <v>9</v>
      </c>
      <c r="I825" s="4"/>
      <c r="J825" s="4"/>
    </row>
    <row r="826" spans="1:10" s="3" customFormat="1" x14ac:dyDescent="0.25">
      <c r="A826" s="20">
        <v>42014</v>
      </c>
      <c r="B826" s="21">
        <v>8733</v>
      </c>
      <c r="C826" s="14" t="s">
        <v>106</v>
      </c>
      <c r="D826" s="22">
        <v>16484.78</v>
      </c>
      <c r="E826" s="23">
        <v>42017</v>
      </c>
      <c r="F826" s="24">
        <v>16484.78</v>
      </c>
      <c r="G826" s="31">
        <f t="shared" si="12"/>
        <v>0</v>
      </c>
      <c r="H826" s="19" t="s">
        <v>19</v>
      </c>
      <c r="I826" s="4"/>
      <c r="J826" s="4"/>
    </row>
    <row r="827" spans="1:10" s="3" customFormat="1" x14ac:dyDescent="0.25">
      <c r="A827" s="20">
        <v>42014</v>
      </c>
      <c r="B827" s="21">
        <v>8734</v>
      </c>
      <c r="C827" s="14" t="s">
        <v>304</v>
      </c>
      <c r="D827" s="22">
        <v>11019.4</v>
      </c>
      <c r="E827" s="23">
        <v>42014</v>
      </c>
      <c r="F827" s="24">
        <v>11019.4</v>
      </c>
      <c r="G827" s="31">
        <f t="shared" si="12"/>
        <v>0</v>
      </c>
      <c r="H827" s="19" t="s">
        <v>9</v>
      </c>
      <c r="I827" s="4"/>
      <c r="J827" s="4"/>
    </row>
    <row r="828" spans="1:10" s="3" customFormat="1" x14ac:dyDescent="0.25">
      <c r="A828" s="20">
        <v>42014</v>
      </c>
      <c r="B828" s="21">
        <v>8735</v>
      </c>
      <c r="C828" s="14" t="s">
        <v>305</v>
      </c>
      <c r="D828" s="22">
        <v>4627.7</v>
      </c>
      <c r="E828" s="23">
        <v>42014</v>
      </c>
      <c r="F828" s="24">
        <v>4627.7</v>
      </c>
      <c r="G828" s="31">
        <f t="shared" si="12"/>
        <v>0</v>
      </c>
      <c r="H828" s="19" t="s">
        <v>9</v>
      </c>
      <c r="I828" s="4"/>
      <c r="J828" s="28"/>
    </row>
    <row r="829" spans="1:10" s="3" customFormat="1" x14ac:dyDescent="0.25">
      <c r="A829" s="20">
        <v>42014</v>
      </c>
      <c r="B829" s="21">
        <v>8736</v>
      </c>
      <c r="C829" s="14" t="s">
        <v>91</v>
      </c>
      <c r="D829" s="22">
        <v>26748.400000000001</v>
      </c>
      <c r="E829" s="23">
        <v>42014</v>
      </c>
      <c r="F829" s="24">
        <v>26748.400000000001</v>
      </c>
      <c r="G829" s="31">
        <f t="shared" si="12"/>
        <v>0</v>
      </c>
      <c r="H829" s="19" t="s">
        <v>94</v>
      </c>
      <c r="I829" s="4"/>
      <c r="J829" s="4"/>
    </row>
    <row r="830" spans="1:10" s="3" customFormat="1" x14ac:dyDescent="0.25">
      <c r="A830" s="20">
        <v>42014</v>
      </c>
      <c r="B830" s="21">
        <v>8737</v>
      </c>
      <c r="C830" s="14" t="s">
        <v>158</v>
      </c>
      <c r="D830" s="22">
        <v>2180.8000000000002</v>
      </c>
      <c r="E830" s="23">
        <v>42014</v>
      </c>
      <c r="F830" s="24">
        <v>2180.8000000000002</v>
      </c>
      <c r="G830" s="31">
        <f t="shared" si="12"/>
        <v>0</v>
      </c>
      <c r="H830" s="19" t="s">
        <v>9</v>
      </c>
      <c r="I830" s="4"/>
      <c r="J830" s="4"/>
    </row>
    <row r="831" spans="1:10" s="3" customFormat="1" x14ac:dyDescent="0.25">
      <c r="A831" s="20">
        <v>42014</v>
      </c>
      <c r="B831" s="21">
        <v>8738</v>
      </c>
      <c r="C831" s="14" t="s">
        <v>233</v>
      </c>
      <c r="D831" s="22">
        <v>14674.8</v>
      </c>
      <c r="E831" s="23">
        <v>42014</v>
      </c>
      <c r="F831" s="24">
        <v>14674.8</v>
      </c>
      <c r="G831" s="31">
        <f t="shared" si="12"/>
        <v>0</v>
      </c>
      <c r="H831" s="19" t="s">
        <v>36</v>
      </c>
      <c r="I831" s="4"/>
      <c r="J831" s="4"/>
    </row>
    <row r="832" spans="1:10" s="3" customFormat="1" x14ac:dyDescent="0.25">
      <c r="A832" s="20">
        <v>42014</v>
      </c>
      <c r="B832" s="21">
        <v>8739</v>
      </c>
      <c r="C832" s="14" t="s">
        <v>47</v>
      </c>
      <c r="D832" s="22">
        <v>22097.599999999999</v>
      </c>
      <c r="E832" s="23">
        <v>42014</v>
      </c>
      <c r="F832" s="24">
        <v>22097.599999999999</v>
      </c>
      <c r="G832" s="31">
        <f t="shared" si="12"/>
        <v>0</v>
      </c>
      <c r="H832" s="19" t="s">
        <v>36</v>
      </c>
      <c r="I832" s="4"/>
      <c r="J832" s="4"/>
    </row>
    <row r="833" spans="1:10" s="3" customFormat="1" x14ac:dyDescent="0.25">
      <c r="A833" s="20">
        <v>42014</v>
      </c>
      <c r="B833" s="21">
        <v>8740</v>
      </c>
      <c r="C833" s="14" t="s">
        <v>56</v>
      </c>
      <c r="D833" s="22">
        <v>14960</v>
      </c>
      <c r="E833" s="23">
        <v>42014</v>
      </c>
      <c r="F833" s="24">
        <v>14960</v>
      </c>
      <c r="G833" s="31">
        <f t="shared" si="12"/>
        <v>0</v>
      </c>
      <c r="H833" s="19" t="s">
        <v>36</v>
      </c>
      <c r="I833" s="4"/>
      <c r="J833" s="4"/>
    </row>
    <row r="834" spans="1:10" s="3" customFormat="1" x14ac:dyDescent="0.25">
      <c r="A834" s="20">
        <v>42014</v>
      </c>
      <c r="B834" s="21">
        <v>8741</v>
      </c>
      <c r="C834" s="14" t="s">
        <v>100</v>
      </c>
      <c r="D834" s="22">
        <v>2941.8</v>
      </c>
      <c r="E834" s="23">
        <v>42014</v>
      </c>
      <c r="F834" s="24">
        <v>2941.8</v>
      </c>
      <c r="G834" s="31">
        <f t="shared" si="12"/>
        <v>0</v>
      </c>
      <c r="H834" s="19" t="s">
        <v>9</v>
      </c>
    </row>
    <row r="835" spans="1:10" s="3" customFormat="1" x14ac:dyDescent="0.25">
      <c r="A835" s="20">
        <v>42014</v>
      </c>
      <c r="B835" s="21">
        <v>8742</v>
      </c>
      <c r="C835" s="14" t="s">
        <v>102</v>
      </c>
      <c r="D835" s="22">
        <v>2467.1999999999998</v>
      </c>
      <c r="E835" s="23">
        <v>42014</v>
      </c>
      <c r="F835" s="24">
        <v>2467.1999999999998</v>
      </c>
      <c r="G835" s="31">
        <f t="shared" ref="G835:G898" si="13">D835-F835</f>
        <v>0</v>
      </c>
      <c r="H835" s="19" t="s">
        <v>9</v>
      </c>
    </row>
    <row r="836" spans="1:10" s="3" customFormat="1" x14ac:dyDescent="0.25">
      <c r="A836" s="20">
        <v>42014</v>
      </c>
      <c r="B836" s="21">
        <v>8743</v>
      </c>
      <c r="C836" s="14" t="s">
        <v>22</v>
      </c>
      <c r="D836" s="22">
        <v>17438.599999999999</v>
      </c>
      <c r="E836" s="23">
        <v>42028</v>
      </c>
      <c r="F836" s="24">
        <v>17438.599999999999</v>
      </c>
      <c r="G836" s="31">
        <f t="shared" si="13"/>
        <v>0</v>
      </c>
      <c r="H836" s="19" t="s">
        <v>9</v>
      </c>
    </row>
    <row r="837" spans="1:10" s="3" customFormat="1" x14ac:dyDescent="0.25">
      <c r="A837" s="20">
        <v>42014</v>
      </c>
      <c r="B837" s="21">
        <v>8744</v>
      </c>
      <c r="C837" s="14" t="s">
        <v>134</v>
      </c>
      <c r="D837" s="22">
        <v>11733.4</v>
      </c>
      <c r="E837" s="23">
        <v>42016</v>
      </c>
      <c r="F837" s="24">
        <v>11733.4</v>
      </c>
      <c r="G837" s="31">
        <f t="shared" si="13"/>
        <v>0</v>
      </c>
      <c r="H837" s="19" t="s">
        <v>17</v>
      </c>
    </row>
    <row r="838" spans="1:10" s="3" customFormat="1" x14ac:dyDescent="0.25">
      <c r="A838" s="20">
        <v>42014</v>
      </c>
      <c r="B838" s="21">
        <v>8745</v>
      </c>
      <c r="C838" s="14" t="s">
        <v>112</v>
      </c>
      <c r="D838" s="22">
        <v>4176</v>
      </c>
      <c r="E838" s="29" t="s">
        <v>306</v>
      </c>
      <c r="F838" s="24">
        <f>3900+276</f>
        <v>4176</v>
      </c>
      <c r="G838" s="31">
        <f t="shared" si="13"/>
        <v>0</v>
      </c>
      <c r="H838" s="19" t="s">
        <v>9</v>
      </c>
    </row>
    <row r="839" spans="1:10" s="3" customFormat="1" x14ac:dyDescent="0.25">
      <c r="A839" s="20">
        <v>42014</v>
      </c>
      <c r="B839" s="21">
        <v>8746</v>
      </c>
      <c r="C839" s="14" t="s">
        <v>64</v>
      </c>
      <c r="D839" s="22">
        <v>2436</v>
      </c>
      <c r="E839" s="23">
        <v>42014</v>
      </c>
      <c r="F839" s="24">
        <v>2436</v>
      </c>
      <c r="G839" s="31">
        <f t="shared" si="13"/>
        <v>0</v>
      </c>
      <c r="H839" s="19" t="s">
        <v>9</v>
      </c>
    </row>
    <row r="840" spans="1:10" s="3" customFormat="1" x14ac:dyDescent="0.25">
      <c r="A840" s="20">
        <v>42014</v>
      </c>
      <c r="B840" s="21">
        <v>8747</v>
      </c>
      <c r="C840" s="14" t="s">
        <v>111</v>
      </c>
      <c r="D840" s="22">
        <v>33911.5</v>
      </c>
      <c r="E840" s="23">
        <v>42024</v>
      </c>
      <c r="F840" s="24">
        <v>33911.5</v>
      </c>
      <c r="G840" s="31">
        <f t="shared" si="13"/>
        <v>0</v>
      </c>
      <c r="H840" s="19" t="s">
        <v>17</v>
      </c>
    </row>
    <row r="841" spans="1:10" s="3" customFormat="1" x14ac:dyDescent="0.25">
      <c r="A841" s="20">
        <v>42014</v>
      </c>
      <c r="B841" s="21">
        <v>8748</v>
      </c>
      <c r="C841" s="14" t="s">
        <v>14</v>
      </c>
      <c r="D841" s="22">
        <v>228311.47</v>
      </c>
      <c r="E841" s="23">
        <v>42017</v>
      </c>
      <c r="F841" s="24">
        <v>228311.47</v>
      </c>
      <c r="G841" s="31">
        <f t="shared" si="13"/>
        <v>0</v>
      </c>
      <c r="H841" s="19" t="s">
        <v>183</v>
      </c>
    </row>
    <row r="842" spans="1:10" s="3" customFormat="1" x14ac:dyDescent="0.25">
      <c r="A842" s="20">
        <v>42014</v>
      </c>
      <c r="B842" s="21">
        <v>8749</v>
      </c>
      <c r="C842" s="14" t="s">
        <v>299</v>
      </c>
      <c r="D842" s="22">
        <v>312</v>
      </c>
      <c r="E842" s="23">
        <v>42014</v>
      </c>
      <c r="F842" s="24">
        <v>312</v>
      </c>
      <c r="G842" s="31">
        <f t="shared" si="13"/>
        <v>0</v>
      </c>
      <c r="H842" s="19" t="s">
        <v>9</v>
      </c>
    </row>
    <row r="843" spans="1:10" s="3" customFormat="1" x14ac:dyDescent="0.25">
      <c r="A843" s="20">
        <v>42014</v>
      </c>
      <c r="B843" s="21">
        <v>8750</v>
      </c>
      <c r="C843" s="14" t="s">
        <v>24</v>
      </c>
      <c r="D843" s="22">
        <v>314338.34000000003</v>
      </c>
      <c r="E843" s="23">
        <v>42025</v>
      </c>
      <c r="F843" s="24">
        <f>50000+120000+26000+31772+86566.34</f>
        <v>314338.33999999997</v>
      </c>
      <c r="G843" s="31">
        <f t="shared" si="13"/>
        <v>0</v>
      </c>
      <c r="H843" s="19" t="s">
        <v>46</v>
      </c>
    </row>
    <row r="844" spans="1:10" s="3" customFormat="1" x14ac:dyDescent="0.25">
      <c r="A844" s="20">
        <v>42014</v>
      </c>
      <c r="B844" s="21">
        <v>8751</v>
      </c>
      <c r="C844" s="14" t="s">
        <v>234</v>
      </c>
      <c r="D844" s="22">
        <v>180</v>
      </c>
      <c r="E844" s="23">
        <v>42014</v>
      </c>
      <c r="F844" s="24">
        <v>180</v>
      </c>
      <c r="G844" s="31">
        <f t="shared" si="13"/>
        <v>0</v>
      </c>
      <c r="H844" s="19" t="s">
        <v>9</v>
      </c>
    </row>
    <row r="845" spans="1:10" s="3" customFormat="1" x14ac:dyDescent="0.25">
      <c r="A845" s="20">
        <v>42014</v>
      </c>
      <c r="B845" s="21">
        <v>8752</v>
      </c>
      <c r="C845" s="14" t="s">
        <v>24</v>
      </c>
      <c r="D845" s="22">
        <v>82385.3</v>
      </c>
      <c r="E845" s="23">
        <v>42021</v>
      </c>
      <c r="F845" s="24">
        <v>82385.3</v>
      </c>
      <c r="G845" s="31">
        <f t="shared" si="13"/>
        <v>0</v>
      </c>
      <c r="H845" s="19" t="s">
        <v>149</v>
      </c>
    </row>
    <row r="846" spans="1:10" s="3" customFormat="1" x14ac:dyDescent="0.25">
      <c r="A846" s="20">
        <v>42014</v>
      </c>
      <c r="B846" s="21">
        <v>8753</v>
      </c>
      <c r="C846" s="14" t="s">
        <v>267</v>
      </c>
      <c r="D846" s="22">
        <v>4059</v>
      </c>
      <c r="E846" s="23">
        <v>42016</v>
      </c>
      <c r="F846" s="24">
        <v>4059</v>
      </c>
      <c r="G846" s="31">
        <f t="shared" si="13"/>
        <v>0</v>
      </c>
      <c r="H846" s="19" t="s">
        <v>94</v>
      </c>
    </row>
    <row r="847" spans="1:10" s="3" customFormat="1" x14ac:dyDescent="0.25">
      <c r="A847" s="20">
        <v>42014</v>
      </c>
      <c r="B847" s="21">
        <v>8754</v>
      </c>
      <c r="C847" s="14" t="s">
        <v>191</v>
      </c>
      <c r="D847" s="22">
        <v>29740.2</v>
      </c>
      <c r="E847" s="23">
        <v>42014</v>
      </c>
      <c r="F847" s="24">
        <v>29740.2</v>
      </c>
      <c r="G847" s="31">
        <f t="shared" si="13"/>
        <v>0</v>
      </c>
      <c r="H847" s="19" t="s">
        <v>9</v>
      </c>
    </row>
    <row r="848" spans="1:10" s="3" customFormat="1" x14ac:dyDescent="0.25">
      <c r="A848" s="20">
        <v>42014</v>
      </c>
      <c r="B848" s="21">
        <v>8755</v>
      </c>
      <c r="C848" s="14" t="s">
        <v>145</v>
      </c>
      <c r="D848" s="22">
        <v>2822.4</v>
      </c>
      <c r="E848" s="23">
        <v>42014</v>
      </c>
      <c r="F848" s="24">
        <v>2822.4</v>
      </c>
      <c r="G848" s="31">
        <f t="shared" si="13"/>
        <v>0</v>
      </c>
      <c r="H848" s="19" t="s">
        <v>9</v>
      </c>
    </row>
    <row r="849" spans="1:10" s="3" customFormat="1" x14ac:dyDescent="0.25">
      <c r="A849" s="20">
        <v>42014</v>
      </c>
      <c r="B849" s="21">
        <v>8756</v>
      </c>
      <c r="C849" s="14" t="s">
        <v>45</v>
      </c>
      <c r="D849" s="22">
        <v>79015.710000000006</v>
      </c>
      <c r="E849" s="52"/>
      <c r="F849" s="53"/>
      <c r="G849" s="31">
        <f t="shared" si="13"/>
        <v>79015.710000000006</v>
      </c>
      <c r="H849" s="19" t="s">
        <v>46</v>
      </c>
    </row>
    <row r="850" spans="1:10" s="3" customFormat="1" x14ac:dyDescent="0.25">
      <c r="A850" s="20">
        <v>42015</v>
      </c>
      <c r="B850" s="21">
        <v>8757</v>
      </c>
      <c r="C850" s="14" t="s">
        <v>267</v>
      </c>
      <c r="D850" s="22">
        <v>789.38</v>
      </c>
      <c r="E850" s="23">
        <v>42016</v>
      </c>
      <c r="F850" s="24">
        <v>789.38</v>
      </c>
      <c r="G850" s="31">
        <f t="shared" si="13"/>
        <v>0</v>
      </c>
      <c r="H850" s="19" t="s">
        <v>9</v>
      </c>
      <c r="I850" s="4"/>
      <c r="J850" s="28"/>
    </row>
    <row r="851" spans="1:10" s="3" customFormat="1" x14ac:dyDescent="0.25">
      <c r="A851" s="20">
        <v>42015</v>
      </c>
      <c r="B851" s="21">
        <v>8758</v>
      </c>
      <c r="C851" s="14" t="s">
        <v>148</v>
      </c>
      <c r="D851" s="22">
        <v>5544</v>
      </c>
      <c r="E851" s="23">
        <v>42015</v>
      </c>
      <c r="F851" s="24">
        <v>5544</v>
      </c>
      <c r="G851" s="31">
        <f t="shared" si="13"/>
        <v>0</v>
      </c>
      <c r="H851" s="19" t="s">
        <v>9</v>
      </c>
      <c r="I851" s="4"/>
      <c r="J851" s="4"/>
    </row>
    <row r="852" spans="1:10" s="3" customFormat="1" x14ac:dyDescent="0.25">
      <c r="A852" s="20">
        <v>42015</v>
      </c>
      <c r="B852" s="21">
        <v>8759</v>
      </c>
      <c r="C852" s="14" t="s">
        <v>126</v>
      </c>
      <c r="D852" s="22">
        <v>23796.92</v>
      </c>
      <c r="E852" s="23">
        <v>42015</v>
      </c>
      <c r="F852" s="24">
        <v>23796.92</v>
      </c>
      <c r="G852" s="31">
        <f t="shared" si="13"/>
        <v>0</v>
      </c>
      <c r="H852" s="19" t="s">
        <v>59</v>
      </c>
      <c r="I852" s="4"/>
      <c r="J852" s="4"/>
    </row>
    <row r="853" spans="1:10" s="3" customFormat="1" x14ac:dyDescent="0.25">
      <c r="A853" s="20">
        <v>42015</v>
      </c>
      <c r="B853" s="21">
        <v>8760</v>
      </c>
      <c r="C853" s="14" t="s">
        <v>14</v>
      </c>
      <c r="D853" s="22">
        <v>17028.75</v>
      </c>
      <c r="E853" s="23">
        <v>42016</v>
      </c>
      <c r="F853" s="24">
        <v>17028.75</v>
      </c>
      <c r="G853" s="31">
        <f t="shared" si="13"/>
        <v>0</v>
      </c>
      <c r="H853" s="19" t="s">
        <v>15</v>
      </c>
      <c r="I853" s="4"/>
      <c r="J853" s="4"/>
    </row>
    <row r="854" spans="1:10" s="3" customFormat="1" x14ac:dyDescent="0.25">
      <c r="A854" s="20">
        <v>42015</v>
      </c>
      <c r="B854" s="21">
        <v>8761</v>
      </c>
      <c r="C854" s="14" t="s">
        <v>88</v>
      </c>
      <c r="D854" s="22">
        <v>1014.2</v>
      </c>
      <c r="E854" s="23">
        <v>42015</v>
      </c>
      <c r="F854" s="24">
        <v>1014.2</v>
      </c>
      <c r="G854" s="31">
        <f t="shared" si="13"/>
        <v>0</v>
      </c>
      <c r="H854" s="19" t="s">
        <v>9</v>
      </c>
      <c r="I854" s="4"/>
      <c r="J854" s="4"/>
    </row>
    <row r="855" spans="1:10" s="3" customFormat="1" x14ac:dyDescent="0.25">
      <c r="A855" s="20">
        <v>42015</v>
      </c>
      <c r="B855" s="21">
        <v>8762</v>
      </c>
      <c r="C855" s="14" t="s">
        <v>20</v>
      </c>
      <c r="D855" s="22">
        <v>15007.5</v>
      </c>
      <c r="E855" s="23">
        <v>42015</v>
      </c>
      <c r="F855" s="24">
        <v>15007.5</v>
      </c>
      <c r="G855" s="31">
        <f t="shared" si="13"/>
        <v>0</v>
      </c>
      <c r="H855" s="19" t="s">
        <v>17</v>
      </c>
      <c r="I855" s="4"/>
      <c r="J855" s="28"/>
    </row>
    <row r="856" spans="1:10" s="3" customFormat="1" x14ac:dyDescent="0.25">
      <c r="A856" s="20">
        <v>42015</v>
      </c>
      <c r="B856" s="21">
        <v>8763</v>
      </c>
      <c r="C856" s="14" t="s">
        <v>16</v>
      </c>
      <c r="D856" s="22">
        <v>9563.7999999999993</v>
      </c>
      <c r="E856" s="23">
        <v>42015</v>
      </c>
      <c r="F856" s="24">
        <v>9563.7999999999993</v>
      </c>
      <c r="G856" s="31">
        <f t="shared" si="13"/>
        <v>0</v>
      </c>
      <c r="H856" s="19" t="s">
        <v>17</v>
      </c>
      <c r="I856" s="4"/>
      <c r="J856" s="4"/>
    </row>
    <row r="857" spans="1:10" s="3" customFormat="1" x14ac:dyDescent="0.25">
      <c r="A857" s="20">
        <v>42015</v>
      </c>
      <c r="B857" s="21">
        <v>8764</v>
      </c>
      <c r="C857" s="14" t="s">
        <v>152</v>
      </c>
      <c r="D857" s="22">
        <v>11205.8</v>
      </c>
      <c r="E857" s="23">
        <v>42015</v>
      </c>
      <c r="F857" s="24">
        <v>11205.8</v>
      </c>
      <c r="G857" s="31">
        <f t="shared" si="13"/>
        <v>0</v>
      </c>
      <c r="H857" s="19" t="s">
        <v>17</v>
      </c>
      <c r="I857" s="4"/>
      <c r="J857" s="4"/>
    </row>
    <row r="858" spans="1:10" s="3" customFormat="1" x14ac:dyDescent="0.25">
      <c r="A858" s="20">
        <v>42015</v>
      </c>
      <c r="B858" s="21">
        <v>8765</v>
      </c>
      <c r="C858" s="14" t="s">
        <v>82</v>
      </c>
      <c r="D858" s="22">
        <v>5760</v>
      </c>
      <c r="E858" s="23">
        <v>42015</v>
      </c>
      <c r="F858" s="24">
        <v>5760</v>
      </c>
      <c r="G858" s="31">
        <f t="shared" si="13"/>
        <v>0</v>
      </c>
      <c r="H858" s="19" t="s">
        <v>59</v>
      </c>
      <c r="I858" s="4"/>
      <c r="J858" s="4"/>
    </row>
    <row r="859" spans="1:10" s="3" customFormat="1" x14ac:dyDescent="0.25">
      <c r="A859" s="20">
        <v>42015</v>
      </c>
      <c r="B859" s="21">
        <v>8766</v>
      </c>
      <c r="C859" s="14" t="s">
        <v>23</v>
      </c>
      <c r="D859" s="22">
        <v>2064.8000000000002</v>
      </c>
      <c r="E859" s="23">
        <v>42015</v>
      </c>
      <c r="F859" s="24">
        <v>2064.8000000000002</v>
      </c>
      <c r="G859" s="31">
        <f t="shared" si="13"/>
        <v>0</v>
      </c>
      <c r="H859" s="19" t="s">
        <v>9</v>
      </c>
      <c r="I859" s="4"/>
      <c r="J859" s="4"/>
    </row>
    <row r="860" spans="1:10" s="3" customFormat="1" x14ac:dyDescent="0.25">
      <c r="A860" s="20">
        <v>42015</v>
      </c>
      <c r="B860" s="21">
        <v>8767</v>
      </c>
      <c r="C860" s="14" t="s">
        <v>126</v>
      </c>
      <c r="D860" s="22">
        <v>1522.8</v>
      </c>
      <c r="E860" s="23">
        <v>42015</v>
      </c>
      <c r="F860" s="24">
        <v>1522.8</v>
      </c>
      <c r="G860" s="31">
        <f t="shared" si="13"/>
        <v>0</v>
      </c>
      <c r="H860" s="19" t="s">
        <v>59</v>
      </c>
      <c r="I860" s="4"/>
      <c r="J860" s="4"/>
    </row>
    <row r="861" spans="1:10" s="3" customFormat="1" x14ac:dyDescent="0.25">
      <c r="A861" s="20">
        <v>42015</v>
      </c>
      <c r="B861" s="21">
        <v>8768</v>
      </c>
      <c r="C861" s="14" t="s">
        <v>82</v>
      </c>
      <c r="D861" s="22">
        <v>1818.6</v>
      </c>
      <c r="E861" s="23">
        <v>42015</v>
      </c>
      <c r="F861" s="24">
        <v>1818.6</v>
      </c>
      <c r="G861" s="31">
        <f t="shared" si="13"/>
        <v>0</v>
      </c>
      <c r="H861" s="19" t="s">
        <v>59</v>
      </c>
      <c r="I861" s="4"/>
      <c r="J861" s="4"/>
    </row>
    <row r="862" spans="1:10" s="3" customFormat="1" x14ac:dyDescent="0.25">
      <c r="A862" s="20">
        <v>42015</v>
      </c>
      <c r="B862" s="21">
        <v>8769</v>
      </c>
      <c r="C862" s="14" t="s">
        <v>25</v>
      </c>
      <c r="D862" s="22">
        <v>864</v>
      </c>
      <c r="E862" s="23">
        <v>42015</v>
      </c>
      <c r="F862" s="24">
        <v>864</v>
      </c>
      <c r="G862" s="31">
        <f t="shared" si="13"/>
        <v>0</v>
      </c>
      <c r="H862" s="19" t="s">
        <v>9</v>
      </c>
      <c r="I862" s="4"/>
      <c r="J862" s="4"/>
    </row>
    <row r="863" spans="1:10" s="3" customFormat="1" x14ac:dyDescent="0.25">
      <c r="A863" s="20">
        <v>42015</v>
      </c>
      <c r="B863" s="21">
        <v>8770</v>
      </c>
      <c r="C863" s="14" t="s">
        <v>26</v>
      </c>
      <c r="D863" s="22">
        <v>1728</v>
      </c>
      <c r="E863" s="23">
        <v>42015</v>
      </c>
      <c r="F863" s="24">
        <v>1728</v>
      </c>
      <c r="G863" s="31">
        <f t="shared" si="13"/>
        <v>0</v>
      </c>
      <c r="H863" s="19" t="s">
        <v>62</v>
      </c>
      <c r="I863" s="4"/>
      <c r="J863" s="4"/>
    </row>
    <row r="864" spans="1:10" s="3" customFormat="1" x14ac:dyDescent="0.25">
      <c r="A864" s="20">
        <v>42015</v>
      </c>
      <c r="B864" s="21">
        <v>8771</v>
      </c>
      <c r="C864" s="14" t="s">
        <v>151</v>
      </c>
      <c r="D864" s="22">
        <v>4992.2</v>
      </c>
      <c r="E864" s="23">
        <v>42017</v>
      </c>
      <c r="F864" s="24">
        <v>4992.2</v>
      </c>
      <c r="G864" s="31">
        <f t="shared" si="13"/>
        <v>0</v>
      </c>
      <c r="H864" s="19" t="s">
        <v>9</v>
      </c>
      <c r="I864" s="4"/>
      <c r="J864" s="4"/>
    </row>
    <row r="865" spans="1:10" s="3" customFormat="1" x14ac:dyDescent="0.25">
      <c r="A865" s="20">
        <v>42015</v>
      </c>
      <c r="B865" s="21">
        <v>8772</v>
      </c>
      <c r="C865" s="14" t="s">
        <v>53</v>
      </c>
      <c r="D865" s="22">
        <v>2100</v>
      </c>
      <c r="E865" s="23">
        <v>42015</v>
      </c>
      <c r="F865" s="24">
        <v>2100</v>
      </c>
      <c r="G865" s="31">
        <f t="shared" si="13"/>
        <v>0</v>
      </c>
      <c r="H865" s="19" t="s">
        <v>59</v>
      </c>
      <c r="I865" s="4"/>
      <c r="J865" s="4"/>
    </row>
    <row r="866" spans="1:10" s="3" customFormat="1" x14ac:dyDescent="0.25">
      <c r="A866" s="20">
        <v>42015</v>
      </c>
      <c r="B866" s="21">
        <v>8773</v>
      </c>
      <c r="C866" s="14" t="s">
        <v>57</v>
      </c>
      <c r="D866" s="22">
        <v>1680</v>
      </c>
      <c r="E866" s="23">
        <v>42015</v>
      </c>
      <c r="F866" s="24">
        <v>1680</v>
      </c>
      <c r="G866" s="31">
        <f t="shared" si="13"/>
        <v>0</v>
      </c>
      <c r="H866" s="19" t="s">
        <v>59</v>
      </c>
    </row>
    <row r="867" spans="1:10" s="3" customFormat="1" x14ac:dyDescent="0.25">
      <c r="A867" s="20">
        <v>42015</v>
      </c>
      <c r="B867" s="21">
        <v>8774</v>
      </c>
      <c r="C867" s="14" t="s">
        <v>121</v>
      </c>
      <c r="D867" s="22">
        <v>3535.38</v>
      </c>
      <c r="E867" s="23">
        <v>42015</v>
      </c>
      <c r="F867" s="24">
        <v>3535.38</v>
      </c>
      <c r="G867" s="31">
        <f t="shared" si="13"/>
        <v>0</v>
      </c>
      <c r="H867" s="19" t="s">
        <v>9</v>
      </c>
    </row>
    <row r="868" spans="1:10" s="3" customFormat="1" x14ac:dyDescent="0.25">
      <c r="A868" s="20">
        <v>42015</v>
      </c>
      <c r="B868" s="21">
        <v>8775</v>
      </c>
      <c r="C868" s="14" t="s">
        <v>50</v>
      </c>
      <c r="D868" s="22">
        <v>2795</v>
      </c>
      <c r="E868" s="23">
        <v>42015</v>
      </c>
      <c r="F868" s="24">
        <v>2795</v>
      </c>
      <c r="G868" s="31">
        <f t="shared" si="13"/>
        <v>0</v>
      </c>
      <c r="H868" s="19" t="s">
        <v>62</v>
      </c>
    </row>
    <row r="869" spans="1:10" s="3" customFormat="1" x14ac:dyDescent="0.25">
      <c r="A869" s="20">
        <v>42015</v>
      </c>
      <c r="B869" s="21">
        <v>8776</v>
      </c>
      <c r="C869" s="14" t="s">
        <v>110</v>
      </c>
      <c r="D869" s="22">
        <v>2502</v>
      </c>
      <c r="E869" s="23">
        <v>42023</v>
      </c>
      <c r="F869" s="24">
        <v>2502</v>
      </c>
      <c r="G869" s="31">
        <f t="shared" si="13"/>
        <v>0</v>
      </c>
      <c r="H869" s="19" t="s">
        <v>9</v>
      </c>
    </row>
    <row r="870" spans="1:10" s="3" customFormat="1" x14ac:dyDescent="0.25">
      <c r="A870" s="20">
        <v>42015</v>
      </c>
      <c r="B870" s="21">
        <v>8777</v>
      </c>
      <c r="C870" s="14" t="s">
        <v>102</v>
      </c>
      <c r="D870" s="22">
        <v>2400</v>
      </c>
      <c r="E870" s="23">
        <v>42015</v>
      </c>
      <c r="F870" s="24">
        <v>2400</v>
      </c>
      <c r="G870" s="31">
        <f t="shared" si="13"/>
        <v>0</v>
      </c>
      <c r="H870" s="19" t="s">
        <v>9</v>
      </c>
    </row>
    <row r="871" spans="1:10" s="3" customFormat="1" x14ac:dyDescent="0.25">
      <c r="A871" s="20">
        <v>42015</v>
      </c>
      <c r="B871" s="21">
        <v>8778</v>
      </c>
      <c r="C871" s="14" t="s">
        <v>164</v>
      </c>
      <c r="D871" s="22">
        <v>3084</v>
      </c>
      <c r="E871" s="23">
        <v>42015</v>
      </c>
      <c r="F871" s="24">
        <v>3084</v>
      </c>
      <c r="G871" s="31">
        <f t="shared" si="13"/>
        <v>0</v>
      </c>
      <c r="H871" s="19" t="s">
        <v>9</v>
      </c>
    </row>
    <row r="872" spans="1:10" s="3" customFormat="1" x14ac:dyDescent="0.25">
      <c r="A872" s="20">
        <v>42015</v>
      </c>
      <c r="B872" s="21">
        <v>8779</v>
      </c>
      <c r="C872" s="14" t="s">
        <v>102</v>
      </c>
      <c r="D872" s="22">
        <v>747.8</v>
      </c>
      <c r="E872" s="23">
        <v>42015</v>
      </c>
      <c r="F872" s="24">
        <v>747.8</v>
      </c>
      <c r="G872" s="31">
        <f t="shared" si="13"/>
        <v>0</v>
      </c>
      <c r="H872" s="19" t="s">
        <v>9</v>
      </c>
    </row>
    <row r="873" spans="1:10" s="3" customFormat="1" x14ac:dyDescent="0.25">
      <c r="A873" s="20">
        <v>42015</v>
      </c>
      <c r="B873" s="21">
        <v>8780</v>
      </c>
      <c r="C873" s="14" t="s">
        <v>60</v>
      </c>
      <c r="D873" s="22">
        <v>9213.7999999999993</v>
      </c>
      <c r="E873" s="23">
        <v>42015</v>
      </c>
      <c r="F873" s="24">
        <v>9213.7999999999993</v>
      </c>
      <c r="G873" s="31">
        <f t="shared" si="13"/>
        <v>0</v>
      </c>
      <c r="H873" s="19" t="s">
        <v>9</v>
      </c>
    </row>
    <row r="874" spans="1:10" s="3" customFormat="1" x14ac:dyDescent="0.25">
      <c r="A874" s="20">
        <v>42015</v>
      </c>
      <c r="B874" s="21">
        <v>8781</v>
      </c>
      <c r="C874" s="14" t="s">
        <v>55</v>
      </c>
      <c r="D874" s="22">
        <v>26227.599999999999</v>
      </c>
      <c r="E874" s="23">
        <v>42015</v>
      </c>
      <c r="F874" s="24">
        <v>26227.599999999999</v>
      </c>
      <c r="G874" s="31">
        <f t="shared" si="13"/>
        <v>0</v>
      </c>
      <c r="H874" s="19" t="s">
        <v>36</v>
      </c>
    </row>
    <row r="875" spans="1:10" s="3" customFormat="1" x14ac:dyDescent="0.25">
      <c r="A875" s="20">
        <v>42015</v>
      </c>
      <c r="B875" s="21">
        <v>8782</v>
      </c>
      <c r="C875" s="14" t="s">
        <v>66</v>
      </c>
      <c r="D875" s="22">
        <v>476.7</v>
      </c>
      <c r="E875" s="23">
        <v>42015</v>
      </c>
      <c r="F875" s="24">
        <v>476.7</v>
      </c>
      <c r="G875" s="31">
        <f t="shared" si="13"/>
        <v>0</v>
      </c>
      <c r="H875" s="19" t="s">
        <v>9</v>
      </c>
    </row>
    <row r="876" spans="1:10" s="3" customFormat="1" x14ac:dyDescent="0.25">
      <c r="A876" s="20">
        <v>42015</v>
      </c>
      <c r="B876" s="21">
        <v>8783</v>
      </c>
      <c r="C876" s="14" t="s">
        <v>35</v>
      </c>
      <c r="D876" s="22">
        <v>25897.200000000001</v>
      </c>
      <c r="E876" s="23">
        <v>42015</v>
      </c>
      <c r="F876" s="24">
        <v>25897.200000000001</v>
      </c>
      <c r="G876" s="31">
        <f t="shared" si="13"/>
        <v>0</v>
      </c>
      <c r="H876" s="19" t="s">
        <v>36</v>
      </c>
    </row>
    <row r="877" spans="1:10" s="3" customFormat="1" x14ac:dyDescent="0.25">
      <c r="A877" s="20">
        <v>42015</v>
      </c>
      <c r="B877" s="21">
        <v>8784</v>
      </c>
      <c r="C877" s="14" t="s">
        <v>134</v>
      </c>
      <c r="D877" s="22">
        <v>3172.6</v>
      </c>
      <c r="E877" s="23">
        <v>42015</v>
      </c>
      <c r="F877" s="24">
        <v>3172.6</v>
      </c>
      <c r="G877" s="31">
        <f t="shared" si="13"/>
        <v>0</v>
      </c>
      <c r="H877" s="19" t="s">
        <v>36</v>
      </c>
    </row>
    <row r="878" spans="1:10" s="3" customFormat="1" x14ac:dyDescent="0.25">
      <c r="A878" s="20">
        <v>42015</v>
      </c>
      <c r="B878" s="21">
        <v>8785</v>
      </c>
      <c r="C878" s="14" t="s">
        <v>137</v>
      </c>
      <c r="D878" s="22">
        <v>148</v>
      </c>
      <c r="E878" s="23">
        <v>42015</v>
      </c>
      <c r="F878" s="24">
        <v>148</v>
      </c>
      <c r="G878" s="31">
        <f t="shared" si="13"/>
        <v>0</v>
      </c>
      <c r="H878" s="19" t="s">
        <v>9</v>
      </c>
    </row>
    <row r="879" spans="1:10" s="3" customFormat="1" x14ac:dyDescent="0.25">
      <c r="A879" s="20">
        <v>42015</v>
      </c>
      <c r="B879" s="21">
        <v>8786</v>
      </c>
      <c r="C879" s="14" t="s">
        <v>225</v>
      </c>
      <c r="D879" s="22">
        <v>3111.4</v>
      </c>
      <c r="E879" s="23">
        <v>42015</v>
      </c>
      <c r="F879" s="24">
        <v>3111.4</v>
      </c>
      <c r="G879" s="31">
        <f t="shared" si="13"/>
        <v>0</v>
      </c>
      <c r="H879" s="19" t="s">
        <v>9</v>
      </c>
    </row>
    <row r="880" spans="1:10" s="3" customFormat="1" x14ac:dyDescent="0.25">
      <c r="A880" s="20">
        <v>42015</v>
      </c>
      <c r="B880" s="21">
        <v>8787</v>
      </c>
      <c r="C880" s="14" t="s">
        <v>63</v>
      </c>
      <c r="D880" s="22">
        <v>96</v>
      </c>
      <c r="E880" s="23">
        <v>42015</v>
      </c>
      <c r="F880" s="24">
        <v>96</v>
      </c>
      <c r="G880" s="31">
        <f t="shared" si="13"/>
        <v>0</v>
      </c>
      <c r="H880" s="19" t="s">
        <v>36</v>
      </c>
    </row>
    <row r="881" spans="1:10" s="3" customFormat="1" x14ac:dyDescent="0.25">
      <c r="A881" s="20">
        <v>42015</v>
      </c>
      <c r="B881" s="21">
        <v>8788</v>
      </c>
      <c r="C881" s="14" t="s">
        <v>249</v>
      </c>
      <c r="D881" s="22">
        <v>5570.4</v>
      </c>
      <c r="E881" s="23">
        <v>42015</v>
      </c>
      <c r="F881" s="24">
        <v>5570.4</v>
      </c>
      <c r="G881" s="31">
        <f t="shared" si="13"/>
        <v>0</v>
      </c>
      <c r="H881" s="19" t="s">
        <v>62</v>
      </c>
    </row>
    <row r="882" spans="1:10" s="3" customFormat="1" x14ac:dyDescent="0.25">
      <c r="A882" s="20">
        <v>42015</v>
      </c>
      <c r="B882" s="21">
        <v>8789</v>
      </c>
      <c r="C882" s="14" t="s">
        <v>125</v>
      </c>
      <c r="D882" s="22">
        <v>13871.3</v>
      </c>
      <c r="E882" s="23">
        <v>42017</v>
      </c>
      <c r="F882" s="24">
        <v>13871.3</v>
      </c>
      <c r="G882" s="31">
        <f t="shared" si="13"/>
        <v>0</v>
      </c>
      <c r="H882" s="19" t="s">
        <v>9</v>
      </c>
      <c r="I882" s="4"/>
      <c r="J882" s="4"/>
    </row>
    <row r="883" spans="1:10" s="3" customFormat="1" x14ac:dyDescent="0.25">
      <c r="A883" s="20">
        <v>42015</v>
      </c>
      <c r="B883" s="21">
        <v>8790</v>
      </c>
      <c r="C883" s="14" t="s">
        <v>130</v>
      </c>
      <c r="D883" s="22">
        <v>6580.8</v>
      </c>
      <c r="E883" s="23">
        <v>42016</v>
      </c>
      <c r="F883" s="24">
        <v>6580.8</v>
      </c>
      <c r="G883" s="31">
        <f t="shared" si="13"/>
        <v>0</v>
      </c>
      <c r="H883" s="19" t="s">
        <v>17</v>
      </c>
      <c r="I883" s="4"/>
      <c r="J883" s="4"/>
    </row>
    <row r="884" spans="1:10" s="3" customFormat="1" x14ac:dyDescent="0.25">
      <c r="A884" s="20">
        <v>42015</v>
      </c>
      <c r="B884" s="21">
        <v>8791</v>
      </c>
      <c r="C884" s="14" t="s">
        <v>299</v>
      </c>
      <c r="D884" s="22">
        <v>2833.6</v>
      </c>
      <c r="E884" s="23">
        <v>42015</v>
      </c>
      <c r="F884" s="24">
        <v>2833.6</v>
      </c>
      <c r="G884" s="31">
        <f t="shared" si="13"/>
        <v>0</v>
      </c>
      <c r="H884" s="19" t="s">
        <v>17</v>
      </c>
      <c r="I884" s="4"/>
      <c r="J884" s="4"/>
    </row>
    <row r="885" spans="1:10" s="3" customFormat="1" x14ac:dyDescent="0.25">
      <c r="A885" s="20">
        <v>42015</v>
      </c>
      <c r="B885" s="21">
        <v>8792</v>
      </c>
      <c r="C885" s="14" t="s">
        <v>34</v>
      </c>
      <c r="D885" s="22">
        <v>4006.8</v>
      </c>
      <c r="E885" s="23">
        <v>42015</v>
      </c>
      <c r="F885" s="24">
        <v>4006.8</v>
      </c>
      <c r="G885" s="31">
        <f t="shared" si="13"/>
        <v>0</v>
      </c>
      <c r="H885" s="19" t="s">
        <v>9</v>
      </c>
      <c r="I885" s="4"/>
      <c r="J885" s="4"/>
    </row>
    <row r="886" spans="1:10" s="3" customFormat="1" x14ac:dyDescent="0.25">
      <c r="A886" s="20">
        <v>42015</v>
      </c>
      <c r="B886" s="21">
        <v>8793</v>
      </c>
      <c r="C886" s="14" t="s">
        <v>229</v>
      </c>
      <c r="D886" s="22">
        <v>3875.5</v>
      </c>
      <c r="E886" s="23">
        <v>42015</v>
      </c>
      <c r="F886" s="24">
        <v>3875.5</v>
      </c>
      <c r="G886" s="31">
        <f t="shared" si="13"/>
        <v>0</v>
      </c>
      <c r="H886" s="19" t="s">
        <v>9</v>
      </c>
      <c r="I886" s="4"/>
      <c r="J886" s="4"/>
    </row>
    <row r="887" spans="1:10" s="3" customFormat="1" x14ac:dyDescent="0.25">
      <c r="A887" s="20">
        <v>42015</v>
      </c>
      <c r="B887" s="21">
        <v>8794</v>
      </c>
      <c r="C887" s="14" t="s">
        <v>229</v>
      </c>
      <c r="D887" s="22">
        <v>2496.6</v>
      </c>
      <c r="E887" s="23">
        <v>42015</v>
      </c>
      <c r="F887" s="24">
        <v>2496.6</v>
      </c>
      <c r="G887" s="31">
        <f t="shared" si="13"/>
        <v>0</v>
      </c>
      <c r="H887" s="19" t="s">
        <v>9</v>
      </c>
      <c r="I887" s="4"/>
      <c r="J887" s="4"/>
    </row>
    <row r="888" spans="1:10" s="3" customFormat="1" x14ac:dyDescent="0.25">
      <c r="A888" s="20">
        <v>42015</v>
      </c>
      <c r="B888" s="21">
        <v>8795</v>
      </c>
      <c r="C888" s="14" t="s">
        <v>229</v>
      </c>
      <c r="D888" s="22">
        <v>707.2</v>
      </c>
      <c r="E888" s="23">
        <v>42015</v>
      </c>
      <c r="F888" s="24">
        <v>707.2</v>
      </c>
      <c r="G888" s="31">
        <f t="shared" si="13"/>
        <v>0</v>
      </c>
      <c r="H888" s="19" t="s">
        <v>9</v>
      </c>
      <c r="I888" s="4"/>
      <c r="J888" s="4"/>
    </row>
    <row r="889" spans="1:10" s="3" customFormat="1" x14ac:dyDescent="0.25">
      <c r="A889" s="20">
        <v>42015</v>
      </c>
      <c r="B889" s="21">
        <v>8796</v>
      </c>
      <c r="C889" s="14" t="s">
        <v>294</v>
      </c>
      <c r="D889" s="22">
        <v>4494.6000000000004</v>
      </c>
      <c r="E889" s="23">
        <v>42015</v>
      </c>
      <c r="F889" s="24">
        <v>4494.6000000000004</v>
      </c>
      <c r="G889" s="31">
        <f t="shared" si="13"/>
        <v>0</v>
      </c>
      <c r="H889" s="19" t="s">
        <v>9</v>
      </c>
      <c r="I889" s="4"/>
      <c r="J889" s="4"/>
    </row>
    <row r="890" spans="1:10" s="3" customFormat="1" x14ac:dyDescent="0.25">
      <c r="A890" s="20">
        <v>42015</v>
      </c>
      <c r="B890" s="21">
        <v>8797</v>
      </c>
      <c r="C890" s="14" t="s">
        <v>71</v>
      </c>
      <c r="D890" s="22">
        <v>7312.2</v>
      </c>
      <c r="E890" s="23">
        <v>42015</v>
      </c>
      <c r="F890" s="24">
        <v>7312.2</v>
      </c>
      <c r="G890" s="31">
        <f t="shared" si="13"/>
        <v>0</v>
      </c>
      <c r="H890" s="19" t="s">
        <v>9</v>
      </c>
      <c r="I890" s="4"/>
      <c r="J890" s="4"/>
    </row>
    <row r="891" spans="1:10" s="3" customFormat="1" x14ac:dyDescent="0.25">
      <c r="A891" s="20">
        <v>42015</v>
      </c>
      <c r="B891" s="21">
        <v>8798</v>
      </c>
      <c r="C891" s="14" t="s">
        <v>136</v>
      </c>
      <c r="D891" s="22">
        <v>20016</v>
      </c>
      <c r="E891" s="29" t="s">
        <v>307</v>
      </c>
      <c r="F891" s="24">
        <f>11800+8216</f>
        <v>20016</v>
      </c>
      <c r="G891" s="31">
        <f t="shared" si="13"/>
        <v>0</v>
      </c>
      <c r="H891" s="19" t="s">
        <v>9</v>
      </c>
      <c r="I891" s="4"/>
      <c r="J891" s="4"/>
    </row>
    <row r="892" spans="1:10" s="3" customFormat="1" x14ac:dyDescent="0.25">
      <c r="A892" s="20">
        <v>42015</v>
      </c>
      <c r="B892" s="21">
        <v>8799</v>
      </c>
      <c r="C892" s="14" t="s">
        <v>265</v>
      </c>
      <c r="D892" s="22">
        <v>1093.3</v>
      </c>
      <c r="E892" s="23">
        <v>42015</v>
      </c>
      <c r="F892" s="24">
        <v>1093.3</v>
      </c>
      <c r="G892" s="31">
        <f t="shared" si="13"/>
        <v>0</v>
      </c>
      <c r="H892" s="19" t="s">
        <v>9</v>
      </c>
      <c r="I892" s="4"/>
      <c r="J892" s="28"/>
    </row>
    <row r="893" spans="1:10" s="3" customFormat="1" x14ac:dyDescent="0.25">
      <c r="A893" s="20">
        <v>42015</v>
      </c>
      <c r="B893" s="21">
        <v>8800</v>
      </c>
      <c r="C893" s="14" t="s">
        <v>37</v>
      </c>
      <c r="D893" s="22">
        <v>25272.5</v>
      </c>
      <c r="E893" s="23">
        <v>42020</v>
      </c>
      <c r="F893" s="24">
        <v>25272.5</v>
      </c>
      <c r="G893" s="31">
        <f t="shared" si="13"/>
        <v>0</v>
      </c>
      <c r="H893" s="19" t="s">
        <v>17</v>
      </c>
      <c r="I893" s="4"/>
      <c r="J893" s="4"/>
    </row>
    <row r="894" spans="1:10" s="3" customFormat="1" x14ac:dyDescent="0.25">
      <c r="A894" s="20">
        <v>42015</v>
      </c>
      <c r="B894" s="21">
        <v>8801</v>
      </c>
      <c r="C894" s="14" t="s">
        <v>64</v>
      </c>
      <c r="D894" s="22">
        <v>1654.8</v>
      </c>
      <c r="E894" s="23">
        <v>42015</v>
      </c>
      <c r="F894" s="24">
        <v>1654.8</v>
      </c>
      <c r="G894" s="31">
        <f t="shared" si="13"/>
        <v>0</v>
      </c>
      <c r="H894" s="19" t="s">
        <v>9</v>
      </c>
      <c r="I894" s="4"/>
      <c r="J894" s="4"/>
    </row>
    <row r="895" spans="1:10" s="3" customFormat="1" x14ac:dyDescent="0.25">
      <c r="A895" s="20">
        <v>42015</v>
      </c>
      <c r="B895" s="21">
        <v>8802</v>
      </c>
      <c r="C895" s="14" t="s">
        <v>80</v>
      </c>
      <c r="D895" s="22">
        <v>7178.4</v>
      </c>
      <c r="E895" s="23">
        <v>42015</v>
      </c>
      <c r="F895" s="24">
        <v>7178.4</v>
      </c>
      <c r="G895" s="31">
        <f t="shared" si="13"/>
        <v>0</v>
      </c>
      <c r="H895" s="39" t="s">
        <v>9</v>
      </c>
      <c r="I895" s="4"/>
      <c r="J895" s="4"/>
    </row>
    <row r="896" spans="1:10" s="3" customFormat="1" x14ac:dyDescent="0.25">
      <c r="A896" s="20">
        <v>42016</v>
      </c>
      <c r="B896" s="21">
        <v>8803</v>
      </c>
      <c r="C896" s="14" t="s">
        <v>24</v>
      </c>
      <c r="D896" s="22">
        <v>109011.15</v>
      </c>
      <c r="E896" s="23">
        <v>42021</v>
      </c>
      <c r="F896" s="24">
        <v>109011.15</v>
      </c>
      <c r="G896" s="31">
        <f t="shared" si="13"/>
        <v>0</v>
      </c>
      <c r="H896" s="39" t="s">
        <v>9</v>
      </c>
      <c r="I896" s="4"/>
      <c r="J896" s="4"/>
    </row>
    <row r="897" spans="1:10" s="3" customFormat="1" x14ac:dyDescent="0.25">
      <c r="A897" s="20">
        <v>42016</v>
      </c>
      <c r="B897" s="21">
        <v>8804</v>
      </c>
      <c r="C897" s="14" t="s">
        <v>103</v>
      </c>
      <c r="D897" s="22">
        <v>51477.25</v>
      </c>
      <c r="E897" s="23">
        <v>42021</v>
      </c>
      <c r="F897" s="24">
        <v>51477.25</v>
      </c>
      <c r="G897" s="31">
        <f t="shared" si="13"/>
        <v>0</v>
      </c>
      <c r="H897" s="39" t="s">
        <v>94</v>
      </c>
      <c r="I897" s="4"/>
      <c r="J897" s="4"/>
    </row>
    <row r="898" spans="1:10" s="3" customFormat="1" x14ac:dyDescent="0.25">
      <c r="A898" s="20">
        <v>42016</v>
      </c>
      <c r="B898" s="21">
        <v>8805</v>
      </c>
      <c r="C898" s="14" t="s">
        <v>112</v>
      </c>
      <c r="D898" s="22">
        <v>6886.3</v>
      </c>
      <c r="E898" s="23">
        <v>42016</v>
      </c>
      <c r="F898" s="24">
        <v>6886.3</v>
      </c>
      <c r="G898" s="31">
        <f t="shared" si="13"/>
        <v>0</v>
      </c>
      <c r="H898" s="39" t="s">
        <v>9</v>
      </c>
    </row>
    <row r="899" spans="1:10" s="3" customFormat="1" x14ac:dyDescent="0.25">
      <c r="A899" s="20">
        <v>42016</v>
      </c>
      <c r="B899" s="21">
        <v>8806</v>
      </c>
      <c r="C899" s="14" t="s">
        <v>267</v>
      </c>
      <c r="D899" s="22">
        <v>1844.6</v>
      </c>
      <c r="E899" s="23">
        <v>42016</v>
      </c>
      <c r="F899" s="24">
        <v>1844.6</v>
      </c>
      <c r="G899" s="31">
        <f t="shared" ref="G899:G962" si="14">D899-F899</f>
        <v>0</v>
      </c>
      <c r="H899" s="39" t="s">
        <v>36</v>
      </c>
    </row>
    <row r="900" spans="1:10" s="3" customFormat="1" x14ac:dyDescent="0.25">
      <c r="A900" s="20">
        <v>42016</v>
      </c>
      <c r="B900" s="21">
        <v>8807</v>
      </c>
      <c r="C900" s="14" t="s">
        <v>14</v>
      </c>
      <c r="D900" s="22">
        <v>18391.45</v>
      </c>
      <c r="E900" s="23">
        <v>42016</v>
      </c>
      <c r="F900" s="24">
        <v>18391.45</v>
      </c>
      <c r="G900" s="31">
        <f t="shared" si="14"/>
        <v>0</v>
      </c>
      <c r="H900" s="39" t="s">
        <v>15</v>
      </c>
    </row>
    <row r="901" spans="1:10" s="3" customFormat="1" x14ac:dyDescent="0.25">
      <c r="A901" s="20">
        <v>42016</v>
      </c>
      <c r="B901" s="21">
        <v>8808</v>
      </c>
      <c r="C901" s="14" t="s">
        <v>78</v>
      </c>
      <c r="D901" s="22">
        <v>12578.4</v>
      </c>
      <c r="E901" s="23">
        <v>42017</v>
      </c>
      <c r="F901" s="24">
        <v>12578.4</v>
      </c>
      <c r="G901" s="31">
        <f t="shared" si="14"/>
        <v>0</v>
      </c>
      <c r="H901" s="39" t="s">
        <v>62</v>
      </c>
    </row>
    <row r="902" spans="1:10" s="3" customFormat="1" x14ac:dyDescent="0.25">
      <c r="A902" s="20">
        <v>42016</v>
      </c>
      <c r="B902" s="21">
        <v>8809</v>
      </c>
      <c r="C902" s="14" t="s">
        <v>67</v>
      </c>
      <c r="D902" s="22">
        <v>3783.2</v>
      </c>
      <c r="E902" s="23">
        <v>42017</v>
      </c>
      <c r="F902" s="24">
        <v>3783.2</v>
      </c>
      <c r="G902" s="31">
        <f t="shared" si="14"/>
        <v>0</v>
      </c>
      <c r="H902" s="39" t="s">
        <v>62</v>
      </c>
    </row>
    <row r="903" spans="1:10" s="3" customFormat="1" x14ac:dyDescent="0.25">
      <c r="A903" s="20">
        <v>42016</v>
      </c>
      <c r="B903" s="21">
        <v>8810</v>
      </c>
      <c r="C903" s="14" t="s">
        <v>158</v>
      </c>
      <c r="D903" s="22">
        <v>2891.8</v>
      </c>
      <c r="E903" s="23">
        <v>42016</v>
      </c>
      <c r="F903" s="24">
        <v>2891.8</v>
      </c>
      <c r="G903" s="31">
        <f t="shared" si="14"/>
        <v>0</v>
      </c>
      <c r="H903" s="39" t="s">
        <v>9</v>
      </c>
    </row>
    <row r="904" spans="1:10" s="3" customFormat="1" x14ac:dyDescent="0.25">
      <c r="A904" s="20">
        <v>42016</v>
      </c>
      <c r="B904" s="21">
        <v>8811</v>
      </c>
      <c r="C904" s="14" t="s">
        <v>31</v>
      </c>
      <c r="D904" s="22">
        <v>4680</v>
      </c>
      <c r="E904" s="23">
        <v>42016</v>
      </c>
      <c r="F904" s="24">
        <v>4680</v>
      </c>
      <c r="G904" s="31">
        <f t="shared" si="14"/>
        <v>0</v>
      </c>
      <c r="H904" s="39" t="s">
        <v>17</v>
      </c>
    </row>
    <row r="905" spans="1:10" s="3" customFormat="1" x14ac:dyDescent="0.25">
      <c r="A905" s="20">
        <v>42016</v>
      </c>
      <c r="B905" s="21">
        <v>8812</v>
      </c>
      <c r="C905" s="14" t="s">
        <v>16</v>
      </c>
      <c r="D905" s="22">
        <v>7984.6</v>
      </c>
      <c r="E905" s="23">
        <v>42016</v>
      </c>
      <c r="F905" s="24">
        <v>7984.6</v>
      </c>
      <c r="G905" s="31">
        <f t="shared" si="14"/>
        <v>0</v>
      </c>
      <c r="H905" s="39" t="s">
        <v>17</v>
      </c>
    </row>
    <row r="906" spans="1:10" s="3" customFormat="1" x14ac:dyDescent="0.25">
      <c r="A906" s="20">
        <v>42016</v>
      </c>
      <c r="B906" s="21">
        <v>8813</v>
      </c>
      <c r="C906" s="14" t="s">
        <v>158</v>
      </c>
      <c r="D906" s="22">
        <v>1630.2</v>
      </c>
      <c r="E906" s="23">
        <v>42016</v>
      </c>
      <c r="F906" s="24">
        <v>1630.2</v>
      </c>
      <c r="G906" s="31">
        <f t="shared" si="14"/>
        <v>0</v>
      </c>
      <c r="H906" s="39" t="s">
        <v>9</v>
      </c>
    </row>
    <row r="907" spans="1:10" s="3" customFormat="1" x14ac:dyDescent="0.25">
      <c r="A907" s="20">
        <v>42016</v>
      </c>
      <c r="B907" s="21">
        <v>8814</v>
      </c>
      <c r="C907" s="14" t="s">
        <v>75</v>
      </c>
      <c r="D907" s="22">
        <v>14671</v>
      </c>
      <c r="E907" s="23">
        <v>42017</v>
      </c>
      <c r="F907" s="24">
        <v>14671</v>
      </c>
      <c r="G907" s="31">
        <f t="shared" si="14"/>
        <v>0</v>
      </c>
      <c r="H907" s="39" t="s">
        <v>62</v>
      </c>
    </row>
    <row r="908" spans="1:10" s="3" customFormat="1" x14ac:dyDescent="0.25">
      <c r="A908" s="20">
        <v>42016</v>
      </c>
      <c r="B908" s="21">
        <v>8815</v>
      </c>
      <c r="C908" s="14" t="s">
        <v>148</v>
      </c>
      <c r="D908" s="22">
        <v>3928.5</v>
      </c>
      <c r="E908" s="23">
        <v>42016</v>
      </c>
      <c r="F908" s="24">
        <v>3928.5</v>
      </c>
      <c r="G908" s="31">
        <f t="shared" si="14"/>
        <v>0</v>
      </c>
      <c r="H908" s="39" t="s">
        <v>9</v>
      </c>
    </row>
    <row r="909" spans="1:10" s="3" customFormat="1" x14ac:dyDescent="0.25">
      <c r="A909" s="20">
        <v>42016</v>
      </c>
      <c r="B909" s="21">
        <v>8816</v>
      </c>
      <c r="C909" s="14" t="s">
        <v>22</v>
      </c>
      <c r="D909" s="22">
        <v>4304.8</v>
      </c>
      <c r="E909" s="23">
        <v>42016</v>
      </c>
      <c r="F909" s="24">
        <v>4304.8</v>
      </c>
      <c r="G909" s="31">
        <f t="shared" si="14"/>
        <v>0</v>
      </c>
      <c r="H909" s="39" t="s">
        <v>9</v>
      </c>
    </row>
    <row r="910" spans="1:10" s="3" customFormat="1" x14ac:dyDescent="0.25">
      <c r="A910" s="20">
        <v>42016</v>
      </c>
      <c r="B910" s="21">
        <v>8817</v>
      </c>
      <c r="C910" s="14" t="s">
        <v>65</v>
      </c>
      <c r="D910" s="22">
        <v>26180.400000000001</v>
      </c>
      <c r="E910" s="23">
        <v>42017</v>
      </c>
      <c r="F910" s="24">
        <v>26180.400000000001</v>
      </c>
      <c r="G910" s="31">
        <f t="shared" si="14"/>
        <v>0</v>
      </c>
      <c r="H910" s="19" t="s">
        <v>62</v>
      </c>
    </row>
    <row r="911" spans="1:10" s="3" customFormat="1" x14ac:dyDescent="0.25">
      <c r="A911" s="20">
        <v>42016</v>
      </c>
      <c r="B911" s="21">
        <v>8818</v>
      </c>
      <c r="C911" s="14" t="s">
        <v>170</v>
      </c>
      <c r="D911" s="22">
        <v>3746.4</v>
      </c>
      <c r="E911" s="23">
        <v>42017</v>
      </c>
      <c r="F911" s="24">
        <v>3746.4</v>
      </c>
      <c r="G911" s="31">
        <f t="shared" si="14"/>
        <v>0</v>
      </c>
      <c r="H911" s="19" t="s">
        <v>62</v>
      </c>
    </row>
    <row r="912" spans="1:10" s="3" customFormat="1" x14ac:dyDescent="0.25">
      <c r="A912" s="20">
        <v>42016</v>
      </c>
      <c r="B912" s="21">
        <v>8819</v>
      </c>
      <c r="C912" s="14" t="s">
        <v>84</v>
      </c>
      <c r="D912" s="22">
        <v>70470.3</v>
      </c>
      <c r="E912" s="30" t="s">
        <v>308</v>
      </c>
      <c r="F912" s="24">
        <v>70470.3</v>
      </c>
      <c r="G912" s="31">
        <f t="shared" si="14"/>
        <v>0</v>
      </c>
      <c r="H912" s="19" t="s">
        <v>62</v>
      </c>
    </row>
    <row r="913" spans="1:10" s="3" customFormat="1" x14ac:dyDescent="0.25">
      <c r="A913" s="20">
        <v>42016</v>
      </c>
      <c r="B913" s="21">
        <v>8820</v>
      </c>
      <c r="C913" s="14" t="s">
        <v>77</v>
      </c>
      <c r="D913" s="22">
        <v>8685.6</v>
      </c>
      <c r="E913" s="23">
        <v>42017</v>
      </c>
      <c r="F913" s="24">
        <v>8685.6</v>
      </c>
      <c r="G913" s="31">
        <f t="shared" si="14"/>
        <v>0</v>
      </c>
      <c r="H913" s="19" t="s">
        <v>62</v>
      </c>
    </row>
    <row r="914" spans="1:10" s="3" customFormat="1" x14ac:dyDescent="0.25">
      <c r="A914" s="20">
        <v>42016</v>
      </c>
      <c r="B914" s="21">
        <v>8821</v>
      </c>
      <c r="C914" s="14" t="s">
        <v>124</v>
      </c>
      <c r="D914" s="22">
        <v>761.1</v>
      </c>
      <c r="E914" s="23">
        <v>42016</v>
      </c>
      <c r="F914" s="24">
        <v>761.1</v>
      </c>
      <c r="G914" s="31">
        <f t="shared" si="14"/>
        <v>0</v>
      </c>
      <c r="H914" s="19" t="s">
        <v>9</v>
      </c>
      <c r="I914" s="4"/>
      <c r="J914" s="4"/>
    </row>
    <row r="915" spans="1:10" s="3" customFormat="1" x14ac:dyDescent="0.25">
      <c r="A915" s="20">
        <v>42016</v>
      </c>
      <c r="B915" s="21">
        <v>8822</v>
      </c>
      <c r="C915" s="14" t="s">
        <v>114</v>
      </c>
      <c r="D915" s="22">
        <v>2046.8</v>
      </c>
      <c r="E915" s="23">
        <v>42016</v>
      </c>
      <c r="F915" s="24">
        <v>2046.8</v>
      </c>
      <c r="G915" s="31">
        <f t="shared" si="14"/>
        <v>0</v>
      </c>
      <c r="H915" s="19" t="s">
        <v>9</v>
      </c>
      <c r="I915" s="4"/>
      <c r="J915" s="4"/>
    </row>
    <row r="916" spans="1:10" s="3" customFormat="1" x14ac:dyDescent="0.25">
      <c r="A916" s="20">
        <v>42016</v>
      </c>
      <c r="B916" s="21">
        <v>8823</v>
      </c>
      <c r="C916" s="14" t="s">
        <v>45</v>
      </c>
      <c r="D916" s="22">
        <v>17336.5</v>
      </c>
      <c r="E916" s="23">
        <v>42025</v>
      </c>
      <c r="F916" s="24">
        <v>17336.5</v>
      </c>
      <c r="G916" s="31">
        <f t="shared" si="14"/>
        <v>0</v>
      </c>
      <c r="H916" s="19" t="s">
        <v>9</v>
      </c>
      <c r="I916" s="4"/>
      <c r="J916" s="4"/>
    </row>
    <row r="917" spans="1:10" s="3" customFormat="1" x14ac:dyDescent="0.25">
      <c r="A917" s="20">
        <v>42016</v>
      </c>
      <c r="B917" s="21">
        <v>8824</v>
      </c>
      <c r="C917" s="14" t="s">
        <v>72</v>
      </c>
      <c r="D917" s="22">
        <v>15069</v>
      </c>
      <c r="E917" s="30" t="s">
        <v>309</v>
      </c>
      <c r="F917" s="24">
        <v>15069</v>
      </c>
      <c r="G917" s="31">
        <f t="shared" si="14"/>
        <v>0</v>
      </c>
      <c r="H917" s="19" t="s">
        <v>62</v>
      </c>
      <c r="I917" s="4"/>
      <c r="J917" s="4"/>
    </row>
    <row r="918" spans="1:10" s="3" customFormat="1" x14ac:dyDescent="0.25">
      <c r="A918" s="20">
        <v>42016</v>
      </c>
      <c r="B918" s="21">
        <v>8825</v>
      </c>
      <c r="C918" s="14" t="s">
        <v>20</v>
      </c>
      <c r="D918" s="22">
        <v>16346.6</v>
      </c>
      <c r="E918" s="23">
        <v>42016</v>
      </c>
      <c r="F918" s="24">
        <v>16346.6</v>
      </c>
      <c r="G918" s="31">
        <f t="shared" si="14"/>
        <v>0</v>
      </c>
      <c r="H918" s="19" t="s">
        <v>149</v>
      </c>
      <c r="I918" s="4"/>
      <c r="J918" s="4"/>
    </row>
    <row r="919" spans="1:10" s="3" customFormat="1" x14ac:dyDescent="0.25">
      <c r="A919" s="20">
        <v>42016</v>
      </c>
      <c r="B919" s="21">
        <v>8826</v>
      </c>
      <c r="C919" s="14" t="s">
        <v>243</v>
      </c>
      <c r="D919" s="22">
        <v>1307.52</v>
      </c>
      <c r="E919" s="23">
        <v>42017</v>
      </c>
      <c r="F919" s="24">
        <v>1307.52</v>
      </c>
      <c r="G919" s="31">
        <f t="shared" si="14"/>
        <v>0</v>
      </c>
      <c r="H919" s="19" t="s">
        <v>62</v>
      </c>
      <c r="I919" s="4"/>
      <c r="J919" s="4"/>
    </row>
    <row r="920" spans="1:10" s="3" customFormat="1" x14ac:dyDescent="0.25">
      <c r="A920" s="20">
        <v>42016</v>
      </c>
      <c r="B920" s="21">
        <v>8827</v>
      </c>
      <c r="C920" s="14" t="s">
        <v>121</v>
      </c>
      <c r="D920" s="22">
        <v>1326.4</v>
      </c>
      <c r="E920" s="23">
        <v>42016</v>
      </c>
      <c r="F920" s="24">
        <v>1326.4</v>
      </c>
      <c r="G920" s="31">
        <f t="shared" si="14"/>
        <v>0</v>
      </c>
      <c r="H920" s="19" t="s">
        <v>9</v>
      </c>
      <c r="I920" s="4"/>
      <c r="J920" s="28"/>
    </row>
    <row r="921" spans="1:10" s="3" customFormat="1" x14ac:dyDescent="0.25">
      <c r="A921" s="20">
        <v>42016</v>
      </c>
      <c r="B921" s="21">
        <v>8828</v>
      </c>
      <c r="C921" s="14" t="s">
        <v>137</v>
      </c>
      <c r="D921" s="22">
        <v>3441</v>
      </c>
      <c r="E921" s="23">
        <v>42016</v>
      </c>
      <c r="F921" s="24">
        <v>3441</v>
      </c>
      <c r="G921" s="31">
        <f t="shared" si="14"/>
        <v>0</v>
      </c>
      <c r="H921" s="19" t="s">
        <v>9</v>
      </c>
      <c r="I921" s="4"/>
      <c r="J921" s="28"/>
    </row>
    <row r="922" spans="1:10" s="3" customFormat="1" x14ac:dyDescent="0.25">
      <c r="A922" s="20">
        <v>42016</v>
      </c>
      <c r="B922" s="21">
        <v>8829</v>
      </c>
      <c r="C922" s="14" t="s">
        <v>173</v>
      </c>
      <c r="D922" s="22">
        <v>36519.75</v>
      </c>
      <c r="E922" s="30" t="s">
        <v>310</v>
      </c>
      <c r="F922" s="24">
        <v>36519.75</v>
      </c>
      <c r="G922" s="31">
        <f t="shared" si="14"/>
        <v>0</v>
      </c>
      <c r="H922" s="19" t="s">
        <v>62</v>
      </c>
      <c r="I922" s="4"/>
      <c r="J922" s="4"/>
    </row>
    <row r="923" spans="1:10" s="3" customFormat="1" x14ac:dyDescent="0.25">
      <c r="A923" s="20">
        <v>42016</v>
      </c>
      <c r="B923" s="21">
        <v>8830</v>
      </c>
      <c r="C923" s="14" t="s">
        <v>176</v>
      </c>
      <c r="D923" s="22">
        <v>8616.5</v>
      </c>
      <c r="E923" s="30" t="s">
        <v>311</v>
      </c>
      <c r="F923" s="24">
        <v>8616.5</v>
      </c>
      <c r="G923" s="31">
        <f t="shared" si="14"/>
        <v>0</v>
      </c>
      <c r="H923" s="19" t="s">
        <v>62</v>
      </c>
      <c r="I923" s="4"/>
      <c r="J923" s="4"/>
    </row>
    <row r="924" spans="1:10" s="3" customFormat="1" x14ac:dyDescent="0.25">
      <c r="A924" s="20">
        <v>42016</v>
      </c>
      <c r="B924" s="21">
        <v>8831</v>
      </c>
      <c r="C924" s="14" t="s">
        <v>37</v>
      </c>
      <c r="D924" s="22">
        <v>25696</v>
      </c>
      <c r="E924" s="23">
        <v>42025</v>
      </c>
      <c r="F924" s="24">
        <v>25696</v>
      </c>
      <c r="G924" s="31">
        <f t="shared" si="14"/>
        <v>0</v>
      </c>
      <c r="H924" s="19" t="s">
        <v>36</v>
      </c>
      <c r="I924" s="4"/>
      <c r="J924" s="4"/>
    </row>
    <row r="925" spans="1:10" s="3" customFormat="1" x14ac:dyDescent="0.25">
      <c r="A925" s="20">
        <v>42016</v>
      </c>
      <c r="B925" s="21">
        <v>8832</v>
      </c>
      <c r="C925" s="14" t="s">
        <v>60</v>
      </c>
      <c r="D925" s="22">
        <v>4370.8</v>
      </c>
      <c r="E925" s="23">
        <v>42016</v>
      </c>
      <c r="F925" s="24">
        <v>4370.8</v>
      </c>
      <c r="G925" s="31">
        <f t="shared" si="14"/>
        <v>0</v>
      </c>
      <c r="H925" s="19" t="s">
        <v>36</v>
      </c>
      <c r="I925" s="4"/>
      <c r="J925" s="4"/>
    </row>
    <row r="926" spans="1:10" s="3" customFormat="1" x14ac:dyDescent="0.25">
      <c r="A926" s="20">
        <v>42016</v>
      </c>
      <c r="B926" s="21">
        <v>8833</v>
      </c>
      <c r="C926" s="14" t="s">
        <v>160</v>
      </c>
      <c r="D926" s="22">
        <v>1496</v>
      </c>
      <c r="E926" s="23">
        <v>42016</v>
      </c>
      <c r="F926" s="24">
        <v>1496</v>
      </c>
      <c r="G926" s="31">
        <f t="shared" si="14"/>
        <v>0</v>
      </c>
      <c r="H926" s="19" t="s">
        <v>36</v>
      </c>
      <c r="I926" s="4"/>
      <c r="J926" s="4"/>
    </row>
    <row r="927" spans="1:10" s="3" customFormat="1" x14ac:dyDescent="0.25">
      <c r="A927" s="20">
        <v>42016</v>
      </c>
      <c r="B927" s="21">
        <v>8834</v>
      </c>
      <c r="C927" s="14" t="s">
        <v>120</v>
      </c>
      <c r="D927" s="22">
        <v>2092.5</v>
      </c>
      <c r="E927" s="23">
        <v>42016</v>
      </c>
      <c r="F927" s="24">
        <v>2092.5</v>
      </c>
      <c r="G927" s="31">
        <f t="shared" si="14"/>
        <v>0</v>
      </c>
      <c r="H927" s="19" t="s">
        <v>59</v>
      </c>
      <c r="I927" s="4"/>
      <c r="J927" s="4"/>
    </row>
    <row r="928" spans="1:10" s="3" customFormat="1" x14ac:dyDescent="0.25">
      <c r="A928" s="20">
        <v>42016</v>
      </c>
      <c r="B928" s="21">
        <v>8835</v>
      </c>
      <c r="C928" s="14" t="s">
        <v>168</v>
      </c>
      <c r="D928" s="22">
        <v>7829.7</v>
      </c>
      <c r="E928" s="23">
        <v>42016</v>
      </c>
      <c r="F928" s="24">
        <v>7829.7</v>
      </c>
      <c r="G928" s="31">
        <f t="shared" si="14"/>
        <v>0</v>
      </c>
      <c r="H928" s="19" t="s">
        <v>59</v>
      </c>
      <c r="I928" s="4"/>
      <c r="J928" s="4"/>
    </row>
    <row r="929" spans="1:10" s="3" customFormat="1" x14ac:dyDescent="0.25">
      <c r="A929" s="20">
        <v>42016</v>
      </c>
      <c r="B929" s="21">
        <v>8836</v>
      </c>
      <c r="C929" s="14" t="s">
        <v>81</v>
      </c>
      <c r="D929" s="22">
        <v>1780.2</v>
      </c>
      <c r="E929" s="23">
        <v>42016</v>
      </c>
      <c r="F929" s="24">
        <v>1780.2</v>
      </c>
      <c r="G929" s="31">
        <f t="shared" si="14"/>
        <v>0</v>
      </c>
      <c r="H929" s="19" t="s">
        <v>59</v>
      </c>
      <c r="I929" s="4"/>
      <c r="J929" s="4"/>
    </row>
    <row r="930" spans="1:10" s="3" customFormat="1" x14ac:dyDescent="0.25">
      <c r="A930" s="20">
        <v>42016</v>
      </c>
      <c r="B930" s="21">
        <v>8837</v>
      </c>
      <c r="C930" s="14" t="s">
        <v>221</v>
      </c>
      <c r="D930" s="22">
        <v>1410</v>
      </c>
      <c r="E930" s="23">
        <v>42016</v>
      </c>
      <c r="F930" s="24">
        <v>1410</v>
      </c>
      <c r="G930" s="31">
        <f t="shared" si="14"/>
        <v>0</v>
      </c>
      <c r="H930" s="19" t="s">
        <v>59</v>
      </c>
      <c r="I930" s="4"/>
      <c r="J930" s="28"/>
    </row>
    <row r="931" spans="1:10" s="3" customFormat="1" x14ac:dyDescent="0.25">
      <c r="A931" s="20">
        <v>42016</v>
      </c>
      <c r="B931" s="21">
        <v>8838</v>
      </c>
      <c r="C931" s="14" t="s">
        <v>217</v>
      </c>
      <c r="D931" s="22">
        <v>2392</v>
      </c>
      <c r="E931" s="23">
        <v>42016</v>
      </c>
      <c r="F931" s="24">
        <v>2392</v>
      </c>
      <c r="G931" s="31">
        <f t="shared" si="14"/>
        <v>0</v>
      </c>
      <c r="H931" s="19" t="s">
        <v>59</v>
      </c>
      <c r="I931" s="4"/>
      <c r="J931" s="4"/>
    </row>
    <row r="932" spans="1:10" s="3" customFormat="1" x14ac:dyDescent="0.25">
      <c r="A932" s="20">
        <v>42016</v>
      </c>
      <c r="B932" s="21">
        <v>8839</v>
      </c>
      <c r="C932" s="14" t="s">
        <v>126</v>
      </c>
      <c r="D932" s="22">
        <v>2462.8000000000002</v>
      </c>
      <c r="E932" s="23">
        <v>42016</v>
      </c>
      <c r="F932" s="24">
        <v>2462.8000000000002</v>
      </c>
      <c r="G932" s="31">
        <f t="shared" si="14"/>
        <v>0</v>
      </c>
      <c r="H932" s="19" t="s">
        <v>59</v>
      </c>
      <c r="I932" s="4"/>
      <c r="J932" s="4"/>
    </row>
    <row r="933" spans="1:10" s="3" customFormat="1" x14ac:dyDescent="0.25">
      <c r="A933" s="20">
        <v>42016</v>
      </c>
      <c r="B933" s="21">
        <v>8840</v>
      </c>
      <c r="C933" s="14" t="s">
        <v>118</v>
      </c>
      <c r="D933" s="22">
        <v>6976.5</v>
      </c>
      <c r="E933" s="23">
        <v>42018</v>
      </c>
      <c r="F933" s="24">
        <v>6976.5</v>
      </c>
      <c r="G933" s="31">
        <f t="shared" si="14"/>
        <v>0</v>
      </c>
      <c r="H933" s="19" t="s">
        <v>59</v>
      </c>
      <c r="I933" s="4"/>
      <c r="J933" s="4"/>
    </row>
    <row r="934" spans="1:10" s="3" customFormat="1" x14ac:dyDescent="0.25">
      <c r="A934" s="20">
        <v>42016</v>
      </c>
      <c r="B934" s="21">
        <v>8841</v>
      </c>
      <c r="C934" s="14" t="s">
        <v>82</v>
      </c>
      <c r="D934" s="22">
        <v>4760.2</v>
      </c>
      <c r="E934" s="23">
        <v>42016</v>
      </c>
      <c r="F934" s="24">
        <v>4760.2</v>
      </c>
      <c r="G934" s="31">
        <f t="shared" si="14"/>
        <v>0</v>
      </c>
      <c r="H934" s="19" t="s">
        <v>59</v>
      </c>
      <c r="I934" s="4"/>
      <c r="J934" s="4"/>
    </row>
    <row r="935" spans="1:10" s="3" customFormat="1" x14ac:dyDescent="0.25">
      <c r="A935" s="20">
        <v>42016</v>
      </c>
      <c r="B935" s="21">
        <v>8842</v>
      </c>
      <c r="C935" s="14" t="s">
        <v>238</v>
      </c>
      <c r="D935" s="22">
        <v>330</v>
      </c>
      <c r="E935" s="23">
        <v>42016</v>
      </c>
      <c r="F935" s="24">
        <v>330</v>
      </c>
      <c r="G935" s="31">
        <f t="shared" si="14"/>
        <v>0</v>
      </c>
      <c r="H935" s="19" t="s">
        <v>59</v>
      </c>
      <c r="I935" s="4"/>
      <c r="J935" s="4"/>
    </row>
    <row r="936" spans="1:10" s="3" customFormat="1" x14ac:dyDescent="0.25">
      <c r="A936" s="20">
        <v>42016</v>
      </c>
      <c r="B936" s="21">
        <v>8843</v>
      </c>
      <c r="C936" s="14" t="s">
        <v>53</v>
      </c>
      <c r="D936" s="22">
        <v>1260</v>
      </c>
      <c r="E936" s="23">
        <v>42016</v>
      </c>
      <c r="F936" s="24">
        <v>1260</v>
      </c>
      <c r="G936" s="31">
        <f t="shared" si="14"/>
        <v>0</v>
      </c>
      <c r="H936" s="19" t="s">
        <v>59</v>
      </c>
      <c r="I936" s="4"/>
      <c r="J936" s="4"/>
    </row>
    <row r="937" spans="1:10" s="3" customFormat="1" x14ac:dyDescent="0.25">
      <c r="A937" s="20">
        <v>42016</v>
      </c>
      <c r="B937" s="21">
        <v>8844</v>
      </c>
      <c r="C937" s="14" t="s">
        <v>135</v>
      </c>
      <c r="D937" s="22">
        <v>5064</v>
      </c>
      <c r="E937" s="23">
        <v>42016</v>
      </c>
      <c r="F937" s="24">
        <v>5064</v>
      </c>
      <c r="G937" s="31">
        <f t="shared" si="14"/>
        <v>0</v>
      </c>
      <c r="H937" s="19" t="s">
        <v>9</v>
      </c>
      <c r="I937" s="4"/>
      <c r="J937" s="4"/>
    </row>
    <row r="938" spans="1:10" s="3" customFormat="1" x14ac:dyDescent="0.25">
      <c r="A938" s="20">
        <v>42016</v>
      </c>
      <c r="B938" s="21">
        <v>8845</v>
      </c>
      <c r="C938" s="14" t="s">
        <v>58</v>
      </c>
      <c r="D938" s="22">
        <v>420</v>
      </c>
      <c r="E938" s="23">
        <v>42016</v>
      </c>
      <c r="F938" s="24">
        <v>420</v>
      </c>
      <c r="G938" s="31">
        <f t="shared" si="14"/>
        <v>0</v>
      </c>
      <c r="H938" s="19" t="s">
        <v>59</v>
      </c>
      <c r="I938" s="4"/>
      <c r="J938" s="4"/>
    </row>
    <row r="939" spans="1:10" s="3" customFormat="1" x14ac:dyDescent="0.25">
      <c r="A939" s="20">
        <v>42016</v>
      </c>
      <c r="B939" s="21">
        <v>8846</v>
      </c>
      <c r="C939" s="14" t="s">
        <v>268</v>
      </c>
      <c r="D939" s="22">
        <v>4640</v>
      </c>
      <c r="E939" s="23">
        <v>42017</v>
      </c>
      <c r="F939" s="24">
        <v>4640</v>
      </c>
      <c r="G939" s="31">
        <f t="shared" si="14"/>
        <v>0</v>
      </c>
      <c r="H939" s="19" t="s">
        <v>62</v>
      </c>
      <c r="I939" s="4"/>
      <c r="J939" s="28"/>
    </row>
    <row r="940" spans="1:10" s="3" customFormat="1" x14ac:dyDescent="0.25">
      <c r="A940" s="20">
        <v>42016</v>
      </c>
      <c r="B940" s="21">
        <v>8847</v>
      </c>
      <c r="C940" s="14" t="s">
        <v>127</v>
      </c>
      <c r="D940" s="22">
        <v>8035.7</v>
      </c>
      <c r="E940" s="23">
        <v>42016</v>
      </c>
      <c r="F940" s="24">
        <v>8035.7</v>
      </c>
      <c r="G940" s="31">
        <f t="shared" si="14"/>
        <v>0</v>
      </c>
      <c r="H940" s="19" t="s">
        <v>9</v>
      </c>
      <c r="I940" s="4"/>
      <c r="J940" s="4"/>
    </row>
    <row r="941" spans="1:10" s="3" customFormat="1" x14ac:dyDescent="0.25">
      <c r="A941" s="20">
        <v>42016</v>
      </c>
      <c r="B941" s="21">
        <v>8848</v>
      </c>
      <c r="C941" s="14" t="s">
        <v>92</v>
      </c>
      <c r="D941" s="22">
        <v>5524.3</v>
      </c>
      <c r="E941" s="23">
        <v>42017</v>
      </c>
      <c r="F941" s="24">
        <v>5524.3</v>
      </c>
      <c r="G941" s="31">
        <f t="shared" si="14"/>
        <v>0</v>
      </c>
      <c r="H941" s="19" t="s">
        <v>62</v>
      </c>
      <c r="I941" s="4"/>
      <c r="J941" s="4"/>
    </row>
    <row r="942" spans="1:10" s="3" customFormat="1" x14ac:dyDescent="0.25">
      <c r="A942" s="20">
        <v>42016</v>
      </c>
      <c r="B942" s="21">
        <v>8849</v>
      </c>
      <c r="C942" s="14" t="s">
        <v>61</v>
      </c>
      <c r="D942" s="22">
        <v>18169.2</v>
      </c>
      <c r="E942" s="23">
        <v>42017</v>
      </c>
      <c r="F942" s="24">
        <v>18169.2</v>
      </c>
      <c r="G942" s="31">
        <f t="shared" si="14"/>
        <v>0</v>
      </c>
      <c r="H942" s="19" t="s">
        <v>62</v>
      </c>
      <c r="I942" s="4"/>
      <c r="J942" s="4"/>
    </row>
    <row r="943" spans="1:10" s="3" customFormat="1" x14ac:dyDescent="0.25">
      <c r="A943" s="20">
        <v>42016</v>
      </c>
      <c r="B943" s="21">
        <v>8850</v>
      </c>
      <c r="C943" s="14" t="s">
        <v>24</v>
      </c>
      <c r="D943" s="22">
        <v>132951.24</v>
      </c>
      <c r="E943" s="30">
        <v>42048</v>
      </c>
      <c r="F943" s="96">
        <v>132951.24</v>
      </c>
      <c r="G943" s="31">
        <f t="shared" si="14"/>
        <v>0</v>
      </c>
      <c r="H943" s="19" t="s">
        <v>46</v>
      </c>
      <c r="I943" s="4"/>
      <c r="J943" s="4"/>
    </row>
    <row r="944" spans="1:10" s="3" customFormat="1" x14ac:dyDescent="0.25">
      <c r="A944" s="20">
        <v>42016</v>
      </c>
      <c r="B944" s="21">
        <v>8851</v>
      </c>
      <c r="C944" s="14" t="s">
        <v>125</v>
      </c>
      <c r="D944" s="22">
        <v>13812.1</v>
      </c>
      <c r="E944" s="23">
        <v>42019</v>
      </c>
      <c r="F944" s="24">
        <v>13812.1</v>
      </c>
      <c r="G944" s="31">
        <f t="shared" si="14"/>
        <v>0</v>
      </c>
      <c r="H944" s="19" t="s">
        <v>9</v>
      </c>
      <c r="I944" s="4"/>
      <c r="J944" s="4"/>
    </row>
    <row r="945" spans="1:10" s="3" customFormat="1" x14ac:dyDescent="0.25">
      <c r="A945" s="20">
        <v>42016</v>
      </c>
      <c r="B945" s="21">
        <v>8852</v>
      </c>
      <c r="C945" s="14" t="s">
        <v>34</v>
      </c>
      <c r="D945" s="22">
        <v>3897.6</v>
      </c>
      <c r="E945" s="23">
        <v>42016</v>
      </c>
      <c r="F945" s="24">
        <v>3897.6</v>
      </c>
      <c r="G945" s="31">
        <f t="shared" si="14"/>
        <v>0</v>
      </c>
      <c r="H945" s="19" t="s">
        <v>9</v>
      </c>
      <c r="I945" s="4"/>
      <c r="J945" s="4"/>
    </row>
    <row r="946" spans="1:10" s="3" customFormat="1" x14ac:dyDescent="0.25">
      <c r="A946" s="20">
        <v>42016</v>
      </c>
      <c r="B946" s="21">
        <v>8853</v>
      </c>
      <c r="C946" s="14" t="s">
        <v>178</v>
      </c>
      <c r="D946" s="22">
        <v>626</v>
      </c>
      <c r="E946" s="23">
        <v>42017</v>
      </c>
      <c r="F946" s="24">
        <v>626</v>
      </c>
      <c r="G946" s="31">
        <f t="shared" si="14"/>
        <v>0</v>
      </c>
      <c r="H946" s="19" t="s">
        <v>62</v>
      </c>
    </row>
    <row r="947" spans="1:10" s="3" customFormat="1" x14ac:dyDescent="0.25">
      <c r="A947" s="20">
        <v>42016</v>
      </c>
      <c r="B947" s="21">
        <v>8854</v>
      </c>
      <c r="C947" s="14" t="s">
        <v>26</v>
      </c>
      <c r="D947" s="22">
        <v>2304</v>
      </c>
      <c r="E947" s="23">
        <v>42016</v>
      </c>
      <c r="F947" s="24">
        <v>2304</v>
      </c>
      <c r="G947" s="31">
        <f t="shared" si="14"/>
        <v>0</v>
      </c>
      <c r="H947" s="19" t="s">
        <v>27</v>
      </c>
    </row>
    <row r="948" spans="1:10" s="3" customFormat="1" x14ac:dyDescent="0.25">
      <c r="A948" s="20">
        <v>42016</v>
      </c>
      <c r="B948" s="21">
        <v>8855</v>
      </c>
      <c r="C948" s="14" t="s">
        <v>226</v>
      </c>
      <c r="D948" s="22">
        <v>1508.7</v>
      </c>
      <c r="E948" s="23">
        <v>42019</v>
      </c>
      <c r="F948" s="24">
        <v>1508.7</v>
      </c>
      <c r="G948" s="31">
        <f t="shared" si="14"/>
        <v>0</v>
      </c>
      <c r="H948" s="19" t="s">
        <v>312</v>
      </c>
    </row>
    <row r="949" spans="1:10" s="3" customFormat="1" x14ac:dyDescent="0.25">
      <c r="A949" s="20">
        <v>42016</v>
      </c>
      <c r="B949" s="21">
        <v>8856</v>
      </c>
      <c r="C949" s="14" t="s">
        <v>164</v>
      </c>
      <c r="D949" s="22">
        <v>3784.2</v>
      </c>
      <c r="E949" s="23">
        <v>42016</v>
      </c>
      <c r="F949" s="24">
        <v>3784.2</v>
      </c>
      <c r="G949" s="31">
        <f t="shared" si="14"/>
        <v>0</v>
      </c>
      <c r="H949" s="19" t="s">
        <v>9</v>
      </c>
    </row>
    <row r="950" spans="1:10" s="3" customFormat="1" x14ac:dyDescent="0.25">
      <c r="A950" s="20">
        <v>42016</v>
      </c>
      <c r="B950" s="21">
        <v>8857</v>
      </c>
      <c r="C950" s="14" t="s">
        <v>130</v>
      </c>
      <c r="D950" s="22">
        <v>7580.8</v>
      </c>
      <c r="E950" s="23">
        <v>42017</v>
      </c>
      <c r="F950" s="24">
        <v>7580.8</v>
      </c>
      <c r="G950" s="31">
        <f t="shared" si="14"/>
        <v>0</v>
      </c>
      <c r="H950" s="19" t="s">
        <v>17</v>
      </c>
    </row>
    <row r="951" spans="1:10" s="3" customFormat="1" x14ac:dyDescent="0.25">
      <c r="A951" s="20">
        <v>42016</v>
      </c>
      <c r="B951" s="21">
        <v>8858</v>
      </c>
      <c r="C951" s="14" t="s">
        <v>299</v>
      </c>
      <c r="D951" s="22">
        <v>2774</v>
      </c>
      <c r="E951" s="23">
        <v>42017</v>
      </c>
      <c r="F951" s="24">
        <v>2774</v>
      </c>
      <c r="G951" s="31">
        <f t="shared" si="14"/>
        <v>0</v>
      </c>
      <c r="H951" s="19" t="s">
        <v>17</v>
      </c>
    </row>
    <row r="952" spans="1:10" s="3" customFormat="1" x14ac:dyDescent="0.25">
      <c r="A952" s="20">
        <v>42016</v>
      </c>
      <c r="B952" s="21">
        <v>8859</v>
      </c>
      <c r="C952" s="14" t="s">
        <v>131</v>
      </c>
      <c r="D952" s="22">
        <v>10887.8</v>
      </c>
      <c r="E952" s="47" t="s">
        <v>313</v>
      </c>
      <c r="F952" s="24">
        <f>979.6+9908.2</f>
        <v>10887.800000000001</v>
      </c>
      <c r="G952" s="31">
        <f t="shared" si="14"/>
        <v>0</v>
      </c>
      <c r="H952" s="19" t="s">
        <v>17</v>
      </c>
    </row>
    <row r="953" spans="1:10" s="3" customFormat="1" x14ac:dyDescent="0.25">
      <c r="A953" s="20">
        <v>42016</v>
      </c>
      <c r="B953" s="21">
        <v>8860</v>
      </c>
      <c r="C953" s="14" t="s">
        <v>128</v>
      </c>
      <c r="D953" s="22">
        <v>3844.8</v>
      </c>
      <c r="E953" s="23">
        <v>42016</v>
      </c>
      <c r="F953" s="24">
        <v>3844.8</v>
      </c>
      <c r="G953" s="31">
        <f t="shared" si="14"/>
        <v>0</v>
      </c>
      <c r="H953" s="19" t="s">
        <v>17</v>
      </c>
    </row>
    <row r="954" spans="1:10" s="3" customFormat="1" x14ac:dyDescent="0.25">
      <c r="A954" s="20">
        <v>42016</v>
      </c>
      <c r="B954" s="21">
        <v>8861</v>
      </c>
      <c r="C954" s="14" t="s">
        <v>314</v>
      </c>
      <c r="D954" s="22">
        <v>3067.3</v>
      </c>
      <c r="E954" s="23">
        <v>42019</v>
      </c>
      <c r="F954" s="24">
        <v>3067.3</v>
      </c>
      <c r="G954" s="31">
        <f t="shared" si="14"/>
        <v>0</v>
      </c>
      <c r="H954" s="19" t="s">
        <v>312</v>
      </c>
    </row>
    <row r="955" spans="1:10" s="3" customFormat="1" x14ac:dyDescent="0.25">
      <c r="A955" s="20">
        <v>42016</v>
      </c>
      <c r="B955" s="21">
        <v>8862</v>
      </c>
      <c r="C955" s="14" t="s">
        <v>132</v>
      </c>
      <c r="D955" s="22">
        <v>752</v>
      </c>
      <c r="E955" s="23">
        <v>42016</v>
      </c>
      <c r="F955" s="24">
        <v>752</v>
      </c>
      <c r="G955" s="31">
        <f t="shared" si="14"/>
        <v>0</v>
      </c>
      <c r="H955" s="19" t="s">
        <v>17</v>
      </c>
    </row>
    <row r="956" spans="1:10" s="3" customFormat="1" x14ac:dyDescent="0.25">
      <c r="A956" s="20">
        <v>42016</v>
      </c>
      <c r="B956" s="21">
        <v>8863</v>
      </c>
      <c r="C956" s="14" t="s">
        <v>100</v>
      </c>
      <c r="D956" s="22">
        <v>1314.3</v>
      </c>
      <c r="E956" s="23">
        <v>42016</v>
      </c>
      <c r="F956" s="24">
        <v>1314.3</v>
      </c>
      <c r="G956" s="31">
        <f t="shared" si="14"/>
        <v>0</v>
      </c>
      <c r="H956" s="19" t="s">
        <v>9</v>
      </c>
    </row>
    <row r="957" spans="1:10" s="3" customFormat="1" x14ac:dyDescent="0.25">
      <c r="A957" s="20">
        <v>42016</v>
      </c>
      <c r="B957" s="21">
        <v>8864</v>
      </c>
      <c r="C957" s="14" t="s">
        <v>111</v>
      </c>
      <c r="D957" s="22">
        <v>1578.76</v>
      </c>
      <c r="E957" s="23">
        <v>42018</v>
      </c>
      <c r="F957" s="24">
        <v>1578.76</v>
      </c>
      <c r="G957" s="31">
        <f t="shared" si="14"/>
        <v>0</v>
      </c>
      <c r="H957" s="19" t="s">
        <v>9</v>
      </c>
    </row>
    <row r="958" spans="1:10" s="3" customFormat="1" x14ac:dyDescent="0.25">
      <c r="A958" s="20">
        <v>42016</v>
      </c>
      <c r="B958" s="21">
        <v>8865</v>
      </c>
      <c r="C958" s="26" t="s">
        <v>218</v>
      </c>
      <c r="D958" s="27">
        <v>0</v>
      </c>
      <c r="E958" s="23"/>
      <c r="F958" s="24"/>
      <c r="G958" s="31">
        <f t="shared" si="14"/>
        <v>0</v>
      </c>
      <c r="H958" s="19" t="s">
        <v>13</v>
      </c>
    </row>
    <row r="959" spans="1:10" s="3" customFormat="1" x14ac:dyDescent="0.25">
      <c r="A959" s="20">
        <v>42016</v>
      </c>
      <c r="B959" s="21">
        <v>8866</v>
      </c>
      <c r="C959" s="14" t="s">
        <v>66</v>
      </c>
      <c r="D959" s="22">
        <v>2649.2</v>
      </c>
      <c r="E959" s="23">
        <v>42016</v>
      </c>
      <c r="F959" s="24">
        <v>2649.2</v>
      </c>
      <c r="G959" s="31">
        <f t="shared" si="14"/>
        <v>0</v>
      </c>
      <c r="H959" s="19" t="s">
        <v>9</v>
      </c>
    </row>
    <row r="960" spans="1:10" s="3" customFormat="1" x14ac:dyDescent="0.25">
      <c r="A960" s="20">
        <v>42016</v>
      </c>
      <c r="B960" s="21">
        <v>8867</v>
      </c>
      <c r="C960" s="14" t="s">
        <v>236</v>
      </c>
      <c r="D960" s="22">
        <v>34198.6</v>
      </c>
      <c r="E960" s="23">
        <v>42025</v>
      </c>
      <c r="F960" s="24">
        <v>34198.6</v>
      </c>
      <c r="G960" s="31">
        <f t="shared" si="14"/>
        <v>0</v>
      </c>
      <c r="H960" s="19" t="s">
        <v>149</v>
      </c>
    </row>
    <row r="961" spans="1:10" s="3" customFormat="1" x14ac:dyDescent="0.25">
      <c r="A961" s="20">
        <v>42016</v>
      </c>
      <c r="B961" s="21">
        <v>8868</v>
      </c>
      <c r="C961" s="14" t="s">
        <v>101</v>
      </c>
      <c r="D961" s="22">
        <v>789.7</v>
      </c>
      <c r="E961" s="23">
        <v>42017</v>
      </c>
      <c r="F961" s="24">
        <v>789.7</v>
      </c>
      <c r="G961" s="31">
        <f t="shared" si="14"/>
        <v>0</v>
      </c>
      <c r="H961" s="19" t="s">
        <v>94</v>
      </c>
    </row>
    <row r="962" spans="1:10" s="3" customFormat="1" x14ac:dyDescent="0.25">
      <c r="A962" s="20">
        <v>42016</v>
      </c>
      <c r="B962" s="21">
        <v>8869</v>
      </c>
      <c r="C962" s="14" t="s">
        <v>103</v>
      </c>
      <c r="D962" s="22">
        <v>32585.9</v>
      </c>
      <c r="E962" s="23">
        <v>42019</v>
      </c>
      <c r="F962" s="24">
        <v>32585.9</v>
      </c>
      <c r="G962" s="31">
        <f t="shared" si="14"/>
        <v>0</v>
      </c>
      <c r="H962" s="19" t="s">
        <v>9</v>
      </c>
      <c r="I962" s="4"/>
      <c r="J962" s="4"/>
    </row>
    <row r="963" spans="1:10" s="3" customFormat="1" x14ac:dyDescent="0.25">
      <c r="A963" s="20">
        <v>42016</v>
      </c>
      <c r="B963" s="21">
        <v>8870</v>
      </c>
      <c r="C963" s="14" t="s">
        <v>89</v>
      </c>
      <c r="D963" s="22">
        <v>3709.4</v>
      </c>
      <c r="E963" s="23">
        <v>42016</v>
      </c>
      <c r="F963" s="24">
        <v>3709.4</v>
      </c>
      <c r="G963" s="31">
        <f t="shared" ref="G963:G1026" si="15">D963-F963</f>
        <v>0</v>
      </c>
      <c r="H963" s="19" t="s">
        <v>9</v>
      </c>
      <c r="I963" s="4"/>
      <c r="J963" s="4"/>
    </row>
    <row r="964" spans="1:10" s="3" customFormat="1" x14ac:dyDescent="0.25">
      <c r="A964" s="20">
        <v>42016</v>
      </c>
      <c r="B964" s="21">
        <v>8871</v>
      </c>
      <c r="C964" s="14" t="s">
        <v>180</v>
      </c>
      <c r="D964" s="22">
        <v>6042.6</v>
      </c>
      <c r="E964" s="23">
        <v>42016</v>
      </c>
      <c r="F964" s="24">
        <v>6042.6</v>
      </c>
      <c r="G964" s="31">
        <f t="shared" si="15"/>
        <v>0</v>
      </c>
      <c r="H964" s="19" t="s">
        <v>9</v>
      </c>
      <c r="I964" s="4"/>
      <c r="J964" s="28"/>
    </row>
    <row r="965" spans="1:10" s="3" customFormat="1" x14ac:dyDescent="0.25">
      <c r="A965" s="20">
        <v>42016</v>
      </c>
      <c r="B965" s="21">
        <v>8872</v>
      </c>
      <c r="C965" s="14" t="s">
        <v>96</v>
      </c>
      <c r="D965" s="22">
        <v>2544</v>
      </c>
      <c r="E965" s="23">
        <v>42017</v>
      </c>
      <c r="F965" s="24">
        <v>2544</v>
      </c>
      <c r="G965" s="31">
        <f t="shared" si="15"/>
        <v>0</v>
      </c>
      <c r="H965" s="19" t="s">
        <v>94</v>
      </c>
      <c r="I965" s="4"/>
      <c r="J965" s="4"/>
    </row>
    <row r="966" spans="1:10" s="3" customFormat="1" x14ac:dyDescent="0.25">
      <c r="A966" s="20">
        <v>42016</v>
      </c>
      <c r="B966" s="21">
        <v>8873</v>
      </c>
      <c r="C966" s="14" t="s">
        <v>250</v>
      </c>
      <c r="D966" s="22">
        <v>2355</v>
      </c>
      <c r="E966" s="23">
        <v>42017</v>
      </c>
      <c r="F966" s="24">
        <v>2355</v>
      </c>
      <c r="G966" s="31">
        <f t="shared" si="15"/>
        <v>0</v>
      </c>
      <c r="H966" s="19" t="s">
        <v>94</v>
      </c>
      <c r="I966" s="4"/>
      <c r="J966" s="4"/>
    </row>
    <row r="967" spans="1:10" s="3" customFormat="1" x14ac:dyDescent="0.25">
      <c r="A967" s="20">
        <v>42016</v>
      </c>
      <c r="B967" s="21">
        <v>8874</v>
      </c>
      <c r="C967" s="14" t="s">
        <v>64</v>
      </c>
      <c r="D967" s="22">
        <v>701.4</v>
      </c>
      <c r="E967" s="23">
        <v>42016</v>
      </c>
      <c r="F967" s="24">
        <v>701.4</v>
      </c>
      <c r="G967" s="31">
        <f t="shared" si="15"/>
        <v>0</v>
      </c>
      <c r="H967" s="19" t="s">
        <v>9</v>
      </c>
      <c r="I967" s="4"/>
      <c r="J967" s="4"/>
    </row>
    <row r="968" spans="1:10" s="3" customFormat="1" x14ac:dyDescent="0.25">
      <c r="A968" s="20">
        <v>42016</v>
      </c>
      <c r="B968" s="21">
        <v>8875</v>
      </c>
      <c r="C968" s="14" t="s">
        <v>98</v>
      </c>
      <c r="D968" s="22">
        <v>2248.6</v>
      </c>
      <c r="E968" s="23">
        <v>42017</v>
      </c>
      <c r="F968" s="24">
        <v>2248.6</v>
      </c>
      <c r="G968" s="31">
        <f t="shared" si="15"/>
        <v>0</v>
      </c>
      <c r="H968" s="19" t="s">
        <v>94</v>
      </c>
      <c r="I968" s="4"/>
      <c r="J968" s="28"/>
    </row>
    <row r="969" spans="1:10" s="3" customFormat="1" x14ac:dyDescent="0.25">
      <c r="A969" s="20">
        <v>42016</v>
      </c>
      <c r="B969" s="21">
        <v>8876</v>
      </c>
      <c r="C969" s="14" t="s">
        <v>95</v>
      </c>
      <c r="D969" s="22">
        <v>1820</v>
      </c>
      <c r="E969" s="23">
        <v>42017</v>
      </c>
      <c r="F969" s="24">
        <v>1820</v>
      </c>
      <c r="G969" s="31">
        <f t="shared" si="15"/>
        <v>0</v>
      </c>
      <c r="H969" s="19" t="s">
        <v>94</v>
      </c>
      <c r="I969" s="4"/>
      <c r="J969" s="4"/>
    </row>
    <row r="970" spans="1:10" s="3" customFormat="1" x14ac:dyDescent="0.25">
      <c r="A970" s="20">
        <v>42016</v>
      </c>
      <c r="B970" s="21">
        <v>8877</v>
      </c>
      <c r="C970" s="14" t="s">
        <v>190</v>
      </c>
      <c r="D970" s="22">
        <v>5804.6</v>
      </c>
      <c r="E970" s="23">
        <v>42017</v>
      </c>
      <c r="F970" s="24">
        <v>5804.6</v>
      </c>
      <c r="G970" s="31">
        <f t="shared" si="15"/>
        <v>0</v>
      </c>
      <c r="H970" s="19" t="s">
        <v>94</v>
      </c>
      <c r="I970" s="4"/>
      <c r="J970" s="4"/>
    </row>
    <row r="971" spans="1:10" s="3" customFormat="1" x14ac:dyDescent="0.25">
      <c r="A971" s="20">
        <v>42016</v>
      </c>
      <c r="B971" s="21">
        <v>8878</v>
      </c>
      <c r="C971" s="14" t="s">
        <v>99</v>
      </c>
      <c r="D971" s="22">
        <v>380</v>
      </c>
      <c r="E971" s="23">
        <v>42017</v>
      </c>
      <c r="F971" s="24">
        <v>380</v>
      </c>
      <c r="G971" s="31">
        <f t="shared" si="15"/>
        <v>0</v>
      </c>
      <c r="H971" s="19" t="s">
        <v>94</v>
      </c>
      <c r="I971" s="4"/>
      <c r="J971" s="28"/>
    </row>
    <row r="972" spans="1:10" s="3" customFormat="1" x14ac:dyDescent="0.25">
      <c r="A972" s="20">
        <v>42016</v>
      </c>
      <c r="B972" s="21">
        <v>8879</v>
      </c>
      <c r="C972" s="14" t="s">
        <v>106</v>
      </c>
      <c r="D972" s="22">
        <v>499.2</v>
      </c>
      <c r="E972" s="23">
        <v>42017</v>
      </c>
      <c r="F972" s="24">
        <v>499.2</v>
      </c>
      <c r="G972" s="31">
        <f t="shared" si="15"/>
        <v>0</v>
      </c>
      <c r="H972" s="19" t="s">
        <v>94</v>
      </c>
      <c r="I972" s="4"/>
      <c r="J972" s="4"/>
    </row>
    <row r="973" spans="1:10" s="3" customFormat="1" x14ac:dyDescent="0.25">
      <c r="A973" s="20">
        <v>42016</v>
      </c>
      <c r="B973" s="21">
        <v>8880</v>
      </c>
      <c r="C973" s="14" t="s">
        <v>110</v>
      </c>
      <c r="D973" s="22">
        <v>1964.5</v>
      </c>
      <c r="E973" s="23">
        <v>42023</v>
      </c>
      <c r="F973" s="24">
        <v>1964.5</v>
      </c>
      <c r="G973" s="31">
        <f t="shared" si="15"/>
        <v>0</v>
      </c>
      <c r="H973" s="19" t="s">
        <v>94</v>
      </c>
      <c r="I973" s="4"/>
      <c r="J973" s="4"/>
    </row>
    <row r="974" spans="1:10" s="3" customFormat="1" x14ac:dyDescent="0.25">
      <c r="A974" s="20">
        <v>42016</v>
      </c>
      <c r="B974" s="21">
        <v>8881</v>
      </c>
      <c r="C974" s="14" t="s">
        <v>136</v>
      </c>
      <c r="D974" s="22">
        <v>43696</v>
      </c>
      <c r="E974" s="29" t="s">
        <v>315</v>
      </c>
      <c r="F974" s="24">
        <f>18600+3300+21796</f>
        <v>43696</v>
      </c>
      <c r="G974" s="31">
        <f t="shared" si="15"/>
        <v>0</v>
      </c>
      <c r="H974" s="19" t="s">
        <v>9</v>
      </c>
      <c r="I974" s="4"/>
      <c r="J974" s="4"/>
    </row>
    <row r="975" spans="1:10" s="3" customFormat="1" x14ac:dyDescent="0.25">
      <c r="A975" s="20">
        <v>42016</v>
      </c>
      <c r="B975" s="21">
        <v>8882</v>
      </c>
      <c r="C975" s="14" t="s">
        <v>87</v>
      </c>
      <c r="D975" s="22">
        <v>2716.8</v>
      </c>
      <c r="E975" s="23">
        <v>42016</v>
      </c>
      <c r="F975" s="24">
        <v>2716.8</v>
      </c>
      <c r="G975" s="31">
        <f t="shared" si="15"/>
        <v>0</v>
      </c>
      <c r="H975" s="19" t="s">
        <v>41</v>
      </c>
      <c r="I975" s="4"/>
      <c r="J975" s="4"/>
    </row>
    <row r="976" spans="1:10" s="3" customFormat="1" x14ac:dyDescent="0.25">
      <c r="A976" s="20">
        <v>42016</v>
      </c>
      <c r="B976" s="21">
        <v>8883</v>
      </c>
      <c r="C976" s="14" t="s">
        <v>185</v>
      </c>
      <c r="D976" s="22">
        <v>342746</v>
      </c>
      <c r="E976" s="29" t="s">
        <v>316</v>
      </c>
      <c r="F976" s="24">
        <f>1446.15+65251+276048.85</f>
        <v>342746</v>
      </c>
      <c r="G976" s="31">
        <f t="shared" si="15"/>
        <v>0</v>
      </c>
      <c r="H976" s="19" t="s">
        <v>46</v>
      </c>
      <c r="I976" s="4"/>
      <c r="J976" s="4"/>
    </row>
    <row r="977" spans="1:10" s="3" customFormat="1" x14ac:dyDescent="0.25">
      <c r="A977" s="20">
        <v>42016</v>
      </c>
      <c r="B977" s="21">
        <v>8884</v>
      </c>
      <c r="C977" s="14" t="s">
        <v>256</v>
      </c>
      <c r="D977" s="22">
        <v>27738.9</v>
      </c>
      <c r="E977" s="23">
        <v>42016</v>
      </c>
      <c r="F977" s="24">
        <v>27738.9</v>
      </c>
      <c r="G977" s="31">
        <f t="shared" si="15"/>
        <v>0</v>
      </c>
      <c r="H977" s="19" t="s">
        <v>36</v>
      </c>
      <c r="I977" s="4"/>
      <c r="J977" s="4"/>
    </row>
    <row r="978" spans="1:10" s="3" customFormat="1" x14ac:dyDescent="0.25">
      <c r="A978" s="20">
        <v>42016</v>
      </c>
      <c r="B978" s="21">
        <v>8885</v>
      </c>
      <c r="C978" s="14" t="s">
        <v>24</v>
      </c>
      <c r="D978" s="22">
        <v>69409.100000000006</v>
      </c>
      <c r="E978" s="23">
        <v>42021</v>
      </c>
      <c r="F978" s="24">
        <v>69409.100000000006</v>
      </c>
      <c r="G978" s="31">
        <f t="shared" si="15"/>
        <v>0</v>
      </c>
      <c r="H978" s="19" t="s">
        <v>9</v>
      </c>
    </row>
    <row r="979" spans="1:10" s="3" customFormat="1" x14ac:dyDescent="0.25">
      <c r="A979" s="20">
        <v>42016</v>
      </c>
      <c r="B979" s="21">
        <v>8886</v>
      </c>
      <c r="C979" s="14" t="s">
        <v>136</v>
      </c>
      <c r="D979" s="22">
        <v>2612</v>
      </c>
      <c r="E979" s="23">
        <v>42016</v>
      </c>
      <c r="F979" s="24">
        <v>2612</v>
      </c>
      <c r="G979" s="31">
        <f t="shared" si="15"/>
        <v>0</v>
      </c>
      <c r="H979" s="19" t="s">
        <v>9</v>
      </c>
    </row>
    <row r="980" spans="1:10" s="3" customFormat="1" x14ac:dyDescent="0.25">
      <c r="A980" s="20">
        <v>42016</v>
      </c>
      <c r="B980" s="21">
        <v>8887</v>
      </c>
      <c r="C980" s="14" t="s">
        <v>258</v>
      </c>
      <c r="D980" s="22">
        <v>601.6</v>
      </c>
      <c r="E980" s="23">
        <v>42016</v>
      </c>
      <c r="F980" s="24">
        <v>601.6</v>
      </c>
      <c r="G980" s="31">
        <f t="shared" si="15"/>
        <v>0</v>
      </c>
      <c r="H980" s="19" t="s">
        <v>9</v>
      </c>
    </row>
    <row r="981" spans="1:10" s="3" customFormat="1" x14ac:dyDescent="0.25">
      <c r="A981" s="20">
        <v>42016</v>
      </c>
      <c r="B981" s="21">
        <v>8888</v>
      </c>
      <c r="C981" s="14" t="s">
        <v>47</v>
      </c>
      <c r="D981" s="22">
        <v>7120</v>
      </c>
      <c r="E981" s="23">
        <v>42018</v>
      </c>
      <c r="F981" s="24">
        <v>7120</v>
      </c>
      <c r="G981" s="31">
        <f t="shared" si="15"/>
        <v>0</v>
      </c>
      <c r="H981" s="19" t="s">
        <v>9</v>
      </c>
    </row>
    <row r="982" spans="1:10" s="3" customFormat="1" x14ac:dyDescent="0.25">
      <c r="A982" s="20">
        <v>42016</v>
      </c>
      <c r="B982" s="21">
        <v>8889</v>
      </c>
      <c r="C982" s="14" t="s">
        <v>76</v>
      </c>
      <c r="D982" s="22">
        <v>7205.3</v>
      </c>
      <c r="E982" s="23">
        <v>42016</v>
      </c>
      <c r="F982" s="24">
        <v>7205.3</v>
      </c>
      <c r="G982" s="31">
        <f t="shared" si="15"/>
        <v>0</v>
      </c>
      <c r="H982" s="19" t="s">
        <v>9</v>
      </c>
    </row>
    <row r="983" spans="1:10" s="3" customFormat="1" x14ac:dyDescent="0.25">
      <c r="A983" s="20">
        <v>42016</v>
      </c>
      <c r="B983" s="21">
        <v>8890</v>
      </c>
      <c r="C983" s="14" t="s">
        <v>193</v>
      </c>
      <c r="D983" s="22">
        <v>7547.9</v>
      </c>
      <c r="E983" s="30" t="s">
        <v>511</v>
      </c>
      <c r="F983" s="24">
        <v>7547.9</v>
      </c>
      <c r="G983" s="31">
        <f t="shared" si="15"/>
        <v>0</v>
      </c>
      <c r="H983" s="19" t="s">
        <v>9</v>
      </c>
    </row>
    <row r="984" spans="1:10" s="3" customFormat="1" x14ac:dyDescent="0.25">
      <c r="A984" s="20">
        <v>42016</v>
      </c>
      <c r="B984" s="21">
        <v>8891</v>
      </c>
      <c r="C984" s="14" t="s">
        <v>90</v>
      </c>
      <c r="D984" s="22">
        <v>1072</v>
      </c>
      <c r="E984" s="23">
        <v>42016</v>
      </c>
      <c r="F984" s="24">
        <v>1072</v>
      </c>
      <c r="G984" s="31">
        <f t="shared" si="15"/>
        <v>0</v>
      </c>
      <c r="H984" s="19" t="s">
        <v>9</v>
      </c>
    </row>
    <row r="985" spans="1:10" s="3" customFormat="1" x14ac:dyDescent="0.25">
      <c r="A985" s="20">
        <v>42016</v>
      </c>
      <c r="B985" s="21">
        <v>8892</v>
      </c>
      <c r="C985" s="14" t="s">
        <v>195</v>
      </c>
      <c r="D985" s="22">
        <v>121622.93</v>
      </c>
      <c r="E985" s="23">
        <v>42018</v>
      </c>
      <c r="F985" s="24">
        <v>121622.93</v>
      </c>
      <c r="G985" s="31">
        <f t="shared" si="15"/>
        <v>0</v>
      </c>
      <c r="H985" s="19" t="s">
        <v>149</v>
      </c>
    </row>
    <row r="986" spans="1:10" s="3" customFormat="1" x14ac:dyDescent="0.25">
      <c r="A986" s="20">
        <v>42016</v>
      </c>
      <c r="B986" s="21">
        <v>8893</v>
      </c>
      <c r="C986" s="14" t="s">
        <v>68</v>
      </c>
      <c r="D986" s="22">
        <v>6295.6</v>
      </c>
      <c r="E986" s="23">
        <v>42018</v>
      </c>
      <c r="F986" s="24">
        <v>6295.6</v>
      </c>
      <c r="G986" s="31">
        <f t="shared" si="15"/>
        <v>0</v>
      </c>
      <c r="H986" s="19" t="s">
        <v>149</v>
      </c>
    </row>
    <row r="987" spans="1:10" s="3" customFormat="1" x14ac:dyDescent="0.25">
      <c r="A987" s="20">
        <v>42016</v>
      </c>
      <c r="B987" s="21">
        <v>8894</v>
      </c>
      <c r="C987" s="14" t="s">
        <v>199</v>
      </c>
      <c r="D987" s="22">
        <v>15144.6</v>
      </c>
      <c r="E987" s="23">
        <v>42018</v>
      </c>
      <c r="F987" s="24">
        <v>15144.6</v>
      </c>
      <c r="G987" s="31">
        <f t="shared" si="15"/>
        <v>0</v>
      </c>
      <c r="H987" s="19" t="s">
        <v>149</v>
      </c>
    </row>
    <row r="988" spans="1:10" s="3" customFormat="1" x14ac:dyDescent="0.25">
      <c r="A988" s="20">
        <v>42016</v>
      </c>
      <c r="B988" s="21">
        <v>8895</v>
      </c>
      <c r="C988" s="14" t="s">
        <v>80</v>
      </c>
      <c r="D988" s="22">
        <v>7495.2</v>
      </c>
      <c r="E988" s="23">
        <v>42016</v>
      </c>
      <c r="F988" s="24">
        <v>7495.2</v>
      </c>
      <c r="G988" s="31">
        <f t="shared" si="15"/>
        <v>0</v>
      </c>
      <c r="H988" s="19" t="s">
        <v>9</v>
      </c>
    </row>
    <row r="989" spans="1:10" s="3" customFormat="1" x14ac:dyDescent="0.25">
      <c r="A989" s="20">
        <v>42016</v>
      </c>
      <c r="B989" s="21">
        <v>8896</v>
      </c>
      <c r="C989" s="14" t="s">
        <v>111</v>
      </c>
      <c r="D989" s="22">
        <v>27930</v>
      </c>
      <c r="E989" s="23">
        <v>42018</v>
      </c>
      <c r="F989" s="24">
        <v>27930</v>
      </c>
      <c r="G989" s="31">
        <f t="shared" si="15"/>
        <v>0</v>
      </c>
      <c r="H989" s="19" t="s">
        <v>59</v>
      </c>
    </row>
    <row r="990" spans="1:10" s="3" customFormat="1" x14ac:dyDescent="0.25">
      <c r="A990" s="20">
        <v>42016</v>
      </c>
      <c r="B990" s="21">
        <v>8897</v>
      </c>
      <c r="C990" s="14" t="s">
        <v>261</v>
      </c>
      <c r="D990" s="22">
        <v>18939</v>
      </c>
      <c r="E990" s="23">
        <v>42018</v>
      </c>
      <c r="F990" s="24">
        <v>18939</v>
      </c>
      <c r="G990" s="31">
        <f t="shared" si="15"/>
        <v>0</v>
      </c>
      <c r="H990" s="19" t="s">
        <v>149</v>
      </c>
    </row>
    <row r="991" spans="1:10" s="3" customFormat="1" x14ac:dyDescent="0.25">
      <c r="A991" s="20">
        <v>42016</v>
      </c>
      <c r="B991" s="21">
        <v>8898</v>
      </c>
      <c r="C991" s="14" t="s">
        <v>206</v>
      </c>
      <c r="D991" s="22">
        <v>1650</v>
      </c>
      <c r="E991" s="23">
        <v>42025</v>
      </c>
      <c r="F991" s="24">
        <v>1650</v>
      </c>
      <c r="G991" s="31">
        <f t="shared" si="15"/>
        <v>0</v>
      </c>
      <c r="H991" s="19" t="s">
        <v>149</v>
      </c>
    </row>
    <row r="992" spans="1:10" s="3" customFormat="1" x14ac:dyDescent="0.25">
      <c r="A992" s="20">
        <v>42016</v>
      </c>
      <c r="B992" s="21">
        <v>8899</v>
      </c>
      <c r="C992" s="14" t="s">
        <v>207</v>
      </c>
      <c r="D992" s="22">
        <v>58254.080000000002</v>
      </c>
      <c r="E992" s="23">
        <v>42021</v>
      </c>
      <c r="F992" s="24">
        <v>58254.080000000002</v>
      </c>
      <c r="G992" s="31">
        <f t="shared" si="15"/>
        <v>0</v>
      </c>
      <c r="H992" s="19" t="s">
        <v>149</v>
      </c>
    </row>
    <row r="993" spans="1:10" s="3" customFormat="1" x14ac:dyDescent="0.25">
      <c r="A993" s="20">
        <v>42016</v>
      </c>
      <c r="B993" s="21">
        <v>8900</v>
      </c>
      <c r="C993" s="14" t="s">
        <v>202</v>
      </c>
      <c r="D993" s="22">
        <v>7368</v>
      </c>
      <c r="E993" s="23">
        <v>42018</v>
      </c>
      <c r="F993" s="24">
        <v>7368</v>
      </c>
      <c r="G993" s="31">
        <f t="shared" si="15"/>
        <v>0</v>
      </c>
      <c r="H993" s="19" t="s">
        <v>149</v>
      </c>
    </row>
    <row r="994" spans="1:10" s="3" customFormat="1" x14ac:dyDescent="0.25">
      <c r="A994" s="20">
        <v>42016</v>
      </c>
      <c r="B994" s="21">
        <v>8901</v>
      </c>
      <c r="C994" s="14" t="s">
        <v>205</v>
      </c>
      <c r="D994" s="22">
        <v>11113.9</v>
      </c>
      <c r="E994" s="30" t="s">
        <v>317</v>
      </c>
      <c r="F994" s="24">
        <v>11113.9</v>
      </c>
      <c r="G994" s="31">
        <f t="shared" si="15"/>
        <v>0</v>
      </c>
      <c r="H994" s="19" t="s">
        <v>149</v>
      </c>
      <c r="I994" s="4"/>
      <c r="J994" s="4"/>
    </row>
    <row r="995" spans="1:10" s="3" customFormat="1" x14ac:dyDescent="0.25">
      <c r="A995" s="20">
        <v>42016</v>
      </c>
      <c r="B995" s="21">
        <v>8902</v>
      </c>
      <c r="C995" s="14" t="s">
        <v>262</v>
      </c>
      <c r="D995" s="22">
        <v>26157.599999999999</v>
      </c>
      <c r="E995" s="23">
        <v>42018</v>
      </c>
      <c r="F995" s="24">
        <v>26157.599999999999</v>
      </c>
      <c r="G995" s="31">
        <f t="shared" si="15"/>
        <v>0</v>
      </c>
      <c r="H995" s="19" t="s">
        <v>149</v>
      </c>
      <c r="I995" s="4"/>
      <c r="J995" s="4"/>
    </row>
    <row r="996" spans="1:10" s="3" customFormat="1" x14ac:dyDescent="0.25">
      <c r="A996" s="20">
        <v>42016</v>
      </c>
      <c r="B996" s="21">
        <v>8903</v>
      </c>
      <c r="C996" s="14" t="s">
        <v>198</v>
      </c>
      <c r="D996" s="22">
        <v>12262.06</v>
      </c>
      <c r="E996" s="23">
        <v>42018</v>
      </c>
      <c r="F996" s="24">
        <v>12262.06</v>
      </c>
      <c r="G996" s="31">
        <f t="shared" si="15"/>
        <v>0</v>
      </c>
      <c r="H996" s="19" t="s">
        <v>149</v>
      </c>
      <c r="I996" s="4"/>
      <c r="J996" s="4"/>
    </row>
    <row r="997" spans="1:10" s="3" customFormat="1" x14ac:dyDescent="0.25">
      <c r="A997" s="20">
        <v>42016</v>
      </c>
      <c r="B997" s="21">
        <v>8904</v>
      </c>
      <c r="C997" s="14" t="s">
        <v>208</v>
      </c>
      <c r="D997" s="22">
        <v>38629.1</v>
      </c>
      <c r="E997" s="23">
        <v>42018</v>
      </c>
      <c r="F997" s="24">
        <v>38629.1</v>
      </c>
      <c r="G997" s="31">
        <f t="shared" si="15"/>
        <v>0</v>
      </c>
      <c r="H997" s="19" t="s">
        <v>149</v>
      </c>
      <c r="I997" s="4"/>
      <c r="J997" s="4"/>
    </row>
    <row r="998" spans="1:10" s="3" customFormat="1" x14ac:dyDescent="0.25">
      <c r="A998" s="20">
        <v>42016</v>
      </c>
      <c r="B998" s="21">
        <v>8905</v>
      </c>
      <c r="C998" s="14" t="s">
        <v>197</v>
      </c>
      <c r="D998" s="22">
        <v>5058.8</v>
      </c>
      <c r="E998" s="23">
        <v>42018</v>
      </c>
      <c r="F998" s="24">
        <v>5058.8</v>
      </c>
      <c r="G998" s="31">
        <f t="shared" si="15"/>
        <v>0</v>
      </c>
      <c r="H998" s="19" t="s">
        <v>149</v>
      </c>
      <c r="I998" s="4"/>
      <c r="J998" s="4"/>
    </row>
    <row r="999" spans="1:10" s="3" customFormat="1" x14ac:dyDescent="0.25">
      <c r="A999" s="20">
        <v>42016</v>
      </c>
      <c r="B999" s="21">
        <v>8906</v>
      </c>
      <c r="C999" s="14" t="s">
        <v>201</v>
      </c>
      <c r="D999" s="22">
        <v>7411.4</v>
      </c>
      <c r="E999" s="23">
        <v>42018</v>
      </c>
      <c r="F999" s="24">
        <v>7411.4</v>
      </c>
      <c r="G999" s="31">
        <f t="shared" si="15"/>
        <v>0</v>
      </c>
      <c r="H999" s="19" t="s">
        <v>149</v>
      </c>
      <c r="I999" s="4"/>
      <c r="J999" s="28"/>
    </row>
    <row r="1000" spans="1:10" s="3" customFormat="1" x14ac:dyDescent="0.25">
      <c r="A1000" s="20">
        <v>42016</v>
      </c>
      <c r="B1000" s="21">
        <v>8907</v>
      </c>
      <c r="C1000" s="14" t="s">
        <v>196</v>
      </c>
      <c r="D1000" s="22">
        <v>7240.12</v>
      </c>
      <c r="E1000" s="23">
        <v>42018</v>
      </c>
      <c r="F1000" s="24">
        <v>7240.12</v>
      </c>
      <c r="G1000" s="31">
        <f t="shared" si="15"/>
        <v>0</v>
      </c>
      <c r="H1000" s="19" t="s">
        <v>149</v>
      </c>
      <c r="I1000" s="4"/>
      <c r="J1000" s="28"/>
    </row>
    <row r="1001" spans="1:10" s="3" customFormat="1" x14ac:dyDescent="0.25">
      <c r="A1001" s="20">
        <v>42016</v>
      </c>
      <c r="B1001" s="21">
        <v>8908</v>
      </c>
      <c r="C1001" s="14" t="s">
        <v>318</v>
      </c>
      <c r="D1001" s="22">
        <v>12540.8</v>
      </c>
      <c r="E1001" s="23">
        <v>42017</v>
      </c>
      <c r="F1001" s="24">
        <v>12540.8</v>
      </c>
      <c r="G1001" s="31">
        <f t="shared" si="15"/>
        <v>0</v>
      </c>
      <c r="H1001" s="19" t="s">
        <v>9</v>
      </c>
      <c r="I1001" s="4"/>
      <c r="J1001" s="4"/>
    </row>
    <row r="1002" spans="1:10" s="3" customFormat="1" x14ac:dyDescent="0.25">
      <c r="A1002" s="20">
        <v>42016</v>
      </c>
      <c r="B1002" s="21">
        <v>8909</v>
      </c>
      <c r="C1002" s="14" t="s">
        <v>318</v>
      </c>
      <c r="D1002" s="22">
        <v>1688</v>
      </c>
      <c r="E1002" s="23">
        <v>42017</v>
      </c>
      <c r="F1002" s="24">
        <v>1688</v>
      </c>
      <c r="G1002" s="31">
        <f t="shared" si="15"/>
        <v>0</v>
      </c>
      <c r="H1002" s="19" t="s">
        <v>9</v>
      </c>
      <c r="I1002" s="4"/>
      <c r="J1002" s="4"/>
    </row>
    <row r="1003" spans="1:10" s="3" customFormat="1" x14ac:dyDescent="0.25">
      <c r="A1003" s="20">
        <v>42017</v>
      </c>
      <c r="B1003" s="21">
        <v>8910</v>
      </c>
      <c r="C1003" s="14" t="s">
        <v>211</v>
      </c>
      <c r="D1003" s="22">
        <v>80262.100000000006</v>
      </c>
      <c r="E1003" s="23">
        <v>42020</v>
      </c>
      <c r="F1003" s="24">
        <v>80262.100000000006</v>
      </c>
      <c r="G1003" s="31">
        <f t="shared" si="15"/>
        <v>0</v>
      </c>
      <c r="H1003" s="19" t="s">
        <v>9</v>
      </c>
      <c r="I1003" s="4"/>
      <c r="J1003" s="4"/>
    </row>
    <row r="1004" spans="1:10" s="3" customFormat="1" x14ac:dyDescent="0.25">
      <c r="A1004" s="20">
        <v>42017</v>
      </c>
      <c r="B1004" s="21">
        <v>8911</v>
      </c>
      <c r="C1004" s="14" t="s">
        <v>21</v>
      </c>
      <c r="D1004" s="22">
        <v>3074</v>
      </c>
      <c r="E1004" s="23">
        <v>42017</v>
      </c>
      <c r="F1004" s="24">
        <v>3074</v>
      </c>
      <c r="G1004" s="31">
        <f t="shared" si="15"/>
        <v>0</v>
      </c>
      <c r="H1004" s="19" t="s">
        <v>9</v>
      </c>
      <c r="I1004" s="4"/>
      <c r="J1004" s="4"/>
    </row>
    <row r="1005" spans="1:10" s="3" customFormat="1" x14ac:dyDescent="0.25">
      <c r="A1005" s="20">
        <v>42017</v>
      </c>
      <c r="B1005" s="21">
        <v>8912</v>
      </c>
      <c r="C1005" s="14" t="s">
        <v>20</v>
      </c>
      <c r="D1005" s="22">
        <v>16879.400000000001</v>
      </c>
      <c r="E1005" s="23">
        <v>42017</v>
      </c>
      <c r="F1005" s="24">
        <v>16879.400000000001</v>
      </c>
      <c r="G1005" s="31">
        <f t="shared" si="15"/>
        <v>0</v>
      </c>
      <c r="H1005" s="19" t="s">
        <v>94</v>
      </c>
      <c r="I1005" s="4"/>
      <c r="J1005" s="4"/>
    </row>
    <row r="1006" spans="1:10" s="3" customFormat="1" x14ac:dyDescent="0.25">
      <c r="A1006" s="20">
        <v>42017</v>
      </c>
      <c r="B1006" s="21">
        <v>8913</v>
      </c>
      <c r="C1006" s="14" t="s">
        <v>16</v>
      </c>
      <c r="D1006" s="22">
        <v>7451.8</v>
      </c>
      <c r="E1006" s="23">
        <v>42017</v>
      </c>
      <c r="F1006" s="24">
        <v>7451.8</v>
      </c>
      <c r="G1006" s="31">
        <f t="shared" si="15"/>
        <v>0</v>
      </c>
      <c r="H1006" s="19" t="s">
        <v>19</v>
      </c>
      <c r="I1006" s="4"/>
      <c r="J1006" s="4"/>
    </row>
    <row r="1007" spans="1:10" s="3" customFormat="1" x14ac:dyDescent="0.25">
      <c r="A1007" s="20">
        <v>42017</v>
      </c>
      <c r="B1007" s="21">
        <v>8914</v>
      </c>
      <c r="C1007" s="14" t="s">
        <v>31</v>
      </c>
      <c r="D1007" s="22">
        <v>2782</v>
      </c>
      <c r="E1007" s="23">
        <v>42017</v>
      </c>
      <c r="F1007" s="24">
        <v>2782</v>
      </c>
      <c r="G1007" s="31">
        <f t="shared" si="15"/>
        <v>0</v>
      </c>
      <c r="H1007" s="39" t="s">
        <v>19</v>
      </c>
      <c r="I1007" s="4"/>
      <c r="J1007" s="4"/>
    </row>
    <row r="1008" spans="1:10" s="3" customFormat="1" x14ac:dyDescent="0.25">
      <c r="A1008" s="20">
        <v>42017</v>
      </c>
      <c r="B1008" s="21">
        <v>8915</v>
      </c>
      <c r="C1008" s="14" t="s">
        <v>148</v>
      </c>
      <c r="D1008" s="22">
        <v>4496.8</v>
      </c>
      <c r="E1008" s="23">
        <v>42017</v>
      </c>
      <c r="F1008" s="24">
        <v>4496.8</v>
      </c>
      <c r="G1008" s="31">
        <f t="shared" si="15"/>
        <v>0</v>
      </c>
      <c r="H1008" s="39" t="s">
        <v>59</v>
      </c>
      <c r="I1008" s="4"/>
      <c r="J1008" s="4"/>
    </row>
    <row r="1009" spans="1:10" s="3" customFormat="1" x14ac:dyDescent="0.25">
      <c r="A1009" s="20">
        <v>42017</v>
      </c>
      <c r="B1009" s="21">
        <v>8916</v>
      </c>
      <c r="C1009" s="14" t="s">
        <v>121</v>
      </c>
      <c r="D1009" s="22">
        <v>2227.8000000000002</v>
      </c>
      <c r="E1009" s="23">
        <v>42017</v>
      </c>
      <c r="F1009" s="24">
        <v>2227.8000000000002</v>
      </c>
      <c r="G1009" s="31">
        <f t="shared" si="15"/>
        <v>0</v>
      </c>
      <c r="H1009" s="39" t="s">
        <v>9</v>
      </c>
      <c r="I1009" s="4"/>
      <c r="J1009" s="4"/>
    </row>
    <row r="1010" spans="1:10" s="3" customFormat="1" x14ac:dyDescent="0.25">
      <c r="A1010" s="20">
        <v>42017</v>
      </c>
      <c r="B1010" s="21">
        <v>8917</v>
      </c>
      <c r="C1010" s="14" t="s">
        <v>114</v>
      </c>
      <c r="D1010" s="22">
        <v>1047.2</v>
      </c>
      <c r="E1010" s="23">
        <v>42017</v>
      </c>
      <c r="F1010" s="24">
        <v>1047.2</v>
      </c>
      <c r="G1010" s="31">
        <f t="shared" si="15"/>
        <v>0</v>
      </c>
      <c r="H1010" s="39" t="s">
        <v>9</v>
      </c>
      <c r="I1010" s="4"/>
      <c r="J1010" s="4"/>
    </row>
    <row r="1011" spans="1:10" s="3" customFormat="1" x14ac:dyDescent="0.25">
      <c r="A1011" s="20">
        <v>42017</v>
      </c>
      <c r="B1011" s="21">
        <v>8918</v>
      </c>
      <c r="C1011" s="14" t="s">
        <v>151</v>
      </c>
      <c r="D1011" s="22">
        <v>6117.1</v>
      </c>
      <c r="E1011" s="23">
        <v>42018</v>
      </c>
      <c r="F1011" s="24">
        <v>6117.1</v>
      </c>
      <c r="G1011" s="31">
        <f t="shared" si="15"/>
        <v>0</v>
      </c>
      <c r="H1011" s="39" t="s">
        <v>9</v>
      </c>
      <c r="I1011" s="4"/>
      <c r="J1011" s="4"/>
    </row>
    <row r="1012" spans="1:10" s="3" customFormat="1" x14ac:dyDescent="0.25">
      <c r="A1012" s="20">
        <v>42017</v>
      </c>
      <c r="B1012" s="21">
        <v>8919</v>
      </c>
      <c r="C1012" s="14" t="s">
        <v>32</v>
      </c>
      <c r="D1012" s="22">
        <v>242440</v>
      </c>
      <c r="E1012" s="23">
        <v>42035</v>
      </c>
      <c r="F1012" s="24">
        <v>242440</v>
      </c>
      <c r="G1012" s="31">
        <f t="shared" si="15"/>
        <v>0</v>
      </c>
      <c r="H1012" s="39" t="s">
        <v>62</v>
      </c>
      <c r="I1012" s="4"/>
      <c r="J1012" s="4"/>
    </row>
    <row r="1013" spans="1:10" s="3" customFormat="1" x14ac:dyDescent="0.25">
      <c r="A1013" s="20">
        <v>42017</v>
      </c>
      <c r="B1013" s="21">
        <v>8920</v>
      </c>
      <c r="C1013" s="14" t="s">
        <v>213</v>
      </c>
      <c r="D1013" s="22">
        <v>8680</v>
      </c>
      <c r="E1013" s="23">
        <v>42017</v>
      </c>
      <c r="F1013" s="24">
        <v>8680</v>
      </c>
      <c r="G1013" s="31">
        <f t="shared" si="15"/>
        <v>0</v>
      </c>
      <c r="H1013" s="39" t="s">
        <v>36</v>
      </c>
      <c r="I1013" s="4"/>
      <c r="J1013" s="4"/>
    </row>
    <row r="1014" spans="1:10" s="3" customFormat="1" x14ac:dyDescent="0.25">
      <c r="A1014" s="20">
        <v>42017</v>
      </c>
      <c r="B1014" s="21">
        <v>8921</v>
      </c>
      <c r="C1014" s="14" t="s">
        <v>26</v>
      </c>
      <c r="D1014" s="22">
        <v>600</v>
      </c>
      <c r="E1014" s="23">
        <v>42017</v>
      </c>
      <c r="F1014" s="24">
        <v>600</v>
      </c>
      <c r="G1014" s="31">
        <f t="shared" si="15"/>
        <v>0</v>
      </c>
      <c r="H1014" s="39" t="s">
        <v>27</v>
      </c>
      <c r="I1014" s="4"/>
      <c r="J1014" s="4"/>
    </row>
    <row r="1015" spans="1:10" s="3" customFormat="1" x14ac:dyDescent="0.25">
      <c r="A1015" s="20">
        <v>42017</v>
      </c>
      <c r="B1015" s="21">
        <v>8922</v>
      </c>
      <c r="C1015" s="14" t="s">
        <v>66</v>
      </c>
      <c r="D1015" s="22">
        <v>170</v>
      </c>
      <c r="E1015" s="23">
        <v>42017</v>
      </c>
      <c r="F1015" s="24">
        <v>170</v>
      </c>
      <c r="G1015" s="31">
        <f t="shared" si="15"/>
        <v>0</v>
      </c>
      <c r="H1015" s="39" t="s">
        <v>9</v>
      </c>
      <c r="I1015" s="4"/>
      <c r="J1015" s="4"/>
    </row>
    <row r="1016" spans="1:10" s="3" customFormat="1" x14ac:dyDescent="0.25">
      <c r="A1016" s="20">
        <v>42017</v>
      </c>
      <c r="B1016" s="21">
        <v>8923</v>
      </c>
      <c r="C1016" s="14" t="s">
        <v>319</v>
      </c>
      <c r="D1016" s="22">
        <v>1154.4000000000001</v>
      </c>
      <c r="E1016" s="51">
        <v>42017</v>
      </c>
      <c r="F1016" s="24">
        <v>1154.4000000000001</v>
      </c>
      <c r="G1016" s="31">
        <f t="shared" si="15"/>
        <v>0</v>
      </c>
      <c r="H1016" s="39" t="s">
        <v>9</v>
      </c>
      <c r="I1016" s="4"/>
      <c r="J1016" s="4"/>
    </row>
    <row r="1017" spans="1:10" s="3" customFormat="1" x14ac:dyDescent="0.25">
      <c r="A1017" s="20">
        <v>42017</v>
      </c>
      <c r="B1017" s="21">
        <v>8924</v>
      </c>
      <c r="C1017" s="14" t="s">
        <v>125</v>
      </c>
      <c r="D1017" s="22">
        <v>17811.8</v>
      </c>
      <c r="E1017" s="23">
        <v>42018</v>
      </c>
      <c r="F1017" s="24">
        <v>17811.8</v>
      </c>
      <c r="G1017" s="31">
        <f t="shared" si="15"/>
        <v>0</v>
      </c>
      <c r="H1017" s="39" t="s">
        <v>9</v>
      </c>
      <c r="I1017" s="4"/>
      <c r="J1017" s="4"/>
    </row>
    <row r="1018" spans="1:10" s="3" customFormat="1" x14ac:dyDescent="0.25">
      <c r="A1018" s="20">
        <v>42017</v>
      </c>
      <c r="B1018" s="21">
        <v>8925</v>
      </c>
      <c r="C1018" s="14" t="s">
        <v>83</v>
      </c>
      <c r="D1018" s="22">
        <v>7098.9</v>
      </c>
      <c r="E1018" s="23">
        <v>42017</v>
      </c>
      <c r="F1018" s="24">
        <v>7098.9</v>
      </c>
      <c r="G1018" s="31">
        <f t="shared" si="15"/>
        <v>0</v>
      </c>
      <c r="H1018" s="39" t="s">
        <v>59</v>
      </c>
      <c r="I1018" s="4"/>
      <c r="J1018" s="4"/>
    </row>
    <row r="1019" spans="1:10" s="3" customFormat="1" x14ac:dyDescent="0.25">
      <c r="A1019" s="20">
        <v>42017</v>
      </c>
      <c r="B1019" s="21">
        <v>8926</v>
      </c>
      <c r="C1019" s="14" t="s">
        <v>215</v>
      </c>
      <c r="D1019" s="22">
        <v>5880.8</v>
      </c>
      <c r="E1019" s="23">
        <v>42017</v>
      </c>
      <c r="F1019" s="24">
        <v>5880.8</v>
      </c>
      <c r="G1019" s="31">
        <f t="shared" si="15"/>
        <v>0</v>
      </c>
      <c r="H1019" s="39" t="s">
        <v>9</v>
      </c>
      <c r="I1019" s="4"/>
      <c r="J1019" s="4"/>
    </row>
    <row r="1020" spans="1:10" s="3" customFormat="1" x14ac:dyDescent="0.25">
      <c r="A1020" s="20">
        <v>42017</v>
      </c>
      <c r="B1020" s="21">
        <v>8927</v>
      </c>
      <c r="C1020" s="14" t="s">
        <v>82</v>
      </c>
      <c r="D1020" s="22">
        <v>5616</v>
      </c>
      <c r="E1020" s="23">
        <v>42017</v>
      </c>
      <c r="F1020" s="24">
        <v>5616</v>
      </c>
      <c r="G1020" s="31">
        <f t="shared" si="15"/>
        <v>0</v>
      </c>
      <c r="H1020" s="56" t="s">
        <v>59</v>
      </c>
      <c r="I1020" s="4"/>
      <c r="J1020" s="4"/>
    </row>
    <row r="1021" spans="1:10" s="3" customFormat="1" x14ac:dyDescent="0.25">
      <c r="A1021" s="20">
        <v>42017</v>
      </c>
      <c r="B1021" s="21">
        <v>8928</v>
      </c>
      <c r="C1021" s="14" t="s">
        <v>168</v>
      </c>
      <c r="D1021" s="22">
        <v>6705</v>
      </c>
      <c r="E1021" s="23">
        <v>42017</v>
      </c>
      <c r="F1021" s="24">
        <v>6705</v>
      </c>
      <c r="G1021" s="31">
        <f t="shared" si="15"/>
        <v>0</v>
      </c>
      <c r="H1021" s="39" t="s">
        <v>59</v>
      </c>
      <c r="I1021" s="4"/>
      <c r="J1021" s="4"/>
    </row>
    <row r="1022" spans="1:10" s="3" customFormat="1" x14ac:dyDescent="0.25">
      <c r="A1022" s="20">
        <v>42017</v>
      </c>
      <c r="B1022" s="21">
        <v>8929</v>
      </c>
      <c r="C1022" s="14" t="s">
        <v>155</v>
      </c>
      <c r="D1022" s="22">
        <v>2785.2</v>
      </c>
      <c r="E1022" s="23">
        <v>42017</v>
      </c>
      <c r="F1022" s="24">
        <v>2785.2</v>
      </c>
      <c r="G1022" s="31">
        <f t="shared" si="15"/>
        <v>0</v>
      </c>
      <c r="H1022" s="56" t="s">
        <v>59</v>
      </c>
      <c r="I1022" s="4"/>
      <c r="J1022" s="28"/>
    </row>
    <row r="1023" spans="1:10" s="3" customFormat="1" x14ac:dyDescent="0.25">
      <c r="A1023" s="20">
        <v>42017</v>
      </c>
      <c r="B1023" s="21">
        <v>8930</v>
      </c>
      <c r="C1023" s="14" t="s">
        <v>126</v>
      </c>
      <c r="D1023" s="22">
        <v>2566.8000000000002</v>
      </c>
      <c r="E1023" s="23">
        <v>42017</v>
      </c>
      <c r="F1023" s="24">
        <v>2566.8000000000002</v>
      </c>
      <c r="G1023" s="31">
        <f t="shared" si="15"/>
        <v>0</v>
      </c>
      <c r="H1023" s="56" t="s">
        <v>59</v>
      </c>
      <c r="I1023" s="4"/>
      <c r="J1023" s="28"/>
    </row>
    <row r="1024" spans="1:10" s="3" customFormat="1" x14ac:dyDescent="0.25">
      <c r="A1024" s="20">
        <v>42017</v>
      </c>
      <c r="B1024" s="21">
        <v>8931</v>
      </c>
      <c r="C1024" s="14" t="s">
        <v>167</v>
      </c>
      <c r="D1024" s="22">
        <v>511.2</v>
      </c>
      <c r="E1024" s="23">
        <v>42017</v>
      </c>
      <c r="F1024" s="24">
        <v>511.2</v>
      </c>
      <c r="G1024" s="31">
        <f t="shared" si="15"/>
        <v>0</v>
      </c>
      <c r="H1024" s="56" t="s">
        <v>59</v>
      </c>
      <c r="I1024" s="4"/>
      <c r="J1024" s="4"/>
    </row>
    <row r="1025" spans="1:10" s="3" customFormat="1" x14ac:dyDescent="0.25">
      <c r="A1025" s="20">
        <v>42017</v>
      </c>
      <c r="B1025" s="21">
        <v>8932</v>
      </c>
      <c r="C1025" s="14" t="s">
        <v>81</v>
      </c>
      <c r="D1025" s="22">
        <v>1423.3</v>
      </c>
      <c r="E1025" s="23">
        <v>42017</v>
      </c>
      <c r="F1025" s="24">
        <v>1423.3</v>
      </c>
      <c r="G1025" s="31">
        <f t="shared" si="15"/>
        <v>0</v>
      </c>
      <c r="H1025" s="56" t="s">
        <v>59</v>
      </c>
      <c r="I1025" s="4"/>
      <c r="J1025" s="4"/>
    </row>
    <row r="1026" spans="1:10" s="3" customFormat="1" x14ac:dyDescent="0.25">
      <c r="A1026" s="20">
        <v>42017</v>
      </c>
      <c r="B1026" s="21">
        <v>8933</v>
      </c>
      <c r="C1026" s="14" t="s">
        <v>57</v>
      </c>
      <c r="D1026" s="22">
        <v>630</v>
      </c>
      <c r="E1026" s="23">
        <v>42017</v>
      </c>
      <c r="F1026" s="24">
        <v>630</v>
      </c>
      <c r="G1026" s="31">
        <f t="shared" si="15"/>
        <v>0</v>
      </c>
      <c r="H1026" s="56" t="s">
        <v>59</v>
      </c>
    </row>
    <row r="1027" spans="1:10" s="3" customFormat="1" x14ac:dyDescent="0.25">
      <c r="A1027" s="20">
        <v>42017</v>
      </c>
      <c r="B1027" s="21">
        <v>8934</v>
      </c>
      <c r="C1027" s="14" t="s">
        <v>169</v>
      </c>
      <c r="D1027" s="22">
        <v>1602.7</v>
      </c>
      <c r="E1027" s="23">
        <v>42017</v>
      </c>
      <c r="F1027" s="46">
        <v>1602.7</v>
      </c>
      <c r="G1027" s="31">
        <f t="shared" ref="G1027:G1090" si="16">D1027-F1027</f>
        <v>0</v>
      </c>
      <c r="H1027" s="56" t="s">
        <v>59</v>
      </c>
    </row>
    <row r="1028" spans="1:10" s="3" customFormat="1" x14ac:dyDescent="0.25">
      <c r="A1028" s="20">
        <v>42017</v>
      </c>
      <c r="B1028" s="21">
        <v>8935</v>
      </c>
      <c r="C1028" s="14" t="s">
        <v>35</v>
      </c>
      <c r="D1028" s="22">
        <v>25739.56</v>
      </c>
      <c r="E1028" s="23">
        <v>42018</v>
      </c>
      <c r="F1028" s="46">
        <v>25739.56</v>
      </c>
      <c r="G1028" s="31">
        <f t="shared" si="16"/>
        <v>0</v>
      </c>
      <c r="H1028" s="56" t="s">
        <v>36</v>
      </c>
    </row>
    <row r="1029" spans="1:10" s="3" customFormat="1" x14ac:dyDescent="0.25">
      <c r="A1029" s="20">
        <v>42017</v>
      </c>
      <c r="B1029" s="21">
        <v>8936</v>
      </c>
      <c r="C1029" s="14" t="s">
        <v>131</v>
      </c>
      <c r="D1029" s="22">
        <v>4924.6000000000004</v>
      </c>
      <c r="E1029" s="23">
        <v>42017</v>
      </c>
      <c r="F1029" s="46">
        <v>4924.6000000000004</v>
      </c>
      <c r="G1029" s="31">
        <f t="shared" si="16"/>
        <v>0</v>
      </c>
      <c r="H1029" s="56" t="s">
        <v>17</v>
      </c>
    </row>
    <row r="1030" spans="1:10" s="3" customFormat="1" x14ac:dyDescent="0.25">
      <c r="A1030" s="20">
        <v>42017</v>
      </c>
      <c r="B1030" s="21">
        <v>8937</v>
      </c>
      <c r="C1030" s="14" t="s">
        <v>134</v>
      </c>
      <c r="D1030" s="22">
        <v>1240.2</v>
      </c>
      <c r="E1030" s="23">
        <v>42018</v>
      </c>
      <c r="F1030" s="46">
        <v>1240.2</v>
      </c>
      <c r="G1030" s="31">
        <f t="shared" si="16"/>
        <v>0</v>
      </c>
      <c r="H1030" s="56" t="s">
        <v>36</v>
      </c>
    </row>
    <row r="1031" spans="1:10" s="3" customFormat="1" x14ac:dyDescent="0.25">
      <c r="A1031" s="20">
        <v>42017</v>
      </c>
      <c r="B1031" s="21">
        <v>8938</v>
      </c>
      <c r="C1031" s="14" t="s">
        <v>130</v>
      </c>
      <c r="D1031" s="22">
        <v>4987.6000000000004</v>
      </c>
      <c r="E1031" s="23">
        <v>42019</v>
      </c>
      <c r="F1031" s="46">
        <v>4987.6000000000004</v>
      </c>
      <c r="G1031" s="31">
        <f t="shared" si="16"/>
        <v>0</v>
      </c>
      <c r="H1031" s="56" t="s">
        <v>17</v>
      </c>
    </row>
    <row r="1032" spans="1:10" s="3" customFormat="1" x14ac:dyDescent="0.25">
      <c r="A1032" s="20">
        <v>42017</v>
      </c>
      <c r="B1032" s="21">
        <v>8939</v>
      </c>
      <c r="C1032" s="14" t="s">
        <v>128</v>
      </c>
      <c r="D1032" s="22">
        <v>7408.8</v>
      </c>
      <c r="E1032" s="23">
        <v>42017</v>
      </c>
      <c r="F1032" s="46">
        <v>7408.8</v>
      </c>
      <c r="G1032" s="31">
        <f t="shared" si="16"/>
        <v>0</v>
      </c>
      <c r="H1032" s="56" t="s">
        <v>17</v>
      </c>
    </row>
    <row r="1033" spans="1:10" s="3" customFormat="1" x14ac:dyDescent="0.25">
      <c r="A1033" s="20">
        <v>42017</v>
      </c>
      <c r="B1033" s="21">
        <v>8940</v>
      </c>
      <c r="C1033" s="14" t="s">
        <v>56</v>
      </c>
      <c r="D1033" s="22">
        <v>16842</v>
      </c>
      <c r="E1033" s="23">
        <v>42018</v>
      </c>
      <c r="F1033" s="46">
        <v>16842</v>
      </c>
      <c r="G1033" s="31">
        <f t="shared" si="16"/>
        <v>0</v>
      </c>
      <c r="H1033" s="56" t="s">
        <v>36</v>
      </c>
    </row>
    <row r="1034" spans="1:10" s="3" customFormat="1" x14ac:dyDescent="0.25">
      <c r="A1034" s="20">
        <v>42017</v>
      </c>
      <c r="B1034" s="21">
        <v>8941</v>
      </c>
      <c r="C1034" s="14" t="s">
        <v>320</v>
      </c>
      <c r="D1034" s="22">
        <v>1740</v>
      </c>
      <c r="E1034" s="23">
        <v>42017</v>
      </c>
      <c r="F1034" s="46">
        <v>1740</v>
      </c>
      <c r="G1034" s="31">
        <f t="shared" si="16"/>
        <v>0</v>
      </c>
      <c r="H1034" s="56" t="s">
        <v>17</v>
      </c>
    </row>
    <row r="1035" spans="1:10" s="3" customFormat="1" x14ac:dyDescent="0.25">
      <c r="A1035" s="20">
        <v>42017</v>
      </c>
      <c r="B1035" s="21">
        <v>8942</v>
      </c>
      <c r="C1035" s="14" t="s">
        <v>299</v>
      </c>
      <c r="D1035" s="22">
        <v>3809.9</v>
      </c>
      <c r="E1035" s="23">
        <v>42017</v>
      </c>
      <c r="F1035" s="46">
        <v>3809.9</v>
      </c>
      <c r="G1035" s="31">
        <f t="shared" si="16"/>
        <v>0</v>
      </c>
      <c r="H1035" s="56" t="s">
        <v>17</v>
      </c>
    </row>
    <row r="1036" spans="1:10" s="3" customFormat="1" x14ac:dyDescent="0.25">
      <c r="A1036" s="20">
        <v>42017</v>
      </c>
      <c r="B1036" s="21">
        <v>8943</v>
      </c>
      <c r="C1036" s="14" t="s">
        <v>24</v>
      </c>
      <c r="D1036" s="22">
        <v>36733.800000000003</v>
      </c>
      <c r="E1036" s="23">
        <v>42019</v>
      </c>
      <c r="F1036" s="46">
        <v>36733.800000000003</v>
      </c>
      <c r="G1036" s="31">
        <f t="shared" si="16"/>
        <v>0</v>
      </c>
      <c r="H1036" s="56" t="s">
        <v>94</v>
      </c>
    </row>
    <row r="1037" spans="1:10" s="3" customFormat="1" x14ac:dyDescent="0.25">
      <c r="A1037" s="20">
        <v>42017</v>
      </c>
      <c r="B1037" s="21">
        <v>8944</v>
      </c>
      <c r="C1037" s="14" t="s">
        <v>100</v>
      </c>
      <c r="D1037" s="22">
        <v>2666</v>
      </c>
      <c r="E1037" s="23">
        <v>42017</v>
      </c>
      <c r="F1037" s="46">
        <v>2666</v>
      </c>
      <c r="G1037" s="31">
        <f t="shared" si="16"/>
        <v>0</v>
      </c>
      <c r="H1037" s="56" t="s">
        <v>9</v>
      </c>
    </row>
    <row r="1038" spans="1:10" s="3" customFormat="1" x14ac:dyDescent="0.25">
      <c r="A1038" s="20">
        <v>42017</v>
      </c>
      <c r="B1038" s="21">
        <v>8945</v>
      </c>
      <c r="C1038" s="14" t="s">
        <v>110</v>
      </c>
      <c r="D1038" s="22">
        <v>862</v>
      </c>
      <c r="E1038" s="23">
        <v>42023</v>
      </c>
      <c r="F1038" s="46">
        <v>862</v>
      </c>
      <c r="G1038" s="31">
        <f t="shared" si="16"/>
        <v>0</v>
      </c>
      <c r="H1038" s="56" t="s">
        <v>94</v>
      </c>
    </row>
    <row r="1039" spans="1:10" s="3" customFormat="1" x14ac:dyDescent="0.25">
      <c r="A1039" s="20">
        <v>42017</v>
      </c>
      <c r="B1039" s="21">
        <v>8946</v>
      </c>
      <c r="C1039" s="14" t="s">
        <v>44</v>
      </c>
      <c r="D1039" s="22">
        <v>1579.2</v>
      </c>
      <c r="E1039" s="23">
        <v>42017</v>
      </c>
      <c r="F1039" s="46">
        <v>1579.2</v>
      </c>
      <c r="G1039" s="31">
        <f t="shared" si="16"/>
        <v>0</v>
      </c>
      <c r="H1039" s="56" t="s">
        <v>9</v>
      </c>
    </row>
    <row r="1040" spans="1:10" s="3" customFormat="1" x14ac:dyDescent="0.25">
      <c r="A1040" s="20">
        <v>42017</v>
      </c>
      <c r="B1040" s="21">
        <v>8947</v>
      </c>
      <c r="C1040" s="14" t="s">
        <v>49</v>
      </c>
      <c r="D1040" s="22">
        <v>1743.7</v>
      </c>
      <c r="E1040" s="23">
        <v>42017</v>
      </c>
      <c r="F1040" s="46">
        <v>1743.7</v>
      </c>
      <c r="G1040" s="31">
        <f t="shared" si="16"/>
        <v>0</v>
      </c>
      <c r="H1040" s="56" t="s">
        <v>183</v>
      </c>
    </row>
    <row r="1041" spans="1:10" s="3" customFormat="1" x14ac:dyDescent="0.25">
      <c r="A1041" s="20">
        <v>42017</v>
      </c>
      <c r="B1041" s="21">
        <v>8948</v>
      </c>
      <c r="C1041" s="14" t="s">
        <v>132</v>
      </c>
      <c r="D1041" s="22">
        <v>920</v>
      </c>
      <c r="E1041" s="23">
        <v>42017</v>
      </c>
      <c r="F1041" s="46">
        <v>920</v>
      </c>
      <c r="G1041" s="31">
        <f t="shared" si="16"/>
        <v>0</v>
      </c>
      <c r="H1041" s="56" t="s">
        <v>17</v>
      </c>
    </row>
    <row r="1042" spans="1:10" s="3" customFormat="1" x14ac:dyDescent="0.25">
      <c r="A1042" s="20">
        <v>42017</v>
      </c>
      <c r="B1042" s="21">
        <v>8949</v>
      </c>
      <c r="C1042" s="14" t="s">
        <v>44</v>
      </c>
      <c r="D1042" s="22">
        <v>387.2</v>
      </c>
      <c r="E1042" s="23">
        <v>42017</v>
      </c>
      <c r="F1042" s="46">
        <v>387.2</v>
      </c>
      <c r="G1042" s="31">
        <f t="shared" si="16"/>
        <v>0</v>
      </c>
      <c r="H1042" s="56" t="s">
        <v>9</v>
      </c>
      <c r="I1042" s="4"/>
      <c r="J1042" s="4"/>
    </row>
    <row r="1043" spans="1:10" s="3" customFormat="1" x14ac:dyDescent="0.25">
      <c r="A1043" s="20">
        <v>42017</v>
      </c>
      <c r="B1043" s="21">
        <v>8950</v>
      </c>
      <c r="C1043" s="14" t="s">
        <v>50</v>
      </c>
      <c r="D1043" s="22">
        <v>1370.4</v>
      </c>
      <c r="E1043" s="23">
        <v>42017</v>
      </c>
      <c r="F1043" s="46">
        <v>1370.4</v>
      </c>
      <c r="G1043" s="31">
        <f t="shared" si="16"/>
        <v>0</v>
      </c>
      <c r="H1043" s="56" t="s">
        <v>17</v>
      </c>
      <c r="I1043" s="4"/>
      <c r="J1043" s="4"/>
    </row>
    <row r="1044" spans="1:10" s="3" customFormat="1" x14ac:dyDescent="0.25">
      <c r="A1044" s="20">
        <v>42017</v>
      </c>
      <c r="B1044" s="21">
        <v>8951</v>
      </c>
      <c r="C1044" s="14" t="s">
        <v>24</v>
      </c>
      <c r="D1044" s="22">
        <v>8380</v>
      </c>
      <c r="E1044" s="23">
        <v>42021</v>
      </c>
      <c r="F1044" s="46">
        <v>8380</v>
      </c>
      <c r="G1044" s="31">
        <f t="shared" si="16"/>
        <v>0</v>
      </c>
      <c r="H1044" s="56" t="s">
        <v>94</v>
      </c>
      <c r="I1044" s="4"/>
      <c r="J1044" s="4"/>
    </row>
    <row r="1045" spans="1:10" s="3" customFormat="1" x14ac:dyDescent="0.25">
      <c r="A1045" s="20">
        <v>42017</v>
      </c>
      <c r="B1045" s="21">
        <v>8952</v>
      </c>
      <c r="C1045" s="14" t="s">
        <v>141</v>
      </c>
      <c r="D1045" s="22">
        <v>8472.7999999999993</v>
      </c>
      <c r="E1045" s="29" t="s">
        <v>321</v>
      </c>
      <c r="F1045" s="46">
        <f>174.4+8298.4</f>
        <v>8472.7999999999993</v>
      </c>
      <c r="G1045" s="31">
        <f t="shared" si="16"/>
        <v>0</v>
      </c>
      <c r="H1045" s="56" t="s">
        <v>9</v>
      </c>
      <c r="I1045" s="4"/>
      <c r="J1045" s="4"/>
    </row>
    <row r="1046" spans="1:10" s="3" customFormat="1" x14ac:dyDescent="0.25">
      <c r="A1046" s="20">
        <v>42017</v>
      </c>
      <c r="B1046" s="21">
        <v>8953</v>
      </c>
      <c r="C1046" s="14" t="s">
        <v>98</v>
      </c>
      <c r="D1046" s="22">
        <v>2405</v>
      </c>
      <c r="E1046" s="23">
        <v>42018</v>
      </c>
      <c r="F1046" s="46">
        <v>2405</v>
      </c>
      <c r="G1046" s="31">
        <f t="shared" si="16"/>
        <v>0</v>
      </c>
      <c r="H1046" s="56" t="s">
        <v>19</v>
      </c>
      <c r="I1046" s="4"/>
      <c r="J1046" s="4"/>
    </row>
    <row r="1047" spans="1:10" s="3" customFormat="1" x14ac:dyDescent="0.25">
      <c r="A1047" s="20">
        <v>42017</v>
      </c>
      <c r="B1047" s="21">
        <v>8954</v>
      </c>
      <c r="C1047" s="14" t="s">
        <v>322</v>
      </c>
      <c r="D1047" s="22">
        <v>1600</v>
      </c>
      <c r="E1047" s="23">
        <v>42018</v>
      </c>
      <c r="F1047" s="46">
        <v>1600</v>
      </c>
      <c r="G1047" s="31">
        <f t="shared" si="16"/>
        <v>0</v>
      </c>
      <c r="H1047" s="56" t="s">
        <v>19</v>
      </c>
      <c r="I1047" s="4"/>
      <c r="J1047" s="4"/>
    </row>
    <row r="1048" spans="1:10" s="3" customFormat="1" x14ac:dyDescent="0.25">
      <c r="A1048" s="20">
        <v>42017</v>
      </c>
      <c r="B1048" s="21">
        <v>8955</v>
      </c>
      <c r="C1048" s="14" t="s">
        <v>137</v>
      </c>
      <c r="D1048" s="22">
        <v>296</v>
      </c>
      <c r="E1048" s="23">
        <v>42017</v>
      </c>
      <c r="F1048" s="46">
        <v>296</v>
      </c>
      <c r="G1048" s="31">
        <f t="shared" si="16"/>
        <v>0</v>
      </c>
      <c r="H1048" s="56" t="s">
        <v>9</v>
      </c>
      <c r="I1048" s="4"/>
      <c r="J1048" s="28"/>
    </row>
    <row r="1049" spans="1:10" s="3" customFormat="1" x14ac:dyDescent="0.25">
      <c r="A1049" s="20">
        <v>42017</v>
      </c>
      <c r="B1049" s="21">
        <v>8956</v>
      </c>
      <c r="C1049" s="14" t="s">
        <v>106</v>
      </c>
      <c r="D1049" s="22">
        <v>3130</v>
      </c>
      <c r="E1049" s="23">
        <v>42018</v>
      </c>
      <c r="F1049" s="46">
        <v>3130</v>
      </c>
      <c r="G1049" s="31">
        <f t="shared" si="16"/>
        <v>0</v>
      </c>
      <c r="H1049" s="56" t="s">
        <v>19</v>
      </c>
      <c r="I1049" s="4"/>
      <c r="J1049" s="4"/>
    </row>
    <row r="1050" spans="1:10" s="3" customFormat="1" x14ac:dyDescent="0.25">
      <c r="A1050" s="20">
        <v>42017</v>
      </c>
      <c r="B1050" s="21">
        <v>8957</v>
      </c>
      <c r="C1050" s="14" t="s">
        <v>89</v>
      </c>
      <c r="D1050" s="22">
        <v>660</v>
      </c>
      <c r="E1050" s="23">
        <v>42017</v>
      </c>
      <c r="F1050" s="46">
        <v>660</v>
      </c>
      <c r="G1050" s="31">
        <f t="shared" si="16"/>
        <v>0</v>
      </c>
      <c r="H1050" s="56" t="s">
        <v>9</v>
      </c>
      <c r="I1050" s="4"/>
      <c r="J1050" s="4"/>
    </row>
    <row r="1051" spans="1:10" s="3" customFormat="1" x14ac:dyDescent="0.25">
      <c r="A1051" s="20">
        <v>42017</v>
      </c>
      <c r="B1051" s="21">
        <v>8958</v>
      </c>
      <c r="C1051" s="14" t="s">
        <v>111</v>
      </c>
      <c r="D1051" s="22">
        <v>196482</v>
      </c>
      <c r="E1051" s="23">
        <v>42018</v>
      </c>
      <c r="F1051" s="46">
        <v>196482</v>
      </c>
      <c r="G1051" s="31">
        <f t="shared" si="16"/>
        <v>0</v>
      </c>
      <c r="H1051" s="56" t="s">
        <v>9</v>
      </c>
      <c r="I1051" s="4"/>
      <c r="J1051" s="4"/>
    </row>
    <row r="1052" spans="1:10" s="3" customFormat="1" x14ac:dyDescent="0.25">
      <c r="A1052" s="20">
        <v>42017</v>
      </c>
      <c r="B1052" s="21">
        <v>8959</v>
      </c>
      <c r="C1052" s="14" t="s">
        <v>38</v>
      </c>
      <c r="D1052" s="22">
        <v>39390</v>
      </c>
      <c r="E1052" s="23">
        <v>42022</v>
      </c>
      <c r="F1052" s="46">
        <v>39390</v>
      </c>
      <c r="G1052" s="31">
        <f t="shared" si="16"/>
        <v>0</v>
      </c>
      <c r="H1052" s="56" t="s">
        <v>19</v>
      </c>
      <c r="I1052" s="4"/>
      <c r="J1052" s="4"/>
    </row>
    <row r="1053" spans="1:10" s="3" customFormat="1" x14ac:dyDescent="0.25">
      <c r="A1053" s="20">
        <v>42017</v>
      </c>
      <c r="B1053" s="21">
        <v>8960</v>
      </c>
      <c r="C1053" s="14" t="s">
        <v>141</v>
      </c>
      <c r="D1053" s="22">
        <v>7524</v>
      </c>
      <c r="E1053" s="23">
        <v>42018</v>
      </c>
      <c r="F1053" s="46">
        <v>7524</v>
      </c>
      <c r="G1053" s="31">
        <f t="shared" si="16"/>
        <v>0</v>
      </c>
      <c r="H1053" s="56" t="s">
        <v>94</v>
      </c>
      <c r="I1053" s="4"/>
      <c r="J1053" s="4"/>
    </row>
    <row r="1054" spans="1:10" s="3" customFormat="1" x14ac:dyDescent="0.25">
      <c r="A1054" s="20">
        <v>42017</v>
      </c>
      <c r="B1054" s="21">
        <v>8961</v>
      </c>
      <c r="C1054" s="14" t="s">
        <v>42</v>
      </c>
      <c r="D1054" s="22">
        <v>32.5</v>
      </c>
      <c r="E1054" s="23">
        <v>42017</v>
      </c>
      <c r="F1054" s="46">
        <v>32.5</v>
      </c>
      <c r="G1054" s="31">
        <f t="shared" si="16"/>
        <v>0</v>
      </c>
      <c r="H1054" s="56" t="s">
        <v>9</v>
      </c>
      <c r="I1054" s="4"/>
      <c r="J1054" s="4"/>
    </row>
    <row r="1055" spans="1:10" s="3" customFormat="1" x14ac:dyDescent="0.25">
      <c r="A1055" s="20">
        <v>42017</v>
      </c>
      <c r="B1055" s="21">
        <v>8962</v>
      </c>
      <c r="C1055" s="14" t="s">
        <v>102</v>
      </c>
      <c r="D1055" s="22">
        <v>990</v>
      </c>
      <c r="E1055" s="23">
        <v>42017</v>
      </c>
      <c r="F1055" s="46">
        <v>990</v>
      </c>
      <c r="G1055" s="31">
        <f t="shared" si="16"/>
        <v>0</v>
      </c>
      <c r="H1055" s="56" t="s">
        <v>9</v>
      </c>
      <c r="I1055" s="4"/>
      <c r="J1055" s="4"/>
    </row>
    <row r="1056" spans="1:10" s="3" customFormat="1" x14ac:dyDescent="0.25">
      <c r="A1056" s="20">
        <v>42017</v>
      </c>
      <c r="B1056" s="21">
        <v>8963</v>
      </c>
      <c r="C1056" s="14" t="s">
        <v>64</v>
      </c>
      <c r="D1056" s="22">
        <v>1734.6</v>
      </c>
      <c r="E1056" s="23">
        <v>42017</v>
      </c>
      <c r="F1056" s="46">
        <v>1734.6</v>
      </c>
      <c r="G1056" s="31">
        <f t="shared" si="16"/>
        <v>0</v>
      </c>
      <c r="H1056" s="56" t="s">
        <v>9</v>
      </c>
      <c r="I1056" s="4"/>
      <c r="J1056" s="4"/>
    </row>
    <row r="1057" spans="1:10" s="3" customFormat="1" x14ac:dyDescent="0.25">
      <c r="A1057" s="20">
        <v>42017</v>
      </c>
      <c r="B1057" s="21">
        <v>8964</v>
      </c>
      <c r="C1057" s="14" t="s">
        <v>111</v>
      </c>
      <c r="D1057" s="22">
        <v>181682</v>
      </c>
      <c r="E1057" s="23">
        <v>42019</v>
      </c>
      <c r="F1057" s="46">
        <v>181682</v>
      </c>
      <c r="G1057" s="31">
        <f t="shared" si="16"/>
        <v>0</v>
      </c>
      <c r="H1057" s="56" t="s">
        <v>9</v>
      </c>
      <c r="I1057" s="4"/>
      <c r="J1057" s="4"/>
    </row>
    <row r="1058" spans="1:10" s="3" customFormat="1" x14ac:dyDescent="0.25">
      <c r="A1058" s="20">
        <v>42017</v>
      </c>
      <c r="B1058" s="21">
        <v>8965</v>
      </c>
      <c r="C1058" s="14" t="s">
        <v>55</v>
      </c>
      <c r="D1058" s="22">
        <v>23987.32</v>
      </c>
      <c r="E1058" s="23">
        <v>42018</v>
      </c>
      <c r="F1058" s="46">
        <v>23987.32</v>
      </c>
      <c r="G1058" s="31">
        <f t="shared" si="16"/>
        <v>0</v>
      </c>
      <c r="H1058" s="56" t="s">
        <v>36</v>
      </c>
    </row>
    <row r="1059" spans="1:10" s="3" customFormat="1" x14ac:dyDescent="0.25">
      <c r="A1059" s="20">
        <v>42017</v>
      </c>
      <c r="B1059" s="21">
        <v>8966</v>
      </c>
      <c r="C1059" s="14" t="s">
        <v>108</v>
      </c>
      <c r="D1059" s="22">
        <v>41075.800000000003</v>
      </c>
      <c r="E1059" s="23" t="s">
        <v>530</v>
      </c>
      <c r="F1059" s="46">
        <f>21075.8+20000</f>
        <v>41075.800000000003</v>
      </c>
      <c r="G1059" s="31">
        <f t="shared" si="16"/>
        <v>0</v>
      </c>
      <c r="H1059" s="56" t="s">
        <v>17</v>
      </c>
    </row>
    <row r="1060" spans="1:10" s="3" customFormat="1" x14ac:dyDescent="0.25">
      <c r="A1060" s="20">
        <v>42017</v>
      </c>
      <c r="B1060" s="21">
        <v>8967</v>
      </c>
      <c r="C1060" s="14" t="s">
        <v>35</v>
      </c>
      <c r="D1060" s="22">
        <v>381.6</v>
      </c>
      <c r="E1060" s="23">
        <v>42018</v>
      </c>
      <c r="F1060" s="46">
        <v>381.6</v>
      </c>
      <c r="G1060" s="31">
        <f t="shared" si="16"/>
        <v>0</v>
      </c>
      <c r="H1060" s="56" t="s">
        <v>36</v>
      </c>
    </row>
    <row r="1061" spans="1:10" s="3" customFormat="1" x14ac:dyDescent="0.25">
      <c r="A1061" s="20">
        <v>42017</v>
      </c>
      <c r="B1061" s="21">
        <v>8968</v>
      </c>
      <c r="C1061" s="14" t="s">
        <v>323</v>
      </c>
      <c r="D1061" s="22">
        <v>980</v>
      </c>
      <c r="E1061" s="23">
        <v>42018</v>
      </c>
      <c r="F1061" s="46">
        <v>980</v>
      </c>
      <c r="G1061" s="31">
        <f t="shared" si="16"/>
        <v>0</v>
      </c>
      <c r="H1061" s="56" t="s">
        <v>36</v>
      </c>
    </row>
    <row r="1062" spans="1:10" s="3" customFormat="1" x14ac:dyDescent="0.25">
      <c r="A1062" s="20">
        <v>42017</v>
      </c>
      <c r="B1062" s="21">
        <v>8969</v>
      </c>
      <c r="C1062" s="14" t="s">
        <v>324</v>
      </c>
      <c r="D1062" s="22">
        <v>3300</v>
      </c>
      <c r="E1062" s="30">
        <v>42045</v>
      </c>
      <c r="F1062" s="98">
        <v>3300</v>
      </c>
      <c r="G1062" s="31">
        <f t="shared" si="16"/>
        <v>0</v>
      </c>
      <c r="H1062" s="56" t="s">
        <v>9</v>
      </c>
    </row>
    <row r="1063" spans="1:10" s="3" customFormat="1" x14ac:dyDescent="0.25">
      <c r="A1063" s="20">
        <v>42017</v>
      </c>
      <c r="B1063" s="21">
        <v>8970</v>
      </c>
      <c r="C1063" s="14" t="s">
        <v>37</v>
      </c>
      <c r="D1063" s="22">
        <v>48189.2</v>
      </c>
      <c r="E1063" s="51">
        <v>42025</v>
      </c>
      <c r="F1063" s="46">
        <v>48189.2</v>
      </c>
      <c r="G1063" s="31">
        <f t="shared" si="16"/>
        <v>0</v>
      </c>
      <c r="H1063" s="56" t="s">
        <v>36</v>
      </c>
    </row>
    <row r="1064" spans="1:10" s="3" customFormat="1" x14ac:dyDescent="0.25">
      <c r="A1064" s="20">
        <v>42017</v>
      </c>
      <c r="B1064" s="21">
        <v>8971</v>
      </c>
      <c r="C1064" s="14" t="s">
        <v>60</v>
      </c>
      <c r="D1064" s="22">
        <v>6002.4</v>
      </c>
      <c r="E1064" s="23">
        <v>42018</v>
      </c>
      <c r="F1064" s="46">
        <v>6002.4</v>
      </c>
      <c r="G1064" s="31">
        <f t="shared" si="16"/>
        <v>0</v>
      </c>
      <c r="H1064" s="56" t="s">
        <v>36</v>
      </c>
    </row>
    <row r="1065" spans="1:10" s="3" customFormat="1" x14ac:dyDescent="0.25">
      <c r="A1065" s="20">
        <v>42017</v>
      </c>
      <c r="B1065" s="21">
        <v>8972</v>
      </c>
      <c r="C1065" s="14" t="s">
        <v>325</v>
      </c>
      <c r="D1065" s="22">
        <v>1056</v>
      </c>
      <c r="E1065" s="23">
        <v>42017</v>
      </c>
      <c r="F1065" s="46">
        <v>1056</v>
      </c>
      <c r="G1065" s="31">
        <f t="shared" si="16"/>
        <v>0</v>
      </c>
      <c r="H1065" s="56" t="s">
        <v>59</v>
      </c>
    </row>
    <row r="1066" spans="1:10" s="3" customFormat="1" x14ac:dyDescent="0.25">
      <c r="A1066" s="20">
        <v>42017</v>
      </c>
      <c r="B1066" s="21">
        <v>8973</v>
      </c>
      <c r="C1066" s="14" t="s">
        <v>110</v>
      </c>
      <c r="D1066" s="22">
        <v>56209.919999999998</v>
      </c>
      <c r="E1066" s="23">
        <v>42023</v>
      </c>
      <c r="F1066" s="24">
        <v>56209.919999999998</v>
      </c>
      <c r="G1066" s="31">
        <f t="shared" si="16"/>
        <v>0</v>
      </c>
      <c r="H1066" s="39" t="s">
        <v>9</v>
      </c>
    </row>
    <row r="1067" spans="1:10" s="3" customFormat="1" x14ac:dyDescent="0.25">
      <c r="A1067" s="20">
        <v>42017</v>
      </c>
      <c r="B1067" s="21">
        <v>8974</v>
      </c>
      <c r="C1067" s="14" t="s">
        <v>14</v>
      </c>
      <c r="D1067" s="22">
        <v>24355.52</v>
      </c>
      <c r="E1067" s="23">
        <v>42018</v>
      </c>
      <c r="F1067" s="24">
        <v>24355.52</v>
      </c>
      <c r="G1067" s="31">
        <f t="shared" si="16"/>
        <v>0</v>
      </c>
      <c r="H1067" s="39" t="s">
        <v>15</v>
      </c>
    </row>
    <row r="1068" spans="1:10" s="3" customFormat="1" x14ac:dyDescent="0.25">
      <c r="A1068" s="20">
        <v>42017</v>
      </c>
      <c r="B1068" s="21">
        <v>8975</v>
      </c>
      <c r="C1068" s="14" t="s">
        <v>24</v>
      </c>
      <c r="D1068" s="22">
        <v>95730.1</v>
      </c>
      <c r="E1068" s="23">
        <v>42027</v>
      </c>
      <c r="F1068" s="24">
        <f>26200+34836+34694.1</f>
        <v>95730.1</v>
      </c>
      <c r="G1068" s="31">
        <f t="shared" si="16"/>
        <v>0</v>
      </c>
      <c r="H1068" s="39" t="s">
        <v>62</v>
      </c>
    </row>
    <row r="1069" spans="1:10" s="3" customFormat="1" x14ac:dyDescent="0.25">
      <c r="A1069" s="20">
        <v>42017</v>
      </c>
      <c r="B1069" s="21">
        <v>8976</v>
      </c>
      <c r="C1069" s="14" t="s">
        <v>18</v>
      </c>
      <c r="D1069" s="22">
        <v>24107.599999999999</v>
      </c>
      <c r="E1069" s="23">
        <v>42018</v>
      </c>
      <c r="F1069" s="24">
        <v>24107.599999999999</v>
      </c>
      <c r="G1069" s="31">
        <f t="shared" si="16"/>
        <v>0</v>
      </c>
      <c r="H1069" s="39" t="s">
        <v>17</v>
      </c>
    </row>
    <row r="1070" spans="1:10" s="3" customFormat="1" x14ac:dyDescent="0.25">
      <c r="A1070" s="20">
        <v>42017</v>
      </c>
      <c r="B1070" s="21">
        <v>8977</v>
      </c>
      <c r="C1070" s="14" t="s">
        <v>138</v>
      </c>
      <c r="D1070" s="22">
        <v>4854</v>
      </c>
      <c r="E1070" s="23">
        <v>42018</v>
      </c>
      <c r="F1070" s="24">
        <v>4854</v>
      </c>
      <c r="G1070" s="31">
        <f t="shared" si="16"/>
        <v>0</v>
      </c>
      <c r="H1070" s="39" t="s">
        <v>17</v>
      </c>
    </row>
    <row r="1071" spans="1:10" s="3" customFormat="1" x14ac:dyDescent="0.25">
      <c r="A1071" s="20">
        <v>42017</v>
      </c>
      <c r="B1071" s="21">
        <v>8978</v>
      </c>
      <c r="C1071" s="14" t="s">
        <v>136</v>
      </c>
      <c r="D1071" s="22">
        <v>822.8</v>
      </c>
      <c r="E1071" s="23">
        <v>42017</v>
      </c>
      <c r="F1071" s="24">
        <v>822.8</v>
      </c>
      <c r="G1071" s="31">
        <f t="shared" si="16"/>
        <v>0</v>
      </c>
      <c r="H1071" s="39" t="s">
        <v>9</v>
      </c>
    </row>
    <row r="1072" spans="1:10" s="3" customFormat="1" x14ac:dyDescent="0.25">
      <c r="A1072" s="20">
        <v>42017</v>
      </c>
      <c r="B1072" s="21">
        <v>8979</v>
      </c>
      <c r="C1072" s="14" t="s">
        <v>80</v>
      </c>
      <c r="D1072" s="22">
        <v>8521.2000000000007</v>
      </c>
      <c r="E1072" s="23">
        <v>42017</v>
      </c>
      <c r="F1072" s="24">
        <v>8521.2000000000007</v>
      </c>
      <c r="G1072" s="31">
        <f t="shared" si="16"/>
        <v>0</v>
      </c>
      <c r="H1072" s="39" t="s">
        <v>9</v>
      </c>
    </row>
    <row r="1073" spans="1:8" s="3" customFormat="1" x14ac:dyDescent="0.25">
      <c r="A1073" s="20">
        <v>42017</v>
      </c>
      <c r="B1073" s="21">
        <v>8980</v>
      </c>
      <c r="C1073" s="14" t="s">
        <v>14</v>
      </c>
      <c r="D1073" s="22">
        <v>113181.04</v>
      </c>
      <c r="E1073" s="23">
        <v>42021</v>
      </c>
      <c r="F1073" s="24">
        <v>113181.04</v>
      </c>
      <c r="G1073" s="31">
        <f t="shared" si="16"/>
        <v>0</v>
      </c>
      <c r="H1073" s="39" t="s">
        <v>15</v>
      </c>
    </row>
    <row r="1074" spans="1:8" s="3" customFormat="1" x14ac:dyDescent="0.25">
      <c r="A1074" s="20">
        <v>42017</v>
      </c>
      <c r="B1074" s="21">
        <v>8981</v>
      </c>
      <c r="C1074" s="14" t="s">
        <v>59</v>
      </c>
      <c r="D1074" s="22">
        <v>123.5</v>
      </c>
      <c r="E1074" s="23">
        <v>42017</v>
      </c>
      <c r="F1074" s="24">
        <v>123.5</v>
      </c>
      <c r="G1074" s="31">
        <f t="shared" si="16"/>
        <v>0</v>
      </c>
      <c r="H1074" s="39" t="s">
        <v>9</v>
      </c>
    </row>
    <row r="1075" spans="1:8" s="3" customFormat="1" x14ac:dyDescent="0.25">
      <c r="A1075" s="20">
        <v>42017</v>
      </c>
      <c r="B1075" s="21">
        <v>8982</v>
      </c>
      <c r="C1075" s="14" t="s">
        <v>24</v>
      </c>
      <c r="D1075" s="22">
        <v>190326.01</v>
      </c>
      <c r="E1075" s="23">
        <v>42027</v>
      </c>
      <c r="F1075" s="24">
        <f>25000+75000+42427.5+47898.51</f>
        <v>190326.01</v>
      </c>
      <c r="G1075" s="31">
        <f t="shared" si="16"/>
        <v>0</v>
      </c>
      <c r="H1075" s="39" t="s">
        <v>46</v>
      </c>
    </row>
    <row r="1076" spans="1:8" s="3" customFormat="1" x14ac:dyDescent="0.25">
      <c r="A1076" s="20">
        <v>42018</v>
      </c>
      <c r="B1076" s="21">
        <v>8983</v>
      </c>
      <c r="C1076" s="14" t="s">
        <v>112</v>
      </c>
      <c r="D1076" s="22">
        <v>6142</v>
      </c>
      <c r="E1076" s="23">
        <v>42018</v>
      </c>
      <c r="F1076" s="24">
        <v>6142</v>
      </c>
      <c r="G1076" s="31">
        <f t="shared" si="16"/>
        <v>0</v>
      </c>
      <c r="H1076" s="39" t="s">
        <v>9</v>
      </c>
    </row>
    <row r="1077" spans="1:8" s="3" customFormat="1" x14ac:dyDescent="0.25">
      <c r="A1077" s="20">
        <v>42018</v>
      </c>
      <c r="B1077" s="21">
        <v>8984</v>
      </c>
      <c r="C1077" s="14" t="s">
        <v>18</v>
      </c>
      <c r="D1077" s="22">
        <v>238070.27</v>
      </c>
      <c r="E1077" s="29" t="s">
        <v>326</v>
      </c>
      <c r="F1077" s="24">
        <f>80000+78000+80070.27</f>
        <v>238070.27000000002</v>
      </c>
      <c r="G1077" s="31">
        <f t="shared" si="16"/>
        <v>0</v>
      </c>
      <c r="H1077" s="39" t="s">
        <v>17</v>
      </c>
    </row>
    <row r="1078" spans="1:8" s="3" customFormat="1" x14ac:dyDescent="0.25">
      <c r="A1078" s="20">
        <v>42018</v>
      </c>
      <c r="B1078" s="21">
        <v>8985</v>
      </c>
      <c r="C1078" s="14" t="s">
        <v>21</v>
      </c>
      <c r="D1078" s="22">
        <v>3709.2</v>
      </c>
      <c r="E1078" s="23">
        <v>42018</v>
      </c>
      <c r="F1078" s="24">
        <v>3709.2</v>
      </c>
      <c r="G1078" s="31">
        <f t="shared" si="16"/>
        <v>0</v>
      </c>
      <c r="H1078" s="39" t="s">
        <v>9</v>
      </c>
    </row>
    <row r="1079" spans="1:8" s="3" customFormat="1" x14ac:dyDescent="0.25">
      <c r="A1079" s="20">
        <v>42018</v>
      </c>
      <c r="B1079" s="21">
        <v>8986</v>
      </c>
      <c r="C1079" s="14" t="s">
        <v>31</v>
      </c>
      <c r="D1079" s="22">
        <v>2970</v>
      </c>
      <c r="E1079" s="23">
        <v>42018</v>
      </c>
      <c r="F1079" s="24">
        <v>2970</v>
      </c>
      <c r="G1079" s="31">
        <f t="shared" si="16"/>
        <v>0</v>
      </c>
      <c r="H1079" s="39" t="s">
        <v>19</v>
      </c>
    </row>
    <row r="1080" spans="1:8" s="3" customFormat="1" x14ac:dyDescent="0.25">
      <c r="A1080" s="20">
        <v>42018</v>
      </c>
      <c r="B1080" s="21">
        <v>8987</v>
      </c>
      <c r="C1080" s="14" t="s">
        <v>103</v>
      </c>
      <c r="D1080" s="22">
        <v>50824.800000000003</v>
      </c>
      <c r="E1080" s="23">
        <v>42032</v>
      </c>
      <c r="F1080" s="24">
        <v>50824.800000000003</v>
      </c>
      <c r="G1080" s="31">
        <f t="shared" si="16"/>
        <v>0</v>
      </c>
      <c r="H1080" s="39" t="s">
        <v>94</v>
      </c>
    </row>
    <row r="1081" spans="1:8" s="3" customFormat="1" x14ac:dyDescent="0.25">
      <c r="A1081" s="20">
        <v>42018</v>
      </c>
      <c r="B1081" s="21">
        <v>8988</v>
      </c>
      <c r="C1081" s="14" t="s">
        <v>14</v>
      </c>
      <c r="D1081" s="22">
        <v>23672.6</v>
      </c>
      <c r="E1081" s="23">
        <v>42018</v>
      </c>
      <c r="F1081" s="24">
        <v>23672.6</v>
      </c>
      <c r="G1081" s="31">
        <f t="shared" si="16"/>
        <v>0</v>
      </c>
      <c r="H1081" s="39" t="s">
        <v>15</v>
      </c>
    </row>
    <row r="1082" spans="1:8" s="3" customFormat="1" x14ac:dyDescent="0.25">
      <c r="A1082" s="20">
        <v>42018</v>
      </c>
      <c r="B1082" s="21">
        <v>8989</v>
      </c>
      <c r="C1082" s="14" t="s">
        <v>116</v>
      </c>
      <c r="D1082" s="22">
        <v>5014.3999999999996</v>
      </c>
      <c r="E1082" s="23">
        <v>42018</v>
      </c>
      <c r="F1082" s="24">
        <v>5014.3999999999996</v>
      </c>
      <c r="G1082" s="31">
        <f t="shared" si="16"/>
        <v>0</v>
      </c>
      <c r="H1082" s="39" t="s">
        <v>94</v>
      </c>
    </row>
    <row r="1083" spans="1:8" s="3" customFormat="1" x14ac:dyDescent="0.25">
      <c r="A1083" s="20">
        <v>42018</v>
      </c>
      <c r="B1083" s="21">
        <v>8990</v>
      </c>
      <c r="C1083" s="14" t="s">
        <v>158</v>
      </c>
      <c r="D1083" s="22">
        <v>4962.8</v>
      </c>
      <c r="E1083" s="23">
        <v>42018</v>
      </c>
      <c r="F1083" s="24">
        <v>4962.8</v>
      </c>
      <c r="G1083" s="31">
        <f t="shared" si="16"/>
        <v>0</v>
      </c>
      <c r="H1083" s="39" t="s">
        <v>9</v>
      </c>
    </row>
    <row r="1084" spans="1:8" s="3" customFormat="1" x14ac:dyDescent="0.25">
      <c r="A1084" s="20">
        <v>42018</v>
      </c>
      <c r="B1084" s="21">
        <v>8991</v>
      </c>
      <c r="C1084" s="14" t="s">
        <v>148</v>
      </c>
      <c r="D1084" s="22">
        <v>3964.5</v>
      </c>
      <c r="E1084" s="23">
        <v>42018</v>
      </c>
      <c r="F1084" s="24">
        <v>3964.5</v>
      </c>
      <c r="G1084" s="31">
        <f t="shared" si="16"/>
        <v>0</v>
      </c>
      <c r="H1084" s="39" t="s">
        <v>19</v>
      </c>
    </row>
    <row r="1085" spans="1:8" s="3" customFormat="1" x14ac:dyDescent="0.25">
      <c r="A1085" s="20">
        <v>42018</v>
      </c>
      <c r="B1085" s="21">
        <v>8992</v>
      </c>
      <c r="C1085" s="14" t="s">
        <v>45</v>
      </c>
      <c r="D1085" s="22">
        <v>26217.15</v>
      </c>
      <c r="E1085" s="23">
        <v>42025</v>
      </c>
      <c r="F1085" s="24">
        <v>26217.15</v>
      </c>
      <c r="G1085" s="31">
        <f t="shared" si="16"/>
        <v>0</v>
      </c>
      <c r="H1085" s="39" t="s">
        <v>9</v>
      </c>
    </row>
    <row r="1086" spans="1:8" s="3" customFormat="1" x14ac:dyDescent="0.25">
      <c r="A1086" s="20">
        <v>42018</v>
      </c>
      <c r="B1086" s="21">
        <v>8993</v>
      </c>
      <c r="C1086" s="14" t="s">
        <v>75</v>
      </c>
      <c r="D1086" s="22">
        <v>17281.599999999999</v>
      </c>
      <c r="E1086" s="29" t="s">
        <v>327</v>
      </c>
      <c r="F1086" s="24">
        <f>11281.6+6000</f>
        <v>17281.599999999999</v>
      </c>
      <c r="G1086" s="31">
        <f t="shared" si="16"/>
        <v>0</v>
      </c>
      <c r="H1086" s="39" t="s">
        <v>62</v>
      </c>
    </row>
    <row r="1087" spans="1:8" s="3" customFormat="1" x14ac:dyDescent="0.25">
      <c r="A1087" s="20">
        <v>42018</v>
      </c>
      <c r="B1087" s="21">
        <v>8994</v>
      </c>
      <c r="C1087" s="14" t="s">
        <v>328</v>
      </c>
      <c r="D1087" s="22">
        <v>1415.44</v>
      </c>
      <c r="E1087" s="23">
        <v>42019</v>
      </c>
      <c r="F1087" s="24">
        <v>1415.44</v>
      </c>
      <c r="G1087" s="31">
        <f t="shared" si="16"/>
        <v>0</v>
      </c>
      <c r="H1087" s="39" t="s">
        <v>62</v>
      </c>
    </row>
    <row r="1088" spans="1:8" s="3" customFormat="1" x14ac:dyDescent="0.25">
      <c r="A1088" s="20">
        <v>42018</v>
      </c>
      <c r="B1088" s="21">
        <v>8995</v>
      </c>
      <c r="C1088" s="14" t="s">
        <v>215</v>
      </c>
      <c r="D1088" s="22">
        <v>11283.2</v>
      </c>
      <c r="E1088" s="23">
        <v>42018</v>
      </c>
      <c r="F1088" s="24">
        <v>11283.2</v>
      </c>
      <c r="G1088" s="31">
        <f t="shared" si="16"/>
        <v>0</v>
      </c>
      <c r="H1088" s="39" t="s">
        <v>9</v>
      </c>
    </row>
    <row r="1089" spans="1:10" s="3" customFormat="1" x14ac:dyDescent="0.25">
      <c r="A1089" s="20">
        <v>42018</v>
      </c>
      <c r="B1089" s="21">
        <v>8996</v>
      </c>
      <c r="C1089" s="14" t="s">
        <v>77</v>
      </c>
      <c r="D1089" s="22">
        <v>8660.4</v>
      </c>
      <c r="E1089" s="23">
        <v>42019</v>
      </c>
      <c r="F1089" s="24">
        <v>8660.4</v>
      </c>
      <c r="G1089" s="31">
        <f t="shared" si="16"/>
        <v>0</v>
      </c>
      <c r="H1089" s="39" t="s">
        <v>62</v>
      </c>
    </row>
    <row r="1090" spans="1:10" s="3" customFormat="1" x14ac:dyDescent="0.25">
      <c r="A1090" s="20">
        <v>42018</v>
      </c>
      <c r="B1090" s="21">
        <v>8997</v>
      </c>
      <c r="C1090" s="14" t="s">
        <v>20</v>
      </c>
      <c r="D1090" s="22">
        <v>8924.4</v>
      </c>
      <c r="E1090" s="23">
        <v>42018</v>
      </c>
      <c r="F1090" s="24">
        <v>8924.4</v>
      </c>
      <c r="G1090" s="31">
        <f t="shared" si="16"/>
        <v>0</v>
      </c>
      <c r="H1090" s="39" t="s">
        <v>36</v>
      </c>
      <c r="I1090" s="4"/>
      <c r="J1090" s="4"/>
    </row>
    <row r="1091" spans="1:10" s="3" customFormat="1" x14ac:dyDescent="0.25">
      <c r="A1091" s="20">
        <v>42018</v>
      </c>
      <c r="B1091" s="21">
        <v>8998</v>
      </c>
      <c r="C1091" s="14" t="s">
        <v>268</v>
      </c>
      <c r="D1091" s="22">
        <v>7279</v>
      </c>
      <c r="E1091" s="23">
        <v>42019</v>
      </c>
      <c r="F1091" s="24">
        <v>7279</v>
      </c>
      <c r="G1091" s="31">
        <f t="shared" ref="G1091:G1154" si="17">D1091-F1091</f>
        <v>0</v>
      </c>
      <c r="H1091" s="39" t="s">
        <v>62</v>
      </c>
      <c r="I1091" s="4"/>
      <c r="J1091" s="4"/>
    </row>
    <row r="1092" spans="1:10" s="3" customFormat="1" x14ac:dyDescent="0.25">
      <c r="A1092" s="20">
        <v>42018</v>
      </c>
      <c r="B1092" s="21">
        <v>8999</v>
      </c>
      <c r="C1092" s="14" t="s">
        <v>26</v>
      </c>
      <c r="D1092" s="22">
        <v>1128</v>
      </c>
      <c r="E1092" s="23">
        <v>42018</v>
      </c>
      <c r="F1092" s="24">
        <v>1128</v>
      </c>
      <c r="G1092" s="31">
        <f t="shared" si="17"/>
        <v>0</v>
      </c>
      <c r="H1092" s="39" t="s">
        <v>62</v>
      </c>
      <c r="I1092" s="4"/>
      <c r="J1092" s="4"/>
    </row>
    <row r="1093" spans="1:10" s="3" customFormat="1" x14ac:dyDescent="0.25">
      <c r="A1093" s="20">
        <v>42018</v>
      </c>
      <c r="B1093" s="21">
        <v>9000</v>
      </c>
      <c r="C1093" s="14" t="s">
        <v>67</v>
      </c>
      <c r="D1093" s="22">
        <v>4496.8</v>
      </c>
      <c r="E1093" s="23">
        <v>42019</v>
      </c>
      <c r="F1093" s="24">
        <v>4496.8</v>
      </c>
      <c r="G1093" s="31">
        <f t="shared" si="17"/>
        <v>0</v>
      </c>
      <c r="H1093" s="39" t="s">
        <v>62</v>
      </c>
      <c r="I1093" s="4"/>
      <c r="J1093" s="4"/>
    </row>
    <row r="1094" spans="1:10" s="3" customFormat="1" x14ac:dyDescent="0.25">
      <c r="A1094" s="20">
        <v>42018</v>
      </c>
      <c r="B1094" s="21">
        <v>9001</v>
      </c>
      <c r="C1094" s="14" t="s">
        <v>78</v>
      </c>
      <c r="D1094" s="22">
        <v>6458.8</v>
      </c>
      <c r="E1094" s="23">
        <v>42019</v>
      </c>
      <c r="F1094" s="24">
        <v>6458.8</v>
      </c>
      <c r="G1094" s="31">
        <f t="shared" si="17"/>
        <v>0</v>
      </c>
      <c r="H1094" s="39" t="s">
        <v>62</v>
      </c>
      <c r="I1094" s="4"/>
      <c r="J1094" s="4"/>
    </row>
    <row r="1095" spans="1:10" s="3" customFormat="1" x14ac:dyDescent="0.25">
      <c r="A1095" s="20">
        <v>42018</v>
      </c>
      <c r="B1095" s="21">
        <v>9002</v>
      </c>
      <c r="C1095" s="14" t="s">
        <v>16</v>
      </c>
      <c r="D1095" s="22">
        <v>7444.4</v>
      </c>
      <c r="E1095" s="23">
        <v>42018</v>
      </c>
      <c r="F1095" s="24">
        <v>7444.4</v>
      </c>
      <c r="G1095" s="31">
        <f t="shared" si="17"/>
        <v>0</v>
      </c>
      <c r="H1095" s="39" t="s">
        <v>19</v>
      </c>
      <c r="I1095" s="4"/>
      <c r="J1095" s="4"/>
    </row>
    <row r="1096" spans="1:10" s="3" customFormat="1" x14ac:dyDescent="0.25">
      <c r="A1096" s="20">
        <v>42018</v>
      </c>
      <c r="B1096" s="21">
        <v>9003</v>
      </c>
      <c r="C1096" s="14" t="s">
        <v>140</v>
      </c>
      <c r="D1096" s="22">
        <v>8612</v>
      </c>
      <c r="E1096" s="23">
        <v>42018</v>
      </c>
      <c r="F1096" s="24">
        <v>8612</v>
      </c>
      <c r="G1096" s="31">
        <f t="shared" si="17"/>
        <v>0</v>
      </c>
      <c r="H1096" s="39" t="s">
        <v>36</v>
      </c>
      <c r="I1096" s="4"/>
      <c r="J1096" s="4"/>
    </row>
    <row r="1097" spans="1:10" s="3" customFormat="1" x14ac:dyDescent="0.25">
      <c r="A1097" s="20">
        <v>42018</v>
      </c>
      <c r="B1097" s="21">
        <v>9004</v>
      </c>
      <c r="C1097" s="26" t="s">
        <v>218</v>
      </c>
      <c r="D1097" s="27">
        <v>0</v>
      </c>
      <c r="E1097" s="23"/>
      <c r="F1097" s="24"/>
      <c r="G1097" s="31">
        <f t="shared" si="17"/>
        <v>0</v>
      </c>
      <c r="H1097" s="39" t="s">
        <v>13</v>
      </c>
      <c r="I1097" s="4"/>
      <c r="J1097" s="4"/>
    </row>
    <row r="1098" spans="1:10" s="3" customFormat="1" x14ac:dyDescent="0.25">
      <c r="A1098" s="20">
        <v>42018</v>
      </c>
      <c r="B1098" s="21">
        <v>9005</v>
      </c>
      <c r="C1098" s="26" t="s">
        <v>218</v>
      </c>
      <c r="D1098" s="27">
        <v>0</v>
      </c>
      <c r="E1098" s="23"/>
      <c r="F1098" s="24"/>
      <c r="G1098" s="31">
        <f t="shared" si="17"/>
        <v>0</v>
      </c>
      <c r="H1098" s="39" t="s">
        <v>13</v>
      </c>
      <c r="I1098" s="4"/>
      <c r="J1098" s="4"/>
    </row>
    <row r="1099" spans="1:10" s="3" customFormat="1" x14ac:dyDescent="0.25">
      <c r="A1099" s="20">
        <v>42018</v>
      </c>
      <c r="B1099" s="21">
        <v>9006</v>
      </c>
      <c r="C1099" s="14" t="s">
        <v>87</v>
      </c>
      <c r="D1099" s="22">
        <v>2073.6</v>
      </c>
      <c r="E1099" s="23">
        <v>42018</v>
      </c>
      <c r="F1099" s="24">
        <v>2073.6</v>
      </c>
      <c r="G1099" s="31">
        <f t="shared" si="17"/>
        <v>0</v>
      </c>
      <c r="H1099" s="39" t="s">
        <v>36</v>
      </c>
      <c r="I1099" s="4"/>
      <c r="J1099" s="46"/>
    </row>
    <row r="1100" spans="1:10" s="3" customFormat="1" x14ac:dyDescent="0.25">
      <c r="A1100" s="20">
        <v>42018</v>
      </c>
      <c r="B1100" s="21">
        <v>9007</v>
      </c>
      <c r="C1100" s="14" t="s">
        <v>145</v>
      </c>
      <c r="D1100" s="22">
        <v>2506.6</v>
      </c>
      <c r="E1100" s="23">
        <v>42018</v>
      </c>
      <c r="F1100" s="24">
        <v>2506.6</v>
      </c>
      <c r="G1100" s="31">
        <f t="shared" si="17"/>
        <v>0</v>
      </c>
      <c r="H1100" s="39" t="s">
        <v>9</v>
      </c>
      <c r="I1100" s="4"/>
      <c r="J1100" s="28"/>
    </row>
    <row r="1101" spans="1:10" s="3" customFormat="1" x14ac:dyDescent="0.25">
      <c r="A1101" s="20">
        <v>42018</v>
      </c>
      <c r="B1101" s="21">
        <v>9008</v>
      </c>
      <c r="C1101" s="14" t="s">
        <v>33</v>
      </c>
      <c r="D1101" s="22">
        <v>3082</v>
      </c>
      <c r="E1101" s="23">
        <v>42018</v>
      </c>
      <c r="F1101" s="24">
        <v>3082</v>
      </c>
      <c r="G1101" s="31">
        <f t="shared" si="17"/>
        <v>0</v>
      </c>
      <c r="H1101" s="39" t="s">
        <v>9</v>
      </c>
      <c r="I1101" s="4"/>
      <c r="J1101" s="4"/>
    </row>
    <row r="1102" spans="1:10" s="3" customFormat="1" x14ac:dyDescent="0.25">
      <c r="A1102" s="20">
        <v>42018</v>
      </c>
      <c r="B1102" s="21">
        <v>9009</v>
      </c>
      <c r="C1102" s="14" t="s">
        <v>151</v>
      </c>
      <c r="D1102" s="22">
        <v>7512.6</v>
      </c>
      <c r="E1102" s="23">
        <v>42020</v>
      </c>
      <c r="F1102" s="24">
        <v>7512.6</v>
      </c>
      <c r="G1102" s="31">
        <f t="shared" si="17"/>
        <v>0</v>
      </c>
      <c r="H1102" s="39" t="s">
        <v>9</v>
      </c>
      <c r="I1102" s="4"/>
      <c r="J1102" s="4"/>
    </row>
    <row r="1103" spans="1:10" s="3" customFormat="1" x14ac:dyDescent="0.25">
      <c r="A1103" s="20">
        <v>42018</v>
      </c>
      <c r="B1103" s="21">
        <v>9010</v>
      </c>
      <c r="C1103" s="14" t="s">
        <v>114</v>
      </c>
      <c r="D1103" s="22">
        <v>3443.6</v>
      </c>
      <c r="E1103" s="23">
        <v>42018</v>
      </c>
      <c r="F1103" s="24">
        <v>3443.6</v>
      </c>
      <c r="G1103" s="31">
        <f t="shared" si="17"/>
        <v>0</v>
      </c>
      <c r="H1103" s="39" t="s">
        <v>9</v>
      </c>
      <c r="I1103" s="4"/>
      <c r="J1103" s="4"/>
    </row>
    <row r="1104" spans="1:10" s="3" customFormat="1" x14ac:dyDescent="0.25">
      <c r="A1104" s="20">
        <v>42018</v>
      </c>
      <c r="B1104" s="21">
        <v>9011</v>
      </c>
      <c r="C1104" s="14" t="s">
        <v>110</v>
      </c>
      <c r="D1104" s="22">
        <v>4635</v>
      </c>
      <c r="E1104" s="23">
        <v>42023</v>
      </c>
      <c r="F1104" s="24">
        <v>4635</v>
      </c>
      <c r="G1104" s="31">
        <f t="shared" si="17"/>
        <v>0</v>
      </c>
      <c r="H1104" s="39" t="s">
        <v>9</v>
      </c>
      <c r="I1104" s="4"/>
      <c r="J1104" s="4"/>
    </row>
    <row r="1105" spans="1:10" s="3" customFormat="1" x14ac:dyDescent="0.25">
      <c r="A1105" s="20">
        <v>42018</v>
      </c>
      <c r="B1105" s="21">
        <v>9012</v>
      </c>
      <c r="C1105" s="14" t="s">
        <v>102</v>
      </c>
      <c r="D1105" s="22">
        <v>1421.4</v>
      </c>
      <c r="E1105" s="23">
        <v>42018</v>
      </c>
      <c r="F1105" s="24">
        <v>1421.4</v>
      </c>
      <c r="G1105" s="31">
        <f t="shared" si="17"/>
        <v>0</v>
      </c>
      <c r="H1105" s="39" t="s">
        <v>9</v>
      </c>
      <c r="I1105" s="4"/>
      <c r="J1105" s="4"/>
    </row>
    <row r="1106" spans="1:10" s="3" customFormat="1" x14ac:dyDescent="0.25">
      <c r="A1106" s="20">
        <v>42018</v>
      </c>
      <c r="B1106" s="21">
        <v>9013</v>
      </c>
      <c r="C1106" s="14" t="s">
        <v>121</v>
      </c>
      <c r="D1106" s="22">
        <v>2720.8</v>
      </c>
      <c r="E1106" s="29" t="s">
        <v>329</v>
      </c>
      <c r="F1106" s="24">
        <f>1500+1220.8</f>
        <v>2720.8</v>
      </c>
      <c r="G1106" s="31">
        <f t="shared" si="17"/>
        <v>0</v>
      </c>
      <c r="H1106" s="39" t="s">
        <v>9</v>
      </c>
    </row>
    <row r="1107" spans="1:10" s="3" customFormat="1" x14ac:dyDescent="0.25">
      <c r="A1107" s="20">
        <v>42018</v>
      </c>
      <c r="B1107" s="21">
        <v>9014</v>
      </c>
      <c r="C1107" s="14" t="s">
        <v>135</v>
      </c>
      <c r="D1107" s="22">
        <v>6567.2</v>
      </c>
      <c r="E1107" s="23">
        <v>42018</v>
      </c>
      <c r="F1107" s="24">
        <v>6567.2</v>
      </c>
      <c r="G1107" s="31">
        <f t="shared" si="17"/>
        <v>0</v>
      </c>
      <c r="H1107" s="39" t="s">
        <v>9</v>
      </c>
    </row>
    <row r="1108" spans="1:10" s="3" customFormat="1" x14ac:dyDescent="0.25">
      <c r="A1108" s="20">
        <v>42018</v>
      </c>
      <c r="B1108" s="21">
        <v>9015</v>
      </c>
      <c r="C1108" s="14" t="s">
        <v>239</v>
      </c>
      <c r="D1108" s="22">
        <v>648</v>
      </c>
      <c r="E1108" s="23">
        <v>42018</v>
      </c>
      <c r="F1108" s="24">
        <v>648</v>
      </c>
      <c r="G1108" s="31">
        <f t="shared" si="17"/>
        <v>0</v>
      </c>
      <c r="H1108" s="39" t="s">
        <v>9</v>
      </c>
    </row>
    <row r="1109" spans="1:10" s="3" customFormat="1" x14ac:dyDescent="0.25">
      <c r="A1109" s="20">
        <v>42018</v>
      </c>
      <c r="B1109" s="21">
        <v>9016</v>
      </c>
      <c r="C1109" s="14" t="s">
        <v>125</v>
      </c>
      <c r="D1109" s="22">
        <v>12276.6</v>
      </c>
      <c r="E1109" s="23">
        <v>42020</v>
      </c>
      <c r="F1109" s="24">
        <v>12276.6</v>
      </c>
      <c r="G1109" s="31">
        <f t="shared" si="17"/>
        <v>0</v>
      </c>
      <c r="H1109" s="39" t="s">
        <v>9</v>
      </c>
    </row>
    <row r="1110" spans="1:10" s="3" customFormat="1" x14ac:dyDescent="0.25">
      <c r="A1110" s="20">
        <v>42018</v>
      </c>
      <c r="B1110" s="21">
        <v>9017</v>
      </c>
      <c r="C1110" s="14" t="s">
        <v>125</v>
      </c>
      <c r="D1110" s="22">
        <v>26889.75</v>
      </c>
      <c r="E1110" s="29" t="s">
        <v>330</v>
      </c>
      <c r="F1110" s="24">
        <f>5000+3500+18389.75</f>
        <v>26889.75</v>
      </c>
      <c r="G1110" s="31">
        <f t="shared" si="17"/>
        <v>0</v>
      </c>
      <c r="H1110" s="39" t="s">
        <v>9</v>
      </c>
    </row>
    <row r="1111" spans="1:10" s="3" customFormat="1" x14ac:dyDescent="0.25">
      <c r="A1111" s="20">
        <v>42018</v>
      </c>
      <c r="B1111" s="21">
        <v>9018</v>
      </c>
      <c r="C1111" s="14" t="s">
        <v>270</v>
      </c>
      <c r="D1111" s="22">
        <v>403.7</v>
      </c>
      <c r="E1111" s="23">
        <v>42018</v>
      </c>
      <c r="F1111" s="24">
        <v>403.7</v>
      </c>
      <c r="G1111" s="31">
        <f t="shared" si="17"/>
        <v>0</v>
      </c>
      <c r="H1111" s="39" t="s">
        <v>9</v>
      </c>
    </row>
    <row r="1112" spans="1:10" s="3" customFormat="1" x14ac:dyDescent="0.25">
      <c r="A1112" s="20">
        <v>42018</v>
      </c>
      <c r="B1112" s="21">
        <v>9019</v>
      </c>
      <c r="C1112" s="14" t="s">
        <v>331</v>
      </c>
      <c r="D1112" s="22">
        <v>4590</v>
      </c>
      <c r="E1112" s="23">
        <v>42019</v>
      </c>
      <c r="F1112" s="24">
        <v>4590</v>
      </c>
      <c r="G1112" s="31">
        <f t="shared" si="17"/>
        <v>0</v>
      </c>
      <c r="H1112" s="39" t="s">
        <v>62</v>
      </c>
    </row>
    <row r="1113" spans="1:10" s="3" customFormat="1" x14ac:dyDescent="0.25">
      <c r="A1113" s="20">
        <v>42018</v>
      </c>
      <c r="B1113" s="21">
        <v>9020</v>
      </c>
      <c r="C1113" s="14" t="s">
        <v>332</v>
      </c>
      <c r="D1113" s="22">
        <v>3317.4</v>
      </c>
      <c r="E1113" s="23">
        <v>42018</v>
      </c>
      <c r="F1113" s="24">
        <v>3317.4</v>
      </c>
      <c r="G1113" s="31">
        <f t="shared" si="17"/>
        <v>0</v>
      </c>
      <c r="H1113" s="39" t="s">
        <v>9</v>
      </c>
    </row>
    <row r="1114" spans="1:10" s="3" customFormat="1" x14ac:dyDescent="0.25">
      <c r="A1114" s="20">
        <v>42018</v>
      </c>
      <c r="B1114" s="21">
        <v>9021</v>
      </c>
      <c r="C1114" s="14" t="s">
        <v>45</v>
      </c>
      <c r="D1114" s="22">
        <v>72666.149999999994</v>
      </c>
      <c r="E1114" s="23">
        <v>42025</v>
      </c>
      <c r="F1114" s="24">
        <v>72666.149999999994</v>
      </c>
      <c r="G1114" s="31">
        <f t="shared" si="17"/>
        <v>0</v>
      </c>
      <c r="H1114" s="39" t="s">
        <v>46</v>
      </c>
    </row>
    <row r="1115" spans="1:10" s="3" customFormat="1" x14ac:dyDescent="0.25">
      <c r="A1115" s="20">
        <v>42018</v>
      </c>
      <c r="B1115" s="21">
        <v>9022</v>
      </c>
      <c r="C1115" s="14" t="s">
        <v>251</v>
      </c>
      <c r="D1115" s="22">
        <v>30048</v>
      </c>
      <c r="E1115" s="23">
        <v>42018</v>
      </c>
      <c r="F1115" s="24">
        <v>30048</v>
      </c>
      <c r="G1115" s="31">
        <f t="shared" si="17"/>
        <v>0</v>
      </c>
      <c r="H1115" s="39" t="s">
        <v>9</v>
      </c>
    </row>
    <row r="1116" spans="1:10" s="3" customFormat="1" x14ac:dyDescent="0.25">
      <c r="A1116" s="20">
        <v>42018</v>
      </c>
      <c r="B1116" s="21">
        <v>9023</v>
      </c>
      <c r="C1116" s="14" t="s">
        <v>47</v>
      </c>
      <c r="D1116" s="22">
        <v>18722</v>
      </c>
      <c r="E1116" s="23">
        <v>42018</v>
      </c>
      <c r="F1116" s="24">
        <v>18722</v>
      </c>
      <c r="G1116" s="31">
        <f t="shared" si="17"/>
        <v>0</v>
      </c>
      <c r="H1116" s="39" t="s">
        <v>9</v>
      </c>
    </row>
    <row r="1117" spans="1:10" s="3" customFormat="1" x14ac:dyDescent="0.25">
      <c r="A1117" s="20">
        <v>42018</v>
      </c>
      <c r="B1117" s="21">
        <v>9024</v>
      </c>
      <c r="C1117" s="14" t="s">
        <v>179</v>
      </c>
      <c r="D1117" s="22">
        <v>5676.9</v>
      </c>
      <c r="E1117" s="23">
        <v>42018</v>
      </c>
      <c r="F1117" s="24">
        <v>5676.9</v>
      </c>
      <c r="G1117" s="31">
        <f t="shared" si="17"/>
        <v>0</v>
      </c>
      <c r="H1117" s="39" t="s">
        <v>9</v>
      </c>
    </row>
    <row r="1118" spans="1:10" s="3" customFormat="1" x14ac:dyDescent="0.25">
      <c r="A1118" s="20">
        <v>42018</v>
      </c>
      <c r="B1118" s="21">
        <v>9025</v>
      </c>
      <c r="C1118" s="14" t="s">
        <v>47</v>
      </c>
      <c r="D1118" s="22">
        <v>3234</v>
      </c>
      <c r="E1118" s="23">
        <v>42018</v>
      </c>
      <c r="F1118" s="24">
        <v>3234</v>
      </c>
      <c r="G1118" s="31">
        <f t="shared" si="17"/>
        <v>0</v>
      </c>
      <c r="H1118" s="39" t="s">
        <v>9</v>
      </c>
    </row>
    <row r="1119" spans="1:10" s="3" customFormat="1" x14ac:dyDescent="0.25">
      <c r="A1119" s="20">
        <v>42018</v>
      </c>
      <c r="B1119" s="21">
        <v>9026</v>
      </c>
      <c r="C1119" s="14" t="s">
        <v>253</v>
      </c>
      <c r="D1119" s="22">
        <v>400</v>
      </c>
      <c r="E1119" s="23">
        <v>42018</v>
      </c>
      <c r="F1119" s="24">
        <v>400</v>
      </c>
      <c r="G1119" s="31">
        <f t="shared" si="17"/>
        <v>0</v>
      </c>
      <c r="H1119" s="39" t="s">
        <v>9</v>
      </c>
    </row>
    <row r="1120" spans="1:10" s="3" customFormat="1" x14ac:dyDescent="0.25">
      <c r="A1120" s="20">
        <v>42018</v>
      </c>
      <c r="B1120" s="21">
        <v>9027</v>
      </c>
      <c r="C1120" s="14" t="s">
        <v>106</v>
      </c>
      <c r="D1120" s="22">
        <v>972</v>
      </c>
      <c r="E1120" s="23">
        <v>42018</v>
      </c>
      <c r="F1120" s="24">
        <v>972</v>
      </c>
      <c r="G1120" s="31">
        <f t="shared" si="17"/>
        <v>0</v>
      </c>
      <c r="H1120" s="39" t="s">
        <v>9</v>
      </c>
    </row>
    <row r="1121" spans="1:8" s="3" customFormat="1" x14ac:dyDescent="0.25">
      <c r="A1121" s="20">
        <v>42018</v>
      </c>
      <c r="B1121" s="21">
        <v>9028</v>
      </c>
      <c r="C1121" s="14" t="s">
        <v>66</v>
      </c>
      <c r="D1121" s="22">
        <v>307.2</v>
      </c>
      <c r="E1121" s="23">
        <v>42018</v>
      </c>
      <c r="F1121" s="24">
        <v>307.2</v>
      </c>
      <c r="G1121" s="31">
        <f t="shared" si="17"/>
        <v>0</v>
      </c>
      <c r="H1121" s="39" t="s">
        <v>9</v>
      </c>
    </row>
    <row r="1122" spans="1:8" s="3" customFormat="1" x14ac:dyDescent="0.25">
      <c r="A1122" s="20">
        <v>42018</v>
      </c>
      <c r="B1122" s="21">
        <v>9029</v>
      </c>
      <c r="C1122" s="14" t="s">
        <v>253</v>
      </c>
      <c r="D1122" s="22">
        <v>100</v>
      </c>
      <c r="E1122" s="23">
        <v>42018</v>
      </c>
      <c r="F1122" s="24">
        <v>100</v>
      </c>
      <c r="G1122" s="31">
        <f t="shared" si="17"/>
        <v>0</v>
      </c>
      <c r="H1122" s="39" t="s">
        <v>9</v>
      </c>
    </row>
    <row r="1123" spans="1:8" s="3" customFormat="1" x14ac:dyDescent="0.25">
      <c r="A1123" s="20">
        <v>42018</v>
      </c>
      <c r="B1123" s="21">
        <v>9030</v>
      </c>
      <c r="C1123" s="14" t="s">
        <v>131</v>
      </c>
      <c r="D1123" s="22">
        <v>6022.2</v>
      </c>
      <c r="E1123" s="23">
        <v>42018</v>
      </c>
      <c r="F1123" s="24">
        <v>6022.2</v>
      </c>
      <c r="G1123" s="31">
        <f t="shared" si="17"/>
        <v>0</v>
      </c>
      <c r="H1123" s="39" t="s">
        <v>17</v>
      </c>
    </row>
    <row r="1124" spans="1:8" s="3" customFormat="1" x14ac:dyDescent="0.25">
      <c r="A1124" s="20">
        <v>42018</v>
      </c>
      <c r="B1124" s="21">
        <v>9031</v>
      </c>
      <c r="C1124" s="14" t="s">
        <v>128</v>
      </c>
      <c r="D1124" s="22">
        <v>6620.4</v>
      </c>
      <c r="E1124" s="23">
        <v>42018</v>
      </c>
      <c r="F1124" s="24">
        <v>6620.4</v>
      </c>
      <c r="G1124" s="31">
        <f t="shared" si="17"/>
        <v>0</v>
      </c>
      <c r="H1124" s="39" t="s">
        <v>17</v>
      </c>
    </row>
    <row r="1125" spans="1:8" s="3" customFormat="1" x14ac:dyDescent="0.25">
      <c r="A1125" s="20">
        <v>42018</v>
      </c>
      <c r="B1125" s="21">
        <v>9032</v>
      </c>
      <c r="C1125" s="14" t="s">
        <v>130</v>
      </c>
      <c r="D1125" s="22">
        <v>1386.4</v>
      </c>
      <c r="E1125" s="23">
        <v>42019</v>
      </c>
      <c r="F1125" s="24">
        <v>1386.4</v>
      </c>
      <c r="G1125" s="31">
        <f t="shared" si="17"/>
        <v>0</v>
      </c>
      <c r="H1125" s="39" t="s">
        <v>17</v>
      </c>
    </row>
    <row r="1126" spans="1:8" s="3" customFormat="1" x14ac:dyDescent="0.25">
      <c r="A1126" s="20">
        <v>42018</v>
      </c>
      <c r="B1126" s="21">
        <v>9033</v>
      </c>
      <c r="C1126" s="14" t="s">
        <v>143</v>
      </c>
      <c r="D1126" s="22">
        <v>6454.2</v>
      </c>
      <c r="E1126" s="23">
        <v>42023</v>
      </c>
      <c r="F1126" s="24">
        <v>6454.2</v>
      </c>
      <c r="G1126" s="31">
        <f t="shared" si="17"/>
        <v>0</v>
      </c>
      <c r="H1126" s="39" t="s">
        <v>17</v>
      </c>
    </row>
    <row r="1127" spans="1:8" s="3" customFormat="1" x14ac:dyDescent="0.25">
      <c r="A1127" s="20">
        <v>42018</v>
      </c>
      <c r="B1127" s="21">
        <v>9034</v>
      </c>
      <c r="C1127" s="14" t="s">
        <v>333</v>
      </c>
      <c r="D1127" s="22">
        <v>660</v>
      </c>
      <c r="E1127" s="23">
        <v>42025</v>
      </c>
      <c r="F1127" s="24">
        <v>660</v>
      </c>
      <c r="G1127" s="31">
        <f t="shared" si="17"/>
        <v>0</v>
      </c>
      <c r="H1127" s="39" t="s">
        <v>17</v>
      </c>
    </row>
    <row r="1128" spans="1:8" s="3" customFormat="1" x14ac:dyDescent="0.25">
      <c r="A1128" s="20">
        <v>42018</v>
      </c>
      <c r="B1128" s="21">
        <v>9035</v>
      </c>
      <c r="C1128" s="14" t="s">
        <v>50</v>
      </c>
      <c r="D1128" s="22">
        <v>4294.8</v>
      </c>
      <c r="E1128" s="23">
        <v>42018</v>
      </c>
      <c r="F1128" s="24">
        <v>4294.8</v>
      </c>
      <c r="G1128" s="31">
        <f t="shared" si="17"/>
        <v>0</v>
      </c>
      <c r="H1128" s="39" t="s">
        <v>17</v>
      </c>
    </row>
    <row r="1129" spans="1:8" s="3" customFormat="1" x14ac:dyDescent="0.25">
      <c r="A1129" s="20">
        <v>42018</v>
      </c>
      <c r="B1129" s="21">
        <v>9036</v>
      </c>
      <c r="C1129" s="14" t="s">
        <v>299</v>
      </c>
      <c r="D1129" s="22">
        <v>2857.6</v>
      </c>
      <c r="E1129" s="23">
        <v>42018</v>
      </c>
      <c r="F1129" s="24">
        <v>2857.6</v>
      </c>
      <c r="G1129" s="31">
        <f t="shared" si="17"/>
        <v>0</v>
      </c>
      <c r="H1129" s="39" t="s">
        <v>17</v>
      </c>
    </row>
    <row r="1130" spans="1:8" s="3" customFormat="1" x14ac:dyDescent="0.25">
      <c r="A1130" s="20">
        <v>42018</v>
      </c>
      <c r="B1130" s="21">
        <v>9037</v>
      </c>
      <c r="C1130" s="14" t="s">
        <v>152</v>
      </c>
      <c r="D1130" s="22">
        <v>5129.5</v>
      </c>
      <c r="E1130" s="23">
        <v>42018</v>
      </c>
      <c r="F1130" s="24">
        <v>5129.5</v>
      </c>
      <c r="G1130" s="31">
        <f t="shared" si="17"/>
        <v>0</v>
      </c>
      <c r="H1130" s="39" t="s">
        <v>94</v>
      </c>
    </row>
    <row r="1131" spans="1:8" s="3" customFormat="1" x14ac:dyDescent="0.25">
      <c r="A1131" s="20">
        <v>42018</v>
      </c>
      <c r="B1131" s="21">
        <v>9038</v>
      </c>
      <c r="C1131" s="14" t="s">
        <v>53</v>
      </c>
      <c r="D1131" s="22">
        <v>844.2</v>
      </c>
      <c r="E1131" s="23">
        <v>42018</v>
      </c>
      <c r="F1131" s="24">
        <v>844.2</v>
      </c>
      <c r="G1131" s="31">
        <f t="shared" si="17"/>
        <v>0</v>
      </c>
      <c r="H1131" s="39" t="s">
        <v>94</v>
      </c>
    </row>
    <row r="1132" spans="1:8" s="3" customFormat="1" x14ac:dyDescent="0.25">
      <c r="A1132" s="20">
        <v>42018</v>
      </c>
      <c r="B1132" s="21">
        <v>9039</v>
      </c>
      <c r="C1132" s="14" t="s">
        <v>81</v>
      </c>
      <c r="D1132" s="22">
        <v>1363.1</v>
      </c>
      <c r="E1132" s="23">
        <v>42018</v>
      </c>
      <c r="F1132" s="24">
        <v>1363.1</v>
      </c>
      <c r="G1132" s="31">
        <f t="shared" si="17"/>
        <v>0</v>
      </c>
      <c r="H1132" s="39" t="s">
        <v>94</v>
      </c>
    </row>
    <row r="1133" spans="1:8" s="3" customFormat="1" x14ac:dyDescent="0.25">
      <c r="A1133" s="20">
        <v>42018</v>
      </c>
      <c r="B1133" s="21">
        <v>9040</v>
      </c>
      <c r="C1133" s="14" t="s">
        <v>155</v>
      </c>
      <c r="D1133" s="22">
        <v>1570.4</v>
      </c>
      <c r="E1133" s="23">
        <v>42018</v>
      </c>
      <c r="F1133" s="24">
        <v>1570.4</v>
      </c>
      <c r="G1133" s="31">
        <f t="shared" si="17"/>
        <v>0</v>
      </c>
      <c r="H1133" s="19" t="s">
        <v>94</v>
      </c>
    </row>
    <row r="1134" spans="1:8" s="3" customFormat="1" x14ac:dyDescent="0.25">
      <c r="A1134" s="20">
        <v>42018</v>
      </c>
      <c r="B1134" s="21">
        <v>9041</v>
      </c>
      <c r="C1134" s="14" t="s">
        <v>57</v>
      </c>
      <c r="D1134" s="22">
        <v>756</v>
      </c>
      <c r="E1134" s="23">
        <v>42018</v>
      </c>
      <c r="F1134" s="24">
        <v>756</v>
      </c>
      <c r="G1134" s="31">
        <f t="shared" si="17"/>
        <v>0</v>
      </c>
      <c r="H1134" s="19" t="s">
        <v>94</v>
      </c>
    </row>
    <row r="1135" spans="1:8" s="3" customFormat="1" x14ac:dyDescent="0.25">
      <c r="A1135" s="20">
        <v>42018</v>
      </c>
      <c r="B1135" s="21">
        <v>9042</v>
      </c>
      <c r="C1135" s="14" t="s">
        <v>118</v>
      </c>
      <c r="D1135" s="22">
        <v>10650</v>
      </c>
      <c r="E1135" s="23">
        <v>42025</v>
      </c>
      <c r="F1135" s="24">
        <v>10650</v>
      </c>
      <c r="G1135" s="31">
        <f t="shared" si="17"/>
        <v>0</v>
      </c>
      <c r="H1135" s="19" t="s">
        <v>94</v>
      </c>
    </row>
    <row r="1136" spans="1:8" s="3" customFormat="1" x14ac:dyDescent="0.25">
      <c r="A1136" s="20">
        <v>42018</v>
      </c>
      <c r="B1136" s="21">
        <v>9043</v>
      </c>
      <c r="C1136" s="14" t="s">
        <v>334</v>
      </c>
      <c r="D1136" s="22">
        <v>4215.2</v>
      </c>
      <c r="E1136" s="23">
        <v>42018</v>
      </c>
      <c r="F1136" s="24">
        <v>4215.2</v>
      </c>
      <c r="G1136" s="31">
        <f t="shared" si="17"/>
        <v>0</v>
      </c>
      <c r="H1136" s="19" t="s">
        <v>94</v>
      </c>
    </row>
    <row r="1137" spans="1:10" s="3" customFormat="1" x14ac:dyDescent="0.25">
      <c r="A1137" s="20">
        <v>42018</v>
      </c>
      <c r="B1137" s="21">
        <v>9044</v>
      </c>
      <c r="C1137" s="14" t="s">
        <v>168</v>
      </c>
      <c r="D1137" s="22">
        <v>7425</v>
      </c>
      <c r="E1137" s="23">
        <v>42018</v>
      </c>
      <c r="F1137" s="24">
        <v>7425</v>
      </c>
      <c r="G1137" s="31">
        <f t="shared" si="17"/>
        <v>0</v>
      </c>
      <c r="H1137" s="19" t="s">
        <v>94</v>
      </c>
    </row>
    <row r="1138" spans="1:10" s="3" customFormat="1" x14ac:dyDescent="0.25">
      <c r="A1138" s="20">
        <v>42018</v>
      </c>
      <c r="B1138" s="21">
        <v>9045</v>
      </c>
      <c r="C1138" s="14" t="s">
        <v>35</v>
      </c>
      <c r="D1138" s="22">
        <v>24749.200000000001</v>
      </c>
      <c r="E1138" s="23">
        <v>42018</v>
      </c>
      <c r="F1138" s="24">
        <v>24749.200000000001</v>
      </c>
      <c r="G1138" s="31">
        <f t="shared" si="17"/>
        <v>0</v>
      </c>
      <c r="H1138" s="19" t="s">
        <v>36</v>
      </c>
      <c r="I1138" s="4"/>
      <c r="J1138" s="28"/>
    </row>
    <row r="1139" spans="1:10" s="3" customFormat="1" x14ac:dyDescent="0.25">
      <c r="A1139" s="20">
        <v>42018</v>
      </c>
      <c r="B1139" s="21">
        <v>9046</v>
      </c>
      <c r="C1139" s="14" t="s">
        <v>28</v>
      </c>
      <c r="D1139" s="22">
        <v>4940.8</v>
      </c>
      <c r="E1139" s="23">
        <v>42018</v>
      </c>
      <c r="F1139" s="24">
        <v>4940.8</v>
      </c>
      <c r="G1139" s="31">
        <f t="shared" si="17"/>
        <v>0</v>
      </c>
      <c r="H1139" s="19" t="s">
        <v>36</v>
      </c>
      <c r="I1139" s="4"/>
      <c r="J1139" s="4"/>
    </row>
    <row r="1140" spans="1:10" s="3" customFormat="1" x14ac:dyDescent="0.25">
      <c r="A1140" s="20">
        <v>42018</v>
      </c>
      <c r="B1140" s="21">
        <v>9047</v>
      </c>
      <c r="C1140" s="14" t="s">
        <v>59</v>
      </c>
      <c r="D1140" s="22">
        <v>1028</v>
      </c>
      <c r="E1140" s="23">
        <v>42018</v>
      </c>
      <c r="F1140" s="24">
        <v>1028</v>
      </c>
      <c r="G1140" s="31">
        <f t="shared" si="17"/>
        <v>0</v>
      </c>
      <c r="H1140" s="19" t="s">
        <v>36</v>
      </c>
      <c r="I1140" s="4"/>
      <c r="J1140" s="4"/>
    </row>
    <row r="1141" spans="1:10" s="3" customFormat="1" x14ac:dyDescent="0.25">
      <c r="A1141" s="20">
        <v>42018</v>
      </c>
      <c r="B1141" s="21">
        <v>9048</v>
      </c>
      <c r="C1141" s="14" t="s">
        <v>335</v>
      </c>
      <c r="D1141" s="22">
        <v>769.6</v>
      </c>
      <c r="E1141" s="23">
        <v>42018</v>
      </c>
      <c r="F1141" s="24">
        <v>769.6</v>
      </c>
      <c r="G1141" s="31">
        <f t="shared" si="17"/>
        <v>0</v>
      </c>
      <c r="H1141" s="19" t="s">
        <v>9</v>
      </c>
      <c r="I1141" s="4"/>
      <c r="J1141" s="4"/>
    </row>
    <row r="1142" spans="1:10" s="3" customFormat="1" x14ac:dyDescent="0.25">
      <c r="A1142" s="20">
        <v>42018</v>
      </c>
      <c r="B1142" s="21">
        <v>9049</v>
      </c>
      <c r="C1142" s="14" t="s">
        <v>245</v>
      </c>
      <c r="D1142" s="22">
        <v>3128.58</v>
      </c>
      <c r="E1142" s="23">
        <v>42020</v>
      </c>
      <c r="F1142" s="24">
        <v>3128.58</v>
      </c>
      <c r="G1142" s="31">
        <f t="shared" si="17"/>
        <v>0</v>
      </c>
      <c r="H1142" s="19" t="s">
        <v>9</v>
      </c>
      <c r="I1142" s="4"/>
      <c r="J1142" s="4"/>
    </row>
    <row r="1143" spans="1:10" s="3" customFormat="1" x14ac:dyDescent="0.25">
      <c r="A1143" s="20">
        <v>42018</v>
      </c>
      <c r="B1143" s="21">
        <v>9050</v>
      </c>
      <c r="C1143" s="14" t="s">
        <v>336</v>
      </c>
      <c r="D1143" s="22">
        <v>88</v>
      </c>
      <c r="E1143" s="23">
        <v>42018</v>
      </c>
      <c r="F1143" s="24">
        <v>88</v>
      </c>
      <c r="G1143" s="31">
        <f t="shared" si="17"/>
        <v>0</v>
      </c>
      <c r="H1143" s="19" t="s">
        <v>9</v>
      </c>
      <c r="I1143" s="4"/>
      <c r="J1143" s="4"/>
    </row>
    <row r="1144" spans="1:10" s="3" customFormat="1" x14ac:dyDescent="0.25">
      <c r="A1144" s="20">
        <v>42018</v>
      </c>
      <c r="B1144" s="21">
        <v>9051</v>
      </c>
      <c r="C1144" s="14" t="s">
        <v>250</v>
      </c>
      <c r="D1144" s="22">
        <v>5183.6000000000004</v>
      </c>
      <c r="E1144" s="23">
        <v>42019</v>
      </c>
      <c r="F1144" s="24">
        <v>5183.6000000000004</v>
      </c>
      <c r="G1144" s="31">
        <f t="shared" si="17"/>
        <v>0</v>
      </c>
      <c r="H1144" s="19" t="s">
        <v>19</v>
      </c>
      <c r="I1144" s="4"/>
      <c r="J1144" s="4"/>
    </row>
    <row r="1145" spans="1:10" s="3" customFormat="1" x14ac:dyDescent="0.25">
      <c r="A1145" s="20">
        <v>42018</v>
      </c>
      <c r="B1145" s="21">
        <v>9052</v>
      </c>
      <c r="C1145" s="14" t="s">
        <v>93</v>
      </c>
      <c r="D1145" s="22">
        <v>1964</v>
      </c>
      <c r="E1145" s="23">
        <v>42019</v>
      </c>
      <c r="F1145" s="24">
        <v>1964</v>
      </c>
      <c r="G1145" s="31">
        <f t="shared" si="17"/>
        <v>0</v>
      </c>
      <c r="H1145" s="19" t="s">
        <v>9</v>
      </c>
      <c r="I1145" s="4"/>
      <c r="J1145" s="4"/>
    </row>
    <row r="1146" spans="1:10" s="3" customFormat="1" x14ac:dyDescent="0.25">
      <c r="A1146" s="20">
        <v>42018</v>
      </c>
      <c r="B1146" s="21">
        <v>9053</v>
      </c>
      <c r="C1146" s="14" t="s">
        <v>337</v>
      </c>
      <c r="D1146" s="22">
        <v>5358.4</v>
      </c>
      <c r="E1146" s="23">
        <v>42019</v>
      </c>
      <c r="F1146" s="24">
        <v>5358.4</v>
      </c>
      <c r="G1146" s="31">
        <f t="shared" si="17"/>
        <v>0</v>
      </c>
      <c r="H1146" s="19" t="s">
        <v>19</v>
      </c>
      <c r="I1146" s="4"/>
      <c r="J1146" s="4"/>
    </row>
    <row r="1147" spans="1:10" s="3" customFormat="1" x14ac:dyDescent="0.25">
      <c r="A1147" s="20">
        <v>42018</v>
      </c>
      <c r="B1147" s="21">
        <v>9054</v>
      </c>
      <c r="C1147" s="14" t="s">
        <v>223</v>
      </c>
      <c r="D1147" s="22">
        <v>651</v>
      </c>
      <c r="E1147" s="23">
        <v>42019</v>
      </c>
      <c r="F1147" s="24">
        <v>651</v>
      </c>
      <c r="G1147" s="31">
        <f t="shared" si="17"/>
        <v>0</v>
      </c>
      <c r="H1147" s="19" t="s">
        <v>19</v>
      </c>
      <c r="I1147" s="4"/>
      <c r="J1147" s="4"/>
    </row>
    <row r="1148" spans="1:10" s="3" customFormat="1" x14ac:dyDescent="0.25">
      <c r="A1148" s="20">
        <v>42018</v>
      </c>
      <c r="B1148" s="21">
        <v>9055</v>
      </c>
      <c r="C1148" s="14" t="s">
        <v>136</v>
      </c>
      <c r="D1148" s="22">
        <v>18268</v>
      </c>
      <c r="E1148" s="23">
        <v>42018</v>
      </c>
      <c r="F1148" s="24">
        <v>18268</v>
      </c>
      <c r="G1148" s="31">
        <f t="shared" si="17"/>
        <v>0</v>
      </c>
      <c r="H1148" s="19" t="s">
        <v>9</v>
      </c>
      <c r="I1148" s="4"/>
      <c r="J1148" s="4"/>
    </row>
    <row r="1149" spans="1:10" s="3" customFormat="1" x14ac:dyDescent="0.25">
      <c r="A1149" s="20">
        <v>42018</v>
      </c>
      <c r="B1149" s="21">
        <v>9056</v>
      </c>
      <c r="C1149" s="14" t="s">
        <v>89</v>
      </c>
      <c r="D1149" s="22">
        <v>3633.4</v>
      </c>
      <c r="E1149" s="23">
        <v>42018</v>
      </c>
      <c r="F1149" s="24">
        <v>3633.4</v>
      </c>
      <c r="G1149" s="31">
        <f t="shared" si="17"/>
        <v>0</v>
      </c>
      <c r="H1149" s="19" t="s">
        <v>9</v>
      </c>
      <c r="I1149" s="4"/>
      <c r="J1149" s="4"/>
    </row>
    <row r="1150" spans="1:10" s="3" customFormat="1" x14ac:dyDescent="0.25">
      <c r="A1150" s="20">
        <v>42018</v>
      </c>
      <c r="B1150" s="21">
        <v>9057</v>
      </c>
      <c r="C1150" s="14" t="s">
        <v>71</v>
      </c>
      <c r="D1150" s="22">
        <v>1541.4</v>
      </c>
      <c r="E1150" s="23">
        <v>42018</v>
      </c>
      <c r="F1150" s="24">
        <v>1541.4</v>
      </c>
      <c r="G1150" s="31">
        <f t="shared" si="17"/>
        <v>0</v>
      </c>
      <c r="H1150" s="19" t="s">
        <v>9</v>
      </c>
      <c r="I1150" s="4"/>
      <c r="J1150" s="4"/>
    </row>
    <row r="1151" spans="1:10" s="3" customFormat="1" x14ac:dyDescent="0.25">
      <c r="A1151" s="20">
        <v>42018</v>
      </c>
      <c r="B1151" s="21">
        <v>9058</v>
      </c>
      <c r="C1151" s="14" t="s">
        <v>159</v>
      </c>
      <c r="D1151" s="22">
        <v>4356</v>
      </c>
      <c r="E1151" s="23">
        <v>42018</v>
      </c>
      <c r="F1151" s="24">
        <v>4356</v>
      </c>
      <c r="G1151" s="31">
        <f t="shared" si="17"/>
        <v>0</v>
      </c>
      <c r="H1151" s="19" t="s">
        <v>9</v>
      </c>
      <c r="I1151" s="4"/>
      <c r="J1151" s="4"/>
    </row>
    <row r="1152" spans="1:10" s="3" customFormat="1" x14ac:dyDescent="0.25">
      <c r="A1152" s="20">
        <v>42018</v>
      </c>
      <c r="B1152" s="21">
        <v>9059</v>
      </c>
      <c r="C1152" s="14" t="s">
        <v>64</v>
      </c>
      <c r="D1152" s="22">
        <v>1764</v>
      </c>
      <c r="E1152" s="23">
        <v>42018</v>
      </c>
      <c r="F1152" s="24">
        <v>1764</v>
      </c>
      <c r="G1152" s="31">
        <f t="shared" si="17"/>
        <v>0</v>
      </c>
      <c r="H1152" s="19" t="s">
        <v>9</v>
      </c>
      <c r="I1152" s="4"/>
      <c r="J1152" s="4"/>
    </row>
    <row r="1153" spans="1:10" s="3" customFormat="1" x14ac:dyDescent="0.25">
      <c r="A1153" s="20">
        <v>42018</v>
      </c>
      <c r="B1153" s="21">
        <v>9060</v>
      </c>
      <c r="C1153" s="14" t="s">
        <v>131</v>
      </c>
      <c r="D1153" s="22">
        <v>3915.9</v>
      </c>
      <c r="E1153" s="23">
        <v>42018</v>
      </c>
      <c r="F1153" s="24">
        <v>3915.9</v>
      </c>
      <c r="G1153" s="31">
        <f t="shared" si="17"/>
        <v>0</v>
      </c>
      <c r="H1153" s="19" t="s">
        <v>9</v>
      </c>
      <c r="I1153" s="4"/>
      <c r="J1153" s="4"/>
    </row>
    <row r="1154" spans="1:10" s="3" customFormat="1" x14ac:dyDescent="0.25">
      <c r="A1154" s="20">
        <v>42018</v>
      </c>
      <c r="B1154" s="21">
        <v>9061</v>
      </c>
      <c r="C1154" s="14" t="s">
        <v>24</v>
      </c>
      <c r="D1154" s="22">
        <v>186989.11</v>
      </c>
      <c r="E1154" s="30">
        <v>42048</v>
      </c>
      <c r="F1154" s="96">
        <v>186989.11</v>
      </c>
      <c r="G1154" s="48">
        <f t="shared" si="17"/>
        <v>0</v>
      </c>
      <c r="H1154" s="19" t="s">
        <v>9</v>
      </c>
      <c r="I1154" s="4"/>
      <c r="J1154" s="4"/>
    </row>
    <row r="1155" spans="1:10" s="3" customFormat="1" x14ac:dyDescent="0.25">
      <c r="A1155" s="20">
        <v>42018</v>
      </c>
      <c r="B1155" s="21">
        <v>9062</v>
      </c>
      <c r="C1155" s="26" t="s">
        <v>338</v>
      </c>
      <c r="D1155" s="27">
        <v>0</v>
      </c>
      <c r="E1155" s="23"/>
      <c r="F1155" s="24"/>
      <c r="G1155" s="31">
        <f t="shared" ref="G1155:G1218" si="18">D1155-F1155</f>
        <v>0</v>
      </c>
      <c r="H1155" s="19" t="s">
        <v>9</v>
      </c>
      <c r="I1155" s="4"/>
      <c r="J1155" s="4"/>
    </row>
    <row r="1156" spans="1:10" s="3" customFormat="1" x14ac:dyDescent="0.25">
      <c r="A1156" s="20">
        <v>42018</v>
      </c>
      <c r="B1156" s="21">
        <v>9063</v>
      </c>
      <c r="C1156" s="14" t="s">
        <v>25</v>
      </c>
      <c r="D1156" s="22">
        <v>1080</v>
      </c>
      <c r="E1156" s="23">
        <v>42018</v>
      </c>
      <c r="F1156" s="24">
        <v>1080</v>
      </c>
      <c r="G1156" s="31">
        <f t="shared" si="18"/>
        <v>0</v>
      </c>
      <c r="H1156" s="19" t="s">
        <v>9</v>
      </c>
      <c r="I1156" s="4"/>
      <c r="J1156" s="4"/>
    </row>
    <row r="1157" spans="1:10" s="3" customFormat="1" x14ac:dyDescent="0.25">
      <c r="A1157" s="20">
        <v>42018</v>
      </c>
      <c r="B1157" s="21">
        <v>9064</v>
      </c>
      <c r="C1157" s="14" t="s">
        <v>37</v>
      </c>
      <c r="D1157" s="22">
        <v>51486.400000000001</v>
      </c>
      <c r="E1157" s="23">
        <v>42025</v>
      </c>
      <c r="F1157" s="24">
        <v>51486.400000000001</v>
      </c>
      <c r="G1157" s="31">
        <f t="shared" si="18"/>
        <v>0</v>
      </c>
      <c r="H1157" s="19" t="s">
        <v>36</v>
      </c>
      <c r="I1157" s="4"/>
      <c r="J1157" s="4"/>
    </row>
    <row r="1158" spans="1:10" s="3" customFormat="1" x14ac:dyDescent="0.25">
      <c r="A1158" s="20">
        <v>42018</v>
      </c>
      <c r="B1158" s="21">
        <v>9065</v>
      </c>
      <c r="C1158" s="14" t="s">
        <v>141</v>
      </c>
      <c r="D1158" s="22">
        <v>1402.2</v>
      </c>
      <c r="E1158" s="23">
        <v>42018</v>
      </c>
      <c r="F1158" s="24">
        <v>1402.2</v>
      </c>
      <c r="G1158" s="31">
        <f t="shared" si="18"/>
        <v>0</v>
      </c>
      <c r="H1158" s="19" t="s">
        <v>9</v>
      </c>
      <c r="I1158" s="4"/>
      <c r="J1158" s="4"/>
    </row>
    <row r="1159" spans="1:10" s="3" customFormat="1" x14ac:dyDescent="0.25">
      <c r="A1159" s="20">
        <v>42018</v>
      </c>
      <c r="B1159" s="21">
        <v>9066</v>
      </c>
      <c r="C1159" s="14" t="s">
        <v>110</v>
      </c>
      <c r="D1159" s="22">
        <v>72492.72</v>
      </c>
      <c r="E1159" s="23">
        <v>42023</v>
      </c>
      <c r="F1159" s="24">
        <v>72492.72</v>
      </c>
      <c r="G1159" s="31">
        <f t="shared" si="18"/>
        <v>0</v>
      </c>
      <c r="H1159" s="19" t="s">
        <v>149</v>
      </c>
      <c r="I1159" s="4"/>
      <c r="J1159" s="28"/>
    </row>
    <row r="1160" spans="1:10" s="3" customFormat="1" x14ac:dyDescent="0.25">
      <c r="A1160" s="20">
        <v>42018</v>
      </c>
      <c r="B1160" s="21">
        <v>9067</v>
      </c>
      <c r="C1160" s="26" t="s">
        <v>339</v>
      </c>
      <c r="D1160" s="27">
        <v>0</v>
      </c>
      <c r="E1160" s="23"/>
      <c r="F1160" s="24"/>
      <c r="G1160" s="31">
        <f t="shared" si="18"/>
        <v>0</v>
      </c>
      <c r="H1160" s="19" t="s">
        <v>94</v>
      </c>
      <c r="I1160" s="4"/>
      <c r="J1160" s="4"/>
    </row>
    <row r="1161" spans="1:10" s="3" customFormat="1" x14ac:dyDescent="0.25">
      <c r="A1161" s="20">
        <v>42019</v>
      </c>
      <c r="B1161" s="21">
        <v>9068</v>
      </c>
      <c r="C1161" s="14" t="s">
        <v>112</v>
      </c>
      <c r="D1161" s="22">
        <v>6467.1</v>
      </c>
      <c r="E1161" s="23">
        <v>42019</v>
      </c>
      <c r="F1161" s="24">
        <v>6467.1</v>
      </c>
      <c r="G1161" s="31">
        <f t="shared" si="18"/>
        <v>0</v>
      </c>
      <c r="H1161" s="19" t="s">
        <v>9</v>
      </c>
      <c r="I1161" s="4"/>
      <c r="J1161" s="4"/>
    </row>
    <row r="1162" spans="1:10" s="3" customFormat="1" x14ac:dyDescent="0.25">
      <c r="A1162" s="20">
        <v>42019</v>
      </c>
      <c r="B1162" s="21">
        <v>9069</v>
      </c>
      <c r="C1162" s="14" t="s">
        <v>16</v>
      </c>
      <c r="D1162" s="22">
        <v>7511</v>
      </c>
      <c r="E1162" s="23">
        <v>42019</v>
      </c>
      <c r="F1162" s="24">
        <v>7511</v>
      </c>
      <c r="G1162" s="31">
        <f t="shared" si="18"/>
        <v>0</v>
      </c>
      <c r="H1162" s="19" t="s">
        <v>19</v>
      </c>
      <c r="I1162" s="4"/>
      <c r="J1162" s="4"/>
    </row>
    <row r="1163" spans="1:10" s="3" customFormat="1" x14ac:dyDescent="0.25">
      <c r="A1163" s="20">
        <v>42019</v>
      </c>
      <c r="B1163" s="21">
        <v>9070</v>
      </c>
      <c r="C1163" s="14" t="s">
        <v>33</v>
      </c>
      <c r="D1163" s="22">
        <v>2477.1999999999998</v>
      </c>
      <c r="E1163" s="23">
        <v>42019</v>
      </c>
      <c r="F1163" s="24">
        <v>2477.1999999999998</v>
      </c>
      <c r="G1163" s="31">
        <f t="shared" si="18"/>
        <v>0</v>
      </c>
      <c r="H1163" s="19" t="s">
        <v>9</v>
      </c>
      <c r="I1163" s="4"/>
      <c r="J1163" s="4"/>
    </row>
    <row r="1164" spans="1:10" s="3" customFormat="1" x14ac:dyDescent="0.25">
      <c r="A1164" s="20">
        <v>42019</v>
      </c>
      <c r="B1164" s="21">
        <v>9071</v>
      </c>
      <c r="C1164" s="14" t="s">
        <v>14</v>
      </c>
      <c r="D1164" s="22">
        <v>16750.400000000001</v>
      </c>
      <c r="E1164" s="23">
        <v>42021</v>
      </c>
      <c r="F1164" s="24">
        <v>16750.400000000001</v>
      </c>
      <c r="G1164" s="31">
        <f t="shared" si="18"/>
        <v>0</v>
      </c>
      <c r="H1164" s="19" t="s">
        <v>15</v>
      </c>
      <c r="I1164" s="4"/>
      <c r="J1164" s="4"/>
    </row>
    <row r="1165" spans="1:10" s="3" customFormat="1" x14ac:dyDescent="0.25">
      <c r="A1165" s="20">
        <v>42019</v>
      </c>
      <c r="B1165" s="21">
        <v>9072</v>
      </c>
      <c r="C1165" s="14" t="s">
        <v>31</v>
      </c>
      <c r="D1165" s="22">
        <v>2760</v>
      </c>
      <c r="E1165" s="23">
        <v>42019</v>
      </c>
      <c r="F1165" s="24">
        <v>2760</v>
      </c>
      <c r="G1165" s="31">
        <f t="shared" si="18"/>
        <v>0</v>
      </c>
      <c r="H1165" s="19" t="s">
        <v>19</v>
      </c>
      <c r="I1165" s="4"/>
      <c r="J1165" s="4"/>
    </row>
    <row r="1166" spans="1:10" s="3" customFormat="1" x14ac:dyDescent="0.25">
      <c r="A1166" s="20">
        <v>42019</v>
      </c>
      <c r="B1166" s="21">
        <v>9073</v>
      </c>
      <c r="C1166" s="14" t="s">
        <v>33</v>
      </c>
      <c r="D1166" s="22">
        <v>730.4</v>
      </c>
      <c r="E1166" s="23">
        <v>42019</v>
      </c>
      <c r="F1166" s="24">
        <v>730.4</v>
      </c>
      <c r="G1166" s="31">
        <f t="shared" si="18"/>
        <v>0</v>
      </c>
      <c r="H1166" s="19" t="s">
        <v>9</v>
      </c>
      <c r="I1166" s="4"/>
      <c r="J1166" s="4"/>
    </row>
    <row r="1167" spans="1:10" s="3" customFormat="1" x14ac:dyDescent="0.25">
      <c r="A1167" s="20">
        <v>42019</v>
      </c>
      <c r="B1167" s="21">
        <v>9074</v>
      </c>
      <c r="C1167" s="14" t="s">
        <v>267</v>
      </c>
      <c r="D1167" s="22">
        <v>1769.7</v>
      </c>
      <c r="E1167" s="23">
        <v>42019</v>
      </c>
      <c r="F1167" s="24">
        <v>1769.7</v>
      </c>
      <c r="G1167" s="31">
        <f t="shared" si="18"/>
        <v>0</v>
      </c>
      <c r="H1167" s="19" t="s">
        <v>19</v>
      </c>
      <c r="I1167" s="4"/>
      <c r="J1167" s="4"/>
    </row>
    <row r="1168" spans="1:10" s="3" customFormat="1" x14ac:dyDescent="0.25">
      <c r="A1168" s="20">
        <v>42019</v>
      </c>
      <c r="B1168" s="21">
        <v>9075</v>
      </c>
      <c r="C1168" s="14" t="s">
        <v>20</v>
      </c>
      <c r="D1168" s="22">
        <v>14545.7</v>
      </c>
      <c r="E1168" s="29" t="s">
        <v>340</v>
      </c>
      <c r="F1168" s="24">
        <f>13000+1545.7</f>
        <v>14545.7</v>
      </c>
      <c r="G1168" s="31">
        <f t="shared" si="18"/>
        <v>0</v>
      </c>
      <c r="H1168" s="19" t="s">
        <v>94</v>
      </c>
      <c r="I1168" s="4"/>
      <c r="J1168" s="4"/>
    </row>
    <row r="1169" spans="1:10" s="3" customFormat="1" x14ac:dyDescent="0.25">
      <c r="A1169" s="20">
        <v>42019</v>
      </c>
      <c r="B1169" s="21">
        <v>9076</v>
      </c>
      <c r="C1169" s="14" t="s">
        <v>111</v>
      </c>
      <c r="D1169" s="22">
        <v>27688</v>
      </c>
      <c r="E1169" s="23">
        <v>42021</v>
      </c>
      <c r="F1169" s="24">
        <v>27688</v>
      </c>
      <c r="G1169" s="31">
        <f t="shared" si="18"/>
        <v>0</v>
      </c>
      <c r="H1169" s="19" t="s">
        <v>94</v>
      </c>
      <c r="I1169" s="4"/>
      <c r="J1169" s="4"/>
    </row>
    <row r="1170" spans="1:10" s="3" customFormat="1" x14ac:dyDescent="0.25">
      <c r="A1170" s="20">
        <v>42019</v>
      </c>
      <c r="B1170" s="21">
        <v>9077</v>
      </c>
      <c r="C1170" s="14" t="s">
        <v>267</v>
      </c>
      <c r="D1170" s="22">
        <v>126</v>
      </c>
      <c r="E1170" s="23">
        <v>42019</v>
      </c>
      <c r="F1170" s="24">
        <v>126</v>
      </c>
      <c r="G1170" s="31">
        <f t="shared" si="18"/>
        <v>0</v>
      </c>
      <c r="H1170" s="19" t="s">
        <v>19</v>
      </c>
      <c r="I1170" s="4"/>
      <c r="J1170" s="4"/>
    </row>
    <row r="1171" spans="1:10" s="3" customFormat="1" x14ac:dyDescent="0.25">
      <c r="A1171" s="20">
        <v>42019</v>
      </c>
      <c r="B1171" s="21">
        <v>9078</v>
      </c>
      <c r="C1171" s="14" t="s">
        <v>131</v>
      </c>
      <c r="D1171" s="22">
        <v>7713.9</v>
      </c>
      <c r="E1171" s="23">
        <v>42019</v>
      </c>
      <c r="F1171" s="24">
        <v>7713.9</v>
      </c>
      <c r="G1171" s="31">
        <f t="shared" si="18"/>
        <v>0</v>
      </c>
      <c r="H1171" s="19" t="s">
        <v>9</v>
      </c>
      <c r="I1171" s="4"/>
      <c r="J1171" s="28"/>
    </row>
    <row r="1172" spans="1:10" s="3" customFormat="1" x14ac:dyDescent="0.25">
      <c r="A1172" s="20">
        <v>42019</v>
      </c>
      <c r="B1172" s="21">
        <v>9079</v>
      </c>
      <c r="C1172" s="14" t="s">
        <v>215</v>
      </c>
      <c r="D1172" s="22">
        <v>12439</v>
      </c>
      <c r="E1172" s="23">
        <v>42019</v>
      </c>
      <c r="F1172" s="24">
        <v>12439</v>
      </c>
      <c r="G1172" s="31">
        <f t="shared" si="18"/>
        <v>0</v>
      </c>
      <c r="H1172" s="19" t="s">
        <v>9</v>
      </c>
      <c r="I1172" s="4"/>
      <c r="J1172" s="4"/>
    </row>
    <row r="1173" spans="1:10" s="3" customFormat="1" x14ac:dyDescent="0.25">
      <c r="A1173" s="20">
        <v>42019</v>
      </c>
      <c r="B1173" s="21">
        <v>9080</v>
      </c>
      <c r="C1173" s="14" t="s">
        <v>148</v>
      </c>
      <c r="D1173" s="22">
        <v>4167</v>
      </c>
      <c r="E1173" s="23">
        <v>42019</v>
      </c>
      <c r="F1173" s="24">
        <v>4167</v>
      </c>
      <c r="G1173" s="31">
        <f t="shared" si="18"/>
        <v>0</v>
      </c>
      <c r="H1173" s="19" t="s">
        <v>9</v>
      </c>
      <c r="I1173" s="4"/>
      <c r="J1173" s="4"/>
    </row>
    <row r="1174" spans="1:10" s="3" customFormat="1" x14ac:dyDescent="0.25">
      <c r="A1174" s="20">
        <v>42019</v>
      </c>
      <c r="B1174" s="21">
        <v>9081</v>
      </c>
      <c r="C1174" s="14" t="s">
        <v>158</v>
      </c>
      <c r="D1174" s="22">
        <v>8416.7999999999993</v>
      </c>
      <c r="E1174" s="23">
        <v>42019</v>
      </c>
      <c r="F1174" s="24">
        <v>8416.7999999999993</v>
      </c>
      <c r="G1174" s="31">
        <f t="shared" si="18"/>
        <v>0</v>
      </c>
      <c r="H1174" s="19" t="s">
        <v>9</v>
      </c>
      <c r="I1174" s="4"/>
      <c r="J1174" s="4"/>
    </row>
    <row r="1175" spans="1:10" s="3" customFormat="1" x14ac:dyDescent="0.25">
      <c r="A1175" s="20">
        <v>42019</v>
      </c>
      <c r="B1175" s="21">
        <v>9082</v>
      </c>
      <c r="C1175" s="14" t="s">
        <v>114</v>
      </c>
      <c r="D1175" s="22">
        <v>3526</v>
      </c>
      <c r="E1175" s="23">
        <v>42019</v>
      </c>
      <c r="F1175" s="24">
        <v>3526</v>
      </c>
      <c r="G1175" s="31">
        <f t="shared" si="18"/>
        <v>0</v>
      </c>
      <c r="H1175" s="19" t="s">
        <v>9</v>
      </c>
      <c r="I1175" s="4"/>
      <c r="J1175" s="4"/>
    </row>
    <row r="1176" spans="1:10" s="3" customFormat="1" x14ac:dyDescent="0.25">
      <c r="A1176" s="20">
        <v>42019</v>
      </c>
      <c r="B1176" s="21">
        <v>9083</v>
      </c>
      <c r="C1176" s="14" t="s">
        <v>121</v>
      </c>
      <c r="D1176" s="22">
        <v>2686</v>
      </c>
      <c r="E1176" s="23">
        <v>42019</v>
      </c>
      <c r="F1176" s="24">
        <v>2686</v>
      </c>
      <c r="G1176" s="31">
        <f t="shared" si="18"/>
        <v>0</v>
      </c>
      <c r="H1176" s="19" t="s">
        <v>9</v>
      </c>
      <c r="I1176" s="4"/>
      <c r="J1176" s="4"/>
    </row>
    <row r="1177" spans="1:10" s="3" customFormat="1" x14ac:dyDescent="0.25">
      <c r="A1177" s="20">
        <v>42019</v>
      </c>
      <c r="B1177" s="21">
        <v>9084</v>
      </c>
      <c r="C1177" s="14" t="s">
        <v>135</v>
      </c>
      <c r="D1177" s="22">
        <v>2304</v>
      </c>
      <c r="E1177" s="23">
        <v>42019</v>
      </c>
      <c r="F1177" s="24">
        <v>2304</v>
      </c>
      <c r="G1177" s="31">
        <f t="shared" si="18"/>
        <v>0</v>
      </c>
      <c r="H1177" s="19" t="s">
        <v>9</v>
      </c>
      <c r="I1177" s="4"/>
      <c r="J1177" s="4"/>
    </row>
    <row r="1178" spans="1:10" s="3" customFormat="1" x14ac:dyDescent="0.25">
      <c r="A1178" s="20">
        <v>42019</v>
      </c>
      <c r="B1178" s="21">
        <v>9085</v>
      </c>
      <c r="C1178" s="14" t="s">
        <v>211</v>
      </c>
      <c r="D1178" s="22">
        <v>113109.2</v>
      </c>
      <c r="E1178" s="23">
        <v>42020</v>
      </c>
      <c r="F1178" s="24">
        <v>113109.2</v>
      </c>
      <c r="G1178" s="31">
        <f t="shared" si="18"/>
        <v>0</v>
      </c>
      <c r="H1178" s="19" t="s">
        <v>9</v>
      </c>
      <c r="I1178" s="4"/>
      <c r="J1178" s="4"/>
    </row>
    <row r="1179" spans="1:10" s="3" customFormat="1" x14ac:dyDescent="0.25">
      <c r="A1179" s="20">
        <v>42019</v>
      </c>
      <c r="B1179" s="21">
        <v>9086</v>
      </c>
      <c r="C1179" s="14" t="s">
        <v>32</v>
      </c>
      <c r="D1179" s="22">
        <v>89030.2</v>
      </c>
      <c r="E1179" s="23">
        <v>42035</v>
      </c>
      <c r="F1179" s="24">
        <v>89030.2</v>
      </c>
      <c r="G1179" s="31">
        <f t="shared" si="18"/>
        <v>0</v>
      </c>
      <c r="H1179" s="19" t="s">
        <v>149</v>
      </c>
      <c r="I1179" s="4"/>
      <c r="J1179" s="4"/>
    </row>
    <row r="1180" spans="1:10" s="3" customFormat="1" x14ac:dyDescent="0.25">
      <c r="A1180" s="20">
        <v>42019</v>
      </c>
      <c r="B1180" s="21">
        <v>9087</v>
      </c>
      <c r="C1180" s="14" t="s">
        <v>145</v>
      </c>
      <c r="D1180" s="22">
        <v>7275.6</v>
      </c>
      <c r="E1180" s="23">
        <v>42019</v>
      </c>
      <c r="F1180" s="24">
        <v>7275.6</v>
      </c>
      <c r="G1180" s="31">
        <f t="shared" si="18"/>
        <v>0</v>
      </c>
      <c r="H1180" s="19" t="s">
        <v>9</v>
      </c>
      <c r="I1180" s="4"/>
      <c r="J1180" s="4"/>
    </row>
    <row r="1181" spans="1:10" s="3" customFormat="1" x14ac:dyDescent="0.25">
      <c r="A1181" s="20">
        <v>42019</v>
      </c>
      <c r="B1181" s="21">
        <v>9088</v>
      </c>
      <c r="C1181" s="14" t="s">
        <v>161</v>
      </c>
      <c r="D1181" s="22">
        <v>2771.3</v>
      </c>
      <c r="E1181" s="23">
        <v>42019</v>
      </c>
      <c r="F1181" s="24">
        <v>2771.3</v>
      </c>
      <c r="G1181" s="31">
        <f t="shared" si="18"/>
        <v>0</v>
      </c>
      <c r="H1181" s="19" t="s">
        <v>9</v>
      </c>
      <c r="I1181" s="4"/>
      <c r="J1181" s="4"/>
    </row>
    <row r="1182" spans="1:10" s="3" customFormat="1" x14ac:dyDescent="0.25">
      <c r="A1182" s="20">
        <v>42019</v>
      </c>
      <c r="B1182" s="21">
        <v>9089</v>
      </c>
      <c r="C1182" s="14" t="s">
        <v>151</v>
      </c>
      <c r="D1182" s="22">
        <v>3804.3</v>
      </c>
      <c r="E1182" s="23">
        <v>42019</v>
      </c>
      <c r="F1182" s="24">
        <v>3804.3</v>
      </c>
      <c r="G1182" s="31">
        <f t="shared" si="18"/>
        <v>0</v>
      </c>
      <c r="H1182" s="19" t="s">
        <v>9</v>
      </c>
      <c r="I1182" s="4"/>
      <c r="J1182" s="4"/>
    </row>
    <row r="1183" spans="1:10" s="3" customFormat="1" x14ac:dyDescent="0.25">
      <c r="A1183" s="20">
        <v>42019</v>
      </c>
      <c r="B1183" s="21">
        <v>9090</v>
      </c>
      <c r="C1183" s="14" t="s">
        <v>239</v>
      </c>
      <c r="D1183" s="22">
        <v>450</v>
      </c>
      <c r="E1183" s="23">
        <v>42019</v>
      </c>
      <c r="F1183" s="24">
        <v>450</v>
      </c>
      <c r="G1183" s="31">
        <f t="shared" si="18"/>
        <v>0</v>
      </c>
      <c r="H1183" s="19" t="s">
        <v>9</v>
      </c>
      <c r="I1183" s="4"/>
      <c r="J1183" s="4"/>
    </row>
    <row r="1184" spans="1:10" s="3" customFormat="1" x14ac:dyDescent="0.25">
      <c r="A1184" s="20">
        <v>42019</v>
      </c>
      <c r="B1184" s="21">
        <v>9091</v>
      </c>
      <c r="C1184" s="14" t="s">
        <v>141</v>
      </c>
      <c r="D1184" s="22">
        <v>6619.6</v>
      </c>
      <c r="E1184" s="23">
        <v>42019</v>
      </c>
      <c r="F1184" s="24">
        <v>6619.6</v>
      </c>
      <c r="G1184" s="31">
        <f t="shared" si="18"/>
        <v>0</v>
      </c>
      <c r="H1184" s="19" t="s">
        <v>62</v>
      </c>
      <c r="I1184" s="4"/>
      <c r="J1184" s="4"/>
    </row>
    <row r="1185" spans="1:10" s="3" customFormat="1" x14ac:dyDescent="0.25">
      <c r="A1185" s="20">
        <v>42019</v>
      </c>
      <c r="B1185" s="21">
        <v>9092</v>
      </c>
      <c r="C1185" s="14" t="s">
        <v>124</v>
      </c>
      <c r="D1185" s="22">
        <v>868.6</v>
      </c>
      <c r="E1185" s="23">
        <v>42019</v>
      </c>
      <c r="F1185" s="24">
        <v>868.6</v>
      </c>
      <c r="G1185" s="31">
        <f t="shared" si="18"/>
        <v>0</v>
      </c>
      <c r="H1185" s="19" t="s">
        <v>9</v>
      </c>
      <c r="I1185" s="4"/>
      <c r="J1185" s="4"/>
    </row>
    <row r="1186" spans="1:10" s="3" customFormat="1" x14ac:dyDescent="0.25">
      <c r="A1186" s="20">
        <v>42019</v>
      </c>
      <c r="B1186" s="21">
        <v>9093</v>
      </c>
      <c r="C1186" s="14" t="s">
        <v>247</v>
      </c>
      <c r="D1186" s="22">
        <v>8510.2000000000007</v>
      </c>
      <c r="E1186" s="23">
        <v>42019</v>
      </c>
      <c r="F1186" s="24">
        <v>8510.2000000000007</v>
      </c>
      <c r="G1186" s="31">
        <f t="shared" si="18"/>
        <v>0</v>
      </c>
      <c r="H1186" s="19" t="s">
        <v>94</v>
      </c>
    </row>
    <row r="1187" spans="1:10" s="3" customFormat="1" x14ac:dyDescent="0.25">
      <c r="A1187" s="20">
        <v>42019</v>
      </c>
      <c r="B1187" s="21">
        <v>9094</v>
      </c>
      <c r="C1187" s="14" t="s">
        <v>341</v>
      </c>
      <c r="D1187" s="22">
        <v>538.20000000000005</v>
      </c>
      <c r="E1187" s="23">
        <v>42019</v>
      </c>
      <c r="F1187" s="24">
        <v>538.20000000000005</v>
      </c>
      <c r="G1187" s="31">
        <f t="shared" si="18"/>
        <v>0</v>
      </c>
      <c r="H1187" s="19" t="s">
        <v>9</v>
      </c>
    </row>
    <row r="1188" spans="1:10" s="3" customFormat="1" x14ac:dyDescent="0.25">
      <c r="A1188" s="20">
        <v>42019</v>
      </c>
      <c r="B1188" s="21">
        <v>9095</v>
      </c>
      <c r="C1188" s="14" t="s">
        <v>112</v>
      </c>
      <c r="D1188" s="22">
        <v>6661.8</v>
      </c>
      <c r="E1188" s="23">
        <v>42019</v>
      </c>
      <c r="F1188" s="24">
        <v>6661.8</v>
      </c>
      <c r="G1188" s="31">
        <f t="shared" si="18"/>
        <v>0</v>
      </c>
      <c r="H1188" s="19" t="s">
        <v>9</v>
      </c>
    </row>
    <row r="1189" spans="1:10" s="3" customFormat="1" x14ac:dyDescent="0.25">
      <c r="A1189" s="20">
        <v>42019</v>
      </c>
      <c r="B1189" s="21">
        <v>9096</v>
      </c>
      <c r="C1189" s="14" t="s">
        <v>47</v>
      </c>
      <c r="D1189" s="22">
        <v>29080.6</v>
      </c>
      <c r="E1189" s="23">
        <v>42019</v>
      </c>
      <c r="F1189" s="24">
        <v>29080.6</v>
      </c>
      <c r="G1189" s="31">
        <f t="shared" si="18"/>
        <v>0</v>
      </c>
      <c r="H1189" s="19" t="s">
        <v>36</v>
      </c>
    </row>
    <row r="1190" spans="1:10" s="3" customFormat="1" x14ac:dyDescent="0.25">
      <c r="A1190" s="20">
        <v>42019</v>
      </c>
      <c r="B1190" s="21">
        <v>9097</v>
      </c>
      <c r="C1190" s="14" t="s">
        <v>125</v>
      </c>
      <c r="D1190" s="22">
        <v>12513.4</v>
      </c>
      <c r="E1190" s="23">
        <v>42021</v>
      </c>
      <c r="F1190" s="24">
        <v>12513.4</v>
      </c>
      <c r="G1190" s="31">
        <f t="shared" si="18"/>
        <v>0</v>
      </c>
      <c r="H1190" s="19" t="s">
        <v>9</v>
      </c>
    </row>
    <row r="1191" spans="1:10" s="3" customFormat="1" x14ac:dyDescent="0.25">
      <c r="A1191" s="20">
        <v>42019</v>
      </c>
      <c r="B1191" s="21">
        <v>9098</v>
      </c>
      <c r="C1191" s="14" t="s">
        <v>60</v>
      </c>
      <c r="D1191" s="22">
        <v>10830.8</v>
      </c>
      <c r="E1191" s="23">
        <v>42019</v>
      </c>
      <c r="F1191" s="24">
        <v>10830.8</v>
      </c>
      <c r="G1191" s="31">
        <f t="shared" si="18"/>
        <v>0</v>
      </c>
      <c r="H1191" s="19" t="s">
        <v>36</v>
      </c>
    </row>
    <row r="1192" spans="1:10" s="3" customFormat="1" x14ac:dyDescent="0.25">
      <c r="A1192" s="20">
        <v>42019</v>
      </c>
      <c r="B1192" s="21">
        <v>9099</v>
      </c>
      <c r="C1192" s="14" t="s">
        <v>56</v>
      </c>
      <c r="D1192" s="22">
        <v>16857.400000000001</v>
      </c>
      <c r="E1192" s="51">
        <v>42019</v>
      </c>
      <c r="F1192" s="24">
        <v>16857.400000000001</v>
      </c>
      <c r="G1192" s="31">
        <f t="shared" si="18"/>
        <v>0</v>
      </c>
      <c r="H1192" s="19" t="s">
        <v>36</v>
      </c>
    </row>
    <row r="1193" spans="1:10" s="3" customFormat="1" x14ac:dyDescent="0.25">
      <c r="A1193" s="20">
        <v>42019</v>
      </c>
      <c r="B1193" s="21">
        <v>9100</v>
      </c>
      <c r="C1193" s="14" t="s">
        <v>134</v>
      </c>
      <c r="D1193" s="22">
        <v>1548.4</v>
      </c>
      <c r="E1193" s="23">
        <v>42019</v>
      </c>
      <c r="F1193" s="24">
        <v>1548.4</v>
      </c>
      <c r="G1193" s="31">
        <f t="shared" si="18"/>
        <v>0</v>
      </c>
      <c r="H1193" s="19" t="s">
        <v>36</v>
      </c>
    </row>
    <row r="1194" spans="1:10" s="3" customFormat="1" x14ac:dyDescent="0.25">
      <c r="A1194" s="20">
        <v>42019</v>
      </c>
      <c r="B1194" s="21">
        <v>9101</v>
      </c>
      <c r="C1194" s="14" t="s">
        <v>125</v>
      </c>
      <c r="D1194" s="22">
        <v>11391.6</v>
      </c>
      <c r="E1194" s="29" t="s">
        <v>342</v>
      </c>
      <c r="F1194" s="24">
        <f>3000+8391.6</f>
        <v>11391.6</v>
      </c>
      <c r="G1194" s="31">
        <f t="shared" si="18"/>
        <v>0</v>
      </c>
      <c r="H1194" s="19" t="s">
        <v>9</v>
      </c>
    </row>
    <row r="1195" spans="1:10" s="3" customFormat="1" x14ac:dyDescent="0.25">
      <c r="A1195" s="20">
        <v>42019</v>
      </c>
      <c r="B1195" s="21">
        <v>9102</v>
      </c>
      <c r="C1195" s="14" t="s">
        <v>271</v>
      </c>
      <c r="D1195" s="22">
        <v>8049.6</v>
      </c>
      <c r="E1195" s="23">
        <v>42019</v>
      </c>
      <c r="F1195" s="24">
        <v>8049.6</v>
      </c>
      <c r="G1195" s="31">
        <f t="shared" si="18"/>
        <v>0</v>
      </c>
      <c r="H1195" s="19" t="s">
        <v>94</v>
      </c>
    </row>
    <row r="1196" spans="1:10" s="3" customFormat="1" x14ac:dyDescent="0.25">
      <c r="A1196" s="20">
        <v>42019</v>
      </c>
      <c r="B1196" s="21">
        <v>9103</v>
      </c>
      <c r="C1196" s="14" t="s">
        <v>49</v>
      </c>
      <c r="D1196" s="22">
        <v>1508.7</v>
      </c>
      <c r="E1196" s="23">
        <v>42019</v>
      </c>
      <c r="F1196" s="24">
        <v>1508.7</v>
      </c>
      <c r="G1196" s="31">
        <f t="shared" si="18"/>
        <v>0</v>
      </c>
      <c r="H1196" s="19" t="s">
        <v>94</v>
      </c>
    </row>
    <row r="1197" spans="1:10" s="3" customFormat="1" x14ac:dyDescent="0.25">
      <c r="A1197" s="20">
        <v>42019</v>
      </c>
      <c r="B1197" s="21">
        <v>9104</v>
      </c>
      <c r="C1197" s="14" t="s">
        <v>26</v>
      </c>
      <c r="D1197" s="22">
        <v>2760</v>
      </c>
      <c r="E1197" s="23">
        <v>42019</v>
      </c>
      <c r="F1197" s="24">
        <v>2760</v>
      </c>
      <c r="G1197" s="31">
        <f t="shared" si="18"/>
        <v>0</v>
      </c>
      <c r="H1197" s="19" t="s">
        <v>27</v>
      </c>
    </row>
    <row r="1198" spans="1:10" s="3" customFormat="1" x14ac:dyDescent="0.25">
      <c r="A1198" s="20">
        <v>42019</v>
      </c>
      <c r="B1198" s="21">
        <v>9105</v>
      </c>
      <c r="C1198" s="14" t="s">
        <v>131</v>
      </c>
      <c r="D1198" s="22">
        <v>7770</v>
      </c>
      <c r="E1198" s="23">
        <v>42021</v>
      </c>
      <c r="F1198" s="24">
        <v>7770</v>
      </c>
      <c r="G1198" s="31">
        <f t="shared" si="18"/>
        <v>0</v>
      </c>
      <c r="H1198" s="19" t="s">
        <v>17</v>
      </c>
    </row>
    <row r="1199" spans="1:10" s="3" customFormat="1" x14ac:dyDescent="0.25">
      <c r="A1199" s="20">
        <v>42019</v>
      </c>
      <c r="B1199" s="21">
        <v>9106</v>
      </c>
      <c r="C1199" s="14" t="s">
        <v>130</v>
      </c>
      <c r="D1199" s="22">
        <v>4900.2</v>
      </c>
      <c r="E1199" s="23">
        <v>42026</v>
      </c>
      <c r="F1199" s="24">
        <v>4900.2</v>
      </c>
      <c r="G1199" s="31">
        <f t="shared" si="18"/>
        <v>0</v>
      </c>
      <c r="H1199" s="19" t="s">
        <v>17</v>
      </c>
    </row>
    <row r="1200" spans="1:10" s="3" customFormat="1" x14ac:dyDescent="0.25">
      <c r="A1200" s="20">
        <v>42019</v>
      </c>
      <c r="B1200" s="21">
        <v>9107</v>
      </c>
      <c r="C1200" s="14" t="s">
        <v>34</v>
      </c>
      <c r="D1200" s="22">
        <v>4680</v>
      </c>
      <c r="E1200" s="23">
        <v>42019</v>
      </c>
      <c r="F1200" s="24">
        <v>4680</v>
      </c>
      <c r="G1200" s="31">
        <f t="shared" si="18"/>
        <v>0</v>
      </c>
      <c r="H1200" s="19" t="s">
        <v>9</v>
      </c>
    </row>
    <row r="1201" spans="1:10" s="3" customFormat="1" x14ac:dyDescent="0.25">
      <c r="A1201" s="20">
        <v>42019</v>
      </c>
      <c r="B1201" s="21">
        <v>9108</v>
      </c>
      <c r="C1201" s="14" t="s">
        <v>299</v>
      </c>
      <c r="D1201" s="22">
        <v>3560.6</v>
      </c>
      <c r="E1201" s="23">
        <v>42019</v>
      </c>
      <c r="F1201" s="24">
        <v>3560.6</v>
      </c>
      <c r="G1201" s="31">
        <f t="shared" si="18"/>
        <v>0</v>
      </c>
      <c r="H1201" s="19" t="s">
        <v>17</v>
      </c>
    </row>
    <row r="1202" spans="1:10" s="3" customFormat="1" x14ac:dyDescent="0.25">
      <c r="A1202" s="20">
        <v>42019</v>
      </c>
      <c r="B1202" s="21">
        <v>9109</v>
      </c>
      <c r="C1202" s="26" t="s">
        <v>218</v>
      </c>
      <c r="D1202" s="27">
        <v>0</v>
      </c>
      <c r="E1202" s="23"/>
      <c r="F1202" s="24"/>
      <c r="G1202" s="31">
        <f t="shared" si="18"/>
        <v>0</v>
      </c>
      <c r="H1202" s="19" t="s">
        <v>13</v>
      </c>
      <c r="I1202" s="4"/>
      <c r="J1202" s="4"/>
    </row>
    <row r="1203" spans="1:10" s="3" customFormat="1" x14ac:dyDescent="0.25">
      <c r="A1203" s="20">
        <v>42019</v>
      </c>
      <c r="B1203" s="21">
        <v>9110</v>
      </c>
      <c r="C1203" s="14" t="s">
        <v>192</v>
      </c>
      <c r="D1203" s="22">
        <v>15320</v>
      </c>
      <c r="E1203" s="30">
        <v>42045</v>
      </c>
      <c r="F1203" s="96">
        <v>15320</v>
      </c>
      <c r="G1203" s="31">
        <f t="shared" si="18"/>
        <v>0</v>
      </c>
      <c r="H1203" s="19" t="s">
        <v>17</v>
      </c>
      <c r="I1203" s="4"/>
      <c r="J1203" s="4"/>
    </row>
    <row r="1204" spans="1:10" s="3" customFormat="1" x14ac:dyDescent="0.25">
      <c r="A1204" s="20">
        <v>42019</v>
      </c>
      <c r="B1204" s="21">
        <v>9111</v>
      </c>
      <c r="C1204" s="14" t="s">
        <v>128</v>
      </c>
      <c r="D1204" s="22">
        <v>6413</v>
      </c>
      <c r="E1204" s="23">
        <v>42019</v>
      </c>
      <c r="F1204" s="24">
        <v>6413</v>
      </c>
      <c r="G1204" s="31">
        <f t="shared" si="18"/>
        <v>0</v>
      </c>
      <c r="H1204" s="19" t="s">
        <v>17</v>
      </c>
      <c r="I1204" s="4"/>
      <c r="J1204" s="4"/>
    </row>
    <row r="1205" spans="1:10" s="3" customFormat="1" x14ac:dyDescent="0.25">
      <c r="A1205" s="20">
        <v>42019</v>
      </c>
      <c r="B1205" s="21">
        <v>9112</v>
      </c>
      <c r="C1205" s="14" t="s">
        <v>24</v>
      </c>
      <c r="D1205" s="22">
        <v>265471.44</v>
      </c>
      <c r="E1205" s="30">
        <v>42055</v>
      </c>
      <c r="F1205" s="96">
        <v>265471.44</v>
      </c>
      <c r="G1205" s="31">
        <f t="shared" si="18"/>
        <v>0</v>
      </c>
      <c r="H1205" s="19" t="s">
        <v>46</v>
      </c>
      <c r="I1205" s="4"/>
      <c r="J1205" s="4"/>
    </row>
    <row r="1206" spans="1:10" s="3" customFormat="1" x14ac:dyDescent="0.25">
      <c r="A1206" s="20">
        <v>42019</v>
      </c>
      <c r="B1206" s="21">
        <v>9113</v>
      </c>
      <c r="C1206" s="14" t="s">
        <v>98</v>
      </c>
      <c r="D1206" s="22">
        <v>1558</v>
      </c>
      <c r="E1206" s="23">
        <v>42020</v>
      </c>
      <c r="F1206" s="24">
        <v>1558</v>
      </c>
      <c r="G1206" s="31">
        <f t="shared" si="18"/>
        <v>0</v>
      </c>
      <c r="H1206" s="19" t="s">
        <v>19</v>
      </c>
      <c r="I1206" s="4"/>
      <c r="J1206" s="4"/>
    </row>
    <row r="1207" spans="1:10" s="3" customFormat="1" x14ac:dyDescent="0.25">
      <c r="A1207" s="20">
        <v>42019</v>
      </c>
      <c r="B1207" s="21">
        <v>9114</v>
      </c>
      <c r="C1207" s="14" t="s">
        <v>57</v>
      </c>
      <c r="D1207" s="22">
        <v>1680</v>
      </c>
      <c r="E1207" s="23">
        <v>42019</v>
      </c>
      <c r="F1207" s="24">
        <v>1680</v>
      </c>
      <c r="G1207" s="31">
        <f t="shared" si="18"/>
        <v>0</v>
      </c>
      <c r="H1207" s="19" t="s">
        <v>59</v>
      </c>
      <c r="I1207" s="4"/>
      <c r="J1207" s="28"/>
    </row>
    <row r="1208" spans="1:10" s="3" customFormat="1" x14ac:dyDescent="0.25">
      <c r="A1208" s="20">
        <v>42019</v>
      </c>
      <c r="B1208" s="21">
        <v>9115</v>
      </c>
      <c r="C1208" s="14" t="s">
        <v>168</v>
      </c>
      <c r="D1208" s="22">
        <v>9143</v>
      </c>
      <c r="E1208" s="23">
        <v>42019</v>
      </c>
      <c r="F1208" s="24">
        <v>9143</v>
      </c>
      <c r="G1208" s="31">
        <f t="shared" si="18"/>
        <v>0</v>
      </c>
      <c r="H1208" s="19" t="s">
        <v>59</v>
      </c>
      <c r="I1208" s="4"/>
      <c r="J1208" s="4"/>
    </row>
    <row r="1209" spans="1:10" s="3" customFormat="1" x14ac:dyDescent="0.25">
      <c r="A1209" s="20">
        <v>42019</v>
      </c>
      <c r="B1209" s="21">
        <v>9116</v>
      </c>
      <c r="C1209" s="14" t="s">
        <v>250</v>
      </c>
      <c r="D1209" s="22">
        <v>5103.5</v>
      </c>
      <c r="E1209" s="23">
        <v>42020</v>
      </c>
      <c r="F1209" s="24">
        <v>5103.5</v>
      </c>
      <c r="G1209" s="31">
        <f t="shared" si="18"/>
        <v>0</v>
      </c>
      <c r="H1209" s="19" t="s">
        <v>19</v>
      </c>
      <c r="I1209" s="4"/>
      <c r="J1209" s="4"/>
    </row>
    <row r="1210" spans="1:10" s="3" customFormat="1" x14ac:dyDescent="0.25">
      <c r="A1210" s="20">
        <v>42019</v>
      </c>
      <c r="B1210" s="21">
        <v>9117</v>
      </c>
      <c r="C1210" s="14" t="s">
        <v>83</v>
      </c>
      <c r="D1210" s="22">
        <v>7963.8</v>
      </c>
      <c r="E1210" s="23">
        <v>42019</v>
      </c>
      <c r="F1210" s="24">
        <v>7963.8</v>
      </c>
      <c r="G1210" s="31">
        <f t="shared" si="18"/>
        <v>0</v>
      </c>
      <c r="H1210" s="19" t="s">
        <v>59</v>
      </c>
      <c r="I1210" s="4"/>
      <c r="J1210" s="4"/>
    </row>
    <row r="1211" spans="1:10" s="3" customFormat="1" x14ac:dyDescent="0.25">
      <c r="A1211" s="20">
        <v>42019</v>
      </c>
      <c r="B1211" s="21">
        <v>9118</v>
      </c>
      <c r="C1211" s="14" t="s">
        <v>126</v>
      </c>
      <c r="D1211" s="22">
        <v>2175.4</v>
      </c>
      <c r="E1211" s="23">
        <v>42019</v>
      </c>
      <c r="F1211" s="24">
        <v>2175.4</v>
      </c>
      <c r="G1211" s="31">
        <f t="shared" si="18"/>
        <v>0</v>
      </c>
      <c r="H1211" s="19" t="s">
        <v>59</v>
      </c>
      <c r="I1211" s="4"/>
      <c r="J1211" s="4"/>
    </row>
    <row r="1212" spans="1:10" s="3" customFormat="1" x14ac:dyDescent="0.25">
      <c r="A1212" s="20">
        <v>42019</v>
      </c>
      <c r="B1212" s="21">
        <v>9119</v>
      </c>
      <c r="C1212" s="14" t="s">
        <v>81</v>
      </c>
      <c r="D1212" s="22">
        <v>1715.7</v>
      </c>
      <c r="E1212" s="23">
        <v>42019</v>
      </c>
      <c r="F1212" s="24">
        <v>1715.7</v>
      </c>
      <c r="G1212" s="31">
        <f t="shared" si="18"/>
        <v>0</v>
      </c>
      <c r="H1212" s="19" t="s">
        <v>59</v>
      </c>
      <c r="I1212" s="4"/>
      <c r="J1212" s="4"/>
    </row>
    <row r="1213" spans="1:10" s="3" customFormat="1" x14ac:dyDescent="0.25">
      <c r="A1213" s="20">
        <v>42019</v>
      </c>
      <c r="B1213" s="21">
        <v>9120</v>
      </c>
      <c r="C1213" s="14" t="s">
        <v>82</v>
      </c>
      <c r="D1213" s="22">
        <v>4545</v>
      </c>
      <c r="E1213" s="23">
        <v>42019</v>
      </c>
      <c r="F1213" s="24">
        <v>4545</v>
      </c>
      <c r="G1213" s="31">
        <f t="shared" si="18"/>
        <v>0</v>
      </c>
      <c r="H1213" s="19" t="s">
        <v>59</v>
      </c>
      <c r="I1213" s="4"/>
      <c r="J1213" s="4"/>
    </row>
    <row r="1214" spans="1:10" s="3" customFormat="1" x14ac:dyDescent="0.25">
      <c r="A1214" s="20">
        <v>42019</v>
      </c>
      <c r="B1214" s="21">
        <v>9121</v>
      </c>
      <c r="C1214" s="14" t="s">
        <v>53</v>
      </c>
      <c r="D1214" s="22">
        <v>1470</v>
      </c>
      <c r="E1214" s="23">
        <v>42019</v>
      </c>
      <c r="F1214" s="24">
        <v>1470</v>
      </c>
      <c r="G1214" s="31">
        <f t="shared" si="18"/>
        <v>0</v>
      </c>
      <c r="H1214" s="19" t="s">
        <v>59</v>
      </c>
      <c r="I1214" s="4"/>
      <c r="J1214" s="4"/>
    </row>
    <row r="1215" spans="1:10" s="3" customFormat="1" x14ac:dyDescent="0.25">
      <c r="A1215" s="20">
        <v>42019</v>
      </c>
      <c r="B1215" s="21">
        <v>9122</v>
      </c>
      <c r="C1215" s="14" t="s">
        <v>95</v>
      </c>
      <c r="D1215" s="22">
        <v>1200</v>
      </c>
      <c r="E1215" s="23">
        <v>42020</v>
      </c>
      <c r="F1215" s="24">
        <v>1200</v>
      </c>
      <c r="G1215" s="31">
        <f t="shared" si="18"/>
        <v>0</v>
      </c>
      <c r="H1215" s="19" t="s">
        <v>19</v>
      </c>
      <c r="I1215" s="4"/>
      <c r="J1215" s="4"/>
    </row>
    <row r="1216" spans="1:10" s="3" customFormat="1" x14ac:dyDescent="0.25">
      <c r="A1216" s="20">
        <v>42019</v>
      </c>
      <c r="B1216" s="21">
        <v>9123</v>
      </c>
      <c r="C1216" s="14" t="s">
        <v>45</v>
      </c>
      <c r="D1216" s="22">
        <v>5449.6</v>
      </c>
      <c r="E1216" s="23">
        <v>42025</v>
      </c>
      <c r="F1216" s="24">
        <v>5449.6</v>
      </c>
      <c r="G1216" s="31">
        <f t="shared" si="18"/>
        <v>0</v>
      </c>
      <c r="H1216" s="19" t="s">
        <v>59</v>
      </c>
      <c r="I1216" s="4"/>
      <c r="J1216" s="4"/>
    </row>
    <row r="1217" spans="1:10" s="3" customFormat="1" x14ac:dyDescent="0.25">
      <c r="A1217" s="20">
        <v>42019</v>
      </c>
      <c r="B1217" s="21">
        <v>9124</v>
      </c>
      <c r="C1217" s="14" t="s">
        <v>93</v>
      </c>
      <c r="D1217" s="22">
        <v>1804</v>
      </c>
      <c r="E1217" s="23">
        <v>42020</v>
      </c>
      <c r="F1217" s="24">
        <v>1804</v>
      </c>
      <c r="G1217" s="31">
        <f t="shared" si="18"/>
        <v>0</v>
      </c>
      <c r="H1217" s="19" t="s">
        <v>19</v>
      </c>
      <c r="I1217" s="4"/>
      <c r="J1217" s="4"/>
    </row>
    <row r="1218" spans="1:10" s="3" customFormat="1" x14ac:dyDescent="0.25">
      <c r="A1218" s="20">
        <v>42019</v>
      </c>
      <c r="B1218" s="21">
        <v>9125</v>
      </c>
      <c r="C1218" s="14" t="s">
        <v>100</v>
      </c>
      <c r="D1218" s="22">
        <v>1712.1</v>
      </c>
      <c r="E1218" s="23">
        <v>42019</v>
      </c>
      <c r="F1218" s="24">
        <v>1712.1</v>
      </c>
      <c r="G1218" s="31">
        <f t="shared" si="18"/>
        <v>0</v>
      </c>
      <c r="H1218" s="19" t="s">
        <v>9</v>
      </c>
      <c r="I1218" s="4"/>
      <c r="J1218" s="4"/>
    </row>
    <row r="1219" spans="1:10" s="3" customFormat="1" x14ac:dyDescent="0.25">
      <c r="A1219" s="20">
        <v>42019</v>
      </c>
      <c r="B1219" s="21">
        <v>9126</v>
      </c>
      <c r="C1219" s="14" t="s">
        <v>229</v>
      </c>
      <c r="D1219" s="22">
        <v>5741.52</v>
      </c>
      <c r="E1219" s="23">
        <v>42019</v>
      </c>
      <c r="F1219" s="24">
        <v>5741.52</v>
      </c>
      <c r="G1219" s="31">
        <f t="shared" ref="G1219:G1282" si="19">D1219-F1219</f>
        <v>0</v>
      </c>
      <c r="H1219" s="19" t="s">
        <v>9</v>
      </c>
      <c r="I1219" s="4"/>
      <c r="J1219" s="4"/>
    </row>
    <row r="1220" spans="1:10" s="3" customFormat="1" x14ac:dyDescent="0.25">
      <c r="A1220" s="20">
        <v>42019</v>
      </c>
      <c r="B1220" s="21">
        <v>9127</v>
      </c>
      <c r="C1220" s="14" t="s">
        <v>264</v>
      </c>
      <c r="D1220" s="22">
        <v>660</v>
      </c>
      <c r="E1220" s="23">
        <v>42019</v>
      </c>
      <c r="F1220" s="24">
        <v>660</v>
      </c>
      <c r="G1220" s="31">
        <f t="shared" si="19"/>
        <v>0</v>
      </c>
      <c r="H1220" s="19" t="s">
        <v>9</v>
      </c>
      <c r="I1220" s="4"/>
      <c r="J1220" s="4"/>
    </row>
    <row r="1221" spans="1:10" s="3" customFormat="1" x14ac:dyDescent="0.25">
      <c r="A1221" s="20">
        <v>42019</v>
      </c>
      <c r="B1221" s="21">
        <v>9128</v>
      </c>
      <c r="C1221" s="26" t="s">
        <v>218</v>
      </c>
      <c r="D1221" s="27">
        <v>0</v>
      </c>
      <c r="E1221" s="23"/>
      <c r="F1221" s="24"/>
      <c r="G1221" s="31">
        <f t="shared" si="19"/>
        <v>0</v>
      </c>
      <c r="H1221" s="19" t="s">
        <v>13</v>
      </c>
      <c r="I1221" s="4"/>
      <c r="J1221" s="4"/>
    </row>
    <row r="1222" spans="1:10" s="3" customFormat="1" x14ac:dyDescent="0.25">
      <c r="A1222" s="20">
        <v>42019</v>
      </c>
      <c r="B1222" s="21">
        <v>9129</v>
      </c>
      <c r="C1222" s="14" t="s">
        <v>190</v>
      </c>
      <c r="D1222" s="22">
        <v>3615.2</v>
      </c>
      <c r="E1222" s="23">
        <v>42020</v>
      </c>
      <c r="F1222" s="24">
        <v>3615.2</v>
      </c>
      <c r="G1222" s="31">
        <f t="shared" si="19"/>
        <v>0</v>
      </c>
      <c r="H1222" s="19" t="s">
        <v>19</v>
      </c>
      <c r="I1222" s="4"/>
      <c r="J1222" s="28"/>
    </row>
    <row r="1223" spans="1:10" s="3" customFormat="1" x14ac:dyDescent="0.25">
      <c r="A1223" s="20">
        <v>42019</v>
      </c>
      <c r="B1223" s="21">
        <v>9130</v>
      </c>
      <c r="C1223" s="14" t="s">
        <v>111</v>
      </c>
      <c r="D1223" s="22">
        <v>160513</v>
      </c>
      <c r="E1223" s="23">
        <v>42019</v>
      </c>
      <c r="F1223" s="24">
        <v>160513</v>
      </c>
      <c r="G1223" s="31">
        <f t="shared" si="19"/>
        <v>0</v>
      </c>
      <c r="H1223" s="19" t="s">
        <v>9</v>
      </c>
      <c r="I1223" s="4"/>
      <c r="J1223" s="4"/>
    </row>
    <row r="1224" spans="1:10" s="3" customFormat="1" x14ac:dyDescent="0.25">
      <c r="A1224" s="20">
        <v>42019</v>
      </c>
      <c r="B1224" s="21">
        <v>9131</v>
      </c>
      <c r="C1224" s="14" t="s">
        <v>343</v>
      </c>
      <c r="D1224" s="22">
        <v>1024</v>
      </c>
      <c r="E1224" s="23">
        <v>42020</v>
      </c>
      <c r="F1224" s="24">
        <v>1024</v>
      </c>
      <c r="G1224" s="31">
        <f t="shared" si="19"/>
        <v>0</v>
      </c>
      <c r="H1224" s="19" t="s">
        <v>19</v>
      </c>
      <c r="I1224" s="4"/>
      <c r="J1224" s="4"/>
    </row>
    <row r="1225" spans="1:10" s="3" customFormat="1" x14ac:dyDescent="0.25">
      <c r="A1225" s="20">
        <v>42019</v>
      </c>
      <c r="B1225" s="21">
        <v>9132</v>
      </c>
      <c r="C1225" s="14" t="s">
        <v>344</v>
      </c>
      <c r="D1225" s="22">
        <v>421.35</v>
      </c>
      <c r="E1225" s="23">
        <v>42019</v>
      </c>
      <c r="F1225" s="24">
        <v>421.35</v>
      </c>
      <c r="G1225" s="31">
        <f t="shared" si="19"/>
        <v>0</v>
      </c>
      <c r="H1225" s="39" t="s">
        <v>9</v>
      </c>
      <c r="I1225" s="4"/>
      <c r="J1225" s="4"/>
    </row>
    <row r="1226" spans="1:10" s="3" customFormat="1" x14ac:dyDescent="0.25">
      <c r="A1226" s="20">
        <v>42019</v>
      </c>
      <c r="B1226" s="21">
        <v>9133</v>
      </c>
      <c r="C1226" s="14" t="s">
        <v>136</v>
      </c>
      <c r="D1226" s="22">
        <v>28544</v>
      </c>
      <c r="E1226" s="29" t="s">
        <v>345</v>
      </c>
      <c r="F1226" s="24">
        <f>17500+11044</f>
        <v>28544</v>
      </c>
      <c r="G1226" s="31">
        <f t="shared" si="19"/>
        <v>0</v>
      </c>
      <c r="H1226" s="39" t="s">
        <v>9</v>
      </c>
      <c r="I1226" s="4"/>
      <c r="J1226" s="4"/>
    </row>
    <row r="1227" spans="1:10" s="3" customFormat="1" x14ac:dyDescent="0.25">
      <c r="A1227" s="20">
        <v>42019</v>
      </c>
      <c r="B1227" s="21">
        <v>9134</v>
      </c>
      <c r="C1227" s="14" t="s">
        <v>89</v>
      </c>
      <c r="D1227" s="22">
        <v>2765.1</v>
      </c>
      <c r="E1227" s="23">
        <v>42019</v>
      </c>
      <c r="F1227" s="24">
        <v>2765.1</v>
      </c>
      <c r="G1227" s="31">
        <f t="shared" si="19"/>
        <v>0</v>
      </c>
      <c r="H1227" s="39" t="s">
        <v>9</v>
      </c>
      <c r="I1227" s="4"/>
      <c r="J1227" s="4"/>
    </row>
    <row r="1228" spans="1:10" s="3" customFormat="1" x14ac:dyDescent="0.25">
      <c r="A1228" s="20">
        <v>42019</v>
      </c>
      <c r="B1228" s="21">
        <v>9135</v>
      </c>
      <c r="C1228" s="14" t="s">
        <v>24</v>
      </c>
      <c r="D1228" s="22">
        <v>45395.32</v>
      </c>
      <c r="E1228" s="23">
        <v>42021</v>
      </c>
      <c r="F1228" s="24">
        <v>45395.32</v>
      </c>
      <c r="G1228" s="31">
        <f t="shared" si="19"/>
        <v>0</v>
      </c>
      <c r="H1228" s="39" t="s">
        <v>62</v>
      </c>
      <c r="I1228" s="4"/>
      <c r="J1228" s="4"/>
    </row>
    <row r="1229" spans="1:10" s="3" customFormat="1" x14ac:dyDescent="0.25">
      <c r="A1229" s="20">
        <v>42019</v>
      </c>
      <c r="B1229" s="21">
        <v>9136</v>
      </c>
      <c r="C1229" s="14" t="s">
        <v>24</v>
      </c>
      <c r="D1229" s="22">
        <v>19434</v>
      </c>
      <c r="E1229" s="23">
        <v>42021</v>
      </c>
      <c r="F1229" s="24">
        <v>19434</v>
      </c>
      <c r="G1229" s="31">
        <f t="shared" si="19"/>
        <v>0</v>
      </c>
      <c r="H1229" s="39" t="s">
        <v>62</v>
      </c>
      <c r="I1229" s="4"/>
      <c r="J1229" s="4"/>
    </row>
    <row r="1230" spans="1:10" s="3" customFormat="1" x14ac:dyDescent="0.25">
      <c r="A1230" s="20">
        <v>42019</v>
      </c>
      <c r="B1230" s="21">
        <v>9137</v>
      </c>
      <c r="C1230" s="14" t="s">
        <v>66</v>
      </c>
      <c r="D1230" s="22">
        <v>1310.4000000000001</v>
      </c>
      <c r="E1230" s="23">
        <v>42019</v>
      </c>
      <c r="F1230" s="24">
        <v>1310.4000000000001</v>
      </c>
      <c r="G1230" s="31">
        <f t="shared" si="19"/>
        <v>0</v>
      </c>
      <c r="H1230" s="39" t="s">
        <v>9</v>
      </c>
      <c r="I1230" s="4"/>
      <c r="J1230" s="4"/>
    </row>
    <row r="1231" spans="1:10" s="3" customFormat="1" x14ac:dyDescent="0.25">
      <c r="A1231" s="20">
        <v>42019</v>
      </c>
      <c r="B1231" s="21">
        <v>9138</v>
      </c>
      <c r="C1231" s="14" t="s">
        <v>110</v>
      </c>
      <c r="D1231" s="22">
        <v>3994</v>
      </c>
      <c r="E1231" s="23">
        <v>42023</v>
      </c>
      <c r="F1231" s="24">
        <v>3994</v>
      </c>
      <c r="G1231" s="31">
        <f t="shared" si="19"/>
        <v>0</v>
      </c>
      <c r="H1231" s="39" t="s">
        <v>149</v>
      </c>
      <c r="I1231" s="4"/>
      <c r="J1231" s="4"/>
    </row>
    <row r="1232" spans="1:10" s="3" customFormat="1" x14ac:dyDescent="0.25">
      <c r="A1232" s="20">
        <v>42019</v>
      </c>
      <c r="B1232" s="21">
        <v>9139</v>
      </c>
      <c r="C1232" s="14" t="s">
        <v>110</v>
      </c>
      <c r="D1232" s="22">
        <v>55515.56</v>
      </c>
      <c r="E1232" s="29" t="s">
        <v>346</v>
      </c>
      <c r="F1232" s="24">
        <f>9920+45595.56</f>
        <v>55515.56</v>
      </c>
      <c r="G1232" s="31">
        <f t="shared" si="19"/>
        <v>0</v>
      </c>
      <c r="H1232" s="39" t="s">
        <v>46</v>
      </c>
      <c r="I1232" s="4"/>
      <c r="J1232" s="4"/>
    </row>
    <row r="1233" spans="1:10" s="3" customFormat="1" x14ac:dyDescent="0.25">
      <c r="A1233" s="20">
        <v>42019</v>
      </c>
      <c r="B1233" s="21">
        <v>9140</v>
      </c>
      <c r="C1233" s="14" t="s">
        <v>64</v>
      </c>
      <c r="D1233" s="22">
        <v>2011.8</v>
      </c>
      <c r="E1233" s="23">
        <v>42019</v>
      </c>
      <c r="F1233" s="24">
        <v>2011.8</v>
      </c>
      <c r="G1233" s="31">
        <f t="shared" si="19"/>
        <v>0</v>
      </c>
      <c r="H1233" s="39" t="s">
        <v>9</v>
      </c>
      <c r="I1233" s="4"/>
      <c r="J1233" s="4"/>
    </row>
    <row r="1234" spans="1:10" s="3" customFormat="1" x14ac:dyDescent="0.25">
      <c r="A1234" s="20">
        <v>42019</v>
      </c>
      <c r="B1234" s="21">
        <v>9141</v>
      </c>
      <c r="C1234" s="14" t="s">
        <v>112</v>
      </c>
      <c r="D1234" s="22">
        <v>8465.4</v>
      </c>
      <c r="E1234" s="23">
        <v>42019</v>
      </c>
      <c r="F1234" s="24">
        <v>8465.4</v>
      </c>
      <c r="G1234" s="31">
        <f t="shared" si="19"/>
        <v>0</v>
      </c>
      <c r="H1234" s="39" t="s">
        <v>9</v>
      </c>
    </row>
    <row r="1235" spans="1:10" s="3" customFormat="1" x14ac:dyDescent="0.25">
      <c r="A1235" s="20">
        <v>42019</v>
      </c>
      <c r="B1235" s="21">
        <v>9142</v>
      </c>
      <c r="C1235" s="14" t="s">
        <v>347</v>
      </c>
      <c r="D1235" s="22">
        <v>707.72</v>
      </c>
      <c r="E1235" s="23">
        <v>42021</v>
      </c>
      <c r="F1235" s="24">
        <v>707.72</v>
      </c>
      <c r="G1235" s="31">
        <f t="shared" si="19"/>
        <v>0</v>
      </c>
      <c r="H1235" s="39" t="s">
        <v>149</v>
      </c>
    </row>
    <row r="1236" spans="1:10" s="3" customFormat="1" x14ac:dyDescent="0.25">
      <c r="A1236" s="20">
        <v>42019</v>
      </c>
      <c r="B1236" s="21">
        <v>9143</v>
      </c>
      <c r="C1236" s="14" t="s">
        <v>37</v>
      </c>
      <c r="D1236" s="22">
        <v>26012</v>
      </c>
      <c r="E1236" s="23">
        <v>42025</v>
      </c>
      <c r="F1236" s="24">
        <v>26012</v>
      </c>
      <c r="G1236" s="31">
        <f t="shared" si="19"/>
        <v>0</v>
      </c>
      <c r="H1236" s="39" t="s">
        <v>36</v>
      </c>
    </row>
    <row r="1237" spans="1:10" s="3" customFormat="1" x14ac:dyDescent="0.25">
      <c r="A1237" s="20">
        <v>42019</v>
      </c>
      <c r="B1237" s="21">
        <v>9144</v>
      </c>
      <c r="C1237" s="14" t="s">
        <v>55</v>
      </c>
      <c r="D1237" s="22">
        <v>24027.78</v>
      </c>
      <c r="E1237" s="23">
        <v>42020</v>
      </c>
      <c r="F1237" s="24">
        <v>24027.78</v>
      </c>
      <c r="G1237" s="31">
        <f t="shared" si="19"/>
        <v>0</v>
      </c>
      <c r="H1237" s="39" t="s">
        <v>36</v>
      </c>
    </row>
    <row r="1238" spans="1:10" s="3" customFormat="1" x14ac:dyDescent="0.25">
      <c r="A1238" s="20">
        <v>42019</v>
      </c>
      <c r="B1238" s="21">
        <v>9145</v>
      </c>
      <c r="C1238" s="14" t="s">
        <v>37</v>
      </c>
      <c r="D1238" s="22">
        <v>25502.400000000001</v>
      </c>
      <c r="E1238" s="23">
        <v>42025</v>
      </c>
      <c r="F1238" s="24">
        <v>25502.400000000001</v>
      </c>
      <c r="G1238" s="31">
        <f t="shared" si="19"/>
        <v>0</v>
      </c>
      <c r="H1238" s="39" t="s">
        <v>36</v>
      </c>
    </row>
    <row r="1239" spans="1:10" s="3" customFormat="1" x14ac:dyDescent="0.25">
      <c r="A1239" s="20">
        <v>42019</v>
      </c>
      <c r="B1239" s="21">
        <v>9146</v>
      </c>
      <c r="C1239" s="14" t="s">
        <v>195</v>
      </c>
      <c r="D1239" s="22">
        <v>118616.52</v>
      </c>
      <c r="E1239" s="23">
        <v>42021</v>
      </c>
      <c r="F1239" s="24">
        <v>118616.52</v>
      </c>
      <c r="G1239" s="31">
        <f t="shared" si="19"/>
        <v>0</v>
      </c>
      <c r="H1239" s="39" t="s">
        <v>149</v>
      </c>
    </row>
    <row r="1240" spans="1:10" s="3" customFormat="1" x14ac:dyDescent="0.25">
      <c r="A1240" s="20">
        <v>42019</v>
      </c>
      <c r="B1240" s="21">
        <v>9147</v>
      </c>
      <c r="C1240" s="14" t="s">
        <v>207</v>
      </c>
      <c r="D1240" s="22">
        <v>58310.1</v>
      </c>
      <c r="E1240" s="23">
        <v>42025</v>
      </c>
      <c r="F1240" s="24">
        <v>58310.1</v>
      </c>
      <c r="G1240" s="31">
        <f t="shared" si="19"/>
        <v>0</v>
      </c>
      <c r="H1240" s="39" t="s">
        <v>149</v>
      </c>
    </row>
    <row r="1241" spans="1:10" s="3" customFormat="1" x14ac:dyDescent="0.25">
      <c r="A1241" s="20">
        <v>42019</v>
      </c>
      <c r="B1241" s="21">
        <v>9148</v>
      </c>
      <c r="C1241" s="14" t="s">
        <v>200</v>
      </c>
      <c r="D1241" s="22">
        <v>1943</v>
      </c>
      <c r="E1241" s="23">
        <v>42021</v>
      </c>
      <c r="F1241" s="24">
        <v>1943</v>
      </c>
      <c r="G1241" s="31">
        <f t="shared" si="19"/>
        <v>0</v>
      </c>
      <c r="H1241" s="39" t="s">
        <v>149</v>
      </c>
    </row>
    <row r="1242" spans="1:10" s="3" customFormat="1" x14ac:dyDescent="0.25">
      <c r="A1242" s="20">
        <v>42019</v>
      </c>
      <c r="B1242" s="21">
        <v>9149</v>
      </c>
      <c r="C1242" s="14" t="s">
        <v>201</v>
      </c>
      <c r="D1242" s="22">
        <v>1315.6</v>
      </c>
      <c r="E1242" s="23">
        <v>42021</v>
      </c>
      <c r="F1242" s="24">
        <v>1315.6</v>
      </c>
      <c r="G1242" s="31">
        <f t="shared" si="19"/>
        <v>0</v>
      </c>
      <c r="H1242" s="39" t="s">
        <v>149</v>
      </c>
    </row>
    <row r="1243" spans="1:10" s="3" customFormat="1" x14ac:dyDescent="0.25">
      <c r="A1243" s="20">
        <v>42019</v>
      </c>
      <c r="B1243" s="21">
        <v>9150</v>
      </c>
      <c r="C1243" s="14" t="s">
        <v>252</v>
      </c>
      <c r="D1243" s="22">
        <v>5517</v>
      </c>
      <c r="E1243" s="23">
        <v>42019</v>
      </c>
      <c r="F1243" s="24">
        <v>5517</v>
      </c>
      <c r="G1243" s="31">
        <f t="shared" si="19"/>
        <v>0</v>
      </c>
      <c r="H1243" s="39" t="s">
        <v>9</v>
      </c>
    </row>
    <row r="1244" spans="1:10" s="3" customFormat="1" x14ac:dyDescent="0.25">
      <c r="A1244" s="20">
        <v>42019</v>
      </c>
      <c r="B1244" s="21">
        <v>9151</v>
      </c>
      <c r="C1244" s="14" t="s">
        <v>198</v>
      </c>
      <c r="D1244" s="22">
        <v>12650.9</v>
      </c>
      <c r="E1244" s="23">
        <v>42021</v>
      </c>
      <c r="F1244" s="24">
        <v>12650.9</v>
      </c>
      <c r="G1244" s="31">
        <f t="shared" si="19"/>
        <v>0</v>
      </c>
      <c r="H1244" s="39" t="s">
        <v>149</v>
      </c>
    </row>
    <row r="1245" spans="1:10" s="3" customFormat="1" x14ac:dyDescent="0.25">
      <c r="A1245" s="20">
        <v>42019</v>
      </c>
      <c r="B1245" s="21">
        <v>9152</v>
      </c>
      <c r="C1245" s="14" t="s">
        <v>204</v>
      </c>
      <c r="D1245" s="22">
        <v>8729</v>
      </c>
      <c r="E1245" s="23">
        <v>42021</v>
      </c>
      <c r="F1245" s="24">
        <v>8729</v>
      </c>
      <c r="G1245" s="31">
        <f t="shared" si="19"/>
        <v>0</v>
      </c>
      <c r="H1245" s="39" t="s">
        <v>149</v>
      </c>
    </row>
    <row r="1246" spans="1:10" s="3" customFormat="1" x14ac:dyDescent="0.25">
      <c r="A1246" s="20">
        <v>42019</v>
      </c>
      <c r="B1246" s="21">
        <v>9153</v>
      </c>
      <c r="C1246" s="14" t="s">
        <v>265</v>
      </c>
      <c r="D1246" s="22">
        <v>4339.3999999999996</v>
      </c>
      <c r="E1246" s="23">
        <v>42019</v>
      </c>
      <c r="F1246" s="24">
        <v>4339.3999999999996</v>
      </c>
      <c r="G1246" s="31">
        <f t="shared" si="19"/>
        <v>0</v>
      </c>
      <c r="H1246" s="39" t="s">
        <v>9</v>
      </c>
    </row>
    <row r="1247" spans="1:10" s="3" customFormat="1" x14ac:dyDescent="0.25">
      <c r="A1247" s="20">
        <v>42019</v>
      </c>
      <c r="B1247" s="21">
        <v>9154</v>
      </c>
      <c r="C1247" s="14" t="s">
        <v>205</v>
      </c>
      <c r="D1247" s="22">
        <v>9833.2000000000007</v>
      </c>
      <c r="E1247" s="30" t="s">
        <v>348</v>
      </c>
      <c r="F1247" s="24">
        <v>9833.2000000000007</v>
      </c>
      <c r="G1247" s="31">
        <f t="shared" si="19"/>
        <v>0</v>
      </c>
      <c r="H1247" s="39" t="s">
        <v>149</v>
      </c>
    </row>
    <row r="1248" spans="1:10" s="3" customFormat="1" x14ac:dyDescent="0.25">
      <c r="A1248" s="20">
        <v>42019</v>
      </c>
      <c r="B1248" s="21">
        <v>9155</v>
      </c>
      <c r="C1248" s="14" t="s">
        <v>68</v>
      </c>
      <c r="D1248" s="22">
        <v>3492.1</v>
      </c>
      <c r="E1248" s="23">
        <v>42021</v>
      </c>
      <c r="F1248" s="24">
        <v>3492.1</v>
      </c>
      <c r="G1248" s="31">
        <f t="shared" si="19"/>
        <v>0</v>
      </c>
      <c r="H1248" s="39" t="s">
        <v>149</v>
      </c>
    </row>
    <row r="1249" spans="1:8" s="3" customFormat="1" x14ac:dyDescent="0.25">
      <c r="A1249" s="20">
        <v>42019</v>
      </c>
      <c r="B1249" s="21">
        <v>9156</v>
      </c>
      <c r="C1249" s="14" t="s">
        <v>262</v>
      </c>
      <c r="D1249" s="22">
        <v>30712</v>
      </c>
      <c r="E1249" s="23">
        <v>42021</v>
      </c>
      <c r="F1249" s="24">
        <v>30712</v>
      </c>
      <c r="G1249" s="31">
        <f t="shared" si="19"/>
        <v>0</v>
      </c>
      <c r="H1249" s="39" t="s">
        <v>149</v>
      </c>
    </row>
    <row r="1250" spans="1:8" s="3" customFormat="1" x14ac:dyDescent="0.25">
      <c r="A1250" s="20">
        <v>42019</v>
      </c>
      <c r="B1250" s="21">
        <v>9157</v>
      </c>
      <c r="C1250" s="14" t="s">
        <v>349</v>
      </c>
      <c r="D1250" s="22">
        <v>6570</v>
      </c>
      <c r="E1250" s="23">
        <v>42021</v>
      </c>
      <c r="F1250" s="24">
        <v>6570</v>
      </c>
      <c r="G1250" s="31">
        <f t="shared" si="19"/>
        <v>0</v>
      </c>
      <c r="H1250" s="39" t="s">
        <v>149</v>
      </c>
    </row>
    <row r="1251" spans="1:8" s="3" customFormat="1" x14ac:dyDescent="0.25">
      <c r="A1251" s="20">
        <v>42019</v>
      </c>
      <c r="B1251" s="21">
        <v>9158</v>
      </c>
      <c r="C1251" s="14" t="s">
        <v>350</v>
      </c>
      <c r="D1251" s="22">
        <v>1777.5</v>
      </c>
      <c r="E1251" s="23">
        <v>42021</v>
      </c>
      <c r="F1251" s="24">
        <v>1777.5</v>
      </c>
      <c r="G1251" s="31">
        <f t="shared" si="19"/>
        <v>0</v>
      </c>
      <c r="H1251" s="39" t="s">
        <v>149</v>
      </c>
    </row>
    <row r="1252" spans="1:8" s="3" customFormat="1" x14ac:dyDescent="0.25">
      <c r="A1252" s="20">
        <v>42019</v>
      </c>
      <c r="B1252" s="21">
        <v>9159</v>
      </c>
      <c r="C1252" s="14" t="s">
        <v>76</v>
      </c>
      <c r="D1252" s="22">
        <v>1052</v>
      </c>
      <c r="E1252" s="23">
        <v>42019</v>
      </c>
      <c r="F1252" s="24">
        <v>1052</v>
      </c>
      <c r="G1252" s="31">
        <f t="shared" si="19"/>
        <v>0</v>
      </c>
      <c r="H1252" s="39" t="s">
        <v>9</v>
      </c>
    </row>
    <row r="1253" spans="1:8" s="3" customFormat="1" x14ac:dyDescent="0.25">
      <c r="A1253" s="20">
        <v>42019</v>
      </c>
      <c r="B1253" s="21">
        <v>9160</v>
      </c>
      <c r="C1253" s="14" t="s">
        <v>38</v>
      </c>
      <c r="D1253" s="22">
        <v>39117</v>
      </c>
      <c r="E1253" s="29" t="s">
        <v>351</v>
      </c>
      <c r="F1253" s="24">
        <f>195+38922</f>
        <v>39117</v>
      </c>
      <c r="G1253" s="31">
        <f t="shared" si="19"/>
        <v>0</v>
      </c>
      <c r="H1253" s="39" t="s">
        <v>94</v>
      </c>
    </row>
    <row r="1254" spans="1:8" s="3" customFormat="1" x14ac:dyDescent="0.25">
      <c r="A1254" s="20">
        <v>42019</v>
      </c>
      <c r="B1254" s="21">
        <v>9161</v>
      </c>
      <c r="C1254" s="14" t="s">
        <v>352</v>
      </c>
      <c r="D1254" s="22">
        <v>340.3</v>
      </c>
      <c r="E1254" s="23">
        <v>42019</v>
      </c>
      <c r="F1254" s="24">
        <v>340.3</v>
      </c>
      <c r="G1254" s="31">
        <f t="shared" si="19"/>
        <v>0</v>
      </c>
      <c r="H1254" s="39" t="s">
        <v>9</v>
      </c>
    </row>
    <row r="1255" spans="1:8" s="3" customFormat="1" x14ac:dyDescent="0.25">
      <c r="A1255" s="20">
        <v>42019</v>
      </c>
      <c r="B1255" s="21">
        <v>9162</v>
      </c>
      <c r="C1255" s="14" t="s">
        <v>197</v>
      </c>
      <c r="D1255" s="22">
        <v>4817.3999999999996</v>
      </c>
      <c r="E1255" s="23">
        <v>42021</v>
      </c>
      <c r="F1255" s="24">
        <v>4817.3999999999996</v>
      </c>
      <c r="G1255" s="31">
        <f t="shared" si="19"/>
        <v>0</v>
      </c>
      <c r="H1255" s="39" t="s">
        <v>149</v>
      </c>
    </row>
    <row r="1256" spans="1:8" s="3" customFormat="1" x14ac:dyDescent="0.25">
      <c r="A1256" s="20">
        <v>42019</v>
      </c>
      <c r="B1256" s="21">
        <v>9163</v>
      </c>
      <c r="C1256" s="14" t="s">
        <v>141</v>
      </c>
      <c r="D1256" s="22">
        <v>1980</v>
      </c>
      <c r="E1256" s="23">
        <v>42019</v>
      </c>
      <c r="F1256" s="24">
        <v>1980</v>
      </c>
      <c r="G1256" s="31">
        <f t="shared" si="19"/>
        <v>0</v>
      </c>
      <c r="H1256" s="39" t="s">
        <v>9</v>
      </c>
    </row>
    <row r="1257" spans="1:8" s="3" customFormat="1" x14ac:dyDescent="0.25">
      <c r="A1257" s="20">
        <v>42019</v>
      </c>
      <c r="B1257" s="21">
        <v>9164</v>
      </c>
      <c r="C1257" s="14" t="s">
        <v>14</v>
      </c>
      <c r="D1257" s="22">
        <v>99808.13</v>
      </c>
      <c r="E1257" s="23">
        <v>42021</v>
      </c>
      <c r="F1257" s="24">
        <v>99808.13</v>
      </c>
      <c r="G1257" s="31">
        <f t="shared" si="19"/>
        <v>0</v>
      </c>
      <c r="H1257" s="39" t="s">
        <v>46</v>
      </c>
    </row>
    <row r="1258" spans="1:8" s="3" customFormat="1" x14ac:dyDescent="0.25">
      <c r="A1258" s="20">
        <v>42019</v>
      </c>
      <c r="B1258" s="21">
        <v>9165</v>
      </c>
      <c r="C1258" s="14" t="s">
        <v>353</v>
      </c>
      <c r="D1258" s="22">
        <v>1417.6</v>
      </c>
      <c r="E1258" s="23">
        <v>42019</v>
      </c>
      <c r="F1258" s="24">
        <v>1417.6</v>
      </c>
      <c r="G1258" s="31">
        <f t="shared" si="19"/>
        <v>0</v>
      </c>
      <c r="H1258" s="39" t="s">
        <v>9</v>
      </c>
    </row>
    <row r="1259" spans="1:8" s="3" customFormat="1" x14ac:dyDescent="0.25">
      <c r="A1259" s="20">
        <v>42019</v>
      </c>
      <c r="B1259" s="21">
        <v>9166</v>
      </c>
      <c r="C1259" s="14" t="s">
        <v>353</v>
      </c>
      <c r="D1259" s="22">
        <v>136</v>
      </c>
      <c r="E1259" s="23">
        <v>42019</v>
      </c>
      <c r="F1259" s="24">
        <v>136</v>
      </c>
      <c r="G1259" s="31">
        <f t="shared" si="19"/>
        <v>0</v>
      </c>
      <c r="H1259" s="39" t="s">
        <v>9</v>
      </c>
    </row>
    <row r="1260" spans="1:8" s="3" customFormat="1" x14ac:dyDescent="0.25">
      <c r="A1260" s="20">
        <v>42019</v>
      </c>
      <c r="B1260" s="21">
        <v>9167</v>
      </c>
      <c r="C1260" s="14" t="s">
        <v>235</v>
      </c>
      <c r="D1260" s="22">
        <v>2419.6</v>
      </c>
      <c r="E1260" s="23">
        <v>42019</v>
      </c>
      <c r="F1260" s="24">
        <v>2419.6</v>
      </c>
      <c r="G1260" s="31">
        <f t="shared" si="19"/>
        <v>0</v>
      </c>
      <c r="H1260" s="39" t="s">
        <v>17</v>
      </c>
    </row>
    <row r="1261" spans="1:8" s="3" customFormat="1" x14ac:dyDescent="0.25">
      <c r="A1261" s="20">
        <v>42019</v>
      </c>
      <c r="B1261" s="21">
        <v>9168</v>
      </c>
      <c r="C1261" s="14" t="s">
        <v>45</v>
      </c>
      <c r="D1261" s="22">
        <v>81876.41</v>
      </c>
      <c r="E1261" s="29" t="s">
        <v>354</v>
      </c>
      <c r="F1261" s="24">
        <f>61395.1+20481.31</f>
        <v>81876.41</v>
      </c>
      <c r="G1261" s="31">
        <f t="shared" si="19"/>
        <v>0</v>
      </c>
      <c r="H1261" s="39" t="s">
        <v>46</v>
      </c>
    </row>
    <row r="1262" spans="1:8" s="3" customFormat="1" x14ac:dyDescent="0.25">
      <c r="A1262" s="20">
        <v>42019</v>
      </c>
      <c r="B1262" s="21">
        <v>9169</v>
      </c>
      <c r="C1262" s="14" t="s">
        <v>24</v>
      </c>
      <c r="D1262" s="22">
        <v>54185</v>
      </c>
      <c r="E1262" s="23">
        <v>42023</v>
      </c>
      <c r="F1262" s="24">
        <v>54185</v>
      </c>
      <c r="G1262" s="31">
        <f t="shared" si="19"/>
        <v>0</v>
      </c>
      <c r="H1262" s="39" t="s">
        <v>59</v>
      </c>
    </row>
    <row r="1263" spans="1:8" s="3" customFormat="1" x14ac:dyDescent="0.25">
      <c r="A1263" s="20">
        <v>42019</v>
      </c>
      <c r="B1263" s="21">
        <v>9170</v>
      </c>
      <c r="C1263" s="14" t="s">
        <v>111</v>
      </c>
      <c r="D1263" s="22">
        <v>157543</v>
      </c>
      <c r="E1263" s="51">
        <v>42021</v>
      </c>
      <c r="F1263" s="24">
        <v>157543</v>
      </c>
      <c r="G1263" s="31">
        <f t="shared" si="19"/>
        <v>0</v>
      </c>
      <c r="H1263" s="39" t="s">
        <v>9</v>
      </c>
    </row>
    <row r="1264" spans="1:8" s="3" customFormat="1" x14ac:dyDescent="0.25">
      <c r="A1264" s="20">
        <v>42020</v>
      </c>
      <c r="B1264" s="21">
        <v>9171</v>
      </c>
      <c r="C1264" s="14" t="s">
        <v>16</v>
      </c>
      <c r="D1264" s="22">
        <v>9605.2000000000007</v>
      </c>
      <c r="E1264" s="23">
        <v>42020</v>
      </c>
      <c r="F1264" s="24">
        <v>9605.2000000000007</v>
      </c>
      <c r="G1264" s="31">
        <f t="shared" si="19"/>
        <v>0</v>
      </c>
      <c r="H1264" s="39" t="s">
        <v>19</v>
      </c>
    </row>
    <row r="1265" spans="1:8" s="3" customFormat="1" x14ac:dyDescent="0.25">
      <c r="A1265" s="20">
        <v>42020</v>
      </c>
      <c r="B1265" s="21">
        <v>9172</v>
      </c>
      <c r="C1265" s="26" t="s">
        <v>218</v>
      </c>
      <c r="D1265" s="27">
        <v>0</v>
      </c>
      <c r="E1265" s="23"/>
      <c r="F1265" s="24"/>
      <c r="G1265" s="31">
        <f t="shared" si="19"/>
        <v>0</v>
      </c>
      <c r="H1265" s="39" t="s">
        <v>13</v>
      </c>
    </row>
    <row r="1266" spans="1:8" s="3" customFormat="1" x14ac:dyDescent="0.25">
      <c r="A1266" s="20">
        <v>42020</v>
      </c>
      <c r="B1266" s="21">
        <v>9173</v>
      </c>
      <c r="C1266" s="14" t="s">
        <v>75</v>
      </c>
      <c r="D1266" s="22">
        <v>22677.200000000001</v>
      </c>
      <c r="E1266" s="23">
        <v>42022</v>
      </c>
      <c r="F1266" s="24">
        <v>22677.200000000001</v>
      </c>
      <c r="G1266" s="31">
        <f t="shared" si="19"/>
        <v>0</v>
      </c>
      <c r="H1266" s="39" t="s">
        <v>62</v>
      </c>
    </row>
    <row r="1267" spans="1:8" s="3" customFormat="1" x14ac:dyDescent="0.25">
      <c r="A1267" s="20">
        <v>42020</v>
      </c>
      <c r="B1267" s="21">
        <v>9174</v>
      </c>
      <c r="C1267" s="14" t="s">
        <v>103</v>
      </c>
      <c r="D1267" s="22">
        <v>51716</v>
      </c>
      <c r="E1267" s="23">
        <v>42021</v>
      </c>
      <c r="F1267" s="24">
        <v>51716</v>
      </c>
      <c r="G1267" s="31">
        <f t="shared" si="19"/>
        <v>0</v>
      </c>
      <c r="H1267" s="39" t="s">
        <v>94</v>
      </c>
    </row>
    <row r="1268" spans="1:8" s="3" customFormat="1" x14ac:dyDescent="0.25">
      <c r="A1268" s="20">
        <v>42020</v>
      </c>
      <c r="B1268" s="21">
        <v>9175</v>
      </c>
      <c r="C1268" s="14" t="s">
        <v>31</v>
      </c>
      <c r="D1268" s="22">
        <v>2630</v>
      </c>
      <c r="E1268" s="23">
        <v>42020</v>
      </c>
      <c r="F1268" s="24">
        <v>2630</v>
      </c>
      <c r="G1268" s="31">
        <f t="shared" si="19"/>
        <v>0</v>
      </c>
      <c r="H1268" s="39" t="s">
        <v>19</v>
      </c>
    </row>
    <row r="1269" spans="1:8" s="3" customFormat="1" x14ac:dyDescent="0.25">
      <c r="A1269" s="20">
        <v>42020</v>
      </c>
      <c r="B1269" s="21">
        <v>9176</v>
      </c>
      <c r="C1269" s="14" t="s">
        <v>67</v>
      </c>
      <c r="D1269" s="22">
        <v>4646.3999999999996</v>
      </c>
      <c r="E1269" s="23">
        <v>42022</v>
      </c>
      <c r="F1269" s="24">
        <v>4646.3999999999996</v>
      </c>
      <c r="G1269" s="31">
        <f t="shared" si="19"/>
        <v>0</v>
      </c>
      <c r="H1269" s="39" t="s">
        <v>62</v>
      </c>
    </row>
    <row r="1270" spans="1:8" s="3" customFormat="1" x14ac:dyDescent="0.25">
      <c r="A1270" s="20">
        <v>42020</v>
      </c>
      <c r="B1270" s="21">
        <v>9177</v>
      </c>
      <c r="C1270" s="14" t="s">
        <v>103</v>
      </c>
      <c r="D1270" s="22">
        <v>990</v>
      </c>
      <c r="E1270" s="23">
        <v>42021</v>
      </c>
      <c r="F1270" s="24">
        <v>990</v>
      </c>
      <c r="G1270" s="31">
        <f t="shared" si="19"/>
        <v>0</v>
      </c>
      <c r="H1270" s="39" t="s">
        <v>94</v>
      </c>
    </row>
    <row r="1271" spans="1:8" s="3" customFormat="1" x14ac:dyDescent="0.25">
      <c r="A1271" s="20">
        <v>42020</v>
      </c>
      <c r="B1271" s="21">
        <v>9178</v>
      </c>
      <c r="C1271" s="14" t="s">
        <v>18</v>
      </c>
      <c r="D1271" s="22">
        <v>22696.54</v>
      </c>
      <c r="E1271" s="23">
        <v>42025</v>
      </c>
      <c r="F1271" s="24">
        <v>22696.639999999999</v>
      </c>
      <c r="G1271" s="31">
        <f t="shared" si="19"/>
        <v>-9.9999999998544808E-2</v>
      </c>
      <c r="H1271" s="39" t="s">
        <v>9</v>
      </c>
    </row>
    <row r="1272" spans="1:8" s="3" customFormat="1" x14ac:dyDescent="0.25">
      <c r="A1272" s="20">
        <v>42020</v>
      </c>
      <c r="B1272" s="21">
        <v>9179</v>
      </c>
      <c r="C1272" s="14" t="s">
        <v>20</v>
      </c>
      <c r="D1272" s="22">
        <v>6031</v>
      </c>
      <c r="E1272" s="23">
        <v>42020</v>
      </c>
      <c r="F1272" s="24">
        <v>6031</v>
      </c>
      <c r="G1272" s="31">
        <f t="shared" si="19"/>
        <v>0</v>
      </c>
      <c r="H1272" s="39" t="s">
        <v>19</v>
      </c>
    </row>
    <row r="1273" spans="1:8" s="3" customFormat="1" x14ac:dyDescent="0.25">
      <c r="A1273" s="20">
        <v>42020</v>
      </c>
      <c r="B1273" s="21">
        <v>9180</v>
      </c>
      <c r="C1273" s="14" t="s">
        <v>267</v>
      </c>
      <c r="D1273" s="22">
        <v>2597.96</v>
      </c>
      <c r="E1273" s="23">
        <v>42020</v>
      </c>
      <c r="F1273" s="24">
        <v>2597.7600000000002</v>
      </c>
      <c r="G1273" s="31">
        <f t="shared" si="19"/>
        <v>0.1999999999998181</v>
      </c>
      <c r="H1273" s="39" t="s">
        <v>19</v>
      </c>
    </row>
    <row r="1274" spans="1:8" s="3" customFormat="1" x14ac:dyDescent="0.25">
      <c r="A1274" s="20">
        <v>42020</v>
      </c>
      <c r="B1274" s="21">
        <v>9181</v>
      </c>
      <c r="C1274" s="14" t="s">
        <v>14</v>
      </c>
      <c r="D1274" s="22">
        <v>20042.900000000001</v>
      </c>
      <c r="E1274" s="23">
        <v>42021</v>
      </c>
      <c r="F1274" s="24">
        <v>20042.900000000001</v>
      </c>
      <c r="G1274" s="31">
        <f t="shared" si="19"/>
        <v>0</v>
      </c>
      <c r="H1274" s="39" t="s">
        <v>9</v>
      </c>
    </row>
    <row r="1275" spans="1:8" s="3" customFormat="1" x14ac:dyDescent="0.25">
      <c r="A1275" s="20">
        <v>42020</v>
      </c>
      <c r="B1275" s="21">
        <v>9182</v>
      </c>
      <c r="C1275" s="14" t="s">
        <v>170</v>
      </c>
      <c r="D1275" s="22">
        <v>5624.4</v>
      </c>
      <c r="E1275" s="23">
        <v>42022</v>
      </c>
      <c r="F1275" s="24">
        <v>5624.4</v>
      </c>
      <c r="G1275" s="31">
        <f t="shared" si="19"/>
        <v>0</v>
      </c>
      <c r="H1275" s="39" t="s">
        <v>62</v>
      </c>
    </row>
    <row r="1276" spans="1:8" s="3" customFormat="1" x14ac:dyDescent="0.25">
      <c r="A1276" s="20">
        <v>42020</v>
      </c>
      <c r="B1276" s="21">
        <v>9183</v>
      </c>
      <c r="C1276" s="14" t="s">
        <v>178</v>
      </c>
      <c r="D1276" s="22">
        <v>11463.6</v>
      </c>
      <c r="E1276" s="23">
        <v>42022</v>
      </c>
      <c r="F1276" s="24">
        <v>11463.6</v>
      </c>
      <c r="G1276" s="31">
        <f t="shared" si="19"/>
        <v>0</v>
      </c>
      <c r="H1276" s="39" t="s">
        <v>62</v>
      </c>
    </row>
    <row r="1277" spans="1:8" s="3" customFormat="1" x14ac:dyDescent="0.25">
      <c r="A1277" s="20">
        <v>42020</v>
      </c>
      <c r="B1277" s="21">
        <v>9184</v>
      </c>
      <c r="C1277" s="14" t="s">
        <v>30</v>
      </c>
      <c r="D1277" s="22">
        <v>4661.2</v>
      </c>
      <c r="E1277" s="23">
        <v>42020</v>
      </c>
      <c r="F1277" s="24">
        <v>4661.2</v>
      </c>
      <c r="G1277" s="31">
        <f t="shared" si="19"/>
        <v>0</v>
      </c>
      <c r="H1277" s="39" t="s">
        <v>9</v>
      </c>
    </row>
    <row r="1278" spans="1:8" s="3" customFormat="1" x14ac:dyDescent="0.25">
      <c r="A1278" s="20">
        <v>42020</v>
      </c>
      <c r="B1278" s="21">
        <v>9185</v>
      </c>
      <c r="C1278" s="14" t="s">
        <v>84</v>
      </c>
      <c r="D1278" s="22">
        <v>54854.7</v>
      </c>
      <c r="E1278" s="30" t="s">
        <v>355</v>
      </c>
      <c r="F1278" s="24">
        <v>54854.7</v>
      </c>
      <c r="G1278" s="31">
        <f t="shared" si="19"/>
        <v>0</v>
      </c>
      <c r="H1278" s="39" t="s">
        <v>62</v>
      </c>
    </row>
    <row r="1279" spans="1:8" s="3" customFormat="1" x14ac:dyDescent="0.25">
      <c r="A1279" s="20">
        <v>42020</v>
      </c>
      <c r="B1279" s="21">
        <v>9186</v>
      </c>
      <c r="C1279" s="14" t="s">
        <v>72</v>
      </c>
      <c r="D1279" s="22">
        <v>14523</v>
      </c>
      <c r="E1279" s="30" t="s">
        <v>356</v>
      </c>
      <c r="F1279" s="24">
        <v>14523</v>
      </c>
      <c r="G1279" s="31">
        <f t="shared" si="19"/>
        <v>0</v>
      </c>
      <c r="H1279" s="39" t="s">
        <v>62</v>
      </c>
    </row>
    <row r="1280" spans="1:8" s="3" customFormat="1" x14ac:dyDescent="0.25">
      <c r="A1280" s="20">
        <v>42020</v>
      </c>
      <c r="B1280" s="21">
        <v>9187</v>
      </c>
      <c r="C1280" s="14" t="s">
        <v>176</v>
      </c>
      <c r="D1280" s="22">
        <v>10296.200000000001</v>
      </c>
      <c r="E1280" s="30" t="s">
        <v>357</v>
      </c>
      <c r="F1280" s="24">
        <v>10296.200000000001</v>
      </c>
      <c r="G1280" s="31">
        <f t="shared" si="19"/>
        <v>0</v>
      </c>
      <c r="H1280" s="39" t="s">
        <v>62</v>
      </c>
    </row>
    <row r="1281" spans="1:8" s="3" customFormat="1" x14ac:dyDescent="0.25">
      <c r="A1281" s="20">
        <v>42020</v>
      </c>
      <c r="B1281" s="21">
        <v>9188</v>
      </c>
      <c r="C1281" s="14" t="s">
        <v>158</v>
      </c>
      <c r="D1281" s="22">
        <v>4543.2</v>
      </c>
      <c r="E1281" s="23">
        <v>42020</v>
      </c>
      <c r="F1281" s="24">
        <v>4543.2</v>
      </c>
      <c r="G1281" s="31">
        <f t="shared" si="19"/>
        <v>0</v>
      </c>
      <c r="H1281" s="39" t="s">
        <v>9</v>
      </c>
    </row>
    <row r="1282" spans="1:8" s="3" customFormat="1" x14ac:dyDescent="0.25">
      <c r="A1282" s="20">
        <v>42020</v>
      </c>
      <c r="B1282" s="21">
        <v>9189</v>
      </c>
      <c r="C1282" s="14" t="s">
        <v>158</v>
      </c>
      <c r="D1282" s="22">
        <v>1080</v>
      </c>
      <c r="E1282" s="23">
        <v>42020</v>
      </c>
      <c r="F1282" s="24">
        <v>1080</v>
      </c>
      <c r="G1282" s="31">
        <f t="shared" si="19"/>
        <v>0</v>
      </c>
      <c r="H1282" s="39" t="s">
        <v>9</v>
      </c>
    </row>
    <row r="1283" spans="1:8" s="3" customFormat="1" x14ac:dyDescent="0.25">
      <c r="A1283" s="20">
        <v>42020</v>
      </c>
      <c r="B1283" s="21">
        <v>9190</v>
      </c>
      <c r="C1283" s="14" t="s">
        <v>148</v>
      </c>
      <c r="D1283" s="22">
        <v>4603.5</v>
      </c>
      <c r="E1283" s="23">
        <v>42020</v>
      </c>
      <c r="F1283" s="24">
        <v>4603.5</v>
      </c>
      <c r="G1283" s="31">
        <f t="shared" ref="G1283:G1346" si="20">D1283-F1283</f>
        <v>0</v>
      </c>
      <c r="H1283" s="39" t="s">
        <v>9</v>
      </c>
    </row>
    <row r="1284" spans="1:8" s="3" customFormat="1" x14ac:dyDescent="0.25">
      <c r="A1284" s="20">
        <v>42020</v>
      </c>
      <c r="B1284" s="21">
        <v>9191</v>
      </c>
      <c r="C1284" s="14" t="s">
        <v>158</v>
      </c>
      <c r="D1284" s="22">
        <v>1628</v>
      </c>
      <c r="E1284" s="23">
        <v>42020</v>
      </c>
      <c r="F1284" s="24">
        <v>1628</v>
      </c>
      <c r="G1284" s="31">
        <f t="shared" si="20"/>
        <v>0</v>
      </c>
      <c r="H1284" s="39" t="s">
        <v>9</v>
      </c>
    </row>
    <row r="1285" spans="1:8" s="3" customFormat="1" x14ac:dyDescent="0.25">
      <c r="A1285" s="20">
        <v>42020</v>
      </c>
      <c r="B1285" s="21">
        <v>9192</v>
      </c>
      <c r="C1285" s="14" t="s">
        <v>121</v>
      </c>
      <c r="D1285" s="22">
        <v>2780</v>
      </c>
      <c r="E1285" s="23">
        <v>42020</v>
      </c>
      <c r="F1285" s="24">
        <v>2780</v>
      </c>
      <c r="G1285" s="31">
        <f t="shared" si="20"/>
        <v>0</v>
      </c>
      <c r="H1285" s="39" t="s">
        <v>9</v>
      </c>
    </row>
    <row r="1286" spans="1:8" s="3" customFormat="1" x14ac:dyDescent="0.25">
      <c r="A1286" s="20">
        <v>42020</v>
      </c>
      <c r="B1286" s="21">
        <v>9193</v>
      </c>
      <c r="C1286" s="14" t="s">
        <v>305</v>
      </c>
      <c r="D1286" s="22">
        <v>3010.2</v>
      </c>
      <c r="E1286" s="23">
        <v>42020</v>
      </c>
      <c r="F1286" s="24">
        <v>3010.2</v>
      </c>
      <c r="G1286" s="31">
        <f t="shared" si="20"/>
        <v>0</v>
      </c>
      <c r="H1286" s="39" t="s">
        <v>9</v>
      </c>
    </row>
    <row r="1287" spans="1:8" s="3" customFormat="1" x14ac:dyDescent="0.25">
      <c r="A1287" s="20">
        <v>42020</v>
      </c>
      <c r="B1287" s="21">
        <v>9194</v>
      </c>
      <c r="C1287" s="14" t="s">
        <v>78</v>
      </c>
      <c r="D1287" s="22">
        <v>9632.7999999999993</v>
      </c>
      <c r="E1287" s="23">
        <v>42022</v>
      </c>
      <c r="F1287" s="24">
        <v>9632.7999999999993</v>
      </c>
      <c r="G1287" s="31">
        <f t="shared" si="20"/>
        <v>0</v>
      </c>
      <c r="H1287" s="39" t="s">
        <v>9</v>
      </c>
    </row>
    <row r="1288" spans="1:8" s="3" customFormat="1" x14ac:dyDescent="0.25">
      <c r="A1288" s="20">
        <v>42020</v>
      </c>
      <c r="B1288" s="21">
        <v>9195</v>
      </c>
      <c r="C1288" s="14" t="s">
        <v>77</v>
      </c>
      <c r="D1288" s="22">
        <v>6501.6</v>
      </c>
      <c r="E1288" s="23">
        <v>42022</v>
      </c>
      <c r="F1288" s="24">
        <v>6501.6</v>
      </c>
      <c r="G1288" s="31">
        <f t="shared" si="20"/>
        <v>0</v>
      </c>
      <c r="H1288" s="39" t="s">
        <v>62</v>
      </c>
    </row>
    <row r="1289" spans="1:8" s="3" customFormat="1" x14ac:dyDescent="0.25">
      <c r="A1289" s="20">
        <v>42020</v>
      </c>
      <c r="B1289" s="21">
        <v>9196</v>
      </c>
      <c r="C1289" s="14" t="s">
        <v>114</v>
      </c>
      <c r="D1289" s="22">
        <v>36183.65</v>
      </c>
      <c r="E1289" s="23">
        <v>42020</v>
      </c>
      <c r="F1289" s="24">
        <v>36183.65</v>
      </c>
      <c r="G1289" s="31">
        <f t="shared" si="20"/>
        <v>0</v>
      </c>
      <c r="H1289" s="39" t="s">
        <v>9</v>
      </c>
    </row>
    <row r="1290" spans="1:8" s="3" customFormat="1" x14ac:dyDescent="0.25">
      <c r="A1290" s="20">
        <v>42020</v>
      </c>
      <c r="B1290" s="21">
        <v>9197</v>
      </c>
      <c r="C1290" s="14" t="s">
        <v>173</v>
      </c>
      <c r="D1290" s="22">
        <v>44828.3</v>
      </c>
      <c r="E1290" s="30" t="s">
        <v>358</v>
      </c>
      <c r="F1290" s="24">
        <v>44828.3</v>
      </c>
      <c r="G1290" s="31">
        <f t="shared" si="20"/>
        <v>0</v>
      </c>
      <c r="H1290" s="39" t="s">
        <v>62</v>
      </c>
    </row>
    <row r="1291" spans="1:8" s="3" customFormat="1" x14ac:dyDescent="0.25">
      <c r="A1291" s="20">
        <v>42020</v>
      </c>
      <c r="B1291" s="21">
        <v>9198</v>
      </c>
      <c r="C1291" s="14" t="s">
        <v>239</v>
      </c>
      <c r="D1291" s="22">
        <v>1893.5</v>
      </c>
      <c r="E1291" s="23">
        <v>42020</v>
      </c>
      <c r="F1291" s="24">
        <v>1893.5</v>
      </c>
      <c r="G1291" s="31">
        <f t="shared" si="20"/>
        <v>0</v>
      </c>
      <c r="H1291" s="39" t="s">
        <v>9</v>
      </c>
    </row>
    <row r="1292" spans="1:8" s="3" customFormat="1" x14ac:dyDescent="0.25">
      <c r="A1292" s="20">
        <v>42020</v>
      </c>
      <c r="B1292" s="21">
        <v>9199</v>
      </c>
      <c r="C1292" s="14" t="s">
        <v>61</v>
      </c>
      <c r="D1292" s="22">
        <v>31231.5</v>
      </c>
      <c r="E1292" s="23">
        <v>42022</v>
      </c>
      <c r="F1292" s="24">
        <v>31231.5</v>
      </c>
      <c r="G1292" s="31">
        <f t="shared" si="20"/>
        <v>0</v>
      </c>
      <c r="H1292" s="39" t="s">
        <v>62</v>
      </c>
    </row>
    <row r="1293" spans="1:8" s="3" customFormat="1" x14ac:dyDescent="0.25">
      <c r="A1293" s="20">
        <v>42020</v>
      </c>
      <c r="B1293" s="21">
        <v>9200</v>
      </c>
      <c r="C1293" s="14" t="s">
        <v>135</v>
      </c>
      <c r="D1293" s="22">
        <v>7992</v>
      </c>
      <c r="E1293" s="23">
        <v>42020</v>
      </c>
      <c r="F1293" s="24">
        <v>7992</v>
      </c>
      <c r="G1293" s="31">
        <f t="shared" si="20"/>
        <v>0</v>
      </c>
      <c r="H1293" s="39" t="s">
        <v>9</v>
      </c>
    </row>
    <row r="1294" spans="1:8" s="3" customFormat="1" x14ac:dyDescent="0.25">
      <c r="A1294" s="20">
        <v>42020</v>
      </c>
      <c r="B1294" s="21">
        <v>9201</v>
      </c>
      <c r="C1294" s="14" t="s">
        <v>22</v>
      </c>
      <c r="D1294" s="22">
        <v>2476.8000000000002</v>
      </c>
      <c r="E1294" s="23">
        <v>42020</v>
      </c>
      <c r="F1294" s="24">
        <v>2476.8000000000002</v>
      </c>
      <c r="G1294" s="31">
        <f t="shared" si="20"/>
        <v>0</v>
      </c>
      <c r="H1294" s="39" t="s">
        <v>9</v>
      </c>
    </row>
    <row r="1295" spans="1:8" s="3" customFormat="1" x14ac:dyDescent="0.25">
      <c r="A1295" s="20">
        <v>42020</v>
      </c>
      <c r="B1295" s="21">
        <v>9202</v>
      </c>
      <c r="C1295" s="14" t="s">
        <v>26</v>
      </c>
      <c r="D1295" s="22">
        <v>2880</v>
      </c>
      <c r="E1295" s="23">
        <v>42020</v>
      </c>
      <c r="F1295" s="24">
        <v>2880</v>
      </c>
      <c r="G1295" s="31">
        <f t="shared" si="20"/>
        <v>0</v>
      </c>
      <c r="H1295" s="39" t="s">
        <v>27</v>
      </c>
    </row>
    <row r="1296" spans="1:8" s="3" customFormat="1" x14ac:dyDescent="0.25">
      <c r="A1296" s="20">
        <v>42020</v>
      </c>
      <c r="B1296" s="21">
        <v>9203</v>
      </c>
      <c r="C1296" s="14" t="s">
        <v>137</v>
      </c>
      <c r="D1296" s="22">
        <v>3596.4</v>
      </c>
      <c r="E1296" s="23">
        <v>42020</v>
      </c>
      <c r="F1296" s="24">
        <v>3596.4</v>
      </c>
      <c r="G1296" s="31">
        <f t="shared" si="20"/>
        <v>0</v>
      </c>
      <c r="H1296" s="39" t="s">
        <v>62</v>
      </c>
    </row>
    <row r="1297" spans="1:8" s="3" customFormat="1" x14ac:dyDescent="0.25">
      <c r="A1297" s="20">
        <v>42020</v>
      </c>
      <c r="B1297" s="21">
        <v>9204</v>
      </c>
      <c r="C1297" s="14" t="s">
        <v>82</v>
      </c>
      <c r="D1297" s="22">
        <v>5476.5</v>
      </c>
      <c r="E1297" s="23">
        <v>42020</v>
      </c>
      <c r="F1297" s="24">
        <v>5476.5</v>
      </c>
      <c r="G1297" s="31">
        <f t="shared" si="20"/>
        <v>0</v>
      </c>
      <c r="H1297" s="39" t="s">
        <v>59</v>
      </c>
    </row>
    <row r="1298" spans="1:8" s="3" customFormat="1" x14ac:dyDescent="0.25">
      <c r="A1298" s="20">
        <v>42020</v>
      </c>
      <c r="B1298" s="21">
        <v>9205</v>
      </c>
      <c r="C1298" s="14" t="s">
        <v>57</v>
      </c>
      <c r="D1298" s="22">
        <v>1890</v>
      </c>
      <c r="E1298" s="51">
        <v>42020</v>
      </c>
      <c r="F1298" s="24">
        <v>1890</v>
      </c>
      <c r="G1298" s="31">
        <f t="shared" si="20"/>
        <v>0</v>
      </c>
      <c r="H1298" s="39" t="s">
        <v>59</v>
      </c>
    </row>
    <row r="1299" spans="1:8" s="3" customFormat="1" x14ac:dyDescent="0.25">
      <c r="A1299" s="20">
        <v>42020</v>
      </c>
      <c r="B1299" s="21">
        <v>9206</v>
      </c>
      <c r="C1299" s="14" t="s">
        <v>81</v>
      </c>
      <c r="D1299" s="22">
        <v>2253.1999999999998</v>
      </c>
      <c r="E1299" s="23">
        <v>42020</v>
      </c>
      <c r="F1299" s="24">
        <v>2253.1999999999998</v>
      </c>
      <c r="G1299" s="31">
        <f t="shared" si="20"/>
        <v>0</v>
      </c>
      <c r="H1299" s="39" t="s">
        <v>59</v>
      </c>
    </row>
    <row r="1300" spans="1:8" s="3" customFormat="1" x14ac:dyDescent="0.25">
      <c r="A1300" s="20">
        <v>42020</v>
      </c>
      <c r="B1300" s="21">
        <v>9207</v>
      </c>
      <c r="C1300" s="14" t="s">
        <v>221</v>
      </c>
      <c r="D1300" s="22">
        <v>1391.2</v>
      </c>
      <c r="E1300" s="23">
        <v>42020</v>
      </c>
      <c r="F1300" s="24">
        <v>1391.2</v>
      </c>
      <c r="G1300" s="31">
        <f t="shared" si="20"/>
        <v>0</v>
      </c>
      <c r="H1300" s="39" t="s">
        <v>59</v>
      </c>
    </row>
    <row r="1301" spans="1:8" s="3" customFormat="1" x14ac:dyDescent="0.25">
      <c r="A1301" s="20">
        <v>42020</v>
      </c>
      <c r="B1301" s="21">
        <v>9208</v>
      </c>
      <c r="C1301" s="14" t="s">
        <v>120</v>
      </c>
      <c r="D1301" s="22">
        <v>3037.5</v>
      </c>
      <c r="E1301" s="23">
        <v>42020</v>
      </c>
      <c r="F1301" s="24">
        <v>3037.5</v>
      </c>
      <c r="G1301" s="31">
        <f t="shared" si="20"/>
        <v>0</v>
      </c>
      <c r="H1301" s="39" t="s">
        <v>59</v>
      </c>
    </row>
    <row r="1302" spans="1:8" s="3" customFormat="1" x14ac:dyDescent="0.25">
      <c r="A1302" s="20">
        <v>42020</v>
      </c>
      <c r="B1302" s="21">
        <v>9209</v>
      </c>
      <c r="C1302" s="14" t="s">
        <v>292</v>
      </c>
      <c r="D1302" s="22">
        <v>2992.5</v>
      </c>
      <c r="E1302" s="23">
        <v>42020</v>
      </c>
      <c r="F1302" s="24">
        <v>2992.5</v>
      </c>
      <c r="G1302" s="31">
        <f t="shared" si="20"/>
        <v>0</v>
      </c>
      <c r="H1302" s="39" t="s">
        <v>19</v>
      </c>
    </row>
    <row r="1303" spans="1:8" s="3" customFormat="1" x14ac:dyDescent="0.25">
      <c r="A1303" s="20">
        <v>42020</v>
      </c>
      <c r="B1303" s="21">
        <v>9210</v>
      </c>
      <c r="C1303" s="14" t="s">
        <v>53</v>
      </c>
      <c r="D1303" s="22">
        <v>1260</v>
      </c>
      <c r="E1303" s="23">
        <v>42020</v>
      </c>
      <c r="F1303" s="24">
        <v>1260</v>
      </c>
      <c r="G1303" s="31">
        <f t="shared" si="20"/>
        <v>0</v>
      </c>
      <c r="H1303" s="39" t="s">
        <v>59</v>
      </c>
    </row>
    <row r="1304" spans="1:8" s="3" customFormat="1" x14ac:dyDescent="0.25">
      <c r="A1304" s="20">
        <v>42020</v>
      </c>
      <c r="B1304" s="21">
        <v>9211</v>
      </c>
      <c r="C1304" s="14" t="s">
        <v>126</v>
      </c>
      <c r="D1304" s="22">
        <v>3931.5</v>
      </c>
      <c r="E1304" s="23">
        <v>42020</v>
      </c>
      <c r="F1304" s="24">
        <v>3931.5</v>
      </c>
      <c r="G1304" s="31">
        <f t="shared" si="20"/>
        <v>0</v>
      </c>
      <c r="H1304" s="39" t="s">
        <v>59</v>
      </c>
    </row>
    <row r="1305" spans="1:8" s="3" customFormat="1" x14ac:dyDescent="0.25">
      <c r="A1305" s="20">
        <v>42020</v>
      </c>
      <c r="B1305" s="21">
        <v>9212</v>
      </c>
      <c r="C1305" s="14" t="s">
        <v>112</v>
      </c>
      <c r="D1305" s="22">
        <v>7070</v>
      </c>
      <c r="E1305" s="29" t="s">
        <v>359</v>
      </c>
      <c r="F1305" s="24">
        <f>5450+1620</f>
        <v>7070</v>
      </c>
      <c r="G1305" s="31">
        <f t="shared" si="20"/>
        <v>0</v>
      </c>
      <c r="H1305" s="39" t="s">
        <v>9</v>
      </c>
    </row>
    <row r="1306" spans="1:8" s="3" customFormat="1" x14ac:dyDescent="0.25">
      <c r="A1306" s="20">
        <v>42020</v>
      </c>
      <c r="B1306" s="21">
        <v>9213</v>
      </c>
      <c r="C1306" s="14" t="s">
        <v>168</v>
      </c>
      <c r="D1306" s="22">
        <v>7755</v>
      </c>
      <c r="E1306" s="23">
        <v>42020</v>
      </c>
      <c r="F1306" s="24">
        <v>7755</v>
      </c>
      <c r="G1306" s="31">
        <f t="shared" si="20"/>
        <v>0</v>
      </c>
      <c r="H1306" s="39" t="s">
        <v>59</v>
      </c>
    </row>
    <row r="1307" spans="1:8" s="3" customFormat="1" x14ac:dyDescent="0.25">
      <c r="A1307" s="20">
        <v>42020</v>
      </c>
      <c r="B1307" s="21">
        <v>9214</v>
      </c>
      <c r="C1307" s="14" t="s">
        <v>44</v>
      </c>
      <c r="D1307" s="22">
        <v>1779.6</v>
      </c>
      <c r="E1307" s="23">
        <v>42020</v>
      </c>
      <c r="F1307" s="24">
        <v>1779.6</v>
      </c>
      <c r="G1307" s="31">
        <f t="shared" si="20"/>
        <v>0</v>
      </c>
      <c r="H1307" s="39" t="s">
        <v>9</v>
      </c>
    </row>
    <row r="1308" spans="1:8" s="3" customFormat="1" x14ac:dyDescent="0.25">
      <c r="A1308" s="20">
        <v>42020</v>
      </c>
      <c r="B1308" s="21">
        <v>9215</v>
      </c>
      <c r="C1308" s="14" t="s">
        <v>35</v>
      </c>
      <c r="D1308" s="22">
        <v>26069.15</v>
      </c>
      <c r="E1308" s="23">
        <v>42020</v>
      </c>
      <c r="F1308" s="24">
        <v>26069.15</v>
      </c>
      <c r="G1308" s="31">
        <f t="shared" si="20"/>
        <v>0</v>
      </c>
      <c r="H1308" s="39" t="s">
        <v>36</v>
      </c>
    </row>
    <row r="1309" spans="1:8" s="3" customFormat="1" x14ac:dyDescent="0.25">
      <c r="A1309" s="20">
        <v>42020</v>
      </c>
      <c r="B1309" s="21">
        <v>9216</v>
      </c>
      <c r="C1309" s="14" t="s">
        <v>151</v>
      </c>
      <c r="D1309" s="22">
        <v>2908.2</v>
      </c>
      <c r="E1309" s="23">
        <v>42021</v>
      </c>
      <c r="F1309" s="24">
        <v>2908.2</v>
      </c>
      <c r="G1309" s="31">
        <f t="shared" si="20"/>
        <v>0</v>
      </c>
      <c r="H1309" s="39" t="s">
        <v>9</v>
      </c>
    </row>
    <row r="1310" spans="1:8" s="3" customFormat="1" x14ac:dyDescent="0.25">
      <c r="A1310" s="20">
        <v>42020</v>
      </c>
      <c r="B1310" s="21">
        <v>9217</v>
      </c>
      <c r="C1310" s="14" t="s">
        <v>64</v>
      </c>
      <c r="D1310" s="22">
        <v>2742.6</v>
      </c>
      <c r="E1310" s="23">
        <v>42020</v>
      </c>
      <c r="F1310" s="24">
        <v>2742.6</v>
      </c>
      <c r="G1310" s="31">
        <f t="shared" si="20"/>
        <v>0</v>
      </c>
      <c r="H1310" s="19" t="s">
        <v>9</v>
      </c>
    </row>
    <row r="1311" spans="1:8" s="3" customFormat="1" x14ac:dyDescent="0.25">
      <c r="A1311" s="20">
        <v>42020</v>
      </c>
      <c r="B1311" s="21">
        <v>9218</v>
      </c>
      <c r="C1311" s="14" t="s">
        <v>270</v>
      </c>
      <c r="D1311" s="22">
        <v>1031.4000000000001</v>
      </c>
      <c r="E1311" s="23">
        <v>42020</v>
      </c>
      <c r="F1311" s="24">
        <v>1031.4000000000001</v>
      </c>
      <c r="G1311" s="31">
        <f t="shared" si="20"/>
        <v>0</v>
      </c>
      <c r="H1311" s="57" t="s">
        <v>9</v>
      </c>
    </row>
    <row r="1312" spans="1:8" s="3" customFormat="1" x14ac:dyDescent="0.25">
      <c r="A1312" s="20">
        <v>42020</v>
      </c>
      <c r="B1312" s="21">
        <v>9219</v>
      </c>
      <c r="C1312" s="14" t="s">
        <v>47</v>
      </c>
      <c r="D1312" s="22">
        <v>26725.599999999999</v>
      </c>
      <c r="E1312" s="23">
        <v>42020</v>
      </c>
      <c r="F1312" s="24">
        <v>26725.599999999999</v>
      </c>
      <c r="G1312" s="31">
        <f t="shared" si="20"/>
        <v>0</v>
      </c>
      <c r="H1312" s="19" t="s">
        <v>36</v>
      </c>
    </row>
    <row r="1313" spans="1:8" s="3" customFormat="1" x14ac:dyDescent="0.25">
      <c r="A1313" s="20">
        <v>42020</v>
      </c>
      <c r="B1313" s="21">
        <v>9220</v>
      </c>
      <c r="C1313" s="14" t="s">
        <v>352</v>
      </c>
      <c r="D1313" s="22">
        <v>1209</v>
      </c>
      <c r="E1313" s="23">
        <v>42022</v>
      </c>
      <c r="F1313" s="24">
        <v>1209</v>
      </c>
      <c r="G1313" s="31">
        <f t="shared" si="20"/>
        <v>0</v>
      </c>
      <c r="H1313" s="19" t="s">
        <v>62</v>
      </c>
    </row>
    <row r="1314" spans="1:8" s="3" customFormat="1" x14ac:dyDescent="0.25">
      <c r="A1314" s="20">
        <v>42020</v>
      </c>
      <c r="B1314" s="21">
        <v>9221</v>
      </c>
      <c r="C1314" s="14" t="s">
        <v>60</v>
      </c>
      <c r="D1314" s="22">
        <v>8183.6</v>
      </c>
      <c r="E1314" s="23">
        <v>42020</v>
      </c>
      <c r="F1314" s="24">
        <v>8183.6</v>
      </c>
      <c r="G1314" s="31">
        <f t="shared" si="20"/>
        <v>0</v>
      </c>
      <c r="H1314" s="19" t="s">
        <v>36</v>
      </c>
    </row>
    <row r="1315" spans="1:8" s="3" customFormat="1" x14ac:dyDescent="0.25">
      <c r="A1315" s="20">
        <v>42020</v>
      </c>
      <c r="B1315" s="21">
        <v>9222</v>
      </c>
      <c r="C1315" s="14" t="s">
        <v>32</v>
      </c>
      <c r="D1315" s="22">
        <v>203176.2</v>
      </c>
      <c r="E1315" s="23">
        <v>42035</v>
      </c>
      <c r="F1315" s="24">
        <v>203176.2</v>
      </c>
      <c r="G1315" s="31">
        <f t="shared" si="20"/>
        <v>0</v>
      </c>
      <c r="H1315" s="19" t="s">
        <v>17</v>
      </c>
    </row>
    <row r="1316" spans="1:8" s="3" customFormat="1" x14ac:dyDescent="0.25">
      <c r="A1316" s="20">
        <v>42020</v>
      </c>
      <c r="B1316" s="21">
        <v>9223</v>
      </c>
      <c r="C1316" s="14" t="s">
        <v>162</v>
      </c>
      <c r="D1316" s="22">
        <v>1422</v>
      </c>
      <c r="E1316" s="23">
        <v>42020</v>
      </c>
      <c r="F1316" s="24">
        <v>1422</v>
      </c>
      <c r="G1316" s="31">
        <f t="shared" si="20"/>
        <v>0</v>
      </c>
      <c r="H1316" s="19" t="s">
        <v>36</v>
      </c>
    </row>
    <row r="1317" spans="1:8" s="3" customFormat="1" x14ac:dyDescent="0.25">
      <c r="A1317" s="20">
        <v>42020</v>
      </c>
      <c r="B1317" s="21">
        <v>9224</v>
      </c>
      <c r="C1317" s="14" t="s">
        <v>92</v>
      </c>
      <c r="D1317" s="22">
        <v>4728.2</v>
      </c>
      <c r="E1317" s="23">
        <v>42022</v>
      </c>
      <c r="F1317" s="24">
        <v>4728.2</v>
      </c>
      <c r="G1317" s="31">
        <f t="shared" si="20"/>
        <v>0</v>
      </c>
      <c r="H1317" s="19" t="s">
        <v>62</v>
      </c>
    </row>
    <row r="1318" spans="1:8" s="3" customFormat="1" x14ac:dyDescent="0.25">
      <c r="A1318" s="20">
        <v>42020</v>
      </c>
      <c r="B1318" s="21">
        <v>9225</v>
      </c>
      <c r="C1318" s="14" t="s">
        <v>34</v>
      </c>
      <c r="D1318" s="22">
        <v>3679.2</v>
      </c>
      <c r="E1318" s="23">
        <v>42020</v>
      </c>
      <c r="F1318" s="24">
        <v>3679.2</v>
      </c>
      <c r="G1318" s="31">
        <f t="shared" si="20"/>
        <v>0</v>
      </c>
      <c r="H1318" s="19" t="s">
        <v>9</v>
      </c>
    </row>
    <row r="1319" spans="1:8" s="3" customFormat="1" x14ac:dyDescent="0.25">
      <c r="A1319" s="20">
        <v>42020</v>
      </c>
      <c r="B1319" s="21">
        <v>9226</v>
      </c>
      <c r="C1319" s="14" t="s">
        <v>125</v>
      </c>
      <c r="D1319" s="22">
        <v>25213.65</v>
      </c>
      <c r="E1319" s="23">
        <v>42022</v>
      </c>
      <c r="F1319" s="24">
        <v>25213.65</v>
      </c>
      <c r="G1319" s="31">
        <f t="shared" si="20"/>
        <v>0</v>
      </c>
      <c r="H1319" s="19" t="s">
        <v>94</v>
      </c>
    </row>
    <row r="1320" spans="1:8" s="3" customFormat="1" x14ac:dyDescent="0.25">
      <c r="A1320" s="20">
        <v>42020</v>
      </c>
      <c r="B1320" s="21">
        <v>9227</v>
      </c>
      <c r="C1320" s="14" t="s">
        <v>18</v>
      </c>
      <c r="D1320" s="22">
        <v>158685</v>
      </c>
      <c r="E1320" s="23">
        <v>42020</v>
      </c>
      <c r="F1320" s="24">
        <v>158685</v>
      </c>
      <c r="G1320" s="31">
        <f t="shared" si="20"/>
        <v>0</v>
      </c>
      <c r="H1320" s="19" t="s">
        <v>94</v>
      </c>
    </row>
    <row r="1321" spans="1:8" s="3" customFormat="1" x14ac:dyDescent="0.25">
      <c r="A1321" s="20">
        <v>42020</v>
      </c>
      <c r="B1321" s="21">
        <v>9228</v>
      </c>
      <c r="C1321" s="14" t="s">
        <v>128</v>
      </c>
      <c r="D1321" s="22">
        <v>6826.4</v>
      </c>
      <c r="E1321" s="23">
        <v>42020</v>
      </c>
      <c r="F1321" s="24">
        <v>6826.4</v>
      </c>
      <c r="G1321" s="31">
        <f t="shared" si="20"/>
        <v>0</v>
      </c>
      <c r="H1321" s="19" t="s">
        <v>187</v>
      </c>
    </row>
    <row r="1322" spans="1:8" s="3" customFormat="1" x14ac:dyDescent="0.25">
      <c r="A1322" s="20">
        <v>42020</v>
      </c>
      <c r="B1322" s="21">
        <v>9229</v>
      </c>
      <c r="C1322" s="14" t="s">
        <v>360</v>
      </c>
      <c r="D1322" s="22">
        <v>422.4</v>
      </c>
      <c r="E1322" s="23">
        <v>42020</v>
      </c>
      <c r="F1322" s="24">
        <v>422.4</v>
      </c>
      <c r="G1322" s="31">
        <f t="shared" si="20"/>
        <v>0</v>
      </c>
      <c r="H1322" s="19" t="s">
        <v>9</v>
      </c>
    </row>
    <row r="1323" spans="1:8" s="3" customFormat="1" x14ac:dyDescent="0.25">
      <c r="A1323" s="20">
        <v>42020</v>
      </c>
      <c r="B1323" s="21">
        <v>9230</v>
      </c>
      <c r="C1323" s="14" t="s">
        <v>50</v>
      </c>
      <c r="D1323" s="22">
        <v>4924.8</v>
      </c>
      <c r="E1323" s="23">
        <v>42020</v>
      </c>
      <c r="F1323" s="24">
        <v>4924.8</v>
      </c>
      <c r="G1323" s="31">
        <f t="shared" si="20"/>
        <v>0</v>
      </c>
      <c r="H1323" s="19" t="s">
        <v>187</v>
      </c>
    </row>
    <row r="1324" spans="1:8" s="3" customFormat="1" x14ac:dyDescent="0.25">
      <c r="A1324" s="20">
        <v>42020</v>
      </c>
      <c r="B1324" s="21">
        <v>9231</v>
      </c>
      <c r="C1324" s="14" t="s">
        <v>132</v>
      </c>
      <c r="D1324" s="22">
        <v>912</v>
      </c>
      <c r="E1324" s="23">
        <v>42020</v>
      </c>
      <c r="F1324" s="24">
        <v>912</v>
      </c>
      <c r="G1324" s="31">
        <f t="shared" si="20"/>
        <v>0</v>
      </c>
      <c r="H1324" s="19" t="s">
        <v>187</v>
      </c>
    </row>
    <row r="1325" spans="1:8" s="3" customFormat="1" x14ac:dyDescent="0.25">
      <c r="A1325" s="20">
        <v>42020</v>
      </c>
      <c r="B1325" s="21">
        <v>9232</v>
      </c>
      <c r="C1325" s="14" t="s">
        <v>140</v>
      </c>
      <c r="D1325" s="22">
        <v>10049.6</v>
      </c>
      <c r="E1325" s="23">
        <v>42020</v>
      </c>
      <c r="F1325" s="24">
        <v>10049.6</v>
      </c>
      <c r="G1325" s="31">
        <f t="shared" si="20"/>
        <v>0</v>
      </c>
      <c r="H1325" s="19" t="s">
        <v>187</v>
      </c>
    </row>
    <row r="1326" spans="1:8" s="3" customFormat="1" x14ac:dyDescent="0.25">
      <c r="A1326" s="20">
        <v>42020</v>
      </c>
      <c r="B1326" s="21">
        <v>9233</v>
      </c>
      <c r="C1326" s="14" t="s">
        <v>141</v>
      </c>
      <c r="D1326" s="22">
        <v>3603</v>
      </c>
      <c r="E1326" s="23">
        <v>42020</v>
      </c>
      <c r="F1326" s="24">
        <v>3603</v>
      </c>
      <c r="G1326" s="31">
        <f t="shared" si="20"/>
        <v>0</v>
      </c>
      <c r="H1326" s="19" t="s">
        <v>187</v>
      </c>
    </row>
    <row r="1327" spans="1:8" s="3" customFormat="1" x14ac:dyDescent="0.25">
      <c r="A1327" s="20">
        <v>42020</v>
      </c>
      <c r="B1327" s="21">
        <v>9234</v>
      </c>
      <c r="C1327" s="14" t="s">
        <v>90</v>
      </c>
      <c r="D1327" s="22">
        <v>2519.1999999999998</v>
      </c>
      <c r="E1327" s="23">
        <v>42020</v>
      </c>
      <c r="F1327" s="24">
        <v>2519.1999999999998</v>
      </c>
      <c r="G1327" s="31">
        <f t="shared" si="20"/>
        <v>0</v>
      </c>
      <c r="H1327" s="19" t="s">
        <v>9</v>
      </c>
    </row>
    <row r="1328" spans="1:8" s="3" customFormat="1" x14ac:dyDescent="0.25">
      <c r="A1328" s="20">
        <v>42020</v>
      </c>
      <c r="B1328" s="21">
        <v>9235</v>
      </c>
      <c r="C1328" s="14" t="s">
        <v>87</v>
      </c>
      <c r="D1328" s="22">
        <v>2332.8000000000002</v>
      </c>
      <c r="E1328" s="23">
        <v>42020</v>
      </c>
      <c r="F1328" s="24">
        <v>2332.8000000000002</v>
      </c>
      <c r="G1328" s="31">
        <f t="shared" si="20"/>
        <v>0</v>
      </c>
      <c r="H1328" s="19" t="s">
        <v>187</v>
      </c>
    </row>
    <row r="1329" spans="1:10" s="3" customFormat="1" x14ac:dyDescent="0.25">
      <c r="A1329" s="20">
        <v>42020</v>
      </c>
      <c r="B1329" s="21">
        <v>9236</v>
      </c>
      <c r="C1329" s="14" t="s">
        <v>130</v>
      </c>
      <c r="D1329" s="22">
        <v>6655.8</v>
      </c>
      <c r="E1329" s="23">
        <v>42020</v>
      </c>
      <c r="F1329" s="24">
        <v>6655.8</v>
      </c>
      <c r="G1329" s="31">
        <f t="shared" si="20"/>
        <v>0</v>
      </c>
      <c r="H1329" s="19" t="s">
        <v>41</v>
      </c>
    </row>
    <row r="1330" spans="1:10" s="3" customFormat="1" x14ac:dyDescent="0.25">
      <c r="A1330" s="20">
        <v>42020</v>
      </c>
      <c r="B1330" s="21">
        <v>9237</v>
      </c>
      <c r="C1330" s="14" t="s">
        <v>131</v>
      </c>
      <c r="D1330" s="22">
        <v>4817</v>
      </c>
      <c r="E1330" s="23">
        <v>42020</v>
      </c>
      <c r="F1330" s="24">
        <v>4817</v>
      </c>
      <c r="G1330" s="31">
        <f t="shared" si="20"/>
        <v>0</v>
      </c>
      <c r="H1330" s="19" t="s">
        <v>187</v>
      </c>
      <c r="I1330" s="4"/>
      <c r="J1330" s="4"/>
    </row>
    <row r="1331" spans="1:10" s="3" customFormat="1" x14ac:dyDescent="0.25">
      <c r="A1331" s="20">
        <v>42020</v>
      </c>
      <c r="B1331" s="21">
        <v>9238</v>
      </c>
      <c r="C1331" s="14" t="s">
        <v>24</v>
      </c>
      <c r="D1331" s="22">
        <v>59136.45</v>
      </c>
      <c r="E1331" s="23">
        <v>42023</v>
      </c>
      <c r="F1331" s="24">
        <v>59136.45</v>
      </c>
      <c r="G1331" s="31">
        <f t="shared" si="20"/>
        <v>0</v>
      </c>
      <c r="H1331" s="19" t="s">
        <v>46</v>
      </c>
      <c r="I1331" s="4"/>
      <c r="J1331" s="4"/>
    </row>
    <row r="1332" spans="1:10" s="3" customFormat="1" x14ac:dyDescent="0.25">
      <c r="A1332" s="20">
        <v>42020</v>
      </c>
      <c r="B1332" s="21">
        <v>9239</v>
      </c>
      <c r="C1332" s="14" t="s">
        <v>95</v>
      </c>
      <c r="D1332" s="22">
        <v>6052</v>
      </c>
      <c r="E1332" s="23">
        <v>42021</v>
      </c>
      <c r="F1332" s="24">
        <v>6052</v>
      </c>
      <c r="G1332" s="31">
        <f t="shared" si="20"/>
        <v>0</v>
      </c>
      <c r="H1332" s="19" t="s">
        <v>19</v>
      </c>
      <c r="I1332" s="4"/>
      <c r="J1332" s="4"/>
    </row>
    <row r="1333" spans="1:10" s="3" customFormat="1" x14ac:dyDescent="0.25">
      <c r="A1333" s="20">
        <v>42020</v>
      </c>
      <c r="B1333" s="21">
        <v>9240</v>
      </c>
      <c r="C1333" s="14" t="s">
        <v>361</v>
      </c>
      <c r="D1333" s="22">
        <v>10612.8</v>
      </c>
      <c r="E1333" s="23">
        <v>42021</v>
      </c>
      <c r="F1333" s="24">
        <v>10612.8</v>
      </c>
      <c r="G1333" s="31">
        <f t="shared" si="20"/>
        <v>0</v>
      </c>
      <c r="H1333" s="19" t="s">
        <v>19</v>
      </c>
      <c r="I1333" s="4"/>
      <c r="J1333" s="4"/>
    </row>
    <row r="1334" spans="1:10" s="3" customFormat="1" x14ac:dyDescent="0.25">
      <c r="A1334" s="20">
        <v>42020</v>
      </c>
      <c r="B1334" s="21">
        <v>9241</v>
      </c>
      <c r="C1334" s="14" t="s">
        <v>98</v>
      </c>
      <c r="D1334" s="22">
        <v>1163</v>
      </c>
      <c r="E1334" s="23">
        <v>42021</v>
      </c>
      <c r="F1334" s="24">
        <v>1163</v>
      </c>
      <c r="G1334" s="31">
        <f t="shared" si="20"/>
        <v>0</v>
      </c>
      <c r="H1334" s="19" t="s">
        <v>19</v>
      </c>
      <c r="I1334" s="4"/>
      <c r="J1334" s="4"/>
    </row>
    <row r="1335" spans="1:10" s="3" customFormat="1" x14ac:dyDescent="0.25">
      <c r="A1335" s="20">
        <v>42020</v>
      </c>
      <c r="B1335" s="21">
        <v>9242</v>
      </c>
      <c r="C1335" s="14" t="s">
        <v>250</v>
      </c>
      <c r="D1335" s="22">
        <v>964.8</v>
      </c>
      <c r="E1335" s="23">
        <v>42021</v>
      </c>
      <c r="F1335" s="24">
        <v>964.8</v>
      </c>
      <c r="G1335" s="31">
        <f t="shared" si="20"/>
        <v>0</v>
      </c>
      <c r="H1335" s="19" t="s">
        <v>19</v>
      </c>
      <c r="I1335" s="4"/>
      <c r="J1335" s="4"/>
    </row>
    <row r="1336" spans="1:10" s="3" customFormat="1" x14ac:dyDescent="0.25">
      <c r="A1336" s="20">
        <v>42020</v>
      </c>
      <c r="B1336" s="21">
        <v>9243</v>
      </c>
      <c r="C1336" s="14" t="s">
        <v>102</v>
      </c>
      <c r="D1336" s="22">
        <v>2942.4</v>
      </c>
      <c r="E1336" s="23">
        <v>42020</v>
      </c>
      <c r="F1336" s="24">
        <v>2942.4</v>
      </c>
      <c r="G1336" s="31">
        <f t="shared" si="20"/>
        <v>0</v>
      </c>
      <c r="H1336" s="19" t="s">
        <v>9</v>
      </c>
      <c r="I1336" s="4"/>
      <c r="J1336" s="4"/>
    </row>
    <row r="1337" spans="1:10" s="3" customFormat="1" x14ac:dyDescent="0.25">
      <c r="A1337" s="20">
        <v>42020</v>
      </c>
      <c r="B1337" s="21">
        <v>9244</v>
      </c>
      <c r="C1337" s="14" t="s">
        <v>93</v>
      </c>
      <c r="D1337" s="22">
        <v>2160</v>
      </c>
      <c r="E1337" s="23">
        <v>42021</v>
      </c>
      <c r="F1337" s="24">
        <v>2160</v>
      </c>
      <c r="G1337" s="31">
        <f t="shared" si="20"/>
        <v>0</v>
      </c>
      <c r="H1337" s="19" t="s">
        <v>19</v>
      </c>
      <c r="I1337" s="4"/>
      <c r="J1337" s="4"/>
    </row>
    <row r="1338" spans="1:10" s="3" customFormat="1" x14ac:dyDescent="0.25">
      <c r="A1338" s="20">
        <v>42020</v>
      </c>
      <c r="B1338" s="21">
        <v>9245</v>
      </c>
      <c r="C1338" s="14" t="s">
        <v>241</v>
      </c>
      <c r="D1338" s="22">
        <v>133</v>
      </c>
      <c r="E1338" s="23">
        <v>42020</v>
      </c>
      <c r="F1338" s="24">
        <v>133</v>
      </c>
      <c r="G1338" s="31">
        <f t="shared" si="20"/>
        <v>0</v>
      </c>
      <c r="H1338" s="19" t="s">
        <v>9</v>
      </c>
      <c r="I1338" s="4"/>
      <c r="J1338" s="4"/>
    </row>
    <row r="1339" spans="1:10" s="3" customFormat="1" x14ac:dyDescent="0.25">
      <c r="A1339" s="20">
        <v>42020</v>
      </c>
      <c r="B1339" s="21">
        <v>9246</v>
      </c>
      <c r="C1339" s="14" t="s">
        <v>106</v>
      </c>
      <c r="D1339" s="22">
        <v>11729.7</v>
      </c>
      <c r="E1339" s="23">
        <v>42021</v>
      </c>
      <c r="F1339" s="24">
        <v>11729.7</v>
      </c>
      <c r="G1339" s="31">
        <f t="shared" si="20"/>
        <v>0</v>
      </c>
      <c r="H1339" s="19" t="s">
        <v>19</v>
      </c>
      <c r="I1339" s="4"/>
      <c r="J1339" s="4"/>
    </row>
    <row r="1340" spans="1:10" s="3" customFormat="1" x14ac:dyDescent="0.25">
      <c r="A1340" s="20">
        <v>42020</v>
      </c>
      <c r="B1340" s="21">
        <v>9247</v>
      </c>
      <c r="C1340" s="14" t="s">
        <v>89</v>
      </c>
      <c r="D1340" s="22">
        <v>7057</v>
      </c>
      <c r="E1340" s="23">
        <v>42020</v>
      </c>
      <c r="F1340" s="24">
        <v>7057</v>
      </c>
      <c r="G1340" s="31">
        <f t="shared" si="20"/>
        <v>0</v>
      </c>
      <c r="H1340" s="19" t="s">
        <v>9</v>
      </c>
      <c r="I1340" s="4"/>
      <c r="J1340" s="4"/>
    </row>
    <row r="1341" spans="1:10" s="3" customFormat="1" x14ac:dyDescent="0.25">
      <c r="A1341" s="20">
        <v>42020</v>
      </c>
      <c r="B1341" s="21">
        <v>9248</v>
      </c>
      <c r="C1341" s="14" t="s">
        <v>104</v>
      </c>
      <c r="D1341" s="22">
        <v>1480.4</v>
      </c>
      <c r="E1341" s="23">
        <v>42021</v>
      </c>
      <c r="F1341" s="24">
        <v>1480.4</v>
      </c>
      <c r="G1341" s="31">
        <f t="shared" si="20"/>
        <v>0</v>
      </c>
      <c r="H1341" s="19" t="s">
        <v>62</v>
      </c>
      <c r="I1341" s="4"/>
      <c r="J1341" s="4"/>
    </row>
    <row r="1342" spans="1:10" s="3" customFormat="1" x14ac:dyDescent="0.25">
      <c r="A1342" s="20">
        <v>42020</v>
      </c>
      <c r="B1342" s="21">
        <v>9249</v>
      </c>
      <c r="C1342" s="14" t="s">
        <v>155</v>
      </c>
      <c r="D1342" s="22">
        <v>4451.6000000000004</v>
      </c>
      <c r="E1342" s="23">
        <v>42021</v>
      </c>
      <c r="F1342" s="24">
        <v>4451.6000000000004</v>
      </c>
      <c r="G1342" s="31">
        <f t="shared" si="20"/>
        <v>0</v>
      </c>
      <c r="H1342" s="19" t="s">
        <v>19</v>
      </c>
      <c r="I1342" s="4"/>
      <c r="J1342" s="4"/>
    </row>
    <row r="1343" spans="1:10" s="3" customFormat="1" x14ac:dyDescent="0.25">
      <c r="A1343" s="20">
        <v>42020</v>
      </c>
      <c r="B1343" s="21">
        <v>9250</v>
      </c>
      <c r="C1343" s="14" t="s">
        <v>66</v>
      </c>
      <c r="D1343" s="22">
        <v>1239.7</v>
      </c>
      <c r="E1343" s="29" t="s">
        <v>362</v>
      </c>
      <c r="F1343" s="24">
        <f>950+289.7</f>
        <v>1239.7</v>
      </c>
      <c r="G1343" s="31">
        <f t="shared" si="20"/>
        <v>0</v>
      </c>
      <c r="H1343" s="19" t="s">
        <v>9</v>
      </c>
      <c r="I1343" s="4"/>
      <c r="J1343" s="4"/>
    </row>
    <row r="1344" spans="1:10" s="3" customFormat="1" x14ac:dyDescent="0.25">
      <c r="A1344" s="20">
        <v>42020</v>
      </c>
      <c r="B1344" s="21">
        <v>9251</v>
      </c>
      <c r="C1344" s="14" t="s">
        <v>118</v>
      </c>
      <c r="D1344" s="22">
        <v>5958.8</v>
      </c>
      <c r="E1344" s="23">
        <v>42025</v>
      </c>
      <c r="F1344" s="24">
        <v>5958.8</v>
      </c>
      <c r="G1344" s="31">
        <f t="shared" si="20"/>
        <v>0</v>
      </c>
      <c r="H1344" s="19" t="s">
        <v>19</v>
      </c>
      <c r="I1344" s="4"/>
      <c r="J1344" s="28"/>
    </row>
    <row r="1345" spans="1:10" s="3" customFormat="1" x14ac:dyDescent="0.25">
      <c r="A1345" s="20">
        <v>42020</v>
      </c>
      <c r="B1345" s="21">
        <v>9252</v>
      </c>
      <c r="C1345" s="14" t="s">
        <v>363</v>
      </c>
      <c r="D1345" s="22">
        <v>1283.4000000000001</v>
      </c>
      <c r="E1345" s="23">
        <v>42021</v>
      </c>
      <c r="F1345" s="24">
        <v>1283.4000000000001</v>
      </c>
      <c r="G1345" s="31">
        <f t="shared" si="20"/>
        <v>0</v>
      </c>
      <c r="H1345" s="19" t="s">
        <v>19</v>
      </c>
      <c r="I1345" s="4"/>
      <c r="J1345" s="28"/>
    </row>
    <row r="1346" spans="1:10" s="3" customFormat="1" x14ac:dyDescent="0.25">
      <c r="A1346" s="20">
        <v>42020</v>
      </c>
      <c r="B1346" s="21">
        <v>9253</v>
      </c>
      <c r="C1346" s="14" t="s">
        <v>136</v>
      </c>
      <c r="D1346" s="22">
        <v>2064</v>
      </c>
      <c r="E1346" s="23">
        <v>42020</v>
      </c>
      <c r="F1346" s="24">
        <v>2064</v>
      </c>
      <c r="G1346" s="31">
        <f t="shared" si="20"/>
        <v>0</v>
      </c>
      <c r="H1346" s="19" t="s">
        <v>9</v>
      </c>
      <c r="I1346" s="4"/>
      <c r="J1346" s="28"/>
    </row>
    <row r="1347" spans="1:10" s="3" customFormat="1" x14ac:dyDescent="0.25">
      <c r="A1347" s="20">
        <v>42020</v>
      </c>
      <c r="B1347" s="21">
        <v>9254</v>
      </c>
      <c r="C1347" s="14" t="s">
        <v>136</v>
      </c>
      <c r="D1347" s="22">
        <v>40200</v>
      </c>
      <c r="E1347" s="29" t="s">
        <v>364</v>
      </c>
      <c r="F1347" s="24">
        <f>22500+17700</f>
        <v>40200</v>
      </c>
      <c r="G1347" s="31">
        <f t="shared" ref="G1347:G1410" si="21">D1347-F1347</f>
        <v>0</v>
      </c>
      <c r="H1347" s="19" t="s">
        <v>9</v>
      </c>
      <c r="I1347" s="4"/>
      <c r="J1347" s="28"/>
    </row>
    <row r="1348" spans="1:10" s="3" customFormat="1" x14ac:dyDescent="0.25">
      <c r="A1348" s="20">
        <v>42020</v>
      </c>
      <c r="B1348" s="21">
        <v>9255</v>
      </c>
      <c r="C1348" s="14" t="s">
        <v>365</v>
      </c>
      <c r="D1348" s="22">
        <v>3700.4</v>
      </c>
      <c r="E1348" s="23">
        <v>42020</v>
      </c>
      <c r="F1348" s="24">
        <v>3700.4</v>
      </c>
      <c r="G1348" s="31">
        <f t="shared" si="21"/>
        <v>0</v>
      </c>
      <c r="H1348" s="19" t="s">
        <v>9</v>
      </c>
      <c r="I1348" s="4"/>
      <c r="J1348" s="28"/>
    </row>
    <row r="1349" spans="1:10" s="3" customFormat="1" x14ac:dyDescent="0.25">
      <c r="A1349" s="20">
        <v>42020</v>
      </c>
      <c r="B1349" s="21">
        <v>9256</v>
      </c>
      <c r="C1349" s="26" t="s">
        <v>218</v>
      </c>
      <c r="D1349" s="27">
        <v>0</v>
      </c>
      <c r="E1349" s="23"/>
      <c r="F1349" s="24"/>
      <c r="G1349" s="31">
        <f t="shared" si="21"/>
        <v>0</v>
      </c>
      <c r="H1349" s="19" t="s">
        <v>13</v>
      </c>
      <c r="I1349" s="4"/>
      <c r="J1349" s="4"/>
    </row>
    <row r="1350" spans="1:10" s="3" customFormat="1" x14ac:dyDescent="0.25">
      <c r="A1350" s="20">
        <v>42020</v>
      </c>
      <c r="B1350" s="21">
        <v>9257</v>
      </c>
      <c r="C1350" s="14" t="s">
        <v>18</v>
      </c>
      <c r="D1350" s="22">
        <v>51544.6</v>
      </c>
      <c r="E1350" s="23">
        <v>42020</v>
      </c>
      <c r="F1350" s="24">
        <v>51544.6</v>
      </c>
      <c r="G1350" s="31">
        <f t="shared" si="21"/>
        <v>0</v>
      </c>
      <c r="H1350" s="19" t="s">
        <v>17</v>
      </c>
      <c r="I1350" s="4"/>
      <c r="J1350" s="4"/>
    </row>
    <row r="1351" spans="1:10" s="3" customFormat="1" x14ac:dyDescent="0.25">
      <c r="A1351" s="20">
        <v>42020</v>
      </c>
      <c r="B1351" s="21">
        <v>9258</v>
      </c>
      <c r="C1351" s="14" t="s">
        <v>234</v>
      </c>
      <c r="D1351" s="22">
        <v>322</v>
      </c>
      <c r="E1351" s="23">
        <v>42020</v>
      </c>
      <c r="F1351" s="24">
        <v>322</v>
      </c>
      <c r="G1351" s="31">
        <f t="shared" si="21"/>
        <v>0</v>
      </c>
      <c r="H1351" s="19" t="s">
        <v>9</v>
      </c>
      <c r="I1351" s="4"/>
      <c r="J1351" s="4"/>
    </row>
    <row r="1352" spans="1:10" s="3" customFormat="1" x14ac:dyDescent="0.25">
      <c r="A1352" s="20">
        <v>42020</v>
      </c>
      <c r="B1352" s="21">
        <v>9259</v>
      </c>
      <c r="C1352" s="14" t="s">
        <v>154</v>
      </c>
      <c r="D1352" s="22">
        <v>16550.400000000001</v>
      </c>
      <c r="E1352" s="23">
        <v>42021</v>
      </c>
      <c r="F1352" s="24">
        <v>16550.400000000001</v>
      </c>
      <c r="G1352" s="31">
        <f t="shared" si="21"/>
        <v>0</v>
      </c>
      <c r="H1352" s="19" t="s">
        <v>94</v>
      </c>
      <c r="I1352" s="4"/>
      <c r="J1352" s="4"/>
    </row>
    <row r="1353" spans="1:10" s="3" customFormat="1" x14ac:dyDescent="0.25">
      <c r="A1353" s="20">
        <v>42020</v>
      </c>
      <c r="B1353" s="21">
        <v>9260</v>
      </c>
      <c r="C1353" s="14" t="s">
        <v>110</v>
      </c>
      <c r="D1353" s="22">
        <v>60805.94</v>
      </c>
      <c r="E1353" s="23">
        <v>42027</v>
      </c>
      <c r="F1353" s="24">
        <v>60805.94</v>
      </c>
      <c r="G1353" s="31">
        <f t="shared" si="21"/>
        <v>0</v>
      </c>
      <c r="H1353" s="19" t="s">
        <v>46</v>
      </c>
      <c r="I1353" s="4"/>
      <c r="J1353" s="4"/>
    </row>
    <row r="1354" spans="1:10" s="3" customFormat="1" x14ac:dyDescent="0.25">
      <c r="A1354" s="20">
        <v>42020</v>
      </c>
      <c r="B1354" s="21">
        <v>9261</v>
      </c>
      <c r="C1354" s="14" t="s">
        <v>232</v>
      </c>
      <c r="D1354" s="22">
        <v>80.400000000000006</v>
      </c>
      <c r="E1354" s="23">
        <v>42020</v>
      </c>
      <c r="F1354" s="24">
        <v>80.400000000000006</v>
      </c>
      <c r="G1354" s="31">
        <f t="shared" si="21"/>
        <v>0</v>
      </c>
      <c r="H1354" s="19" t="s">
        <v>62</v>
      </c>
      <c r="I1354" s="4"/>
      <c r="J1354" s="4"/>
    </row>
    <row r="1355" spans="1:10" s="3" customFormat="1" x14ac:dyDescent="0.25">
      <c r="A1355" s="20">
        <v>42020</v>
      </c>
      <c r="B1355" s="21">
        <v>9262</v>
      </c>
      <c r="C1355" s="26" t="s">
        <v>218</v>
      </c>
      <c r="D1355" s="27">
        <v>0</v>
      </c>
      <c r="E1355" s="23"/>
      <c r="F1355" s="24"/>
      <c r="G1355" s="31">
        <f t="shared" si="21"/>
        <v>0</v>
      </c>
      <c r="H1355" s="19" t="s">
        <v>13</v>
      </c>
      <c r="I1355" s="4"/>
      <c r="J1355" s="4"/>
    </row>
    <row r="1356" spans="1:10" s="3" customFormat="1" x14ac:dyDescent="0.25">
      <c r="A1356" s="20">
        <v>42020</v>
      </c>
      <c r="B1356" s="21">
        <v>9263</v>
      </c>
      <c r="C1356" s="14" t="s">
        <v>141</v>
      </c>
      <c r="D1356" s="22">
        <v>1082.5</v>
      </c>
      <c r="E1356" s="23">
        <v>42020</v>
      </c>
      <c r="F1356" s="24">
        <v>1082.5</v>
      </c>
      <c r="G1356" s="31">
        <f t="shared" si="21"/>
        <v>0</v>
      </c>
      <c r="H1356" s="19" t="s">
        <v>9</v>
      </c>
      <c r="I1356" s="4"/>
      <c r="J1356" s="4"/>
    </row>
    <row r="1357" spans="1:10" s="3" customFormat="1" x14ac:dyDescent="0.25">
      <c r="A1357" s="20">
        <v>42020</v>
      </c>
      <c r="B1357" s="21">
        <v>9264</v>
      </c>
      <c r="C1357" s="14" t="s">
        <v>110</v>
      </c>
      <c r="D1357" s="22">
        <v>6929</v>
      </c>
      <c r="E1357" s="23">
        <v>42027</v>
      </c>
      <c r="F1357" s="24">
        <v>6929</v>
      </c>
      <c r="G1357" s="31">
        <f t="shared" si="21"/>
        <v>0</v>
      </c>
      <c r="H1357" s="19" t="s">
        <v>46</v>
      </c>
      <c r="I1357" s="4"/>
      <c r="J1357" s="4"/>
    </row>
    <row r="1358" spans="1:10" s="3" customFormat="1" x14ac:dyDescent="0.25">
      <c r="A1358" s="20">
        <v>42020</v>
      </c>
      <c r="B1358" s="21">
        <v>9265</v>
      </c>
      <c r="C1358" s="14" t="s">
        <v>112</v>
      </c>
      <c r="D1358" s="22">
        <v>3850.2</v>
      </c>
      <c r="E1358" s="23">
        <v>42020</v>
      </c>
      <c r="F1358" s="24">
        <v>3850.2</v>
      </c>
      <c r="G1358" s="31">
        <f t="shared" si="21"/>
        <v>0</v>
      </c>
      <c r="H1358" s="19" t="s">
        <v>9</v>
      </c>
      <c r="I1358" s="4"/>
      <c r="J1358" s="4"/>
    </row>
    <row r="1359" spans="1:10" s="3" customFormat="1" x14ac:dyDescent="0.25">
      <c r="A1359" s="20">
        <v>42020</v>
      </c>
      <c r="B1359" s="21">
        <v>9266</v>
      </c>
      <c r="C1359" s="14" t="s">
        <v>366</v>
      </c>
      <c r="D1359" s="22">
        <v>3340.8</v>
      </c>
      <c r="E1359" s="23">
        <v>42020</v>
      </c>
      <c r="F1359" s="24">
        <v>3340.8</v>
      </c>
      <c r="G1359" s="31">
        <f t="shared" si="21"/>
        <v>0</v>
      </c>
      <c r="H1359" s="19" t="s">
        <v>9</v>
      </c>
      <c r="I1359" s="4"/>
      <c r="J1359" s="4"/>
    </row>
    <row r="1360" spans="1:10" s="3" customFormat="1" x14ac:dyDescent="0.25">
      <c r="A1360" s="20">
        <v>42020</v>
      </c>
      <c r="B1360" s="21">
        <v>9267</v>
      </c>
      <c r="C1360" s="14" t="s">
        <v>80</v>
      </c>
      <c r="D1360" s="22">
        <v>7218</v>
      </c>
      <c r="E1360" s="23">
        <v>42020</v>
      </c>
      <c r="F1360" s="24">
        <v>7218</v>
      </c>
      <c r="G1360" s="31">
        <f t="shared" si="21"/>
        <v>0</v>
      </c>
      <c r="H1360" s="19" t="s">
        <v>9</v>
      </c>
      <c r="I1360" s="4"/>
      <c r="J1360" s="4"/>
    </row>
    <row r="1361" spans="1:10" s="3" customFormat="1" x14ac:dyDescent="0.25">
      <c r="A1361" s="20">
        <v>42020</v>
      </c>
      <c r="B1361" s="21">
        <v>9268</v>
      </c>
      <c r="C1361" s="14" t="s">
        <v>265</v>
      </c>
      <c r="D1361" s="22">
        <v>601.4</v>
      </c>
      <c r="E1361" s="23">
        <v>42020</v>
      </c>
      <c r="F1361" s="24">
        <v>601.4</v>
      </c>
      <c r="G1361" s="31">
        <f t="shared" si="21"/>
        <v>0</v>
      </c>
      <c r="H1361" s="19" t="s">
        <v>62</v>
      </c>
      <c r="I1361" s="4"/>
      <c r="J1361" s="4"/>
    </row>
    <row r="1362" spans="1:10" s="3" customFormat="1" x14ac:dyDescent="0.25">
      <c r="A1362" s="20">
        <v>42020</v>
      </c>
      <c r="B1362" s="21">
        <v>9269</v>
      </c>
      <c r="C1362" s="14" t="s">
        <v>24</v>
      </c>
      <c r="D1362" s="22">
        <v>129665.8</v>
      </c>
      <c r="E1362" s="30">
        <v>42048</v>
      </c>
      <c r="F1362" s="96">
        <v>129665.8</v>
      </c>
      <c r="G1362" s="31">
        <f t="shared" si="21"/>
        <v>0</v>
      </c>
      <c r="H1362" s="19" t="s">
        <v>36</v>
      </c>
    </row>
    <row r="1363" spans="1:10" s="3" customFormat="1" x14ac:dyDescent="0.25">
      <c r="A1363" s="20">
        <v>42021</v>
      </c>
      <c r="B1363" s="21">
        <v>9270</v>
      </c>
      <c r="C1363" s="14" t="s">
        <v>112</v>
      </c>
      <c r="D1363" s="22">
        <v>6603</v>
      </c>
      <c r="E1363" s="23">
        <v>42021</v>
      </c>
      <c r="F1363" s="24">
        <v>6603</v>
      </c>
      <c r="G1363" s="31">
        <f t="shared" si="21"/>
        <v>0</v>
      </c>
      <c r="H1363" s="19" t="s">
        <v>9</v>
      </c>
    </row>
    <row r="1364" spans="1:10" s="3" customFormat="1" x14ac:dyDescent="0.25">
      <c r="A1364" s="20">
        <v>42021</v>
      </c>
      <c r="B1364" s="21">
        <v>9271</v>
      </c>
      <c r="C1364" s="14" t="s">
        <v>103</v>
      </c>
      <c r="D1364" s="22">
        <v>48680.05</v>
      </c>
      <c r="E1364" s="23">
        <v>42024</v>
      </c>
      <c r="F1364" s="24">
        <v>48680.05</v>
      </c>
      <c r="G1364" s="31">
        <f t="shared" si="21"/>
        <v>0</v>
      </c>
      <c r="H1364" s="19" t="s">
        <v>9</v>
      </c>
    </row>
    <row r="1365" spans="1:10" s="3" customFormat="1" x14ac:dyDescent="0.25">
      <c r="A1365" s="20">
        <v>42021</v>
      </c>
      <c r="B1365" s="21">
        <v>9272</v>
      </c>
      <c r="C1365" s="14" t="s">
        <v>112</v>
      </c>
      <c r="D1365" s="22">
        <v>463.5</v>
      </c>
      <c r="E1365" s="23">
        <v>42021</v>
      </c>
      <c r="F1365" s="24">
        <v>463.5</v>
      </c>
      <c r="G1365" s="31">
        <f t="shared" si="21"/>
        <v>0</v>
      </c>
      <c r="H1365" s="19" t="s">
        <v>9</v>
      </c>
    </row>
    <row r="1366" spans="1:10" s="3" customFormat="1" x14ac:dyDescent="0.25">
      <c r="A1366" s="20">
        <v>42021</v>
      </c>
      <c r="B1366" s="21">
        <v>9273</v>
      </c>
      <c r="C1366" s="14" t="s">
        <v>291</v>
      </c>
      <c r="D1366" s="22">
        <v>11914.1</v>
      </c>
      <c r="E1366" s="23">
        <v>42021</v>
      </c>
      <c r="F1366" s="24">
        <v>11914.1</v>
      </c>
      <c r="G1366" s="31">
        <f t="shared" si="21"/>
        <v>0</v>
      </c>
      <c r="H1366" s="19" t="s">
        <v>9</v>
      </c>
    </row>
    <row r="1367" spans="1:10" s="3" customFormat="1" x14ac:dyDescent="0.25">
      <c r="A1367" s="20">
        <v>42021</v>
      </c>
      <c r="B1367" s="21">
        <v>9274</v>
      </c>
      <c r="C1367" s="14" t="s">
        <v>21</v>
      </c>
      <c r="D1367" s="22">
        <v>3121.8</v>
      </c>
      <c r="E1367" s="23">
        <v>42021</v>
      </c>
      <c r="F1367" s="24">
        <v>3121.8</v>
      </c>
      <c r="G1367" s="31">
        <f t="shared" si="21"/>
        <v>0</v>
      </c>
      <c r="H1367" s="19" t="s">
        <v>9</v>
      </c>
    </row>
    <row r="1368" spans="1:10" s="3" customFormat="1" x14ac:dyDescent="0.25">
      <c r="A1368" s="20">
        <v>42021</v>
      </c>
      <c r="B1368" s="21">
        <v>9275</v>
      </c>
      <c r="C1368" s="14" t="s">
        <v>267</v>
      </c>
      <c r="D1368" s="22">
        <v>5650.6</v>
      </c>
      <c r="E1368" s="23">
        <v>42021</v>
      </c>
      <c r="F1368" s="24">
        <v>5650.6</v>
      </c>
      <c r="G1368" s="31">
        <f t="shared" si="21"/>
        <v>0</v>
      </c>
      <c r="H1368" s="19" t="s">
        <v>36</v>
      </c>
    </row>
    <row r="1369" spans="1:10" s="3" customFormat="1" x14ac:dyDescent="0.25">
      <c r="A1369" s="20">
        <v>42021</v>
      </c>
      <c r="B1369" s="21">
        <v>9276</v>
      </c>
      <c r="C1369" s="14" t="s">
        <v>16</v>
      </c>
      <c r="D1369" s="22">
        <v>7570.2</v>
      </c>
      <c r="E1369" s="23">
        <v>42021</v>
      </c>
      <c r="F1369" s="24">
        <v>7570.2</v>
      </c>
      <c r="G1369" s="31">
        <f t="shared" si="21"/>
        <v>0</v>
      </c>
      <c r="H1369" s="19" t="s">
        <v>19</v>
      </c>
    </row>
    <row r="1370" spans="1:10" s="3" customFormat="1" x14ac:dyDescent="0.25">
      <c r="A1370" s="20">
        <v>42021</v>
      </c>
      <c r="B1370" s="21">
        <v>9277</v>
      </c>
      <c r="C1370" s="14" t="s">
        <v>211</v>
      </c>
      <c r="D1370" s="22">
        <v>73838.100000000006</v>
      </c>
      <c r="E1370" s="23">
        <v>42021</v>
      </c>
      <c r="F1370" s="24">
        <v>73838.100000000006</v>
      </c>
      <c r="G1370" s="31">
        <f t="shared" si="21"/>
        <v>0</v>
      </c>
      <c r="H1370" s="19" t="s">
        <v>9</v>
      </c>
    </row>
    <row r="1371" spans="1:10" s="3" customFormat="1" x14ac:dyDescent="0.25">
      <c r="A1371" s="20">
        <v>42021</v>
      </c>
      <c r="B1371" s="21">
        <v>9278</v>
      </c>
      <c r="C1371" s="14" t="s">
        <v>20</v>
      </c>
      <c r="D1371" s="22">
        <v>25493</v>
      </c>
      <c r="E1371" s="23">
        <v>42021</v>
      </c>
      <c r="F1371" s="24">
        <v>25493</v>
      </c>
      <c r="G1371" s="31">
        <f t="shared" si="21"/>
        <v>0</v>
      </c>
      <c r="H1371" s="19" t="s">
        <v>94</v>
      </c>
    </row>
    <row r="1372" spans="1:10" s="3" customFormat="1" x14ac:dyDescent="0.25">
      <c r="A1372" s="20">
        <v>42021</v>
      </c>
      <c r="B1372" s="21">
        <v>9279</v>
      </c>
      <c r="C1372" s="14" t="s">
        <v>31</v>
      </c>
      <c r="D1372" s="22">
        <v>2790</v>
      </c>
      <c r="E1372" s="23">
        <v>42021</v>
      </c>
      <c r="F1372" s="24">
        <v>2790</v>
      </c>
      <c r="G1372" s="31">
        <f t="shared" si="21"/>
        <v>0</v>
      </c>
      <c r="H1372" s="19" t="s">
        <v>19</v>
      </c>
    </row>
    <row r="1373" spans="1:10" s="3" customFormat="1" x14ac:dyDescent="0.25">
      <c r="A1373" s="20">
        <v>42021</v>
      </c>
      <c r="B1373" s="21">
        <v>9280</v>
      </c>
      <c r="C1373" s="14" t="s">
        <v>14</v>
      </c>
      <c r="D1373" s="22">
        <v>27453.4</v>
      </c>
      <c r="E1373" s="23">
        <v>42023</v>
      </c>
      <c r="F1373" s="24">
        <v>27453.4</v>
      </c>
      <c r="G1373" s="31">
        <f t="shared" si="21"/>
        <v>0</v>
      </c>
      <c r="H1373" s="19" t="s">
        <v>187</v>
      </c>
    </row>
    <row r="1374" spans="1:10" s="3" customFormat="1" x14ac:dyDescent="0.25">
      <c r="A1374" s="20">
        <v>42021</v>
      </c>
      <c r="B1374" s="21">
        <v>9281</v>
      </c>
      <c r="C1374" s="14" t="s">
        <v>148</v>
      </c>
      <c r="D1374" s="22">
        <v>4986.3999999999996</v>
      </c>
      <c r="E1374" s="23">
        <v>42021</v>
      </c>
      <c r="F1374" s="24">
        <v>4986.3999999999996</v>
      </c>
      <c r="G1374" s="31">
        <f t="shared" si="21"/>
        <v>0</v>
      </c>
      <c r="H1374" s="19" t="s">
        <v>19</v>
      </c>
    </row>
    <row r="1375" spans="1:10" s="3" customFormat="1" x14ac:dyDescent="0.25">
      <c r="A1375" s="20">
        <v>42021</v>
      </c>
      <c r="B1375" s="21">
        <v>9282</v>
      </c>
      <c r="C1375" s="14" t="s">
        <v>111</v>
      </c>
      <c r="D1375" s="22">
        <v>8109.6</v>
      </c>
      <c r="E1375" s="23">
        <v>42026</v>
      </c>
      <c r="F1375" s="24">
        <v>8109.6</v>
      </c>
      <c r="G1375" s="31">
        <f t="shared" si="21"/>
        <v>0</v>
      </c>
      <c r="H1375" s="19" t="s">
        <v>17</v>
      </c>
    </row>
    <row r="1376" spans="1:10" s="3" customFormat="1" x14ac:dyDescent="0.25">
      <c r="A1376" s="20">
        <v>42021</v>
      </c>
      <c r="B1376" s="21">
        <v>9283</v>
      </c>
      <c r="C1376" s="14" t="s">
        <v>367</v>
      </c>
      <c r="D1376" s="22">
        <v>17255</v>
      </c>
      <c r="E1376" s="30">
        <v>42041</v>
      </c>
      <c r="F1376" s="96">
        <v>17255</v>
      </c>
      <c r="G1376" s="31">
        <f t="shared" si="21"/>
        <v>0</v>
      </c>
      <c r="H1376" s="19" t="s">
        <v>17</v>
      </c>
    </row>
    <row r="1377" spans="1:10" s="3" customFormat="1" x14ac:dyDescent="0.25">
      <c r="A1377" s="20">
        <v>42021</v>
      </c>
      <c r="B1377" s="21">
        <v>9284</v>
      </c>
      <c r="C1377" s="14" t="s">
        <v>158</v>
      </c>
      <c r="D1377" s="22">
        <v>3559.2</v>
      </c>
      <c r="E1377" s="23">
        <v>42021</v>
      </c>
      <c r="F1377" s="24">
        <v>3559.2</v>
      </c>
      <c r="G1377" s="31">
        <f t="shared" si="21"/>
        <v>0</v>
      </c>
      <c r="H1377" s="19" t="s">
        <v>9</v>
      </c>
    </row>
    <row r="1378" spans="1:10" s="3" customFormat="1" x14ac:dyDescent="0.25">
      <c r="A1378" s="20">
        <v>42021</v>
      </c>
      <c r="B1378" s="21">
        <v>9285</v>
      </c>
      <c r="C1378" s="14" t="s">
        <v>137</v>
      </c>
      <c r="D1378" s="22">
        <v>345</v>
      </c>
      <c r="E1378" s="23">
        <v>42021</v>
      </c>
      <c r="F1378" s="24">
        <v>345</v>
      </c>
      <c r="G1378" s="31">
        <f t="shared" si="21"/>
        <v>0</v>
      </c>
      <c r="H1378" s="19" t="s">
        <v>9</v>
      </c>
      <c r="I1378" s="4"/>
      <c r="J1378" s="4"/>
    </row>
    <row r="1379" spans="1:10" s="3" customFormat="1" x14ac:dyDescent="0.25">
      <c r="A1379" s="20">
        <v>42021</v>
      </c>
      <c r="B1379" s="21">
        <v>9286</v>
      </c>
      <c r="C1379" s="14" t="s">
        <v>26</v>
      </c>
      <c r="D1379" s="22">
        <v>2880</v>
      </c>
      <c r="E1379" s="23">
        <v>42021</v>
      </c>
      <c r="F1379" s="24">
        <v>2880</v>
      </c>
      <c r="G1379" s="31">
        <f t="shared" si="21"/>
        <v>0</v>
      </c>
      <c r="H1379" s="19" t="s">
        <v>27</v>
      </c>
      <c r="I1379" s="4"/>
      <c r="J1379" s="4"/>
    </row>
    <row r="1380" spans="1:10" s="3" customFormat="1" x14ac:dyDescent="0.25">
      <c r="A1380" s="20">
        <v>42021</v>
      </c>
      <c r="B1380" s="21">
        <v>9287</v>
      </c>
      <c r="C1380" s="14" t="s">
        <v>116</v>
      </c>
      <c r="D1380" s="22">
        <v>11483.8</v>
      </c>
      <c r="E1380" s="23">
        <v>42021</v>
      </c>
      <c r="F1380" s="24">
        <v>11483.8</v>
      </c>
      <c r="G1380" s="31">
        <f t="shared" si="21"/>
        <v>0</v>
      </c>
      <c r="H1380" s="19" t="s">
        <v>9</v>
      </c>
      <c r="I1380" s="4"/>
      <c r="J1380" s="4"/>
    </row>
    <row r="1381" spans="1:10" s="3" customFormat="1" x14ac:dyDescent="0.25">
      <c r="A1381" s="20">
        <v>42021</v>
      </c>
      <c r="B1381" s="21">
        <v>9288</v>
      </c>
      <c r="C1381" s="14" t="s">
        <v>16</v>
      </c>
      <c r="D1381" s="22">
        <v>165.6</v>
      </c>
      <c r="E1381" s="23">
        <v>42021</v>
      </c>
      <c r="F1381" s="24">
        <v>165.6</v>
      </c>
      <c r="G1381" s="31">
        <f t="shared" si="21"/>
        <v>0</v>
      </c>
      <c r="H1381" s="19" t="s">
        <v>312</v>
      </c>
      <c r="I1381" s="4"/>
      <c r="J1381" s="4"/>
    </row>
    <row r="1382" spans="1:10" s="3" customFormat="1" x14ac:dyDescent="0.25">
      <c r="A1382" s="20">
        <v>42021</v>
      </c>
      <c r="B1382" s="21">
        <v>9289</v>
      </c>
      <c r="C1382" s="14" t="s">
        <v>83</v>
      </c>
      <c r="D1382" s="22">
        <v>6349.2</v>
      </c>
      <c r="E1382" s="23">
        <v>42021</v>
      </c>
      <c r="F1382" s="24">
        <v>6349.2</v>
      </c>
      <c r="G1382" s="31">
        <f t="shared" si="21"/>
        <v>0</v>
      </c>
      <c r="H1382" s="19" t="s">
        <v>59</v>
      </c>
      <c r="I1382" s="4"/>
      <c r="J1382" s="28"/>
    </row>
    <row r="1383" spans="1:10" s="3" customFormat="1" x14ac:dyDescent="0.25">
      <c r="A1383" s="20">
        <v>42021</v>
      </c>
      <c r="B1383" s="21">
        <v>9290</v>
      </c>
      <c r="C1383" s="14" t="s">
        <v>82</v>
      </c>
      <c r="D1383" s="22">
        <v>9088.7000000000007</v>
      </c>
      <c r="E1383" s="23">
        <v>42021</v>
      </c>
      <c r="F1383" s="24">
        <v>9088.7000000000007</v>
      </c>
      <c r="G1383" s="31">
        <f t="shared" si="21"/>
        <v>0</v>
      </c>
      <c r="H1383" s="19" t="s">
        <v>59</v>
      </c>
      <c r="I1383" s="4"/>
      <c r="J1383" s="4"/>
    </row>
    <row r="1384" spans="1:10" s="3" customFormat="1" x14ac:dyDescent="0.25">
      <c r="A1384" s="20">
        <v>42021</v>
      </c>
      <c r="B1384" s="21">
        <v>9291</v>
      </c>
      <c r="C1384" s="14" t="s">
        <v>239</v>
      </c>
      <c r="D1384" s="22">
        <v>1654.5</v>
      </c>
      <c r="E1384" s="23">
        <v>42021</v>
      </c>
      <c r="F1384" s="24">
        <v>1654.5</v>
      </c>
      <c r="G1384" s="31">
        <f t="shared" si="21"/>
        <v>0</v>
      </c>
      <c r="H1384" s="19" t="s">
        <v>9</v>
      </c>
      <c r="I1384" s="4"/>
      <c r="J1384" s="4"/>
    </row>
    <row r="1385" spans="1:10" s="3" customFormat="1" x14ac:dyDescent="0.25">
      <c r="A1385" s="20">
        <v>42021</v>
      </c>
      <c r="B1385" s="21">
        <v>9292</v>
      </c>
      <c r="C1385" s="14" t="s">
        <v>53</v>
      </c>
      <c r="D1385" s="22">
        <v>3360</v>
      </c>
      <c r="E1385" s="23">
        <v>42021</v>
      </c>
      <c r="F1385" s="24">
        <v>3360</v>
      </c>
      <c r="G1385" s="31">
        <f t="shared" si="21"/>
        <v>0</v>
      </c>
      <c r="H1385" s="19" t="s">
        <v>59</v>
      </c>
      <c r="I1385" s="4"/>
      <c r="J1385" s="4"/>
    </row>
    <row r="1386" spans="1:10" s="3" customFormat="1" x14ac:dyDescent="0.25">
      <c r="A1386" s="20">
        <v>42021</v>
      </c>
      <c r="B1386" s="21">
        <v>9293</v>
      </c>
      <c r="C1386" s="14" t="s">
        <v>221</v>
      </c>
      <c r="D1386" s="22">
        <v>1615</v>
      </c>
      <c r="E1386" s="23">
        <v>42021</v>
      </c>
      <c r="F1386" s="24">
        <v>1615</v>
      </c>
      <c r="G1386" s="31">
        <f t="shared" si="21"/>
        <v>0</v>
      </c>
      <c r="H1386" s="19" t="s">
        <v>59</v>
      </c>
      <c r="I1386" s="4"/>
      <c r="J1386" s="4"/>
    </row>
    <row r="1387" spans="1:10" s="3" customFormat="1" x14ac:dyDescent="0.25">
      <c r="A1387" s="20">
        <v>42021</v>
      </c>
      <c r="B1387" s="21">
        <v>9294</v>
      </c>
      <c r="C1387" s="14" t="s">
        <v>11</v>
      </c>
      <c r="D1387" s="22">
        <v>9585</v>
      </c>
      <c r="E1387" s="23">
        <v>42021</v>
      </c>
      <c r="F1387" s="24">
        <v>9585</v>
      </c>
      <c r="G1387" s="31">
        <f t="shared" si="21"/>
        <v>0</v>
      </c>
      <c r="H1387" s="19" t="s">
        <v>9</v>
      </c>
      <c r="I1387" s="4"/>
      <c r="J1387" s="28"/>
    </row>
    <row r="1388" spans="1:10" s="3" customFormat="1" x14ac:dyDescent="0.25">
      <c r="A1388" s="20">
        <v>42021</v>
      </c>
      <c r="B1388" s="21">
        <v>9295</v>
      </c>
      <c r="C1388" s="14" t="s">
        <v>368</v>
      </c>
      <c r="D1388" s="22">
        <v>3157.8</v>
      </c>
      <c r="E1388" s="23">
        <v>42021</v>
      </c>
      <c r="F1388" s="24">
        <v>3157.8</v>
      </c>
      <c r="G1388" s="31">
        <f t="shared" si="21"/>
        <v>0</v>
      </c>
      <c r="H1388" s="19" t="s">
        <v>59</v>
      </c>
      <c r="I1388" s="4"/>
      <c r="J1388" s="4"/>
    </row>
    <row r="1389" spans="1:10" s="3" customFormat="1" x14ac:dyDescent="0.25">
      <c r="A1389" s="20">
        <v>42021</v>
      </c>
      <c r="B1389" s="21">
        <v>9296</v>
      </c>
      <c r="C1389" s="14" t="s">
        <v>167</v>
      </c>
      <c r="D1389" s="22">
        <v>600</v>
      </c>
      <c r="E1389" s="23">
        <v>42021</v>
      </c>
      <c r="F1389" s="24">
        <v>600</v>
      </c>
      <c r="G1389" s="31">
        <f t="shared" si="21"/>
        <v>0</v>
      </c>
      <c r="H1389" s="19" t="s">
        <v>59</v>
      </c>
      <c r="I1389" s="4"/>
      <c r="J1389" s="4"/>
    </row>
    <row r="1390" spans="1:10" s="3" customFormat="1" x14ac:dyDescent="0.25">
      <c r="A1390" s="20">
        <v>42021</v>
      </c>
      <c r="B1390" s="21">
        <v>9297</v>
      </c>
      <c r="C1390" s="14" t="s">
        <v>217</v>
      </c>
      <c r="D1390" s="22">
        <v>5617.2</v>
      </c>
      <c r="E1390" s="23">
        <v>42021</v>
      </c>
      <c r="F1390" s="24">
        <v>5617.2</v>
      </c>
      <c r="G1390" s="31">
        <f t="shared" si="21"/>
        <v>0</v>
      </c>
      <c r="H1390" s="19" t="s">
        <v>59</v>
      </c>
      <c r="I1390" s="4"/>
      <c r="J1390" s="4"/>
    </row>
    <row r="1391" spans="1:10" s="3" customFormat="1" x14ac:dyDescent="0.25">
      <c r="A1391" s="20">
        <v>42021</v>
      </c>
      <c r="B1391" s="21">
        <v>9298</v>
      </c>
      <c r="C1391" s="14" t="s">
        <v>91</v>
      </c>
      <c r="D1391" s="22">
        <v>4178.8</v>
      </c>
      <c r="E1391" s="23">
        <v>42021</v>
      </c>
      <c r="F1391" s="24">
        <v>4178.8</v>
      </c>
      <c r="G1391" s="31">
        <f t="shared" si="21"/>
        <v>0</v>
      </c>
      <c r="H1391" s="19" t="s">
        <v>59</v>
      </c>
      <c r="I1391" s="4"/>
      <c r="J1391" s="4"/>
    </row>
    <row r="1392" spans="1:10" s="3" customFormat="1" x14ac:dyDescent="0.25">
      <c r="A1392" s="20">
        <v>42021</v>
      </c>
      <c r="B1392" s="21">
        <v>9299</v>
      </c>
      <c r="C1392" s="14" t="s">
        <v>53</v>
      </c>
      <c r="D1392" s="22">
        <v>195</v>
      </c>
      <c r="E1392" s="23">
        <v>42021</v>
      </c>
      <c r="F1392" s="24">
        <v>195</v>
      </c>
      <c r="G1392" s="31">
        <f t="shared" si="21"/>
        <v>0</v>
      </c>
      <c r="H1392" s="19" t="s">
        <v>59</v>
      </c>
      <c r="I1392" s="4"/>
      <c r="J1392" s="4"/>
    </row>
    <row r="1393" spans="1:10" s="3" customFormat="1" x14ac:dyDescent="0.25">
      <c r="A1393" s="20">
        <v>42021</v>
      </c>
      <c r="B1393" s="21">
        <v>9300</v>
      </c>
      <c r="C1393" s="14" t="s">
        <v>11</v>
      </c>
      <c r="D1393" s="22">
        <v>400</v>
      </c>
      <c r="E1393" s="23">
        <v>42021</v>
      </c>
      <c r="F1393" s="24">
        <v>400</v>
      </c>
      <c r="G1393" s="31">
        <f t="shared" si="21"/>
        <v>0</v>
      </c>
      <c r="H1393" s="19" t="s">
        <v>9</v>
      </c>
      <c r="I1393" s="4"/>
      <c r="J1393" s="4"/>
    </row>
    <row r="1394" spans="1:10" s="3" customFormat="1" x14ac:dyDescent="0.25">
      <c r="A1394" s="20">
        <v>42021</v>
      </c>
      <c r="B1394" s="21">
        <v>9301</v>
      </c>
      <c r="C1394" s="14" t="s">
        <v>71</v>
      </c>
      <c r="D1394" s="22">
        <v>6396.6</v>
      </c>
      <c r="E1394" s="23">
        <v>42021</v>
      </c>
      <c r="F1394" s="24">
        <v>6396.6</v>
      </c>
      <c r="G1394" s="31">
        <f t="shared" si="21"/>
        <v>0</v>
      </c>
      <c r="H1394" s="19" t="s">
        <v>9</v>
      </c>
      <c r="I1394" s="4"/>
      <c r="J1394" s="4"/>
    </row>
    <row r="1395" spans="1:10" s="3" customFormat="1" x14ac:dyDescent="0.25">
      <c r="A1395" s="20">
        <v>42021</v>
      </c>
      <c r="B1395" s="21">
        <v>9302</v>
      </c>
      <c r="C1395" s="14" t="s">
        <v>57</v>
      </c>
      <c r="D1395" s="22">
        <v>1260</v>
      </c>
      <c r="E1395" s="23">
        <v>42021</v>
      </c>
      <c r="F1395" s="24">
        <v>1260</v>
      </c>
      <c r="G1395" s="31">
        <f t="shared" si="21"/>
        <v>0</v>
      </c>
      <c r="H1395" s="19" t="s">
        <v>59</v>
      </c>
      <c r="I1395" s="4"/>
      <c r="J1395" s="4"/>
    </row>
    <row r="1396" spans="1:10" s="3" customFormat="1" x14ac:dyDescent="0.25">
      <c r="A1396" s="20">
        <v>42021</v>
      </c>
      <c r="B1396" s="21">
        <v>9303</v>
      </c>
      <c r="C1396" s="14" t="s">
        <v>58</v>
      </c>
      <c r="D1396" s="22">
        <v>840</v>
      </c>
      <c r="E1396" s="23">
        <v>42021</v>
      </c>
      <c r="F1396" s="24">
        <v>840</v>
      </c>
      <c r="G1396" s="31">
        <f t="shared" si="21"/>
        <v>0</v>
      </c>
      <c r="H1396" s="19" t="s">
        <v>59</v>
      </c>
      <c r="I1396" s="4"/>
      <c r="J1396" s="4"/>
    </row>
    <row r="1397" spans="1:10" s="3" customFormat="1" x14ac:dyDescent="0.25">
      <c r="A1397" s="20">
        <v>42021</v>
      </c>
      <c r="B1397" s="21">
        <v>9304</v>
      </c>
      <c r="C1397" s="14" t="s">
        <v>292</v>
      </c>
      <c r="D1397" s="22">
        <v>4581</v>
      </c>
      <c r="E1397" s="23">
        <v>42021</v>
      </c>
      <c r="F1397" s="24">
        <v>4581</v>
      </c>
      <c r="G1397" s="31">
        <f t="shared" si="21"/>
        <v>0</v>
      </c>
      <c r="H1397" s="19" t="s">
        <v>59</v>
      </c>
      <c r="I1397" s="4"/>
      <c r="J1397" s="4"/>
    </row>
    <row r="1398" spans="1:10" s="3" customFormat="1" x14ac:dyDescent="0.25">
      <c r="A1398" s="20">
        <v>42021</v>
      </c>
      <c r="B1398" s="21">
        <v>9305</v>
      </c>
      <c r="C1398" s="14" t="s">
        <v>23</v>
      </c>
      <c r="D1398" s="22">
        <v>4182.8</v>
      </c>
      <c r="E1398" s="23">
        <v>42021</v>
      </c>
      <c r="F1398" s="24">
        <v>4182.8</v>
      </c>
      <c r="G1398" s="31">
        <f t="shared" si="21"/>
        <v>0</v>
      </c>
      <c r="H1398" s="19" t="s">
        <v>9</v>
      </c>
      <c r="I1398" s="4"/>
      <c r="J1398" s="4"/>
    </row>
    <row r="1399" spans="1:10" s="3" customFormat="1" x14ac:dyDescent="0.25">
      <c r="A1399" s="20">
        <v>42021</v>
      </c>
      <c r="B1399" s="21">
        <v>9306</v>
      </c>
      <c r="C1399" s="14" t="s">
        <v>294</v>
      </c>
      <c r="D1399" s="22">
        <v>6019.2</v>
      </c>
      <c r="E1399" s="23">
        <v>42021</v>
      </c>
      <c r="F1399" s="24">
        <v>6019.2</v>
      </c>
      <c r="G1399" s="31">
        <f t="shared" si="21"/>
        <v>0</v>
      </c>
      <c r="H1399" s="19" t="s">
        <v>9</v>
      </c>
      <c r="I1399" s="4"/>
      <c r="J1399" s="4"/>
    </row>
    <row r="1400" spans="1:10" s="3" customFormat="1" x14ac:dyDescent="0.25">
      <c r="A1400" s="20">
        <v>42021</v>
      </c>
      <c r="B1400" s="21">
        <v>9307</v>
      </c>
      <c r="C1400" s="14" t="s">
        <v>151</v>
      </c>
      <c r="D1400" s="22">
        <v>9786.2999999999993</v>
      </c>
      <c r="E1400" s="23">
        <v>42022</v>
      </c>
      <c r="F1400" s="24">
        <v>9786.2999999999993</v>
      </c>
      <c r="G1400" s="31">
        <f t="shared" si="21"/>
        <v>0</v>
      </c>
      <c r="H1400" s="19" t="s">
        <v>9</v>
      </c>
      <c r="I1400" s="4"/>
      <c r="J1400" s="4"/>
    </row>
    <row r="1401" spans="1:10" s="3" customFormat="1" x14ac:dyDescent="0.25">
      <c r="A1401" s="20">
        <v>42021</v>
      </c>
      <c r="B1401" s="21">
        <v>9308</v>
      </c>
      <c r="C1401" s="14" t="s">
        <v>81</v>
      </c>
      <c r="D1401" s="22">
        <v>3132.3</v>
      </c>
      <c r="E1401" s="23">
        <v>42021</v>
      </c>
      <c r="F1401" s="24">
        <v>3132.3</v>
      </c>
      <c r="G1401" s="31">
        <f t="shared" si="21"/>
        <v>0</v>
      </c>
      <c r="H1401" s="19" t="s">
        <v>59</v>
      </c>
      <c r="I1401" s="4"/>
      <c r="J1401" s="4"/>
    </row>
    <row r="1402" spans="1:10" s="3" customFormat="1" x14ac:dyDescent="0.25">
      <c r="A1402" s="20">
        <v>42021</v>
      </c>
      <c r="B1402" s="21">
        <v>9309</v>
      </c>
      <c r="C1402" s="14" t="s">
        <v>296</v>
      </c>
      <c r="D1402" s="22">
        <v>1477.4</v>
      </c>
      <c r="E1402" s="23">
        <v>42021</v>
      </c>
      <c r="F1402" s="24">
        <v>1477.4</v>
      </c>
      <c r="G1402" s="31">
        <f t="shared" si="21"/>
        <v>0</v>
      </c>
      <c r="H1402" s="19" t="s">
        <v>9</v>
      </c>
      <c r="I1402" s="4"/>
      <c r="J1402" s="28"/>
    </row>
    <row r="1403" spans="1:10" s="3" customFormat="1" x14ac:dyDescent="0.25">
      <c r="A1403" s="20">
        <v>42021</v>
      </c>
      <c r="B1403" s="21">
        <v>9310</v>
      </c>
      <c r="C1403" s="14" t="s">
        <v>55</v>
      </c>
      <c r="D1403" s="22">
        <v>4026.2</v>
      </c>
      <c r="E1403" s="23">
        <v>42023</v>
      </c>
      <c r="F1403" s="24">
        <v>4026.2</v>
      </c>
      <c r="G1403" s="48">
        <f t="shared" si="21"/>
        <v>0</v>
      </c>
      <c r="H1403" s="19" t="s">
        <v>36</v>
      </c>
      <c r="I1403" s="4"/>
      <c r="J1403" s="4"/>
    </row>
    <row r="1404" spans="1:10" s="3" customFormat="1" x14ac:dyDescent="0.25">
      <c r="A1404" s="20">
        <v>42021</v>
      </c>
      <c r="B1404" s="21">
        <v>9311</v>
      </c>
      <c r="C1404" s="14" t="s">
        <v>296</v>
      </c>
      <c r="D1404" s="22">
        <v>96</v>
      </c>
      <c r="E1404" s="23">
        <v>42021</v>
      </c>
      <c r="F1404" s="24">
        <v>96</v>
      </c>
      <c r="G1404" s="31">
        <f t="shared" si="21"/>
        <v>0</v>
      </c>
      <c r="H1404" s="19" t="s">
        <v>9</v>
      </c>
      <c r="I1404" s="4"/>
      <c r="J1404" s="4"/>
    </row>
    <row r="1405" spans="1:10" s="3" customFormat="1" x14ac:dyDescent="0.25">
      <c r="A1405" s="20">
        <v>42021</v>
      </c>
      <c r="B1405" s="21">
        <v>9312</v>
      </c>
      <c r="C1405" s="14" t="s">
        <v>30</v>
      </c>
      <c r="D1405" s="22">
        <v>6371.6</v>
      </c>
      <c r="E1405" s="23">
        <v>42021</v>
      </c>
      <c r="F1405" s="24">
        <v>6371.6</v>
      </c>
      <c r="G1405" s="31">
        <f t="shared" si="21"/>
        <v>0</v>
      </c>
      <c r="H1405" s="19" t="s">
        <v>9</v>
      </c>
      <c r="I1405" s="4"/>
      <c r="J1405" s="4"/>
    </row>
    <row r="1406" spans="1:10" s="3" customFormat="1" x14ac:dyDescent="0.25">
      <c r="A1406" s="20">
        <v>42021</v>
      </c>
      <c r="B1406" s="21">
        <v>9313</v>
      </c>
      <c r="C1406" s="14" t="s">
        <v>121</v>
      </c>
      <c r="D1406" s="22">
        <v>2096.4</v>
      </c>
      <c r="E1406" s="23">
        <v>42021</v>
      </c>
      <c r="F1406" s="24">
        <v>2096.4</v>
      </c>
      <c r="G1406" s="31">
        <f t="shared" si="21"/>
        <v>0</v>
      </c>
      <c r="H1406" s="19" t="s">
        <v>9</v>
      </c>
      <c r="I1406" s="4"/>
      <c r="J1406" s="4"/>
    </row>
    <row r="1407" spans="1:10" s="3" customFormat="1" x14ac:dyDescent="0.25">
      <c r="A1407" s="20">
        <v>42021</v>
      </c>
      <c r="B1407" s="21">
        <v>9314</v>
      </c>
      <c r="C1407" s="14" t="s">
        <v>60</v>
      </c>
      <c r="D1407" s="22">
        <v>6822.4</v>
      </c>
      <c r="E1407" s="23">
        <v>42021</v>
      </c>
      <c r="F1407" s="24">
        <v>6822.4</v>
      </c>
      <c r="G1407" s="31">
        <f t="shared" si="21"/>
        <v>0</v>
      </c>
      <c r="H1407" s="19" t="s">
        <v>36</v>
      </c>
      <c r="I1407" s="4"/>
      <c r="J1407" s="4"/>
    </row>
    <row r="1408" spans="1:10" s="3" customFormat="1" x14ac:dyDescent="0.25">
      <c r="A1408" s="20">
        <v>42021</v>
      </c>
      <c r="B1408" s="21">
        <v>9315</v>
      </c>
      <c r="C1408" s="14" t="s">
        <v>141</v>
      </c>
      <c r="D1408" s="22">
        <v>3575</v>
      </c>
      <c r="E1408" s="23">
        <v>42033</v>
      </c>
      <c r="F1408" s="24">
        <v>3575</v>
      </c>
      <c r="G1408" s="31">
        <f t="shared" si="21"/>
        <v>0</v>
      </c>
      <c r="H1408" s="19" t="s">
        <v>9</v>
      </c>
      <c r="I1408" s="4"/>
      <c r="J1408" s="4"/>
    </row>
    <row r="1409" spans="1:10" s="3" customFormat="1" x14ac:dyDescent="0.25">
      <c r="A1409" s="20">
        <v>42021</v>
      </c>
      <c r="B1409" s="21">
        <v>9316</v>
      </c>
      <c r="C1409" s="14" t="s">
        <v>168</v>
      </c>
      <c r="D1409" s="22">
        <v>7866</v>
      </c>
      <c r="E1409" s="23">
        <v>42023</v>
      </c>
      <c r="F1409" s="24">
        <v>7866</v>
      </c>
      <c r="G1409" s="31">
        <f t="shared" si="21"/>
        <v>0</v>
      </c>
      <c r="H1409" s="19" t="s">
        <v>59</v>
      </c>
      <c r="I1409" s="4"/>
      <c r="J1409" s="4"/>
    </row>
    <row r="1410" spans="1:10" s="3" customFormat="1" x14ac:dyDescent="0.25">
      <c r="A1410" s="20">
        <v>42021</v>
      </c>
      <c r="B1410" s="21">
        <v>9317</v>
      </c>
      <c r="C1410" s="26" t="s">
        <v>218</v>
      </c>
      <c r="D1410" s="27">
        <v>0</v>
      </c>
      <c r="E1410" s="23"/>
      <c r="F1410" s="24"/>
      <c r="G1410" s="31">
        <f t="shared" si="21"/>
        <v>0</v>
      </c>
      <c r="H1410" s="19" t="s">
        <v>13</v>
      </c>
      <c r="I1410" s="4"/>
      <c r="J1410" s="4"/>
    </row>
    <row r="1411" spans="1:10" s="3" customFormat="1" x14ac:dyDescent="0.25">
      <c r="A1411" s="20">
        <v>42021</v>
      </c>
      <c r="B1411" s="21">
        <v>9318</v>
      </c>
      <c r="C1411" s="14" t="s">
        <v>47</v>
      </c>
      <c r="D1411" s="22">
        <v>30927.200000000001</v>
      </c>
      <c r="E1411" s="23">
        <v>42021</v>
      </c>
      <c r="F1411" s="24">
        <v>30927.200000000001</v>
      </c>
      <c r="G1411" s="31">
        <f t="shared" ref="G1411:G1474" si="22">D1411-F1411</f>
        <v>0</v>
      </c>
      <c r="H1411" s="19" t="s">
        <v>36</v>
      </c>
      <c r="I1411" s="4"/>
      <c r="J1411" s="4"/>
    </row>
    <row r="1412" spans="1:10" s="3" customFormat="1" x14ac:dyDescent="0.25">
      <c r="A1412" s="20">
        <v>42021</v>
      </c>
      <c r="B1412" s="21">
        <v>9319</v>
      </c>
      <c r="C1412" s="14" t="s">
        <v>16</v>
      </c>
      <c r="D1412" s="22">
        <v>8961.4</v>
      </c>
      <c r="E1412" s="23">
        <v>42021</v>
      </c>
      <c r="F1412" s="24">
        <v>8961.4</v>
      </c>
      <c r="G1412" s="31">
        <f t="shared" si="22"/>
        <v>0</v>
      </c>
      <c r="H1412" s="19" t="s">
        <v>59</v>
      </c>
      <c r="I1412" s="4"/>
      <c r="J1412" s="4"/>
    </row>
    <row r="1413" spans="1:10" s="3" customFormat="1" x14ac:dyDescent="0.25">
      <c r="A1413" s="20">
        <v>42021</v>
      </c>
      <c r="B1413" s="21">
        <v>9320</v>
      </c>
      <c r="C1413" s="14" t="s">
        <v>125</v>
      </c>
      <c r="D1413" s="22">
        <v>21104.799999999999</v>
      </c>
      <c r="E1413" s="29" t="s">
        <v>369</v>
      </c>
      <c r="F1413" s="24">
        <f>7800+13304.8</f>
        <v>21104.799999999999</v>
      </c>
      <c r="G1413" s="31">
        <f t="shared" si="22"/>
        <v>0</v>
      </c>
      <c r="H1413" s="19" t="s">
        <v>9</v>
      </c>
      <c r="I1413" s="4"/>
      <c r="J1413" s="4"/>
    </row>
    <row r="1414" spans="1:10" s="3" customFormat="1" x14ac:dyDescent="0.25">
      <c r="A1414" s="20">
        <v>42021</v>
      </c>
      <c r="B1414" s="21">
        <v>9321</v>
      </c>
      <c r="C1414" s="14" t="s">
        <v>133</v>
      </c>
      <c r="D1414" s="22">
        <v>384</v>
      </c>
      <c r="E1414" s="23">
        <v>42021</v>
      </c>
      <c r="F1414" s="24">
        <v>384</v>
      </c>
      <c r="G1414" s="31">
        <f t="shared" si="22"/>
        <v>0</v>
      </c>
      <c r="H1414" s="19" t="s">
        <v>9</v>
      </c>
      <c r="I1414" s="4"/>
      <c r="J1414" s="4"/>
    </row>
    <row r="1415" spans="1:10" s="3" customFormat="1" x14ac:dyDescent="0.25">
      <c r="A1415" s="20">
        <v>42021</v>
      </c>
      <c r="B1415" s="21">
        <v>9322</v>
      </c>
      <c r="C1415" s="14" t="s">
        <v>48</v>
      </c>
      <c r="D1415" s="22">
        <v>151.19999999999999</v>
      </c>
      <c r="E1415" s="23">
        <v>42021</v>
      </c>
      <c r="F1415" s="24">
        <v>151.19999999999999</v>
      </c>
      <c r="G1415" s="31">
        <f t="shared" si="22"/>
        <v>0</v>
      </c>
      <c r="H1415" s="19" t="s">
        <v>94</v>
      </c>
      <c r="I1415" s="4"/>
      <c r="J1415" s="4"/>
    </row>
    <row r="1416" spans="1:10" s="3" customFormat="1" x14ac:dyDescent="0.25">
      <c r="A1416" s="20">
        <v>42021</v>
      </c>
      <c r="B1416" s="21">
        <v>9323</v>
      </c>
      <c r="C1416" s="14" t="s">
        <v>49</v>
      </c>
      <c r="D1416" s="22">
        <v>1748.4</v>
      </c>
      <c r="E1416" s="23">
        <v>42021</v>
      </c>
      <c r="F1416" s="24">
        <v>1748.4</v>
      </c>
      <c r="G1416" s="31">
        <f t="shared" si="22"/>
        <v>0</v>
      </c>
      <c r="H1416" s="19" t="s">
        <v>94</v>
      </c>
      <c r="I1416" s="4"/>
      <c r="J1416" s="4"/>
    </row>
    <row r="1417" spans="1:10" s="3" customFormat="1" x14ac:dyDescent="0.25">
      <c r="A1417" s="20">
        <v>42021</v>
      </c>
      <c r="B1417" s="21">
        <v>9324</v>
      </c>
      <c r="C1417" s="14" t="s">
        <v>164</v>
      </c>
      <c r="D1417" s="22">
        <v>3940.8</v>
      </c>
      <c r="E1417" s="23">
        <v>42021</v>
      </c>
      <c r="F1417" s="24">
        <v>3940.8</v>
      </c>
      <c r="G1417" s="31">
        <f t="shared" si="22"/>
        <v>0</v>
      </c>
      <c r="H1417" s="19" t="s">
        <v>9</v>
      </c>
      <c r="I1417" s="4"/>
      <c r="J1417" s="58"/>
    </row>
    <row r="1418" spans="1:10" s="3" customFormat="1" x14ac:dyDescent="0.25">
      <c r="A1418" s="20">
        <v>42021</v>
      </c>
      <c r="B1418" s="21">
        <v>9325</v>
      </c>
      <c r="C1418" s="14" t="s">
        <v>133</v>
      </c>
      <c r="D1418" s="22">
        <v>1520</v>
      </c>
      <c r="E1418" s="23">
        <v>42021</v>
      </c>
      <c r="F1418" s="24">
        <v>1520</v>
      </c>
      <c r="G1418" s="31">
        <f t="shared" si="22"/>
        <v>0</v>
      </c>
      <c r="H1418" s="19" t="s">
        <v>9</v>
      </c>
      <c r="I1418" s="4"/>
      <c r="J1418" s="28"/>
    </row>
    <row r="1419" spans="1:10" s="3" customFormat="1" x14ac:dyDescent="0.25">
      <c r="A1419" s="20">
        <v>42021</v>
      </c>
      <c r="B1419" s="21">
        <v>9326</v>
      </c>
      <c r="C1419" s="14" t="s">
        <v>370</v>
      </c>
      <c r="D1419" s="22">
        <v>1846.8</v>
      </c>
      <c r="E1419" s="23">
        <v>42021</v>
      </c>
      <c r="F1419" s="24">
        <v>1846.8</v>
      </c>
      <c r="G1419" s="31">
        <f t="shared" si="22"/>
        <v>0</v>
      </c>
      <c r="H1419" s="19" t="s">
        <v>9</v>
      </c>
      <c r="I1419" s="4"/>
      <c r="J1419" s="4"/>
    </row>
    <row r="1420" spans="1:10" s="3" customFormat="1" x14ac:dyDescent="0.25">
      <c r="A1420" s="20">
        <v>42021</v>
      </c>
      <c r="B1420" s="21">
        <v>9327</v>
      </c>
      <c r="C1420" s="14" t="s">
        <v>64</v>
      </c>
      <c r="D1420" s="22">
        <v>1184.4000000000001</v>
      </c>
      <c r="E1420" s="23">
        <v>42021</v>
      </c>
      <c r="F1420" s="24">
        <v>1184.4000000000001</v>
      </c>
      <c r="G1420" s="31">
        <f t="shared" si="22"/>
        <v>0</v>
      </c>
      <c r="H1420" s="19" t="s">
        <v>9</v>
      </c>
      <c r="I1420" s="4"/>
      <c r="J1420" s="4"/>
    </row>
    <row r="1421" spans="1:10" s="3" customFormat="1" x14ac:dyDescent="0.25">
      <c r="A1421" s="20">
        <v>42021</v>
      </c>
      <c r="B1421" s="21">
        <v>9328</v>
      </c>
      <c r="C1421" s="14" t="s">
        <v>88</v>
      </c>
      <c r="D1421" s="22">
        <v>919.5</v>
      </c>
      <c r="E1421" s="23">
        <v>42021</v>
      </c>
      <c r="F1421" s="24">
        <v>919.5</v>
      </c>
      <c r="G1421" s="31">
        <f t="shared" si="22"/>
        <v>0</v>
      </c>
      <c r="H1421" s="19" t="s">
        <v>9</v>
      </c>
      <c r="I1421" s="4"/>
      <c r="J1421" s="4"/>
    </row>
    <row r="1422" spans="1:10" s="3" customFormat="1" x14ac:dyDescent="0.25">
      <c r="A1422" s="20">
        <v>42021</v>
      </c>
      <c r="B1422" s="21">
        <v>9329</v>
      </c>
      <c r="C1422" s="14" t="s">
        <v>140</v>
      </c>
      <c r="D1422" s="22">
        <v>5952</v>
      </c>
      <c r="E1422" s="23">
        <v>42021</v>
      </c>
      <c r="F1422" s="24">
        <v>5952</v>
      </c>
      <c r="G1422" s="31">
        <f t="shared" si="22"/>
        <v>0</v>
      </c>
      <c r="H1422" s="19" t="s">
        <v>94</v>
      </c>
      <c r="I1422" s="4"/>
      <c r="J1422" s="4"/>
    </row>
    <row r="1423" spans="1:10" s="3" customFormat="1" x14ac:dyDescent="0.25">
      <c r="A1423" s="20">
        <v>42021</v>
      </c>
      <c r="B1423" s="21">
        <v>9330</v>
      </c>
      <c r="C1423" s="26" t="s">
        <v>218</v>
      </c>
      <c r="D1423" s="27">
        <v>0</v>
      </c>
      <c r="E1423" s="23"/>
      <c r="F1423" s="24"/>
      <c r="G1423" s="31">
        <f t="shared" si="22"/>
        <v>0</v>
      </c>
      <c r="H1423" s="19" t="s">
        <v>13</v>
      </c>
      <c r="I1423" s="4"/>
      <c r="J1423" s="4"/>
    </row>
    <row r="1424" spans="1:10" s="3" customFormat="1" x14ac:dyDescent="0.25">
      <c r="A1424" s="20">
        <v>42021</v>
      </c>
      <c r="B1424" s="21">
        <v>9331</v>
      </c>
      <c r="C1424" s="14" t="s">
        <v>141</v>
      </c>
      <c r="D1424" s="22">
        <v>25198.2</v>
      </c>
      <c r="E1424" s="29" t="s">
        <v>371</v>
      </c>
      <c r="F1424" s="24">
        <f>18000+7198.2</f>
        <v>25198.2</v>
      </c>
      <c r="G1424" s="48">
        <f t="shared" si="22"/>
        <v>0</v>
      </c>
      <c r="H1424" s="19" t="s">
        <v>94</v>
      </c>
      <c r="I1424" s="4"/>
      <c r="J1424" s="4"/>
    </row>
    <row r="1425" spans="1:10" s="3" customFormat="1" x14ac:dyDescent="0.25">
      <c r="A1425" s="20">
        <v>42021</v>
      </c>
      <c r="B1425" s="21">
        <v>9332</v>
      </c>
      <c r="C1425" s="14" t="s">
        <v>34</v>
      </c>
      <c r="D1425" s="22">
        <v>4057.2</v>
      </c>
      <c r="E1425" s="23">
        <v>42021</v>
      </c>
      <c r="F1425" s="24">
        <v>4057.2</v>
      </c>
      <c r="G1425" s="31">
        <f t="shared" si="22"/>
        <v>0</v>
      </c>
      <c r="H1425" s="19" t="s">
        <v>9</v>
      </c>
      <c r="I1425" s="4"/>
      <c r="J1425" s="4"/>
    </row>
    <row r="1426" spans="1:10" s="3" customFormat="1" x14ac:dyDescent="0.25">
      <c r="A1426" s="20">
        <v>42021</v>
      </c>
      <c r="B1426" s="21">
        <v>9333</v>
      </c>
      <c r="C1426" s="14" t="s">
        <v>320</v>
      </c>
      <c r="D1426" s="22">
        <v>3097</v>
      </c>
      <c r="E1426" s="23">
        <v>42021</v>
      </c>
      <c r="F1426" s="24">
        <v>3097</v>
      </c>
      <c r="G1426" s="31">
        <f t="shared" si="22"/>
        <v>0</v>
      </c>
      <c r="H1426" s="19" t="s">
        <v>17</v>
      </c>
    </row>
    <row r="1427" spans="1:10" s="3" customFormat="1" x14ac:dyDescent="0.25">
      <c r="A1427" s="20">
        <v>42021</v>
      </c>
      <c r="B1427" s="21">
        <v>9334</v>
      </c>
      <c r="C1427" s="14" t="s">
        <v>96</v>
      </c>
      <c r="D1427" s="22">
        <v>5968.2</v>
      </c>
      <c r="E1427" s="23">
        <v>42021</v>
      </c>
      <c r="F1427" s="24">
        <v>5968.2</v>
      </c>
      <c r="G1427" s="31">
        <f t="shared" si="22"/>
        <v>0</v>
      </c>
      <c r="H1427" s="19" t="s">
        <v>19</v>
      </c>
    </row>
    <row r="1428" spans="1:10" s="3" customFormat="1" x14ac:dyDescent="0.25">
      <c r="A1428" s="20">
        <v>42021</v>
      </c>
      <c r="B1428" s="21">
        <v>9335</v>
      </c>
      <c r="C1428" s="14" t="s">
        <v>135</v>
      </c>
      <c r="D1428" s="22">
        <v>874</v>
      </c>
      <c r="E1428" s="23">
        <v>42021</v>
      </c>
      <c r="F1428" s="24">
        <v>874</v>
      </c>
      <c r="G1428" s="31">
        <f t="shared" si="22"/>
        <v>0</v>
      </c>
      <c r="H1428" s="19" t="s">
        <v>9</v>
      </c>
    </row>
    <row r="1429" spans="1:10" s="3" customFormat="1" x14ac:dyDescent="0.25">
      <c r="A1429" s="20">
        <v>42021</v>
      </c>
      <c r="B1429" s="21">
        <v>9336</v>
      </c>
      <c r="C1429" s="14" t="s">
        <v>143</v>
      </c>
      <c r="D1429" s="22">
        <v>13567</v>
      </c>
      <c r="E1429" s="23">
        <v>42024</v>
      </c>
      <c r="F1429" s="24">
        <v>13567</v>
      </c>
      <c r="G1429" s="31">
        <f t="shared" si="22"/>
        <v>0</v>
      </c>
      <c r="H1429" s="19" t="s">
        <v>17</v>
      </c>
    </row>
    <row r="1430" spans="1:10" s="3" customFormat="1" x14ac:dyDescent="0.25">
      <c r="A1430" s="20">
        <v>42021</v>
      </c>
      <c r="B1430" s="21">
        <v>9337</v>
      </c>
      <c r="C1430" s="14" t="s">
        <v>130</v>
      </c>
      <c r="D1430" s="22">
        <v>8261.0400000000009</v>
      </c>
      <c r="E1430" s="23">
        <v>42021</v>
      </c>
      <c r="F1430" s="24">
        <v>8261.0400000000009</v>
      </c>
      <c r="G1430" s="31">
        <f t="shared" si="22"/>
        <v>0</v>
      </c>
      <c r="H1430" s="19" t="s">
        <v>17</v>
      </c>
    </row>
    <row r="1431" spans="1:10" s="3" customFormat="1" x14ac:dyDescent="0.25">
      <c r="A1431" s="20">
        <v>42021</v>
      </c>
      <c r="B1431" s="21">
        <v>9338</v>
      </c>
      <c r="C1431" s="14" t="s">
        <v>237</v>
      </c>
      <c r="D1431" s="22">
        <v>290</v>
      </c>
      <c r="E1431" s="23">
        <v>42021</v>
      </c>
      <c r="F1431" s="24">
        <v>290</v>
      </c>
      <c r="G1431" s="31">
        <f t="shared" si="22"/>
        <v>0</v>
      </c>
      <c r="H1431" s="19" t="s">
        <v>9</v>
      </c>
    </row>
    <row r="1432" spans="1:10" s="3" customFormat="1" x14ac:dyDescent="0.25">
      <c r="A1432" s="20">
        <v>42021</v>
      </c>
      <c r="B1432" s="21">
        <v>9339</v>
      </c>
      <c r="C1432" s="14" t="s">
        <v>24</v>
      </c>
      <c r="D1432" s="22">
        <v>12255</v>
      </c>
      <c r="E1432" s="23">
        <v>42023</v>
      </c>
      <c r="F1432" s="24">
        <v>12255</v>
      </c>
      <c r="G1432" s="31">
        <f t="shared" si="22"/>
        <v>0</v>
      </c>
      <c r="H1432" s="19" t="s">
        <v>312</v>
      </c>
    </row>
    <row r="1433" spans="1:10" s="3" customFormat="1" x14ac:dyDescent="0.25">
      <c r="A1433" s="20">
        <v>42021</v>
      </c>
      <c r="B1433" s="21">
        <v>9340</v>
      </c>
      <c r="C1433" s="14" t="s">
        <v>131</v>
      </c>
      <c r="D1433" s="22">
        <v>22148.5</v>
      </c>
      <c r="E1433" s="23">
        <v>42024</v>
      </c>
      <c r="F1433" s="24">
        <v>22148.5</v>
      </c>
      <c r="G1433" s="31">
        <f t="shared" si="22"/>
        <v>0</v>
      </c>
      <c r="H1433" s="19" t="s">
        <v>17</v>
      </c>
    </row>
    <row r="1434" spans="1:10" s="3" customFormat="1" x14ac:dyDescent="0.25">
      <c r="A1434" s="20">
        <v>42021</v>
      </c>
      <c r="B1434" s="21">
        <v>9341</v>
      </c>
      <c r="C1434" s="14" t="s">
        <v>128</v>
      </c>
      <c r="D1434" s="22">
        <v>5999.6</v>
      </c>
      <c r="E1434" s="23">
        <v>42021</v>
      </c>
      <c r="F1434" s="24">
        <v>5999.6</v>
      </c>
      <c r="G1434" s="31">
        <f t="shared" si="22"/>
        <v>0</v>
      </c>
      <c r="H1434" s="19" t="s">
        <v>17</v>
      </c>
    </row>
    <row r="1435" spans="1:10" s="3" customFormat="1" x14ac:dyDescent="0.25">
      <c r="A1435" s="20">
        <v>42021</v>
      </c>
      <c r="B1435" s="21">
        <v>9342</v>
      </c>
      <c r="C1435" s="14" t="s">
        <v>93</v>
      </c>
      <c r="D1435" s="22">
        <v>2872</v>
      </c>
      <c r="E1435" s="23">
        <v>42021</v>
      </c>
      <c r="F1435" s="24">
        <v>2872</v>
      </c>
      <c r="G1435" s="31">
        <f t="shared" si="22"/>
        <v>0</v>
      </c>
      <c r="H1435" s="19" t="s">
        <v>19</v>
      </c>
    </row>
    <row r="1436" spans="1:10" s="3" customFormat="1" x14ac:dyDescent="0.25">
      <c r="A1436" s="20">
        <v>42021</v>
      </c>
      <c r="B1436" s="21">
        <v>9343</v>
      </c>
      <c r="C1436" s="14" t="s">
        <v>95</v>
      </c>
      <c r="D1436" s="22">
        <v>5928</v>
      </c>
      <c r="E1436" s="23">
        <v>42021</v>
      </c>
      <c r="F1436" s="24">
        <v>5928</v>
      </c>
      <c r="G1436" s="31">
        <f t="shared" si="22"/>
        <v>0</v>
      </c>
      <c r="H1436" s="19" t="s">
        <v>19</v>
      </c>
    </row>
    <row r="1437" spans="1:10" s="3" customFormat="1" x14ac:dyDescent="0.25">
      <c r="A1437" s="20">
        <v>42021</v>
      </c>
      <c r="B1437" s="21">
        <v>9344</v>
      </c>
      <c r="C1437" s="14" t="s">
        <v>104</v>
      </c>
      <c r="D1437" s="22">
        <v>4924.3999999999996</v>
      </c>
      <c r="E1437" s="23">
        <v>42021</v>
      </c>
      <c r="F1437" s="24">
        <v>4924.3999999999996</v>
      </c>
      <c r="G1437" s="31">
        <f t="shared" si="22"/>
        <v>0</v>
      </c>
      <c r="H1437" s="19" t="s">
        <v>19</v>
      </c>
    </row>
    <row r="1438" spans="1:10" s="3" customFormat="1" x14ac:dyDescent="0.25">
      <c r="A1438" s="20">
        <v>42021</v>
      </c>
      <c r="B1438" s="21">
        <v>9345</v>
      </c>
      <c r="C1438" s="14" t="s">
        <v>106</v>
      </c>
      <c r="D1438" s="22">
        <v>5703.9</v>
      </c>
      <c r="E1438" s="23">
        <v>42021</v>
      </c>
      <c r="F1438" s="24">
        <v>5703.9</v>
      </c>
      <c r="G1438" s="31">
        <f t="shared" si="22"/>
        <v>0</v>
      </c>
      <c r="H1438" s="19" t="s">
        <v>19</v>
      </c>
    </row>
    <row r="1439" spans="1:10" s="3" customFormat="1" x14ac:dyDescent="0.25">
      <c r="A1439" s="20">
        <v>42021</v>
      </c>
      <c r="B1439" s="21">
        <v>9346</v>
      </c>
      <c r="C1439" s="14" t="s">
        <v>98</v>
      </c>
      <c r="D1439" s="22">
        <v>1818.4</v>
      </c>
      <c r="E1439" s="23">
        <v>42021</v>
      </c>
      <c r="F1439" s="24">
        <v>1818.4</v>
      </c>
      <c r="G1439" s="31">
        <f t="shared" si="22"/>
        <v>0</v>
      </c>
      <c r="H1439" s="39" t="s">
        <v>19</v>
      </c>
    </row>
    <row r="1440" spans="1:10" s="3" customFormat="1" x14ac:dyDescent="0.25">
      <c r="A1440" s="20">
        <v>42021</v>
      </c>
      <c r="B1440" s="21">
        <v>9347</v>
      </c>
      <c r="C1440" s="14" t="s">
        <v>141</v>
      </c>
      <c r="D1440" s="22">
        <v>475.2</v>
      </c>
      <c r="E1440" s="23">
        <v>42021</v>
      </c>
      <c r="F1440" s="24">
        <v>475.2</v>
      </c>
      <c r="G1440" s="31">
        <f t="shared" si="22"/>
        <v>0</v>
      </c>
      <c r="H1440" s="39" t="s">
        <v>9</v>
      </c>
    </row>
    <row r="1441" spans="1:8" s="3" customFormat="1" x14ac:dyDescent="0.25">
      <c r="A1441" s="20">
        <v>42021</v>
      </c>
      <c r="B1441" s="21">
        <v>9348</v>
      </c>
      <c r="C1441" s="14" t="s">
        <v>32</v>
      </c>
      <c r="D1441" s="22">
        <v>11530</v>
      </c>
      <c r="E1441" s="23">
        <v>42035</v>
      </c>
      <c r="F1441" s="24">
        <v>11530</v>
      </c>
      <c r="G1441" s="31">
        <f t="shared" si="22"/>
        <v>0</v>
      </c>
      <c r="H1441" s="39" t="s">
        <v>19</v>
      </c>
    </row>
    <row r="1442" spans="1:8" s="3" customFormat="1" x14ac:dyDescent="0.25">
      <c r="A1442" s="20">
        <v>42021</v>
      </c>
      <c r="B1442" s="21">
        <v>9349</v>
      </c>
      <c r="C1442" s="14" t="s">
        <v>89</v>
      </c>
      <c r="D1442" s="22">
        <v>6853.4</v>
      </c>
      <c r="E1442" s="23">
        <v>42021</v>
      </c>
      <c r="F1442" s="24">
        <v>6853.4</v>
      </c>
      <c r="G1442" s="31">
        <f t="shared" si="22"/>
        <v>0</v>
      </c>
      <c r="H1442" s="39" t="s">
        <v>9</v>
      </c>
    </row>
    <row r="1443" spans="1:8" s="3" customFormat="1" x14ac:dyDescent="0.25">
      <c r="A1443" s="20">
        <v>42021</v>
      </c>
      <c r="B1443" s="21">
        <v>9350</v>
      </c>
      <c r="C1443" s="14" t="s">
        <v>136</v>
      </c>
      <c r="D1443" s="22">
        <v>20168</v>
      </c>
      <c r="E1443" s="29" t="s">
        <v>372</v>
      </c>
      <c r="F1443" s="24">
        <f>13800+6368</f>
        <v>20168</v>
      </c>
      <c r="G1443" s="48">
        <f t="shared" si="22"/>
        <v>0</v>
      </c>
      <c r="H1443" s="39" t="s">
        <v>9</v>
      </c>
    </row>
    <row r="1444" spans="1:8" s="3" customFormat="1" x14ac:dyDescent="0.25">
      <c r="A1444" s="20">
        <v>42021</v>
      </c>
      <c r="B1444" s="21">
        <v>9351</v>
      </c>
      <c r="C1444" s="14" t="s">
        <v>102</v>
      </c>
      <c r="D1444" s="22">
        <v>2726.4</v>
      </c>
      <c r="E1444" s="23">
        <v>42021</v>
      </c>
      <c r="F1444" s="24">
        <v>2726.4</v>
      </c>
      <c r="G1444" s="31">
        <f t="shared" si="22"/>
        <v>0</v>
      </c>
      <c r="H1444" s="39" t="s">
        <v>9</v>
      </c>
    </row>
    <row r="1445" spans="1:8" s="3" customFormat="1" x14ac:dyDescent="0.25">
      <c r="A1445" s="20">
        <v>42021</v>
      </c>
      <c r="B1445" s="21">
        <v>9352</v>
      </c>
      <c r="C1445" s="14" t="s">
        <v>24</v>
      </c>
      <c r="D1445" s="22">
        <v>270568.59000000003</v>
      </c>
      <c r="E1445" s="30">
        <v>42051</v>
      </c>
      <c r="F1445" s="96">
        <v>270568.59000000003</v>
      </c>
      <c r="G1445" s="31">
        <f t="shared" si="22"/>
        <v>0</v>
      </c>
      <c r="H1445" s="39" t="s">
        <v>46</v>
      </c>
    </row>
    <row r="1446" spans="1:8" s="3" customFormat="1" x14ac:dyDescent="0.25">
      <c r="A1446" s="20">
        <v>42021</v>
      </c>
      <c r="B1446" s="21">
        <v>9353</v>
      </c>
      <c r="C1446" s="14" t="s">
        <v>24</v>
      </c>
      <c r="D1446" s="22">
        <v>37996</v>
      </c>
      <c r="E1446" s="23">
        <v>42023</v>
      </c>
      <c r="F1446" s="24">
        <f>22000+15996</f>
        <v>37996</v>
      </c>
      <c r="G1446" s="31">
        <f t="shared" si="22"/>
        <v>0</v>
      </c>
      <c r="H1446" s="39" t="s">
        <v>187</v>
      </c>
    </row>
    <row r="1447" spans="1:8" s="3" customFormat="1" x14ac:dyDescent="0.25">
      <c r="A1447" s="20">
        <v>42021</v>
      </c>
      <c r="B1447" s="21">
        <v>9354</v>
      </c>
      <c r="C1447" s="14" t="s">
        <v>122</v>
      </c>
      <c r="D1447" s="22">
        <v>17113.599999999999</v>
      </c>
      <c r="E1447" s="23">
        <v>42021</v>
      </c>
      <c r="F1447" s="24">
        <v>17113.599999999999</v>
      </c>
      <c r="G1447" s="31">
        <f t="shared" si="22"/>
        <v>0</v>
      </c>
      <c r="H1447" s="39" t="s">
        <v>9</v>
      </c>
    </row>
    <row r="1448" spans="1:8" s="3" customFormat="1" x14ac:dyDescent="0.25">
      <c r="A1448" s="20">
        <v>42021</v>
      </c>
      <c r="B1448" s="21">
        <v>9355</v>
      </c>
      <c r="C1448" s="14" t="s">
        <v>56</v>
      </c>
      <c r="D1448" s="22">
        <v>16278.4</v>
      </c>
      <c r="E1448" s="23">
        <v>42021</v>
      </c>
      <c r="F1448" s="24">
        <v>16278.4</v>
      </c>
      <c r="G1448" s="31">
        <f t="shared" si="22"/>
        <v>0</v>
      </c>
      <c r="H1448" s="39" t="s">
        <v>36</v>
      </c>
    </row>
    <row r="1449" spans="1:8" s="3" customFormat="1" x14ac:dyDescent="0.25">
      <c r="A1449" s="20">
        <v>42021</v>
      </c>
      <c r="B1449" s="21">
        <v>9356</v>
      </c>
      <c r="C1449" s="14" t="s">
        <v>30</v>
      </c>
      <c r="D1449" s="22">
        <v>475</v>
      </c>
      <c r="E1449" s="23">
        <v>42021</v>
      </c>
      <c r="F1449" s="24">
        <v>475</v>
      </c>
      <c r="G1449" s="31">
        <f t="shared" si="22"/>
        <v>0</v>
      </c>
      <c r="H1449" s="39" t="s">
        <v>9</v>
      </c>
    </row>
    <row r="1450" spans="1:8" s="3" customFormat="1" x14ac:dyDescent="0.25">
      <c r="A1450" s="20">
        <v>42021</v>
      </c>
      <c r="B1450" s="21">
        <v>9357</v>
      </c>
      <c r="C1450" s="14" t="s">
        <v>103</v>
      </c>
      <c r="D1450" s="22">
        <v>4153.6000000000004</v>
      </c>
      <c r="E1450" s="23">
        <v>42024</v>
      </c>
      <c r="F1450" s="24">
        <v>4153.6000000000004</v>
      </c>
      <c r="G1450" s="31">
        <f t="shared" si="22"/>
        <v>0</v>
      </c>
      <c r="H1450" s="39" t="s">
        <v>149</v>
      </c>
    </row>
    <row r="1451" spans="1:8" s="3" customFormat="1" x14ac:dyDescent="0.25">
      <c r="A1451" s="20">
        <v>42021</v>
      </c>
      <c r="B1451" s="21">
        <v>9358</v>
      </c>
      <c r="C1451" s="14" t="s">
        <v>100</v>
      </c>
      <c r="D1451" s="22">
        <v>1929.6</v>
      </c>
      <c r="E1451" s="23">
        <v>42021</v>
      </c>
      <c r="F1451" s="24">
        <v>1929.6</v>
      </c>
      <c r="G1451" s="31">
        <f t="shared" si="22"/>
        <v>0</v>
      </c>
      <c r="H1451" s="39" t="s">
        <v>9</v>
      </c>
    </row>
    <row r="1452" spans="1:8" s="3" customFormat="1" x14ac:dyDescent="0.25">
      <c r="A1452" s="20">
        <v>42021</v>
      </c>
      <c r="B1452" s="21">
        <v>9359</v>
      </c>
      <c r="C1452" s="14" t="s">
        <v>66</v>
      </c>
      <c r="D1452" s="22">
        <v>65</v>
      </c>
      <c r="E1452" s="23">
        <v>42021</v>
      </c>
      <c r="F1452" s="24">
        <v>65</v>
      </c>
      <c r="G1452" s="31">
        <f t="shared" si="22"/>
        <v>0</v>
      </c>
      <c r="H1452" s="39" t="s">
        <v>9</v>
      </c>
    </row>
    <row r="1453" spans="1:8" s="3" customFormat="1" x14ac:dyDescent="0.25">
      <c r="A1453" s="20">
        <v>42021</v>
      </c>
      <c r="B1453" s="21">
        <v>9360</v>
      </c>
      <c r="C1453" s="14" t="s">
        <v>37</v>
      </c>
      <c r="D1453" s="22">
        <v>54009.599999999999</v>
      </c>
      <c r="E1453" s="23">
        <v>42025</v>
      </c>
      <c r="F1453" s="24">
        <v>54009.599999999999</v>
      </c>
      <c r="G1453" s="31">
        <f t="shared" si="22"/>
        <v>0</v>
      </c>
      <c r="H1453" s="39" t="s">
        <v>36</v>
      </c>
    </row>
    <row r="1454" spans="1:8" s="3" customFormat="1" x14ac:dyDescent="0.25">
      <c r="A1454" s="20">
        <v>42021</v>
      </c>
      <c r="B1454" s="21">
        <v>9361</v>
      </c>
      <c r="C1454" s="14" t="s">
        <v>55</v>
      </c>
      <c r="D1454" s="22">
        <v>27405.5</v>
      </c>
      <c r="E1454" s="23">
        <v>42023</v>
      </c>
      <c r="F1454" s="24">
        <v>27405.5</v>
      </c>
      <c r="G1454" s="31">
        <f t="shared" si="22"/>
        <v>0</v>
      </c>
      <c r="H1454" s="39" t="s">
        <v>36</v>
      </c>
    </row>
    <row r="1455" spans="1:8" s="3" customFormat="1" x14ac:dyDescent="0.25">
      <c r="A1455" s="20">
        <v>42021</v>
      </c>
      <c r="B1455" s="21">
        <v>9362</v>
      </c>
      <c r="C1455" s="14" t="s">
        <v>256</v>
      </c>
      <c r="D1455" s="22">
        <v>28017</v>
      </c>
      <c r="E1455" s="23">
        <v>42023</v>
      </c>
      <c r="F1455" s="24">
        <v>28017</v>
      </c>
      <c r="G1455" s="31">
        <f t="shared" si="22"/>
        <v>0</v>
      </c>
      <c r="H1455" s="39" t="s">
        <v>36</v>
      </c>
    </row>
    <row r="1456" spans="1:8" s="3" customFormat="1" x14ac:dyDescent="0.25">
      <c r="A1456" s="20">
        <v>42021</v>
      </c>
      <c r="B1456" s="21">
        <v>9363</v>
      </c>
      <c r="C1456" s="14" t="s">
        <v>35</v>
      </c>
      <c r="D1456" s="22">
        <v>55303.65</v>
      </c>
      <c r="E1456" s="23">
        <v>42021</v>
      </c>
      <c r="F1456" s="24">
        <v>55303.65</v>
      </c>
      <c r="G1456" s="31">
        <f t="shared" si="22"/>
        <v>0</v>
      </c>
      <c r="H1456" s="39" t="s">
        <v>17</v>
      </c>
    </row>
    <row r="1457" spans="1:10" s="3" customFormat="1" x14ac:dyDescent="0.25">
      <c r="A1457" s="20">
        <v>42021</v>
      </c>
      <c r="B1457" s="21">
        <v>9364</v>
      </c>
      <c r="C1457" s="14" t="s">
        <v>103</v>
      </c>
      <c r="D1457" s="22">
        <v>27425.3</v>
      </c>
      <c r="E1457" s="47" t="s">
        <v>373</v>
      </c>
      <c r="F1457" s="24">
        <f>5000+22425.3</f>
        <v>27425.3</v>
      </c>
      <c r="G1457" s="31">
        <f t="shared" si="22"/>
        <v>0</v>
      </c>
      <c r="H1457" s="39" t="s">
        <v>94</v>
      </c>
    </row>
    <row r="1458" spans="1:10" s="3" customFormat="1" x14ac:dyDescent="0.25">
      <c r="A1458" s="20">
        <v>42021</v>
      </c>
      <c r="B1458" s="21">
        <v>9365</v>
      </c>
      <c r="C1458" s="14" t="s">
        <v>141</v>
      </c>
      <c r="D1458" s="22">
        <v>30</v>
      </c>
      <c r="E1458" s="23">
        <v>42021</v>
      </c>
      <c r="F1458" s="24">
        <v>30</v>
      </c>
      <c r="G1458" s="31">
        <f t="shared" si="22"/>
        <v>0</v>
      </c>
      <c r="H1458" s="39" t="s">
        <v>9</v>
      </c>
      <c r="I1458" s="4"/>
      <c r="J1458" s="28"/>
    </row>
    <row r="1459" spans="1:10" s="3" customFormat="1" x14ac:dyDescent="0.25">
      <c r="A1459" s="20">
        <v>42021</v>
      </c>
      <c r="B1459" s="21">
        <v>9366</v>
      </c>
      <c r="C1459" s="14" t="s">
        <v>14</v>
      </c>
      <c r="D1459" s="22">
        <v>91105.67</v>
      </c>
      <c r="E1459" s="23">
        <v>42025</v>
      </c>
      <c r="F1459" s="24">
        <v>91105.67</v>
      </c>
      <c r="G1459" s="31">
        <f t="shared" si="22"/>
        <v>0</v>
      </c>
      <c r="H1459" s="39" t="s">
        <v>187</v>
      </c>
      <c r="I1459" s="4"/>
      <c r="J1459" s="4"/>
    </row>
    <row r="1460" spans="1:10" s="3" customFormat="1" x14ac:dyDescent="0.25">
      <c r="A1460" s="20">
        <v>42021</v>
      </c>
      <c r="B1460" s="21">
        <v>9367</v>
      </c>
      <c r="C1460" s="14" t="s">
        <v>45</v>
      </c>
      <c r="D1460" s="22">
        <v>26115.17</v>
      </c>
      <c r="E1460" s="23">
        <v>42032</v>
      </c>
      <c r="F1460" s="24">
        <v>26115.17</v>
      </c>
      <c r="G1460" s="31">
        <f t="shared" si="22"/>
        <v>0</v>
      </c>
      <c r="H1460" s="39" t="s">
        <v>9</v>
      </c>
      <c r="I1460" s="4"/>
      <c r="J1460" s="4"/>
    </row>
    <row r="1461" spans="1:10" s="3" customFormat="1" x14ac:dyDescent="0.25">
      <c r="A1461" s="20">
        <v>42021</v>
      </c>
      <c r="B1461" s="21">
        <v>9368</v>
      </c>
      <c r="C1461" s="14" t="s">
        <v>145</v>
      </c>
      <c r="D1461" s="22">
        <v>2088</v>
      </c>
      <c r="E1461" s="23">
        <v>42021</v>
      </c>
      <c r="F1461" s="24">
        <v>2088</v>
      </c>
      <c r="G1461" s="31">
        <f t="shared" si="22"/>
        <v>0</v>
      </c>
      <c r="H1461" s="39" t="s">
        <v>9</v>
      </c>
      <c r="I1461" s="4"/>
      <c r="J1461" s="4"/>
    </row>
    <row r="1462" spans="1:10" s="3" customFormat="1" x14ac:dyDescent="0.25">
      <c r="A1462" s="20">
        <v>42021</v>
      </c>
      <c r="B1462" s="21">
        <v>9369</v>
      </c>
      <c r="C1462" s="14" t="s">
        <v>267</v>
      </c>
      <c r="D1462" s="22">
        <v>4986.38</v>
      </c>
      <c r="E1462" s="23">
        <v>42021</v>
      </c>
      <c r="F1462" s="24">
        <v>4986.38</v>
      </c>
      <c r="G1462" s="31">
        <f t="shared" si="22"/>
        <v>0</v>
      </c>
      <c r="H1462" s="39" t="s">
        <v>9</v>
      </c>
      <c r="I1462" s="4"/>
      <c r="J1462" s="4"/>
    </row>
    <row r="1463" spans="1:10" s="3" customFormat="1" x14ac:dyDescent="0.25">
      <c r="A1463" s="20">
        <v>42021</v>
      </c>
      <c r="B1463" s="21">
        <v>9370</v>
      </c>
      <c r="C1463" s="14" t="s">
        <v>110</v>
      </c>
      <c r="D1463" s="22">
        <v>33638.81</v>
      </c>
      <c r="E1463" s="23">
        <v>42027</v>
      </c>
      <c r="F1463" s="24">
        <v>33638.81</v>
      </c>
      <c r="G1463" s="31">
        <f t="shared" si="22"/>
        <v>0</v>
      </c>
      <c r="H1463" s="39" t="s">
        <v>187</v>
      </c>
      <c r="I1463" s="4"/>
      <c r="J1463" s="4"/>
    </row>
    <row r="1464" spans="1:10" s="3" customFormat="1" x14ac:dyDescent="0.25">
      <c r="A1464" s="59">
        <v>42021</v>
      </c>
      <c r="B1464" s="21">
        <v>9371</v>
      </c>
      <c r="C1464" s="14" t="s">
        <v>110</v>
      </c>
      <c r="D1464" s="22">
        <v>1234.8</v>
      </c>
      <c r="E1464" s="23">
        <v>42027</v>
      </c>
      <c r="F1464" s="24">
        <v>1234.8</v>
      </c>
      <c r="G1464" s="31">
        <f t="shared" si="22"/>
        <v>0</v>
      </c>
      <c r="H1464" s="39" t="s">
        <v>187</v>
      </c>
      <c r="I1464" s="4"/>
      <c r="J1464" s="4"/>
    </row>
    <row r="1465" spans="1:10" s="3" customFormat="1" x14ac:dyDescent="0.25">
      <c r="A1465" s="20">
        <v>42022</v>
      </c>
      <c r="B1465" s="21">
        <v>9372</v>
      </c>
      <c r="C1465" s="60" t="s">
        <v>24</v>
      </c>
      <c r="D1465" s="22">
        <v>261668.67</v>
      </c>
      <c r="E1465" s="30">
        <v>42055</v>
      </c>
      <c r="F1465" s="96">
        <v>261668.67</v>
      </c>
      <c r="G1465" s="31">
        <f t="shared" si="22"/>
        <v>0</v>
      </c>
      <c r="H1465" s="39" t="s">
        <v>46</v>
      </c>
      <c r="I1465" s="4"/>
      <c r="J1465" s="4"/>
    </row>
    <row r="1466" spans="1:10" s="3" customFormat="1" x14ac:dyDescent="0.25">
      <c r="A1466" s="59">
        <v>42022</v>
      </c>
      <c r="B1466" s="21">
        <v>9373</v>
      </c>
      <c r="C1466" s="26" t="s">
        <v>218</v>
      </c>
      <c r="D1466" s="27">
        <v>0</v>
      </c>
      <c r="E1466" s="23"/>
      <c r="F1466" s="24"/>
      <c r="G1466" s="31">
        <f t="shared" si="22"/>
        <v>0</v>
      </c>
      <c r="H1466" s="39" t="s">
        <v>13</v>
      </c>
      <c r="I1466" s="4"/>
      <c r="J1466" s="4"/>
    </row>
    <row r="1467" spans="1:10" s="3" customFormat="1" x14ac:dyDescent="0.25">
      <c r="A1467" s="20">
        <v>42022</v>
      </c>
      <c r="B1467" s="21">
        <v>9374</v>
      </c>
      <c r="C1467" s="14" t="s">
        <v>111</v>
      </c>
      <c r="D1467" s="22">
        <v>225569</v>
      </c>
      <c r="E1467" s="51">
        <v>42022</v>
      </c>
      <c r="F1467" s="24">
        <v>225569</v>
      </c>
      <c r="G1467" s="31">
        <f t="shared" si="22"/>
        <v>0</v>
      </c>
      <c r="H1467" s="39" t="s">
        <v>9</v>
      </c>
      <c r="I1467" s="4"/>
      <c r="J1467" s="4"/>
    </row>
    <row r="1468" spans="1:10" s="3" customFormat="1" x14ac:dyDescent="0.25">
      <c r="A1468" s="59">
        <v>42022</v>
      </c>
      <c r="B1468" s="21">
        <v>9375</v>
      </c>
      <c r="C1468" s="14" t="s">
        <v>111</v>
      </c>
      <c r="D1468" s="22">
        <v>321966</v>
      </c>
      <c r="E1468" s="23">
        <v>42024</v>
      </c>
      <c r="F1468" s="24">
        <v>321966</v>
      </c>
      <c r="G1468" s="31">
        <f t="shared" si="22"/>
        <v>0</v>
      </c>
      <c r="H1468" s="39" t="s">
        <v>9</v>
      </c>
      <c r="I1468" s="4"/>
      <c r="J1468" s="4"/>
    </row>
    <row r="1469" spans="1:10" s="3" customFormat="1" x14ac:dyDescent="0.25">
      <c r="A1469" s="20">
        <v>42022</v>
      </c>
      <c r="B1469" s="21">
        <v>9376</v>
      </c>
      <c r="C1469" s="14" t="s">
        <v>21</v>
      </c>
      <c r="D1469" s="22">
        <v>3676.6</v>
      </c>
      <c r="E1469" s="23">
        <v>42022</v>
      </c>
      <c r="F1469" s="24">
        <v>3676.6</v>
      </c>
      <c r="G1469" s="31">
        <f t="shared" si="22"/>
        <v>0</v>
      </c>
      <c r="H1469" s="39" t="s">
        <v>9</v>
      </c>
      <c r="I1469" s="4"/>
      <c r="J1469" s="4"/>
    </row>
    <row r="1470" spans="1:10" s="3" customFormat="1" x14ac:dyDescent="0.25">
      <c r="A1470" s="59">
        <v>42022</v>
      </c>
      <c r="B1470" s="21">
        <v>9377</v>
      </c>
      <c r="C1470" s="14" t="s">
        <v>20</v>
      </c>
      <c r="D1470" s="22">
        <v>12876</v>
      </c>
      <c r="E1470" s="23">
        <v>42022</v>
      </c>
      <c r="F1470" s="24">
        <v>12876</v>
      </c>
      <c r="G1470" s="31">
        <f t="shared" si="22"/>
        <v>0</v>
      </c>
      <c r="H1470" s="39" t="s">
        <v>17</v>
      </c>
      <c r="I1470" s="4"/>
      <c r="J1470" s="4"/>
    </row>
    <row r="1471" spans="1:10" s="3" customFormat="1" x14ac:dyDescent="0.25">
      <c r="A1471" s="20">
        <v>42022</v>
      </c>
      <c r="B1471" s="21">
        <v>9378</v>
      </c>
      <c r="C1471" s="14" t="s">
        <v>38</v>
      </c>
      <c r="D1471" s="22">
        <v>39148.199999999997</v>
      </c>
      <c r="E1471" s="97" t="s">
        <v>491</v>
      </c>
      <c r="F1471" s="96">
        <f>148.2+39000</f>
        <v>39148.199999999997</v>
      </c>
      <c r="G1471" s="31">
        <f t="shared" si="22"/>
        <v>0</v>
      </c>
      <c r="H1471" s="39" t="s">
        <v>59</v>
      </c>
      <c r="I1471" s="4"/>
      <c r="J1471" s="4"/>
    </row>
    <row r="1472" spans="1:10" s="3" customFormat="1" x14ac:dyDescent="0.25">
      <c r="A1472" s="59">
        <v>42022</v>
      </c>
      <c r="B1472" s="21">
        <v>9379</v>
      </c>
      <c r="C1472" s="14" t="s">
        <v>16</v>
      </c>
      <c r="D1472" s="22">
        <v>7622.8</v>
      </c>
      <c r="E1472" s="23">
        <v>42022</v>
      </c>
      <c r="F1472" s="24">
        <v>7622.8</v>
      </c>
      <c r="G1472" s="31">
        <f t="shared" si="22"/>
        <v>0</v>
      </c>
      <c r="H1472" s="39" t="s">
        <v>59</v>
      </c>
      <c r="I1472" s="4"/>
      <c r="J1472" s="4"/>
    </row>
    <row r="1473" spans="1:10" s="3" customFormat="1" x14ac:dyDescent="0.25">
      <c r="A1473" s="20">
        <v>42022</v>
      </c>
      <c r="B1473" s="21">
        <v>9380</v>
      </c>
      <c r="C1473" s="14" t="s">
        <v>148</v>
      </c>
      <c r="D1473" s="22">
        <v>5363.6</v>
      </c>
      <c r="E1473" s="23">
        <v>42022</v>
      </c>
      <c r="F1473" s="24">
        <v>5363.6</v>
      </c>
      <c r="G1473" s="31">
        <f t="shared" si="22"/>
        <v>0</v>
      </c>
      <c r="H1473" s="39" t="s">
        <v>9</v>
      </c>
      <c r="I1473" s="4"/>
      <c r="J1473" s="4"/>
    </row>
    <row r="1474" spans="1:10" s="3" customFormat="1" x14ac:dyDescent="0.25">
      <c r="A1474" s="59">
        <v>42022</v>
      </c>
      <c r="B1474" s="21">
        <v>9381</v>
      </c>
      <c r="C1474" s="14" t="s">
        <v>152</v>
      </c>
      <c r="D1474" s="22">
        <v>10522.4</v>
      </c>
      <c r="E1474" s="23">
        <v>42022</v>
      </c>
      <c r="F1474" s="24">
        <v>10522.4</v>
      </c>
      <c r="G1474" s="31">
        <f t="shared" si="22"/>
        <v>0</v>
      </c>
      <c r="H1474" s="39" t="s">
        <v>59</v>
      </c>
    </row>
    <row r="1475" spans="1:10" s="3" customFormat="1" x14ac:dyDescent="0.25">
      <c r="A1475" s="20">
        <v>42022</v>
      </c>
      <c r="B1475" s="21">
        <v>9382</v>
      </c>
      <c r="C1475" s="14" t="s">
        <v>120</v>
      </c>
      <c r="D1475" s="22">
        <v>2530</v>
      </c>
      <c r="E1475" s="23">
        <v>42022</v>
      </c>
      <c r="F1475" s="24">
        <v>2530</v>
      </c>
      <c r="G1475" s="31">
        <f t="shared" ref="G1475:G1538" si="23">D1475-F1475</f>
        <v>0</v>
      </c>
      <c r="H1475" s="39" t="s">
        <v>59</v>
      </c>
    </row>
    <row r="1476" spans="1:10" s="3" customFormat="1" x14ac:dyDescent="0.25">
      <c r="A1476" s="59">
        <v>42022</v>
      </c>
      <c r="B1476" s="21">
        <v>9383</v>
      </c>
      <c r="C1476" s="14" t="s">
        <v>82</v>
      </c>
      <c r="D1476" s="22">
        <v>4709</v>
      </c>
      <c r="E1476" s="23">
        <v>42022</v>
      </c>
      <c r="F1476" s="24">
        <v>4709</v>
      </c>
      <c r="G1476" s="31">
        <f t="shared" si="23"/>
        <v>0</v>
      </c>
      <c r="H1476" s="39" t="s">
        <v>59</v>
      </c>
    </row>
    <row r="1477" spans="1:10" s="3" customFormat="1" x14ac:dyDescent="0.25">
      <c r="A1477" s="20">
        <v>42022</v>
      </c>
      <c r="B1477" s="21">
        <v>9384</v>
      </c>
      <c r="C1477" s="14" t="s">
        <v>53</v>
      </c>
      <c r="D1477" s="22">
        <v>2100</v>
      </c>
      <c r="E1477" s="23">
        <v>42022</v>
      </c>
      <c r="F1477" s="24">
        <v>2100</v>
      </c>
      <c r="G1477" s="31">
        <f t="shared" si="23"/>
        <v>0</v>
      </c>
      <c r="H1477" s="39" t="s">
        <v>59</v>
      </c>
    </row>
    <row r="1478" spans="1:10" s="3" customFormat="1" x14ac:dyDescent="0.25">
      <c r="A1478" s="59">
        <v>42022</v>
      </c>
      <c r="B1478" s="21">
        <v>9385</v>
      </c>
      <c r="C1478" s="14" t="s">
        <v>214</v>
      </c>
      <c r="D1478" s="22">
        <v>800</v>
      </c>
      <c r="E1478" s="23">
        <v>42022</v>
      </c>
      <c r="F1478" s="24">
        <v>800</v>
      </c>
      <c r="G1478" s="31">
        <f t="shared" si="23"/>
        <v>0</v>
      </c>
      <c r="H1478" s="39" t="s">
        <v>59</v>
      </c>
    </row>
    <row r="1479" spans="1:10" s="3" customFormat="1" x14ac:dyDescent="0.25">
      <c r="A1479" s="20">
        <v>42022</v>
      </c>
      <c r="B1479" s="21">
        <v>9386</v>
      </c>
      <c r="C1479" s="14" t="s">
        <v>58</v>
      </c>
      <c r="D1479" s="22">
        <v>420</v>
      </c>
      <c r="E1479" s="23">
        <v>42022</v>
      </c>
      <c r="F1479" s="24">
        <v>420</v>
      </c>
      <c r="G1479" s="31">
        <f t="shared" si="23"/>
        <v>0</v>
      </c>
      <c r="H1479" s="39" t="s">
        <v>59</v>
      </c>
    </row>
    <row r="1480" spans="1:10" s="3" customFormat="1" x14ac:dyDescent="0.25">
      <c r="A1480" s="59">
        <v>42022</v>
      </c>
      <c r="B1480" s="21">
        <v>9387</v>
      </c>
      <c r="C1480" s="14" t="s">
        <v>20</v>
      </c>
      <c r="D1480" s="22">
        <v>1661.6</v>
      </c>
      <c r="E1480" s="23">
        <v>42022</v>
      </c>
      <c r="F1480" s="24">
        <v>1661.6</v>
      </c>
      <c r="G1480" s="31">
        <f t="shared" si="23"/>
        <v>0</v>
      </c>
      <c r="H1480" s="39" t="s">
        <v>59</v>
      </c>
    </row>
    <row r="1481" spans="1:10" s="3" customFormat="1" x14ac:dyDescent="0.25">
      <c r="A1481" s="20">
        <v>42022</v>
      </c>
      <c r="B1481" s="21">
        <v>9388</v>
      </c>
      <c r="C1481" s="14" t="s">
        <v>83</v>
      </c>
      <c r="D1481" s="22">
        <v>1430</v>
      </c>
      <c r="E1481" s="23">
        <v>42022</v>
      </c>
      <c r="F1481" s="24">
        <v>1430</v>
      </c>
      <c r="G1481" s="31">
        <f t="shared" si="23"/>
        <v>0</v>
      </c>
      <c r="H1481" s="39" t="s">
        <v>59</v>
      </c>
    </row>
    <row r="1482" spans="1:10" s="3" customFormat="1" x14ac:dyDescent="0.25">
      <c r="A1482" s="59">
        <v>42022</v>
      </c>
      <c r="B1482" s="21">
        <v>9389</v>
      </c>
      <c r="C1482" s="14" t="s">
        <v>367</v>
      </c>
      <c r="D1482" s="22">
        <v>67035.899999999994</v>
      </c>
      <c r="E1482" s="30">
        <v>42041</v>
      </c>
      <c r="F1482" s="96">
        <v>67035.899999999994</v>
      </c>
      <c r="G1482" s="31">
        <f t="shared" si="23"/>
        <v>0</v>
      </c>
      <c r="H1482" s="39" t="s">
        <v>187</v>
      </c>
    </row>
    <row r="1483" spans="1:10" s="3" customFormat="1" x14ac:dyDescent="0.25">
      <c r="A1483" s="20">
        <v>42022</v>
      </c>
      <c r="B1483" s="21">
        <v>9390</v>
      </c>
      <c r="C1483" s="14" t="s">
        <v>66</v>
      </c>
      <c r="D1483" s="22">
        <v>14780.6</v>
      </c>
      <c r="E1483" s="23">
        <v>42022</v>
      </c>
      <c r="F1483" s="24">
        <v>14780.6</v>
      </c>
      <c r="G1483" s="48">
        <f t="shared" si="23"/>
        <v>0</v>
      </c>
      <c r="H1483" s="39" t="s">
        <v>9</v>
      </c>
    </row>
    <row r="1484" spans="1:10" s="3" customFormat="1" x14ac:dyDescent="0.25">
      <c r="A1484" s="59">
        <v>42022</v>
      </c>
      <c r="B1484" s="21">
        <v>9391</v>
      </c>
      <c r="C1484" s="14" t="s">
        <v>86</v>
      </c>
      <c r="D1484" s="22">
        <v>550.5</v>
      </c>
      <c r="E1484" s="23">
        <v>42019</v>
      </c>
      <c r="F1484" s="24">
        <v>550.5</v>
      </c>
      <c r="G1484" s="31">
        <f t="shared" si="23"/>
        <v>0</v>
      </c>
      <c r="H1484" s="39" t="s">
        <v>9</v>
      </c>
    </row>
    <row r="1485" spans="1:10" s="3" customFormat="1" x14ac:dyDescent="0.25">
      <c r="A1485" s="20">
        <v>42022</v>
      </c>
      <c r="B1485" s="21">
        <v>9392</v>
      </c>
      <c r="C1485" s="14" t="s">
        <v>45</v>
      </c>
      <c r="D1485" s="22">
        <v>44915.31</v>
      </c>
      <c r="E1485" s="51">
        <v>42032</v>
      </c>
      <c r="F1485" s="24">
        <v>44915.31</v>
      </c>
      <c r="G1485" s="31">
        <f t="shared" si="23"/>
        <v>0</v>
      </c>
      <c r="H1485" s="39" t="s">
        <v>36</v>
      </c>
    </row>
    <row r="1486" spans="1:10" s="3" customFormat="1" x14ac:dyDescent="0.25">
      <c r="A1486" s="59">
        <v>42022</v>
      </c>
      <c r="B1486" s="21">
        <v>9393</v>
      </c>
      <c r="C1486" s="14" t="s">
        <v>151</v>
      </c>
      <c r="D1486" s="22">
        <v>5449.2</v>
      </c>
      <c r="E1486" s="23">
        <v>42024</v>
      </c>
      <c r="F1486" s="24">
        <v>5449.2</v>
      </c>
      <c r="G1486" s="31">
        <f t="shared" si="23"/>
        <v>0</v>
      </c>
      <c r="H1486" s="39" t="s">
        <v>9</v>
      </c>
    </row>
    <row r="1487" spans="1:10" s="3" customFormat="1" x14ac:dyDescent="0.25">
      <c r="A1487" s="20">
        <v>42022</v>
      </c>
      <c r="B1487" s="21">
        <v>9394</v>
      </c>
      <c r="C1487" s="14" t="s">
        <v>161</v>
      </c>
      <c r="D1487" s="22">
        <v>3196.8</v>
      </c>
      <c r="E1487" s="23">
        <v>42022</v>
      </c>
      <c r="F1487" s="24">
        <v>3196.8</v>
      </c>
      <c r="G1487" s="31">
        <f t="shared" si="23"/>
        <v>0</v>
      </c>
      <c r="H1487" s="39" t="s">
        <v>9</v>
      </c>
    </row>
    <row r="1488" spans="1:10" s="3" customFormat="1" x14ac:dyDescent="0.25">
      <c r="A1488" s="59">
        <v>42022</v>
      </c>
      <c r="B1488" s="21">
        <v>9395</v>
      </c>
      <c r="C1488" s="14" t="s">
        <v>121</v>
      </c>
      <c r="D1488" s="22">
        <v>3654.8</v>
      </c>
      <c r="E1488" s="23">
        <v>42022</v>
      </c>
      <c r="F1488" s="24">
        <v>3654.8</v>
      </c>
      <c r="G1488" s="31">
        <f t="shared" si="23"/>
        <v>0</v>
      </c>
      <c r="H1488" s="39" t="s">
        <v>9</v>
      </c>
    </row>
    <row r="1489" spans="1:8" s="3" customFormat="1" x14ac:dyDescent="0.25">
      <c r="A1489" s="20">
        <v>42022</v>
      </c>
      <c r="B1489" s="21">
        <v>9396</v>
      </c>
      <c r="C1489" s="14" t="s">
        <v>141</v>
      </c>
      <c r="D1489" s="22">
        <v>322</v>
      </c>
      <c r="E1489" s="23">
        <v>42022</v>
      </c>
      <c r="F1489" s="24">
        <v>322</v>
      </c>
      <c r="G1489" s="31">
        <f t="shared" si="23"/>
        <v>0</v>
      </c>
      <c r="H1489" s="39" t="s">
        <v>9</v>
      </c>
    </row>
    <row r="1490" spans="1:8" s="3" customFormat="1" x14ac:dyDescent="0.25">
      <c r="A1490" s="59">
        <v>42022</v>
      </c>
      <c r="B1490" s="21">
        <v>9397</v>
      </c>
      <c r="C1490" s="14" t="s">
        <v>112</v>
      </c>
      <c r="D1490" s="22">
        <v>9302.4</v>
      </c>
      <c r="E1490" s="29" t="s">
        <v>374</v>
      </c>
      <c r="F1490" s="24">
        <f>5000+4302.4</f>
        <v>9302.4</v>
      </c>
      <c r="G1490" s="31">
        <f t="shared" si="23"/>
        <v>0</v>
      </c>
      <c r="H1490" s="39" t="s">
        <v>9</v>
      </c>
    </row>
    <row r="1491" spans="1:8" s="3" customFormat="1" x14ac:dyDescent="0.25">
      <c r="A1491" s="20">
        <v>42022</v>
      </c>
      <c r="B1491" s="21">
        <v>9398</v>
      </c>
      <c r="C1491" s="14" t="s">
        <v>294</v>
      </c>
      <c r="D1491" s="22">
        <v>5716.8</v>
      </c>
      <c r="E1491" s="23">
        <v>42022</v>
      </c>
      <c r="F1491" s="24">
        <v>5716.8</v>
      </c>
      <c r="G1491" s="31">
        <f t="shared" si="23"/>
        <v>0</v>
      </c>
      <c r="H1491" s="39" t="s">
        <v>9</v>
      </c>
    </row>
    <row r="1492" spans="1:8" s="3" customFormat="1" x14ac:dyDescent="0.25">
      <c r="A1492" s="59">
        <v>42022</v>
      </c>
      <c r="B1492" s="21">
        <v>9399</v>
      </c>
      <c r="C1492" s="14" t="s">
        <v>375</v>
      </c>
      <c r="D1492" s="22">
        <v>1278.9000000000001</v>
      </c>
      <c r="E1492" s="23">
        <v>42022</v>
      </c>
      <c r="F1492" s="24">
        <v>1278.9000000000001</v>
      </c>
      <c r="G1492" s="31">
        <f t="shared" si="23"/>
        <v>0</v>
      </c>
      <c r="H1492" s="39" t="s">
        <v>9</v>
      </c>
    </row>
    <row r="1493" spans="1:8" s="3" customFormat="1" x14ac:dyDescent="0.25">
      <c r="A1493" s="20">
        <v>42022</v>
      </c>
      <c r="B1493" s="21">
        <v>9400</v>
      </c>
      <c r="C1493" s="14" t="s">
        <v>164</v>
      </c>
      <c r="D1493" s="22">
        <v>3286.4</v>
      </c>
      <c r="E1493" s="23">
        <v>42022</v>
      </c>
      <c r="F1493" s="24">
        <v>3286.4</v>
      </c>
      <c r="G1493" s="31">
        <f t="shared" si="23"/>
        <v>0</v>
      </c>
      <c r="H1493" s="39" t="s">
        <v>9</v>
      </c>
    </row>
    <row r="1494" spans="1:8" s="3" customFormat="1" x14ac:dyDescent="0.25">
      <c r="A1494" s="59">
        <v>42022</v>
      </c>
      <c r="B1494" s="21">
        <v>9401</v>
      </c>
      <c r="C1494" s="14" t="s">
        <v>229</v>
      </c>
      <c r="D1494" s="22">
        <v>3215.95</v>
      </c>
      <c r="E1494" s="23">
        <v>42022</v>
      </c>
      <c r="F1494" s="24">
        <v>3215.95</v>
      </c>
      <c r="G1494" s="31">
        <f t="shared" si="23"/>
        <v>0</v>
      </c>
      <c r="H1494" s="39" t="s">
        <v>9</v>
      </c>
    </row>
    <row r="1495" spans="1:8" s="3" customFormat="1" x14ac:dyDescent="0.25">
      <c r="A1495" s="20">
        <v>42022</v>
      </c>
      <c r="B1495" s="21">
        <v>9402</v>
      </c>
      <c r="C1495" s="14" t="s">
        <v>239</v>
      </c>
      <c r="D1495" s="22">
        <v>388.6</v>
      </c>
      <c r="E1495" s="23">
        <v>42022</v>
      </c>
      <c r="F1495" s="24">
        <v>388.6</v>
      </c>
      <c r="G1495" s="31">
        <f t="shared" si="23"/>
        <v>0</v>
      </c>
      <c r="H1495" s="39" t="s">
        <v>9</v>
      </c>
    </row>
    <row r="1496" spans="1:8" s="3" customFormat="1" x14ac:dyDescent="0.25">
      <c r="A1496" s="59">
        <v>42022</v>
      </c>
      <c r="B1496" s="21">
        <v>9403</v>
      </c>
      <c r="C1496" s="14" t="s">
        <v>229</v>
      </c>
      <c r="D1496" s="22">
        <v>4545.75</v>
      </c>
      <c r="E1496" s="23">
        <v>42022</v>
      </c>
      <c r="F1496" s="24">
        <v>4545.75</v>
      </c>
      <c r="G1496" s="31">
        <f t="shared" si="23"/>
        <v>0</v>
      </c>
      <c r="H1496" s="39" t="s">
        <v>9</v>
      </c>
    </row>
    <row r="1497" spans="1:8" s="3" customFormat="1" x14ac:dyDescent="0.25">
      <c r="A1497" s="20">
        <v>42022</v>
      </c>
      <c r="B1497" s="21">
        <v>9404</v>
      </c>
      <c r="C1497" s="14" t="s">
        <v>294</v>
      </c>
      <c r="D1497" s="22">
        <v>342</v>
      </c>
      <c r="E1497" s="23">
        <v>42022</v>
      </c>
      <c r="F1497" s="24">
        <v>342</v>
      </c>
      <c r="G1497" s="31">
        <f t="shared" si="23"/>
        <v>0</v>
      </c>
      <c r="H1497" s="39" t="s">
        <v>9</v>
      </c>
    </row>
    <row r="1498" spans="1:8" s="3" customFormat="1" x14ac:dyDescent="0.25">
      <c r="A1498" s="59">
        <v>42022</v>
      </c>
      <c r="B1498" s="21">
        <v>9405</v>
      </c>
      <c r="C1498" s="14" t="s">
        <v>66</v>
      </c>
      <c r="D1498" s="22">
        <v>237.5</v>
      </c>
      <c r="E1498" s="23">
        <v>42022</v>
      </c>
      <c r="F1498" s="24">
        <v>237.5</v>
      </c>
      <c r="G1498" s="31">
        <f t="shared" si="23"/>
        <v>0</v>
      </c>
      <c r="H1498" s="39" t="s">
        <v>9</v>
      </c>
    </row>
    <row r="1499" spans="1:8" s="3" customFormat="1" x14ac:dyDescent="0.25">
      <c r="A1499" s="20">
        <v>42022</v>
      </c>
      <c r="B1499" s="21">
        <v>9406</v>
      </c>
      <c r="C1499" s="14" t="s">
        <v>229</v>
      </c>
      <c r="D1499" s="22">
        <v>415.4</v>
      </c>
      <c r="E1499" s="23">
        <v>42022</v>
      </c>
      <c r="F1499" s="24">
        <v>415.4</v>
      </c>
      <c r="G1499" s="31">
        <f t="shared" si="23"/>
        <v>0</v>
      </c>
      <c r="H1499" s="39" t="s">
        <v>9</v>
      </c>
    </row>
    <row r="1500" spans="1:8" s="3" customFormat="1" x14ac:dyDescent="0.25">
      <c r="A1500" s="59">
        <v>42022</v>
      </c>
      <c r="B1500" s="21">
        <v>9407</v>
      </c>
      <c r="C1500" s="14" t="s">
        <v>34</v>
      </c>
      <c r="D1500" s="22">
        <v>2643</v>
      </c>
      <c r="E1500" s="23">
        <v>42022</v>
      </c>
      <c r="F1500" s="24">
        <v>2643</v>
      </c>
      <c r="G1500" s="31">
        <f t="shared" si="23"/>
        <v>0</v>
      </c>
      <c r="H1500" s="39" t="s">
        <v>9</v>
      </c>
    </row>
    <row r="1501" spans="1:8" s="3" customFormat="1" x14ac:dyDescent="0.25">
      <c r="A1501" s="20">
        <v>42022</v>
      </c>
      <c r="B1501" s="21">
        <v>9408</v>
      </c>
      <c r="C1501" s="14" t="s">
        <v>66</v>
      </c>
      <c r="D1501" s="22">
        <v>218.4</v>
      </c>
      <c r="E1501" s="23">
        <v>42022</v>
      </c>
      <c r="F1501" s="24">
        <v>218.4</v>
      </c>
      <c r="G1501" s="31">
        <f t="shared" si="23"/>
        <v>0</v>
      </c>
      <c r="H1501" s="39" t="s">
        <v>9</v>
      </c>
    </row>
    <row r="1502" spans="1:8" s="3" customFormat="1" x14ac:dyDescent="0.25">
      <c r="A1502" s="59">
        <v>42022</v>
      </c>
      <c r="B1502" s="21">
        <v>9409</v>
      </c>
      <c r="C1502" s="14" t="s">
        <v>130</v>
      </c>
      <c r="D1502" s="22">
        <v>7926.8</v>
      </c>
      <c r="E1502" s="29" t="s">
        <v>376</v>
      </c>
      <c r="F1502" s="24">
        <f>5200+2726.8</f>
        <v>7926.8</v>
      </c>
      <c r="G1502" s="31">
        <f t="shared" si="23"/>
        <v>0</v>
      </c>
      <c r="H1502" s="39" t="s">
        <v>17</v>
      </c>
    </row>
    <row r="1503" spans="1:8" s="3" customFormat="1" x14ac:dyDescent="0.25">
      <c r="A1503" s="20">
        <v>42022</v>
      </c>
      <c r="B1503" s="21">
        <v>9410</v>
      </c>
      <c r="C1503" s="14" t="s">
        <v>31</v>
      </c>
      <c r="D1503" s="22">
        <v>5370</v>
      </c>
      <c r="E1503" s="23">
        <v>42022</v>
      </c>
      <c r="F1503" s="24">
        <v>5370</v>
      </c>
      <c r="G1503" s="31">
        <f t="shared" si="23"/>
        <v>0</v>
      </c>
      <c r="H1503" s="39" t="s">
        <v>17</v>
      </c>
    </row>
    <row r="1504" spans="1:8" s="3" customFormat="1" x14ac:dyDescent="0.25">
      <c r="A1504" s="59">
        <v>42022</v>
      </c>
      <c r="B1504" s="21">
        <v>9411</v>
      </c>
      <c r="C1504" s="26" t="s">
        <v>218</v>
      </c>
      <c r="D1504" s="27">
        <v>0</v>
      </c>
      <c r="E1504" s="23"/>
      <c r="F1504" s="24"/>
      <c r="G1504" s="31">
        <f t="shared" si="23"/>
        <v>0</v>
      </c>
      <c r="H1504" s="39" t="s">
        <v>13</v>
      </c>
    </row>
    <row r="1505" spans="1:10" s="3" customFormat="1" x14ac:dyDescent="0.25">
      <c r="A1505" s="20">
        <v>42022</v>
      </c>
      <c r="B1505" s="21">
        <v>9412</v>
      </c>
      <c r="C1505" s="14" t="s">
        <v>377</v>
      </c>
      <c r="D1505" s="22">
        <v>730.4</v>
      </c>
      <c r="E1505" s="23">
        <v>42022</v>
      </c>
      <c r="F1505" s="24">
        <v>730.4</v>
      </c>
      <c r="G1505" s="31">
        <f t="shared" si="23"/>
        <v>0</v>
      </c>
      <c r="H1505" s="39" t="s">
        <v>9</v>
      </c>
    </row>
    <row r="1506" spans="1:10" s="3" customFormat="1" x14ac:dyDescent="0.25">
      <c r="A1506" s="59">
        <v>42022</v>
      </c>
      <c r="B1506" s="21">
        <v>9413</v>
      </c>
      <c r="C1506" s="14" t="s">
        <v>299</v>
      </c>
      <c r="D1506" s="22">
        <v>4666.3999999999996</v>
      </c>
      <c r="E1506" s="23">
        <v>42022</v>
      </c>
      <c r="F1506" s="24">
        <v>4666.3999999999996</v>
      </c>
      <c r="G1506" s="31">
        <f t="shared" si="23"/>
        <v>0</v>
      </c>
      <c r="H1506" s="39" t="s">
        <v>17</v>
      </c>
      <c r="I1506" s="4"/>
      <c r="J1506" s="4"/>
    </row>
    <row r="1507" spans="1:10" s="3" customFormat="1" x14ac:dyDescent="0.25">
      <c r="A1507" s="20">
        <v>42022</v>
      </c>
      <c r="B1507" s="21">
        <v>9414</v>
      </c>
      <c r="C1507" s="14" t="s">
        <v>131</v>
      </c>
      <c r="D1507" s="22">
        <v>11571</v>
      </c>
      <c r="E1507" s="23">
        <v>42022</v>
      </c>
      <c r="F1507" s="24">
        <v>11571</v>
      </c>
      <c r="G1507" s="31">
        <f t="shared" si="23"/>
        <v>0</v>
      </c>
      <c r="H1507" s="39" t="s">
        <v>17</v>
      </c>
      <c r="I1507" s="4"/>
      <c r="J1507" s="4"/>
    </row>
    <row r="1508" spans="1:10" s="3" customFormat="1" x14ac:dyDescent="0.25">
      <c r="A1508" s="59">
        <v>42022</v>
      </c>
      <c r="B1508" s="21">
        <v>9415</v>
      </c>
      <c r="C1508" s="14" t="s">
        <v>143</v>
      </c>
      <c r="D1508" s="22">
        <v>21132.6</v>
      </c>
      <c r="E1508" s="23">
        <v>42024</v>
      </c>
      <c r="F1508" s="24">
        <v>21132.6</v>
      </c>
      <c r="G1508" s="31">
        <f t="shared" si="23"/>
        <v>0</v>
      </c>
      <c r="H1508" s="39" t="s">
        <v>17</v>
      </c>
      <c r="I1508" s="4"/>
      <c r="J1508" s="4"/>
    </row>
    <row r="1509" spans="1:10" s="3" customFormat="1" x14ac:dyDescent="0.25">
      <c r="A1509" s="20">
        <v>42022</v>
      </c>
      <c r="B1509" s="21">
        <v>9416</v>
      </c>
      <c r="C1509" s="26" t="s">
        <v>218</v>
      </c>
      <c r="D1509" s="27">
        <v>0</v>
      </c>
      <c r="E1509" s="23"/>
      <c r="F1509" s="24"/>
      <c r="G1509" s="31">
        <f t="shared" si="23"/>
        <v>0</v>
      </c>
      <c r="H1509" s="39" t="s">
        <v>13</v>
      </c>
      <c r="I1509" s="4"/>
      <c r="J1509" s="4"/>
    </row>
    <row r="1510" spans="1:10" s="3" customFormat="1" x14ac:dyDescent="0.25">
      <c r="A1510" s="59">
        <v>42022</v>
      </c>
      <c r="B1510" s="21">
        <v>9417</v>
      </c>
      <c r="C1510" s="14" t="s">
        <v>125</v>
      </c>
      <c r="D1510" s="22">
        <v>16909</v>
      </c>
      <c r="E1510" s="47" t="s">
        <v>378</v>
      </c>
      <c r="F1510" s="24">
        <f>9000+7909</f>
        <v>16909</v>
      </c>
      <c r="G1510" s="31">
        <f t="shared" si="23"/>
        <v>0</v>
      </c>
      <c r="H1510" s="39" t="s">
        <v>9</v>
      </c>
      <c r="I1510" s="4"/>
      <c r="J1510" s="4"/>
    </row>
    <row r="1511" spans="1:10" s="3" customFormat="1" x14ac:dyDescent="0.25">
      <c r="A1511" s="20">
        <v>42022</v>
      </c>
      <c r="B1511" s="21">
        <v>9418</v>
      </c>
      <c r="C1511" s="14" t="s">
        <v>135</v>
      </c>
      <c r="D1511" s="22">
        <v>4720</v>
      </c>
      <c r="E1511" s="23">
        <v>42022</v>
      </c>
      <c r="F1511" s="24">
        <v>4720</v>
      </c>
      <c r="G1511" s="31">
        <f t="shared" si="23"/>
        <v>0</v>
      </c>
      <c r="H1511" s="39" t="s">
        <v>9</v>
      </c>
      <c r="I1511" s="4"/>
      <c r="J1511" s="4"/>
    </row>
    <row r="1512" spans="1:10" s="3" customFormat="1" x14ac:dyDescent="0.25">
      <c r="A1512" s="59">
        <v>42022</v>
      </c>
      <c r="B1512" s="21">
        <v>9419</v>
      </c>
      <c r="C1512" s="14" t="s">
        <v>50</v>
      </c>
      <c r="D1512" s="22">
        <v>6079.2</v>
      </c>
      <c r="E1512" s="23">
        <v>42022</v>
      </c>
      <c r="F1512" s="24">
        <v>6079.2</v>
      </c>
      <c r="G1512" s="31">
        <f t="shared" si="23"/>
        <v>0</v>
      </c>
      <c r="H1512" s="39" t="s">
        <v>187</v>
      </c>
      <c r="I1512" s="4"/>
      <c r="J1512" s="4"/>
    </row>
    <row r="1513" spans="1:10" s="3" customFormat="1" x14ac:dyDescent="0.25">
      <c r="A1513" s="20">
        <v>42022</v>
      </c>
      <c r="B1513" s="21">
        <v>9420</v>
      </c>
      <c r="C1513" s="14" t="s">
        <v>233</v>
      </c>
      <c r="D1513" s="22">
        <v>17260.2</v>
      </c>
      <c r="E1513" s="23">
        <v>42023</v>
      </c>
      <c r="F1513" s="24">
        <v>17260.2</v>
      </c>
      <c r="G1513" s="31">
        <f t="shared" si="23"/>
        <v>0</v>
      </c>
      <c r="H1513" s="39" t="s">
        <v>36</v>
      </c>
      <c r="I1513" s="4"/>
      <c r="J1513" s="28"/>
    </row>
    <row r="1514" spans="1:10" s="3" customFormat="1" x14ac:dyDescent="0.25">
      <c r="A1514" s="59">
        <v>42022</v>
      </c>
      <c r="B1514" s="21">
        <v>9421</v>
      </c>
      <c r="C1514" s="14" t="s">
        <v>137</v>
      </c>
      <c r="D1514" s="22">
        <v>1145.5999999999999</v>
      </c>
      <c r="E1514" s="23">
        <v>42022</v>
      </c>
      <c r="F1514" s="24">
        <v>1145.5999999999999</v>
      </c>
      <c r="G1514" s="31">
        <f t="shared" si="23"/>
        <v>0</v>
      </c>
      <c r="H1514" s="39" t="s">
        <v>9</v>
      </c>
      <c r="I1514" s="4"/>
      <c r="J1514" s="4"/>
    </row>
    <row r="1515" spans="1:10" s="3" customFormat="1" x14ac:dyDescent="0.25">
      <c r="A1515" s="20">
        <v>42022</v>
      </c>
      <c r="B1515" s="21">
        <v>9422</v>
      </c>
      <c r="C1515" s="14" t="s">
        <v>24</v>
      </c>
      <c r="D1515" s="22">
        <v>45078.2</v>
      </c>
      <c r="E1515" s="23">
        <v>42025</v>
      </c>
      <c r="F1515" s="24">
        <v>45078.2</v>
      </c>
      <c r="G1515" s="31">
        <f t="shared" si="23"/>
        <v>0</v>
      </c>
      <c r="H1515" s="39" t="s">
        <v>187</v>
      </c>
      <c r="I1515" s="4"/>
      <c r="J1515" s="4"/>
    </row>
    <row r="1516" spans="1:10" s="3" customFormat="1" x14ac:dyDescent="0.25">
      <c r="A1516" s="59">
        <v>42022</v>
      </c>
      <c r="B1516" s="21">
        <v>9423</v>
      </c>
      <c r="C1516" s="14" t="s">
        <v>55</v>
      </c>
      <c r="D1516" s="22">
        <v>27818.5</v>
      </c>
      <c r="E1516" s="23">
        <v>42023</v>
      </c>
      <c r="F1516" s="24">
        <v>27818.5</v>
      </c>
      <c r="G1516" s="31">
        <f t="shared" si="23"/>
        <v>0</v>
      </c>
      <c r="H1516" s="39" t="s">
        <v>9</v>
      </c>
      <c r="I1516" s="4"/>
      <c r="J1516" s="4"/>
    </row>
    <row r="1517" spans="1:10" s="3" customFormat="1" x14ac:dyDescent="0.25">
      <c r="A1517" s="20">
        <v>42022</v>
      </c>
      <c r="B1517" s="21">
        <v>9424</v>
      </c>
      <c r="C1517" s="14" t="s">
        <v>64</v>
      </c>
      <c r="D1517" s="22">
        <v>2967</v>
      </c>
      <c r="E1517" s="23">
        <v>42022</v>
      </c>
      <c r="F1517" s="24">
        <v>2967</v>
      </c>
      <c r="G1517" s="31">
        <f t="shared" si="23"/>
        <v>0</v>
      </c>
      <c r="H1517" s="39" t="s">
        <v>9</v>
      </c>
      <c r="I1517" s="4"/>
      <c r="J1517" s="4"/>
    </row>
    <row r="1518" spans="1:10" s="3" customFormat="1" x14ac:dyDescent="0.25">
      <c r="A1518" s="59">
        <v>42022</v>
      </c>
      <c r="B1518" s="21">
        <v>9425</v>
      </c>
      <c r="C1518" s="14" t="s">
        <v>26</v>
      </c>
      <c r="D1518" s="22">
        <v>600</v>
      </c>
      <c r="E1518" s="23">
        <v>42022</v>
      </c>
      <c r="F1518" s="24">
        <v>600</v>
      </c>
      <c r="G1518" s="31">
        <f t="shared" si="23"/>
        <v>0</v>
      </c>
      <c r="H1518" s="39" t="s">
        <v>187</v>
      </c>
      <c r="I1518" s="4"/>
      <c r="J1518" s="4"/>
    </row>
    <row r="1519" spans="1:10" s="3" customFormat="1" x14ac:dyDescent="0.25">
      <c r="A1519" s="20">
        <v>42022</v>
      </c>
      <c r="B1519" s="21">
        <v>9426</v>
      </c>
      <c r="C1519" s="14" t="s">
        <v>56</v>
      </c>
      <c r="D1519" s="22">
        <v>12986.8</v>
      </c>
      <c r="E1519" s="23">
        <v>42023</v>
      </c>
      <c r="F1519" s="24">
        <v>12986.8</v>
      </c>
      <c r="G1519" s="31">
        <f t="shared" si="23"/>
        <v>0</v>
      </c>
      <c r="H1519" s="39" t="s">
        <v>36</v>
      </c>
      <c r="I1519" s="4"/>
      <c r="J1519" s="4"/>
    </row>
    <row r="1520" spans="1:10" s="3" customFormat="1" x14ac:dyDescent="0.25">
      <c r="A1520" s="59">
        <v>42022</v>
      </c>
      <c r="B1520" s="21">
        <v>9427</v>
      </c>
      <c r="C1520" s="14" t="s">
        <v>136</v>
      </c>
      <c r="D1520" s="22">
        <v>40844.199999999997</v>
      </c>
      <c r="E1520" s="29" t="s">
        <v>379</v>
      </c>
      <c r="F1520" s="24">
        <f>25000+15844.2</f>
        <v>40844.199999999997</v>
      </c>
      <c r="G1520" s="31">
        <f t="shared" si="23"/>
        <v>0</v>
      </c>
      <c r="H1520" s="39" t="s">
        <v>9</v>
      </c>
      <c r="I1520" s="4"/>
      <c r="J1520" s="4"/>
    </row>
    <row r="1521" spans="1:10" s="3" customFormat="1" x14ac:dyDescent="0.25">
      <c r="A1521" s="20">
        <v>42022</v>
      </c>
      <c r="B1521" s="21">
        <v>9428</v>
      </c>
      <c r="C1521" s="14" t="s">
        <v>158</v>
      </c>
      <c r="D1521" s="22">
        <v>2323.9</v>
      </c>
      <c r="E1521" s="23">
        <v>42022</v>
      </c>
      <c r="F1521" s="24">
        <v>2323.9</v>
      </c>
      <c r="G1521" s="31">
        <f t="shared" si="23"/>
        <v>0</v>
      </c>
      <c r="H1521" s="39" t="s">
        <v>9</v>
      </c>
      <c r="I1521" s="4"/>
      <c r="J1521" s="28"/>
    </row>
    <row r="1522" spans="1:10" s="3" customFormat="1" x14ac:dyDescent="0.25">
      <c r="A1522" s="59">
        <v>42022</v>
      </c>
      <c r="B1522" s="21">
        <v>9429</v>
      </c>
      <c r="C1522" s="14" t="s">
        <v>159</v>
      </c>
      <c r="D1522" s="22">
        <v>13275.6</v>
      </c>
      <c r="E1522" s="23">
        <v>42022</v>
      </c>
      <c r="F1522" s="24">
        <v>13275.6</v>
      </c>
      <c r="G1522" s="31">
        <f t="shared" si="23"/>
        <v>0</v>
      </c>
      <c r="H1522" s="39" t="s">
        <v>9</v>
      </c>
      <c r="I1522" s="4"/>
      <c r="J1522" s="28"/>
    </row>
    <row r="1523" spans="1:10" s="3" customFormat="1" x14ac:dyDescent="0.25">
      <c r="A1523" s="20">
        <v>42022</v>
      </c>
      <c r="B1523" s="21">
        <v>9430</v>
      </c>
      <c r="C1523" s="14" t="s">
        <v>102</v>
      </c>
      <c r="D1523" s="22">
        <v>1591.4</v>
      </c>
      <c r="E1523" s="23">
        <v>42022</v>
      </c>
      <c r="F1523" s="24">
        <v>1591.4</v>
      </c>
      <c r="G1523" s="31">
        <f t="shared" si="23"/>
        <v>0</v>
      </c>
      <c r="H1523" s="39" t="s">
        <v>9</v>
      </c>
      <c r="I1523" s="4"/>
      <c r="J1523" s="4"/>
    </row>
    <row r="1524" spans="1:10" s="3" customFormat="1" x14ac:dyDescent="0.25">
      <c r="A1524" s="59">
        <v>42022</v>
      </c>
      <c r="B1524" s="21">
        <v>9431</v>
      </c>
      <c r="C1524" s="14" t="s">
        <v>87</v>
      </c>
      <c r="D1524" s="22">
        <v>1766.4</v>
      </c>
      <c r="E1524" s="23">
        <v>42022</v>
      </c>
      <c r="F1524" s="24">
        <v>1766.4</v>
      </c>
      <c r="G1524" s="31">
        <f t="shared" si="23"/>
        <v>0</v>
      </c>
      <c r="H1524" s="39" t="s">
        <v>9</v>
      </c>
      <c r="I1524" s="4"/>
      <c r="J1524" s="4"/>
    </row>
    <row r="1525" spans="1:10" s="3" customFormat="1" x14ac:dyDescent="0.25">
      <c r="A1525" s="20">
        <v>42022</v>
      </c>
      <c r="B1525" s="21">
        <v>9432</v>
      </c>
      <c r="C1525" s="14" t="s">
        <v>267</v>
      </c>
      <c r="D1525" s="22">
        <v>927</v>
      </c>
      <c r="E1525" s="23">
        <v>42022</v>
      </c>
      <c r="F1525" s="24">
        <v>927</v>
      </c>
      <c r="G1525" s="31">
        <f t="shared" si="23"/>
        <v>0</v>
      </c>
      <c r="H1525" s="39" t="s">
        <v>187</v>
      </c>
      <c r="I1525" s="4"/>
      <c r="J1525" s="4"/>
    </row>
    <row r="1526" spans="1:10" s="3" customFormat="1" x14ac:dyDescent="0.25">
      <c r="A1526" s="59">
        <v>42022</v>
      </c>
      <c r="B1526" s="21">
        <v>9433</v>
      </c>
      <c r="C1526" s="14" t="s">
        <v>110</v>
      </c>
      <c r="D1526" s="22">
        <v>29215.599999999999</v>
      </c>
      <c r="E1526" s="23">
        <v>42027</v>
      </c>
      <c r="F1526" s="24">
        <v>29215.599999999999</v>
      </c>
      <c r="G1526" s="31">
        <f t="shared" si="23"/>
        <v>0</v>
      </c>
      <c r="H1526" s="39" t="s">
        <v>187</v>
      </c>
      <c r="I1526" s="4"/>
      <c r="J1526" s="4"/>
    </row>
    <row r="1527" spans="1:10" s="3" customFormat="1" x14ac:dyDescent="0.25">
      <c r="A1527" s="20">
        <v>42022</v>
      </c>
      <c r="B1527" s="21">
        <v>9434</v>
      </c>
      <c r="C1527" s="14" t="s">
        <v>80</v>
      </c>
      <c r="D1527" s="22">
        <v>7801.2</v>
      </c>
      <c r="E1527" s="23">
        <v>42022</v>
      </c>
      <c r="F1527" s="24">
        <v>7801.2</v>
      </c>
      <c r="G1527" s="31">
        <f t="shared" si="23"/>
        <v>0</v>
      </c>
      <c r="H1527" s="39" t="s">
        <v>9</v>
      </c>
      <c r="I1527" s="4"/>
      <c r="J1527" s="4"/>
    </row>
    <row r="1528" spans="1:10" s="3" customFormat="1" x14ac:dyDescent="0.25">
      <c r="A1528" s="59">
        <v>42022</v>
      </c>
      <c r="B1528" s="21">
        <v>9435</v>
      </c>
      <c r="C1528" s="14" t="s">
        <v>122</v>
      </c>
      <c r="D1528" s="22">
        <v>31169.200000000001</v>
      </c>
      <c r="E1528" s="23">
        <v>42022</v>
      </c>
      <c r="F1528" s="24">
        <v>31169.200000000001</v>
      </c>
      <c r="G1528" s="31">
        <f t="shared" si="23"/>
        <v>0</v>
      </c>
      <c r="H1528" s="39" t="s">
        <v>9</v>
      </c>
      <c r="I1528" s="4"/>
      <c r="J1528" s="4"/>
    </row>
    <row r="1529" spans="1:10" s="3" customFormat="1" x14ac:dyDescent="0.25">
      <c r="A1529" s="20">
        <v>42022</v>
      </c>
      <c r="B1529" s="21">
        <v>9436</v>
      </c>
      <c r="C1529" s="14" t="s">
        <v>158</v>
      </c>
      <c r="D1529" s="22">
        <v>9154.7999999999993</v>
      </c>
      <c r="E1529" s="23">
        <v>42022</v>
      </c>
      <c r="F1529" s="24">
        <v>9154.7999999999993</v>
      </c>
      <c r="G1529" s="31">
        <f t="shared" si="23"/>
        <v>0</v>
      </c>
      <c r="H1529" s="39" t="s">
        <v>9</v>
      </c>
      <c r="I1529" s="4"/>
      <c r="J1529" s="4"/>
    </row>
    <row r="1530" spans="1:10" s="3" customFormat="1" x14ac:dyDescent="0.25">
      <c r="A1530" s="20">
        <v>42022</v>
      </c>
      <c r="B1530" s="21">
        <v>9437</v>
      </c>
      <c r="C1530" s="14" t="s">
        <v>234</v>
      </c>
      <c r="D1530" s="22">
        <v>105.2</v>
      </c>
      <c r="E1530" s="23">
        <v>42022</v>
      </c>
      <c r="F1530" s="24">
        <v>105</v>
      </c>
      <c r="G1530" s="31">
        <f t="shared" si="23"/>
        <v>0.20000000000000284</v>
      </c>
      <c r="H1530" s="39" t="s">
        <v>9</v>
      </c>
      <c r="I1530" s="4"/>
      <c r="J1530" s="4"/>
    </row>
    <row r="1531" spans="1:10" s="3" customFormat="1" x14ac:dyDescent="0.25">
      <c r="A1531" s="20">
        <v>42023</v>
      </c>
      <c r="B1531" s="21">
        <v>9438</v>
      </c>
      <c r="C1531" s="14" t="s">
        <v>16</v>
      </c>
      <c r="D1531" s="22">
        <v>4689.2</v>
      </c>
      <c r="E1531" s="23">
        <v>42023</v>
      </c>
      <c r="F1531" s="24">
        <v>4689.2</v>
      </c>
      <c r="G1531" s="31">
        <f t="shared" si="23"/>
        <v>0</v>
      </c>
      <c r="H1531" s="39" t="s">
        <v>17</v>
      </c>
      <c r="I1531" s="4"/>
      <c r="J1531" s="4"/>
    </row>
    <row r="1532" spans="1:10" s="3" customFormat="1" x14ac:dyDescent="0.25">
      <c r="A1532" s="20">
        <v>42023</v>
      </c>
      <c r="B1532" s="21">
        <v>9439</v>
      </c>
      <c r="C1532" s="14" t="s">
        <v>31</v>
      </c>
      <c r="D1532" s="22">
        <v>5115</v>
      </c>
      <c r="E1532" s="23">
        <v>42023</v>
      </c>
      <c r="F1532" s="24">
        <v>5115</v>
      </c>
      <c r="G1532" s="31">
        <f t="shared" si="23"/>
        <v>0</v>
      </c>
      <c r="H1532" s="39" t="s">
        <v>17</v>
      </c>
      <c r="I1532" s="4"/>
      <c r="J1532" s="4"/>
    </row>
    <row r="1533" spans="1:10" s="3" customFormat="1" x14ac:dyDescent="0.25">
      <c r="A1533" s="20">
        <v>42023</v>
      </c>
      <c r="B1533" s="21">
        <v>9440</v>
      </c>
      <c r="C1533" s="14" t="s">
        <v>128</v>
      </c>
      <c r="D1533" s="22">
        <v>10335</v>
      </c>
      <c r="E1533" s="23">
        <v>42023</v>
      </c>
      <c r="F1533" s="24">
        <v>10335</v>
      </c>
      <c r="G1533" s="31">
        <f t="shared" si="23"/>
        <v>0</v>
      </c>
      <c r="H1533" s="39" t="s">
        <v>17</v>
      </c>
      <c r="I1533" s="4"/>
      <c r="J1533" s="4"/>
    </row>
    <row r="1534" spans="1:10" s="3" customFormat="1" x14ac:dyDescent="0.25">
      <c r="A1534" s="20">
        <v>42023</v>
      </c>
      <c r="B1534" s="21">
        <v>9441</v>
      </c>
      <c r="C1534" s="14" t="s">
        <v>20</v>
      </c>
      <c r="D1534" s="22">
        <v>12402.4</v>
      </c>
      <c r="E1534" s="23">
        <v>42023</v>
      </c>
      <c r="F1534" s="24">
        <v>12402.4</v>
      </c>
      <c r="G1534" s="31">
        <f t="shared" si="23"/>
        <v>0</v>
      </c>
      <c r="H1534" s="39" t="s">
        <v>17</v>
      </c>
      <c r="I1534" s="4"/>
      <c r="J1534" s="4"/>
    </row>
    <row r="1535" spans="1:10" s="3" customFormat="1" x14ac:dyDescent="0.25">
      <c r="A1535" s="20">
        <v>42023</v>
      </c>
      <c r="B1535" s="21">
        <v>9442</v>
      </c>
      <c r="C1535" s="14" t="s">
        <v>14</v>
      </c>
      <c r="D1535" s="22">
        <v>30106.9</v>
      </c>
      <c r="E1535" s="23">
        <v>42025</v>
      </c>
      <c r="F1535" s="24">
        <v>30106.9</v>
      </c>
      <c r="G1535" s="31">
        <f t="shared" si="23"/>
        <v>0</v>
      </c>
      <c r="H1535" s="39" t="s">
        <v>187</v>
      </c>
      <c r="I1535" s="4"/>
      <c r="J1535" s="4"/>
    </row>
    <row r="1536" spans="1:10" s="3" customFormat="1" x14ac:dyDescent="0.25">
      <c r="A1536" s="20">
        <v>42023</v>
      </c>
      <c r="B1536" s="21">
        <v>9443</v>
      </c>
      <c r="C1536" s="14" t="s">
        <v>380</v>
      </c>
      <c r="D1536" s="22">
        <v>1252.8</v>
      </c>
      <c r="E1536" s="23">
        <v>42023</v>
      </c>
      <c r="F1536" s="24">
        <v>1252.8</v>
      </c>
      <c r="G1536" s="31">
        <f t="shared" si="23"/>
        <v>0</v>
      </c>
      <c r="H1536" s="39" t="s">
        <v>9</v>
      </c>
      <c r="I1536" s="4"/>
      <c r="J1536" s="4"/>
    </row>
    <row r="1537" spans="1:10" s="3" customFormat="1" x14ac:dyDescent="0.25">
      <c r="A1537" s="20">
        <v>42023</v>
      </c>
      <c r="B1537" s="21">
        <v>9444</v>
      </c>
      <c r="C1537" s="14" t="s">
        <v>236</v>
      </c>
      <c r="D1537" s="22">
        <v>47370.2</v>
      </c>
      <c r="E1537" s="29" t="s">
        <v>381</v>
      </c>
      <c r="F1537" s="24">
        <f>15801.4+31568.8</f>
        <v>47370.2</v>
      </c>
      <c r="G1537" s="31">
        <f t="shared" si="23"/>
        <v>0</v>
      </c>
      <c r="H1537" s="39" t="s">
        <v>19</v>
      </c>
      <c r="I1537" s="4"/>
      <c r="J1537" s="4"/>
    </row>
    <row r="1538" spans="1:10" s="3" customFormat="1" x14ac:dyDescent="0.25">
      <c r="A1538" s="20">
        <v>42023</v>
      </c>
      <c r="B1538" s="21">
        <v>9445</v>
      </c>
      <c r="C1538" s="14" t="s">
        <v>267</v>
      </c>
      <c r="D1538" s="22">
        <v>1371.5</v>
      </c>
      <c r="E1538" s="23">
        <v>42023</v>
      </c>
      <c r="F1538" s="24">
        <v>1371.5</v>
      </c>
      <c r="G1538" s="31">
        <f t="shared" si="23"/>
        <v>0</v>
      </c>
      <c r="H1538" s="39" t="s">
        <v>19</v>
      </c>
      <c r="I1538" s="4"/>
      <c r="J1538" s="4"/>
    </row>
    <row r="1539" spans="1:10" s="3" customFormat="1" x14ac:dyDescent="0.25">
      <c r="A1539" s="20">
        <v>42023</v>
      </c>
      <c r="B1539" s="21">
        <v>9446</v>
      </c>
      <c r="C1539" s="14" t="s">
        <v>121</v>
      </c>
      <c r="D1539" s="22">
        <v>1827.8</v>
      </c>
      <c r="E1539" s="23">
        <v>42023</v>
      </c>
      <c r="F1539" s="24">
        <v>1827.8</v>
      </c>
      <c r="G1539" s="31">
        <f t="shared" ref="G1539:G1602" si="24">D1539-F1539</f>
        <v>0</v>
      </c>
      <c r="H1539" s="39" t="s">
        <v>9</v>
      </c>
      <c r="I1539" s="4"/>
      <c r="J1539" s="4"/>
    </row>
    <row r="1540" spans="1:10" s="3" customFormat="1" x14ac:dyDescent="0.25">
      <c r="A1540" s="20">
        <v>42023</v>
      </c>
      <c r="B1540" s="21">
        <v>9447</v>
      </c>
      <c r="C1540" s="14" t="s">
        <v>83</v>
      </c>
      <c r="D1540" s="22">
        <v>7992</v>
      </c>
      <c r="E1540" s="23">
        <v>42023</v>
      </c>
      <c r="F1540" s="24">
        <v>7992</v>
      </c>
      <c r="G1540" s="31">
        <f t="shared" si="24"/>
        <v>0</v>
      </c>
      <c r="H1540" s="39" t="s">
        <v>59</v>
      </c>
      <c r="I1540" s="4"/>
      <c r="J1540" s="4"/>
    </row>
    <row r="1541" spans="1:10" s="3" customFormat="1" x14ac:dyDescent="0.25">
      <c r="A1541" s="20">
        <v>42023</v>
      </c>
      <c r="B1541" s="21">
        <v>9448</v>
      </c>
      <c r="C1541" s="14" t="s">
        <v>45</v>
      </c>
      <c r="D1541" s="22">
        <v>15481.8</v>
      </c>
      <c r="E1541" s="23">
        <v>42032</v>
      </c>
      <c r="F1541" s="24">
        <v>15481.8</v>
      </c>
      <c r="G1541" s="31">
        <f t="shared" si="24"/>
        <v>0</v>
      </c>
      <c r="H1541" s="39" t="s">
        <v>9</v>
      </c>
      <c r="I1541" s="4"/>
      <c r="J1541" s="4"/>
    </row>
    <row r="1542" spans="1:10" s="3" customFormat="1" x14ac:dyDescent="0.25">
      <c r="A1542" s="20">
        <v>42023</v>
      </c>
      <c r="B1542" s="21">
        <v>9449</v>
      </c>
      <c r="C1542" s="14" t="s">
        <v>82</v>
      </c>
      <c r="D1542" s="22">
        <v>7486</v>
      </c>
      <c r="E1542" s="23">
        <v>42023</v>
      </c>
      <c r="F1542" s="24">
        <v>7486</v>
      </c>
      <c r="G1542" s="31">
        <f t="shared" si="24"/>
        <v>0</v>
      </c>
      <c r="H1542" s="39" t="s">
        <v>59</v>
      </c>
      <c r="I1542" s="4"/>
      <c r="J1542" s="4"/>
    </row>
    <row r="1543" spans="1:10" s="3" customFormat="1" x14ac:dyDescent="0.25">
      <c r="A1543" s="20">
        <v>42023</v>
      </c>
      <c r="B1543" s="21">
        <v>9450</v>
      </c>
      <c r="C1543" s="14" t="s">
        <v>148</v>
      </c>
      <c r="D1543" s="22">
        <v>5202.6000000000004</v>
      </c>
      <c r="E1543" s="23">
        <v>42023</v>
      </c>
      <c r="F1543" s="24">
        <v>5202.6000000000004</v>
      </c>
      <c r="G1543" s="31">
        <f t="shared" si="24"/>
        <v>0</v>
      </c>
      <c r="H1543" s="39" t="s">
        <v>9</v>
      </c>
      <c r="I1543" s="4"/>
      <c r="J1543" s="4"/>
    </row>
    <row r="1544" spans="1:10" s="3" customFormat="1" x14ac:dyDescent="0.25">
      <c r="A1544" s="20">
        <v>42023</v>
      </c>
      <c r="B1544" s="21">
        <v>9451</v>
      </c>
      <c r="C1544" s="26" t="s">
        <v>218</v>
      </c>
      <c r="D1544" s="27">
        <v>0</v>
      </c>
      <c r="E1544" s="23"/>
      <c r="F1544" s="24"/>
      <c r="G1544" s="31">
        <f t="shared" si="24"/>
        <v>0</v>
      </c>
      <c r="H1544" s="39" t="s">
        <v>13</v>
      </c>
      <c r="I1544" s="4"/>
      <c r="J1544" s="4"/>
    </row>
    <row r="1545" spans="1:10" s="3" customFormat="1" x14ac:dyDescent="0.25">
      <c r="A1545" s="20">
        <v>42023</v>
      </c>
      <c r="B1545" s="21">
        <v>9452</v>
      </c>
      <c r="C1545" s="14" t="s">
        <v>81</v>
      </c>
      <c r="D1545" s="22">
        <v>1903.2</v>
      </c>
      <c r="E1545" s="23">
        <v>42023</v>
      </c>
      <c r="F1545" s="24">
        <v>1903.2</v>
      </c>
      <c r="G1545" s="31">
        <f t="shared" si="24"/>
        <v>0</v>
      </c>
      <c r="H1545" s="39" t="s">
        <v>59</v>
      </c>
      <c r="I1545" s="4"/>
      <c r="J1545" s="4"/>
    </row>
    <row r="1546" spans="1:10" s="3" customFormat="1" x14ac:dyDescent="0.25">
      <c r="A1546" s="20">
        <v>42023</v>
      </c>
      <c r="B1546" s="21">
        <v>9453</v>
      </c>
      <c r="C1546" s="14" t="s">
        <v>249</v>
      </c>
      <c r="D1546" s="22">
        <v>3792.6</v>
      </c>
      <c r="E1546" s="23">
        <v>42023</v>
      </c>
      <c r="F1546" s="24">
        <v>3792.6</v>
      </c>
      <c r="G1546" s="31">
        <f t="shared" si="24"/>
        <v>0</v>
      </c>
      <c r="H1546" s="39" t="s">
        <v>62</v>
      </c>
      <c r="I1546" s="4"/>
      <c r="J1546" s="4"/>
    </row>
    <row r="1547" spans="1:10" s="3" customFormat="1" x14ac:dyDescent="0.25">
      <c r="A1547" s="20">
        <v>42023</v>
      </c>
      <c r="B1547" s="21">
        <v>9454</v>
      </c>
      <c r="C1547" s="14" t="s">
        <v>22</v>
      </c>
      <c r="D1547" s="22">
        <v>1171.2</v>
      </c>
      <c r="E1547" s="23">
        <v>42023</v>
      </c>
      <c r="F1547" s="24">
        <v>1171.2</v>
      </c>
      <c r="G1547" s="31">
        <f t="shared" si="24"/>
        <v>0</v>
      </c>
      <c r="H1547" s="39" t="s">
        <v>9</v>
      </c>
      <c r="I1547" s="4"/>
      <c r="J1547" s="4"/>
    </row>
    <row r="1548" spans="1:10" s="3" customFormat="1" x14ac:dyDescent="0.25">
      <c r="A1548" s="20">
        <v>42023</v>
      </c>
      <c r="B1548" s="21">
        <v>9455</v>
      </c>
      <c r="C1548" s="14" t="s">
        <v>167</v>
      </c>
      <c r="D1548" s="22">
        <v>393.6</v>
      </c>
      <c r="E1548" s="23">
        <v>42023</v>
      </c>
      <c r="F1548" s="24">
        <v>393.6</v>
      </c>
      <c r="G1548" s="31">
        <f t="shared" si="24"/>
        <v>0</v>
      </c>
      <c r="H1548" s="39" t="s">
        <v>59</v>
      </c>
      <c r="I1548" s="4"/>
      <c r="J1548" s="4"/>
    </row>
    <row r="1549" spans="1:10" s="3" customFormat="1" x14ac:dyDescent="0.25">
      <c r="A1549" s="20">
        <v>42023</v>
      </c>
      <c r="B1549" s="21">
        <v>9456</v>
      </c>
      <c r="C1549" s="14" t="s">
        <v>238</v>
      </c>
      <c r="D1549" s="22">
        <v>330</v>
      </c>
      <c r="E1549" s="23">
        <v>42023</v>
      </c>
      <c r="F1549" s="24">
        <v>330</v>
      </c>
      <c r="G1549" s="31">
        <f t="shared" si="24"/>
        <v>0</v>
      </c>
      <c r="H1549" s="39" t="s">
        <v>59</v>
      </c>
      <c r="I1549" s="4"/>
      <c r="J1549" s="4"/>
    </row>
    <row r="1550" spans="1:10" s="3" customFormat="1" x14ac:dyDescent="0.25">
      <c r="A1550" s="20">
        <v>42023</v>
      </c>
      <c r="B1550" s="21">
        <v>9457</v>
      </c>
      <c r="C1550" s="14" t="s">
        <v>126</v>
      </c>
      <c r="D1550" s="22">
        <v>1168.4000000000001</v>
      </c>
      <c r="E1550" s="23">
        <v>42023</v>
      </c>
      <c r="F1550" s="24">
        <v>1168.4000000000001</v>
      </c>
      <c r="G1550" s="31">
        <f t="shared" si="24"/>
        <v>0</v>
      </c>
      <c r="H1550" s="39" t="s">
        <v>59</v>
      </c>
      <c r="I1550" s="4"/>
      <c r="J1550" s="28"/>
    </row>
    <row r="1551" spans="1:10" s="3" customFormat="1" x14ac:dyDescent="0.25">
      <c r="A1551" s="20">
        <v>42023</v>
      </c>
      <c r="B1551" s="21">
        <v>9458</v>
      </c>
      <c r="C1551" s="14" t="s">
        <v>23</v>
      </c>
      <c r="D1551" s="22">
        <v>4180.5</v>
      </c>
      <c r="E1551" s="23">
        <v>42023</v>
      </c>
      <c r="F1551" s="24">
        <v>4180.5</v>
      </c>
      <c r="G1551" s="31">
        <f t="shared" si="24"/>
        <v>0</v>
      </c>
      <c r="H1551" s="39" t="s">
        <v>9</v>
      </c>
      <c r="I1551" s="4"/>
      <c r="J1551" s="4"/>
    </row>
    <row r="1552" spans="1:10" s="3" customFormat="1" x14ac:dyDescent="0.25">
      <c r="A1552" s="20">
        <v>42023</v>
      </c>
      <c r="B1552" s="21">
        <v>9459</v>
      </c>
      <c r="C1552" s="14" t="s">
        <v>21</v>
      </c>
      <c r="D1552" s="22">
        <v>3504</v>
      </c>
      <c r="E1552" s="23">
        <v>42023</v>
      </c>
      <c r="F1552" s="24">
        <v>3504</v>
      </c>
      <c r="G1552" s="31">
        <f t="shared" si="24"/>
        <v>0</v>
      </c>
      <c r="H1552" s="39" t="s">
        <v>9</v>
      </c>
      <c r="I1552" s="4"/>
      <c r="J1552" s="4"/>
    </row>
    <row r="1553" spans="1:10" s="3" customFormat="1" x14ac:dyDescent="0.25">
      <c r="A1553" s="20">
        <v>42023</v>
      </c>
      <c r="B1553" s="21">
        <v>9460</v>
      </c>
      <c r="C1553" s="14" t="s">
        <v>24</v>
      </c>
      <c r="D1553" s="22">
        <v>67562.8</v>
      </c>
      <c r="E1553" s="30">
        <v>42051</v>
      </c>
      <c r="F1553" s="96">
        <v>67562.8</v>
      </c>
      <c r="G1553" s="31">
        <f t="shared" si="24"/>
        <v>0</v>
      </c>
      <c r="H1553" s="39" t="s">
        <v>94</v>
      </c>
      <c r="I1553" s="4"/>
      <c r="J1553" s="4"/>
    </row>
    <row r="1554" spans="1:10" s="3" customFormat="1" x14ac:dyDescent="0.25">
      <c r="A1554" s="20">
        <v>42023</v>
      </c>
      <c r="B1554" s="21">
        <v>9461</v>
      </c>
      <c r="C1554" s="14" t="s">
        <v>135</v>
      </c>
      <c r="D1554" s="22">
        <v>5051.2</v>
      </c>
      <c r="E1554" s="23">
        <v>42023</v>
      </c>
      <c r="F1554" s="24">
        <v>5051.2</v>
      </c>
      <c r="G1554" s="31">
        <f t="shared" si="24"/>
        <v>0</v>
      </c>
      <c r="H1554" s="39" t="s">
        <v>9</v>
      </c>
    </row>
    <row r="1555" spans="1:10" s="3" customFormat="1" x14ac:dyDescent="0.25">
      <c r="A1555" s="20">
        <v>42023</v>
      </c>
      <c r="B1555" s="21">
        <v>9462</v>
      </c>
      <c r="C1555" s="14" t="s">
        <v>32</v>
      </c>
      <c r="D1555" s="22">
        <v>107367.12</v>
      </c>
      <c r="E1555" s="23">
        <v>42035</v>
      </c>
      <c r="F1555" s="24">
        <v>107367.12</v>
      </c>
      <c r="G1555" s="31">
        <f t="shared" si="24"/>
        <v>0</v>
      </c>
      <c r="H1555" s="39" t="s">
        <v>149</v>
      </c>
    </row>
    <row r="1556" spans="1:10" s="3" customFormat="1" x14ac:dyDescent="0.25">
      <c r="A1556" s="20">
        <v>42023</v>
      </c>
      <c r="B1556" s="21">
        <v>9463</v>
      </c>
      <c r="C1556" s="14" t="s">
        <v>57</v>
      </c>
      <c r="D1556" s="22">
        <v>1470</v>
      </c>
      <c r="E1556" s="23">
        <v>42023</v>
      </c>
      <c r="F1556" s="24">
        <v>1470</v>
      </c>
      <c r="G1556" s="31">
        <f t="shared" si="24"/>
        <v>0</v>
      </c>
      <c r="H1556" s="39" t="s">
        <v>59</v>
      </c>
    </row>
    <row r="1557" spans="1:10" s="3" customFormat="1" x14ac:dyDescent="0.25">
      <c r="A1557" s="20">
        <v>42023</v>
      </c>
      <c r="B1557" s="21">
        <v>9464</v>
      </c>
      <c r="C1557" s="14" t="s">
        <v>26</v>
      </c>
      <c r="D1557" s="22">
        <v>1728</v>
      </c>
      <c r="E1557" s="23">
        <v>42023</v>
      </c>
      <c r="F1557" s="24">
        <v>1728</v>
      </c>
      <c r="G1557" s="31">
        <f t="shared" si="24"/>
        <v>0</v>
      </c>
      <c r="H1557" s="39" t="s">
        <v>27</v>
      </c>
    </row>
    <row r="1558" spans="1:10" s="3" customFormat="1" x14ac:dyDescent="0.25">
      <c r="A1558" s="20">
        <v>42023</v>
      </c>
      <c r="B1558" s="21">
        <v>9465</v>
      </c>
      <c r="C1558" s="14" t="s">
        <v>53</v>
      </c>
      <c r="D1558" s="22">
        <v>1050</v>
      </c>
      <c r="E1558" s="23">
        <v>42023</v>
      </c>
      <c r="F1558" s="24">
        <v>1050</v>
      </c>
      <c r="G1558" s="31">
        <f t="shared" si="24"/>
        <v>0</v>
      </c>
      <c r="H1558" s="39" t="s">
        <v>59</v>
      </c>
    </row>
    <row r="1559" spans="1:10" s="3" customFormat="1" x14ac:dyDescent="0.25">
      <c r="A1559" s="20">
        <v>42023</v>
      </c>
      <c r="B1559" s="21">
        <v>9466</v>
      </c>
      <c r="C1559" s="14" t="s">
        <v>58</v>
      </c>
      <c r="D1559" s="22">
        <v>420</v>
      </c>
      <c r="E1559" s="23">
        <v>42023</v>
      </c>
      <c r="F1559" s="24">
        <v>420</v>
      </c>
      <c r="G1559" s="31">
        <f t="shared" si="24"/>
        <v>0</v>
      </c>
      <c r="H1559" s="39" t="s">
        <v>59</v>
      </c>
    </row>
    <row r="1560" spans="1:10" s="3" customFormat="1" x14ac:dyDescent="0.25">
      <c r="A1560" s="20">
        <v>42023</v>
      </c>
      <c r="B1560" s="21">
        <v>9467</v>
      </c>
      <c r="C1560" s="14" t="s">
        <v>214</v>
      </c>
      <c r="D1560" s="22">
        <v>600</v>
      </c>
      <c r="E1560" s="23">
        <v>42023</v>
      </c>
      <c r="F1560" s="24">
        <v>600</v>
      </c>
      <c r="G1560" s="31">
        <f t="shared" si="24"/>
        <v>0</v>
      </c>
      <c r="H1560" s="39" t="s">
        <v>59</v>
      </c>
    </row>
    <row r="1561" spans="1:10" s="3" customFormat="1" x14ac:dyDescent="0.25">
      <c r="A1561" s="20">
        <v>42023</v>
      </c>
      <c r="B1561" s="21">
        <v>9468</v>
      </c>
      <c r="C1561" s="14" t="s">
        <v>118</v>
      </c>
      <c r="D1561" s="22">
        <v>10360.4</v>
      </c>
      <c r="E1561" s="23">
        <v>42025</v>
      </c>
      <c r="F1561" s="24">
        <v>10360.4</v>
      </c>
      <c r="G1561" s="31">
        <f t="shared" si="24"/>
        <v>0</v>
      </c>
      <c r="H1561" s="39" t="s">
        <v>59</v>
      </c>
    </row>
    <row r="1562" spans="1:10" s="3" customFormat="1" x14ac:dyDescent="0.25">
      <c r="A1562" s="20">
        <v>42023</v>
      </c>
      <c r="B1562" s="21">
        <v>9469</v>
      </c>
      <c r="C1562" s="14" t="s">
        <v>168</v>
      </c>
      <c r="D1562" s="22">
        <v>10339.6</v>
      </c>
      <c r="E1562" s="23">
        <v>42023</v>
      </c>
      <c r="F1562" s="24">
        <v>10339.6</v>
      </c>
      <c r="G1562" s="31">
        <f t="shared" si="24"/>
        <v>0</v>
      </c>
      <c r="H1562" s="39" t="s">
        <v>59</v>
      </c>
    </row>
    <row r="1563" spans="1:10" s="3" customFormat="1" x14ac:dyDescent="0.25">
      <c r="A1563" s="20">
        <v>42023</v>
      </c>
      <c r="B1563" s="21">
        <v>9470</v>
      </c>
      <c r="C1563" s="14" t="s">
        <v>294</v>
      </c>
      <c r="D1563" s="22">
        <v>2805.9</v>
      </c>
      <c r="E1563" s="23">
        <v>42023</v>
      </c>
      <c r="F1563" s="24">
        <v>2805.9</v>
      </c>
      <c r="G1563" s="31">
        <f t="shared" si="24"/>
        <v>0</v>
      </c>
      <c r="H1563" s="39" t="s">
        <v>9</v>
      </c>
    </row>
    <row r="1564" spans="1:10" s="3" customFormat="1" x14ac:dyDescent="0.25">
      <c r="A1564" s="20">
        <v>42023</v>
      </c>
      <c r="B1564" s="21">
        <v>9471</v>
      </c>
      <c r="C1564" s="14" t="s">
        <v>239</v>
      </c>
      <c r="D1564" s="22">
        <v>1273.9000000000001</v>
      </c>
      <c r="E1564" s="23">
        <v>42023</v>
      </c>
      <c r="F1564" s="24">
        <v>1273.9000000000001</v>
      </c>
      <c r="G1564" s="31">
        <f t="shared" si="24"/>
        <v>0</v>
      </c>
      <c r="H1564" s="39" t="s">
        <v>9</v>
      </c>
    </row>
    <row r="1565" spans="1:10" s="3" customFormat="1" x14ac:dyDescent="0.25">
      <c r="A1565" s="20">
        <v>42023</v>
      </c>
      <c r="B1565" s="21">
        <v>9472</v>
      </c>
      <c r="C1565" s="14" t="s">
        <v>66</v>
      </c>
      <c r="D1565" s="22">
        <v>1217.8</v>
      </c>
      <c r="E1565" s="23">
        <v>42023</v>
      </c>
      <c r="F1565" s="24">
        <v>1217.8</v>
      </c>
      <c r="G1565" s="31">
        <f t="shared" si="24"/>
        <v>0</v>
      </c>
      <c r="H1565" s="39" t="s">
        <v>9</v>
      </c>
    </row>
    <row r="1566" spans="1:10" s="3" customFormat="1" x14ac:dyDescent="0.25">
      <c r="A1566" s="20">
        <v>42023</v>
      </c>
      <c r="B1566" s="21">
        <v>9473</v>
      </c>
      <c r="C1566" s="14" t="s">
        <v>45</v>
      </c>
      <c r="D1566" s="22">
        <v>24697.1</v>
      </c>
      <c r="E1566" s="23">
        <v>42035</v>
      </c>
      <c r="F1566" s="24">
        <v>24697.1</v>
      </c>
      <c r="G1566" s="31">
        <f t="shared" si="24"/>
        <v>0</v>
      </c>
      <c r="H1566" s="39" t="s">
        <v>9</v>
      </c>
    </row>
    <row r="1567" spans="1:10" s="3" customFormat="1" x14ac:dyDescent="0.25">
      <c r="A1567" s="20">
        <v>42023</v>
      </c>
      <c r="B1567" s="21">
        <v>9474</v>
      </c>
      <c r="C1567" s="14" t="s">
        <v>32</v>
      </c>
      <c r="D1567" s="22">
        <v>12172.8</v>
      </c>
      <c r="E1567" s="23">
        <v>42035</v>
      </c>
      <c r="F1567" s="24">
        <v>12172.8</v>
      </c>
      <c r="G1567" s="31">
        <f t="shared" si="24"/>
        <v>0</v>
      </c>
      <c r="H1567" s="39" t="s">
        <v>9</v>
      </c>
    </row>
    <row r="1568" spans="1:10" s="3" customFormat="1" x14ac:dyDescent="0.25">
      <c r="A1568" s="20">
        <v>42023</v>
      </c>
      <c r="B1568" s="21">
        <v>9475</v>
      </c>
      <c r="C1568" s="14" t="s">
        <v>151</v>
      </c>
      <c r="D1568" s="22">
        <v>1339.2</v>
      </c>
      <c r="E1568" s="23">
        <v>42023</v>
      </c>
      <c r="F1568" s="24">
        <v>1339.2</v>
      </c>
      <c r="G1568" s="31">
        <f t="shared" si="24"/>
        <v>0</v>
      </c>
      <c r="H1568" s="39" t="s">
        <v>9</v>
      </c>
    </row>
    <row r="1569" spans="1:10" s="3" customFormat="1" x14ac:dyDescent="0.25">
      <c r="A1569" s="20">
        <v>42023</v>
      </c>
      <c r="B1569" s="21">
        <v>9476</v>
      </c>
      <c r="C1569" s="14" t="s">
        <v>185</v>
      </c>
      <c r="D1569" s="22">
        <v>61259.199999999997</v>
      </c>
      <c r="E1569" s="23">
        <v>42023</v>
      </c>
      <c r="F1569" s="24">
        <v>61259.199999999997</v>
      </c>
      <c r="G1569" s="31">
        <f t="shared" si="24"/>
        <v>0</v>
      </c>
      <c r="H1569" s="39" t="s">
        <v>46</v>
      </c>
    </row>
    <row r="1570" spans="1:10" s="3" customFormat="1" x14ac:dyDescent="0.25">
      <c r="A1570" s="20">
        <v>42023</v>
      </c>
      <c r="B1570" s="21">
        <v>9477</v>
      </c>
      <c r="C1570" s="14" t="s">
        <v>34</v>
      </c>
      <c r="D1570" s="22">
        <v>2544</v>
      </c>
      <c r="E1570" s="23">
        <v>42023</v>
      </c>
      <c r="F1570" s="24">
        <v>2544</v>
      </c>
      <c r="G1570" s="31">
        <f t="shared" si="24"/>
        <v>0</v>
      </c>
      <c r="H1570" s="39" t="s">
        <v>9</v>
      </c>
      <c r="I1570" s="4"/>
      <c r="J1570" s="4"/>
    </row>
    <row r="1571" spans="1:10" s="3" customFormat="1" x14ac:dyDescent="0.25">
      <c r="A1571" s="20">
        <v>42023</v>
      </c>
      <c r="B1571" s="21">
        <v>9478</v>
      </c>
      <c r="C1571" s="14" t="s">
        <v>112</v>
      </c>
      <c r="D1571" s="22">
        <v>1026</v>
      </c>
      <c r="E1571" s="23">
        <v>42023</v>
      </c>
      <c r="F1571" s="24">
        <v>1026</v>
      </c>
      <c r="G1571" s="31">
        <f t="shared" si="24"/>
        <v>0</v>
      </c>
      <c r="H1571" s="39" t="s">
        <v>9</v>
      </c>
      <c r="I1571" s="4"/>
      <c r="J1571" s="4"/>
    </row>
    <row r="1572" spans="1:10" s="3" customFormat="1" x14ac:dyDescent="0.25">
      <c r="A1572" s="20">
        <v>42023</v>
      </c>
      <c r="B1572" s="21">
        <v>9479</v>
      </c>
      <c r="C1572" s="14" t="s">
        <v>43</v>
      </c>
      <c r="D1572" s="22">
        <v>3177.2</v>
      </c>
      <c r="E1572" s="23">
        <v>42023</v>
      </c>
      <c r="F1572" s="24">
        <v>3177.2</v>
      </c>
      <c r="G1572" s="31">
        <f t="shared" si="24"/>
        <v>0</v>
      </c>
      <c r="H1572" s="39" t="s">
        <v>9</v>
      </c>
      <c r="I1572" s="4"/>
      <c r="J1572" s="4"/>
    </row>
    <row r="1573" spans="1:10" s="3" customFormat="1" x14ac:dyDescent="0.25">
      <c r="A1573" s="20">
        <v>42023</v>
      </c>
      <c r="B1573" s="21">
        <v>9480</v>
      </c>
      <c r="C1573" s="14" t="s">
        <v>125</v>
      </c>
      <c r="D1573" s="22">
        <v>12062</v>
      </c>
      <c r="E1573" s="29" t="s">
        <v>382</v>
      </c>
      <c r="F1573" s="24">
        <f>10000+2062</f>
        <v>12062</v>
      </c>
      <c r="G1573" s="31">
        <f t="shared" si="24"/>
        <v>0</v>
      </c>
      <c r="H1573" s="39" t="s">
        <v>9</v>
      </c>
      <c r="I1573" s="4"/>
      <c r="J1573" s="4"/>
    </row>
    <row r="1574" spans="1:10" s="3" customFormat="1" x14ac:dyDescent="0.25">
      <c r="A1574" s="20">
        <v>42023</v>
      </c>
      <c r="B1574" s="21">
        <v>9481</v>
      </c>
      <c r="C1574" s="14" t="s">
        <v>123</v>
      </c>
      <c r="D1574" s="22">
        <v>1980</v>
      </c>
      <c r="E1574" s="23">
        <v>42023</v>
      </c>
      <c r="F1574" s="24">
        <v>1980</v>
      </c>
      <c r="G1574" s="31">
        <f t="shared" si="24"/>
        <v>0</v>
      </c>
      <c r="H1574" s="39" t="s">
        <v>94</v>
      </c>
      <c r="I1574" s="4"/>
      <c r="J1574" s="4"/>
    </row>
    <row r="1575" spans="1:10" s="3" customFormat="1" x14ac:dyDescent="0.25">
      <c r="A1575" s="20">
        <v>42023</v>
      </c>
      <c r="B1575" s="21">
        <v>9482</v>
      </c>
      <c r="C1575" s="14" t="s">
        <v>35</v>
      </c>
      <c r="D1575" s="22">
        <v>29574.400000000001</v>
      </c>
      <c r="E1575" s="23">
        <v>42023</v>
      </c>
      <c r="F1575" s="24">
        <v>29574.400000000001</v>
      </c>
      <c r="G1575" s="31">
        <f t="shared" si="24"/>
        <v>0</v>
      </c>
      <c r="H1575" s="39" t="s">
        <v>94</v>
      </c>
      <c r="I1575" s="4"/>
      <c r="J1575" s="4"/>
    </row>
    <row r="1576" spans="1:10" s="3" customFormat="1" x14ac:dyDescent="0.25">
      <c r="A1576" s="20">
        <v>42023</v>
      </c>
      <c r="B1576" s="21">
        <v>9483</v>
      </c>
      <c r="C1576" s="14" t="s">
        <v>60</v>
      </c>
      <c r="D1576" s="22">
        <v>11946.2</v>
      </c>
      <c r="E1576" s="23">
        <v>42023</v>
      </c>
      <c r="F1576" s="24">
        <v>11946.2</v>
      </c>
      <c r="G1576" s="31">
        <f t="shared" si="24"/>
        <v>0</v>
      </c>
      <c r="H1576" s="39" t="s">
        <v>94</v>
      </c>
      <c r="I1576" s="4"/>
      <c r="J1576" s="4"/>
    </row>
    <row r="1577" spans="1:10" s="3" customFormat="1" x14ac:dyDescent="0.25">
      <c r="A1577" s="20">
        <v>42023</v>
      </c>
      <c r="B1577" s="21">
        <v>9484</v>
      </c>
      <c r="C1577" s="14" t="s">
        <v>249</v>
      </c>
      <c r="D1577" s="22">
        <v>2100</v>
      </c>
      <c r="E1577" s="23">
        <v>42023</v>
      </c>
      <c r="F1577" s="24">
        <v>2100</v>
      </c>
      <c r="G1577" s="31">
        <f t="shared" si="24"/>
        <v>0</v>
      </c>
      <c r="H1577" s="39" t="s">
        <v>62</v>
      </c>
      <c r="I1577" s="4"/>
      <c r="J1577" s="4"/>
    </row>
    <row r="1578" spans="1:10" s="3" customFormat="1" x14ac:dyDescent="0.25">
      <c r="A1578" s="20">
        <v>42023</v>
      </c>
      <c r="B1578" s="21">
        <v>9485</v>
      </c>
      <c r="C1578" s="14" t="s">
        <v>24</v>
      </c>
      <c r="D1578" s="22">
        <v>34286.25</v>
      </c>
      <c r="E1578" s="23">
        <v>42027</v>
      </c>
      <c r="F1578" s="24">
        <v>34286.25</v>
      </c>
      <c r="G1578" s="31">
        <f t="shared" si="24"/>
        <v>0</v>
      </c>
      <c r="H1578" s="39" t="s">
        <v>9</v>
      </c>
      <c r="I1578" s="4"/>
      <c r="J1578" s="4"/>
    </row>
    <row r="1579" spans="1:10" s="3" customFormat="1" x14ac:dyDescent="0.25">
      <c r="A1579" s="20">
        <v>42023</v>
      </c>
      <c r="B1579" s="21">
        <v>9486</v>
      </c>
      <c r="C1579" s="14" t="s">
        <v>89</v>
      </c>
      <c r="D1579" s="22">
        <v>4448.3999999999996</v>
      </c>
      <c r="E1579" s="23">
        <v>42023</v>
      </c>
      <c r="F1579" s="24">
        <v>4448.3999999999996</v>
      </c>
      <c r="G1579" s="31">
        <f t="shared" si="24"/>
        <v>0</v>
      </c>
      <c r="H1579" s="39" t="s">
        <v>9</v>
      </c>
      <c r="I1579" s="4"/>
      <c r="J1579" s="4"/>
    </row>
    <row r="1580" spans="1:10" s="3" customFormat="1" x14ac:dyDescent="0.25">
      <c r="A1580" s="20">
        <v>42023</v>
      </c>
      <c r="B1580" s="21">
        <v>9487</v>
      </c>
      <c r="C1580" s="14" t="s">
        <v>270</v>
      </c>
      <c r="D1580" s="22">
        <v>1072.4000000000001</v>
      </c>
      <c r="E1580" s="23">
        <v>42023</v>
      </c>
      <c r="F1580" s="24">
        <v>1072.4000000000001</v>
      </c>
      <c r="G1580" s="31">
        <f t="shared" si="24"/>
        <v>0</v>
      </c>
      <c r="H1580" s="39" t="s">
        <v>9</v>
      </c>
      <c r="I1580" s="4"/>
      <c r="J1580" s="4"/>
    </row>
    <row r="1581" spans="1:10" s="3" customFormat="1" x14ac:dyDescent="0.25">
      <c r="A1581" s="20">
        <v>42023</v>
      </c>
      <c r="B1581" s="21">
        <v>9488</v>
      </c>
      <c r="C1581" s="14" t="s">
        <v>228</v>
      </c>
      <c r="D1581" s="22">
        <v>3011.8</v>
      </c>
      <c r="E1581" s="23">
        <v>42023</v>
      </c>
      <c r="F1581" s="24">
        <v>3011.8</v>
      </c>
      <c r="G1581" s="31">
        <f t="shared" si="24"/>
        <v>0</v>
      </c>
      <c r="H1581" s="39" t="s">
        <v>9</v>
      </c>
      <c r="I1581" s="4"/>
      <c r="J1581" s="4"/>
    </row>
    <row r="1582" spans="1:10" s="3" customFormat="1" x14ac:dyDescent="0.25">
      <c r="A1582" s="20">
        <v>42023</v>
      </c>
      <c r="B1582" s="21">
        <v>9489</v>
      </c>
      <c r="C1582" s="14" t="s">
        <v>270</v>
      </c>
      <c r="D1582" s="22">
        <v>151.19999999999999</v>
      </c>
      <c r="E1582" s="23">
        <v>42023</v>
      </c>
      <c r="F1582" s="24">
        <v>151.19999999999999</v>
      </c>
      <c r="G1582" s="31">
        <f t="shared" si="24"/>
        <v>0</v>
      </c>
      <c r="H1582" s="39" t="s">
        <v>9</v>
      </c>
      <c r="I1582" s="4"/>
      <c r="J1582" s="4"/>
    </row>
    <row r="1583" spans="1:10" s="3" customFormat="1" x14ac:dyDescent="0.25">
      <c r="A1583" s="20">
        <v>42023</v>
      </c>
      <c r="B1583" s="21">
        <v>9490</v>
      </c>
      <c r="C1583" s="14" t="s">
        <v>100</v>
      </c>
      <c r="D1583" s="22">
        <v>1224.5999999999999</v>
      </c>
      <c r="E1583" s="23">
        <v>42023</v>
      </c>
      <c r="F1583" s="24">
        <v>1224.5999999999999</v>
      </c>
      <c r="G1583" s="31">
        <f t="shared" si="24"/>
        <v>0</v>
      </c>
      <c r="H1583" s="39" t="s">
        <v>9</v>
      </c>
      <c r="I1583" s="4"/>
      <c r="J1583" s="4"/>
    </row>
    <row r="1584" spans="1:10" s="3" customFormat="1" x14ac:dyDescent="0.25">
      <c r="A1584" s="20">
        <v>42023</v>
      </c>
      <c r="B1584" s="21">
        <v>9491</v>
      </c>
      <c r="C1584" s="14" t="s">
        <v>383</v>
      </c>
      <c r="D1584" s="22">
        <v>414</v>
      </c>
      <c r="E1584" s="23">
        <v>42023</v>
      </c>
      <c r="F1584" s="24">
        <v>414</v>
      </c>
      <c r="G1584" s="31">
        <f t="shared" si="24"/>
        <v>0</v>
      </c>
      <c r="H1584" s="39" t="s">
        <v>9</v>
      </c>
      <c r="I1584" s="4"/>
      <c r="J1584" s="28"/>
    </row>
    <row r="1585" spans="1:10" s="3" customFormat="1" x14ac:dyDescent="0.25">
      <c r="A1585" s="20">
        <v>42023</v>
      </c>
      <c r="B1585" s="21">
        <v>9492</v>
      </c>
      <c r="C1585" s="14" t="s">
        <v>130</v>
      </c>
      <c r="D1585" s="22">
        <v>7834.68</v>
      </c>
      <c r="E1585" s="23">
        <v>42023</v>
      </c>
      <c r="F1585" s="24">
        <v>7834.68</v>
      </c>
      <c r="G1585" s="31">
        <f t="shared" si="24"/>
        <v>0</v>
      </c>
      <c r="H1585" s="39" t="s">
        <v>17</v>
      </c>
      <c r="I1585" s="4"/>
      <c r="J1585" s="4"/>
    </row>
    <row r="1586" spans="1:10" s="3" customFormat="1" x14ac:dyDescent="0.25">
      <c r="A1586" s="20">
        <v>42023</v>
      </c>
      <c r="B1586" s="21">
        <v>9493</v>
      </c>
      <c r="C1586" s="14" t="s">
        <v>131</v>
      </c>
      <c r="D1586" s="22">
        <v>8047.4</v>
      </c>
      <c r="E1586" s="23">
        <v>42023</v>
      </c>
      <c r="F1586" s="24">
        <v>8047.4</v>
      </c>
      <c r="G1586" s="31">
        <f t="shared" si="24"/>
        <v>0</v>
      </c>
      <c r="H1586" s="39" t="s">
        <v>17</v>
      </c>
    </row>
    <row r="1587" spans="1:10" s="3" customFormat="1" x14ac:dyDescent="0.25">
      <c r="A1587" s="20">
        <v>42023</v>
      </c>
      <c r="B1587" s="21">
        <v>9494</v>
      </c>
      <c r="C1587" s="14" t="s">
        <v>299</v>
      </c>
      <c r="D1587" s="22">
        <v>2964</v>
      </c>
      <c r="E1587" s="23">
        <v>42023</v>
      </c>
      <c r="F1587" s="24">
        <v>2964</v>
      </c>
      <c r="G1587" s="31">
        <f t="shared" si="24"/>
        <v>0</v>
      </c>
      <c r="H1587" s="39" t="s">
        <v>17</v>
      </c>
    </row>
    <row r="1588" spans="1:10" s="3" customFormat="1" x14ac:dyDescent="0.25">
      <c r="A1588" s="20">
        <v>42023</v>
      </c>
      <c r="B1588" s="21">
        <v>9495</v>
      </c>
      <c r="C1588" s="14" t="s">
        <v>320</v>
      </c>
      <c r="D1588" s="22">
        <v>1565.5</v>
      </c>
      <c r="E1588" s="23">
        <v>42023</v>
      </c>
      <c r="F1588" s="24">
        <v>1565.5</v>
      </c>
      <c r="G1588" s="31">
        <f t="shared" si="24"/>
        <v>0</v>
      </c>
      <c r="H1588" s="39" t="s">
        <v>17</v>
      </c>
    </row>
    <row r="1589" spans="1:10" s="3" customFormat="1" x14ac:dyDescent="0.25">
      <c r="A1589" s="20">
        <v>42023</v>
      </c>
      <c r="B1589" s="21">
        <v>9496</v>
      </c>
      <c r="C1589" s="14" t="s">
        <v>192</v>
      </c>
      <c r="D1589" s="22">
        <v>6120</v>
      </c>
      <c r="E1589" s="30">
        <v>42041</v>
      </c>
      <c r="F1589" s="96">
        <v>6120</v>
      </c>
      <c r="G1589" s="31">
        <f t="shared" si="24"/>
        <v>0</v>
      </c>
      <c r="H1589" s="39" t="s">
        <v>17</v>
      </c>
    </row>
    <row r="1590" spans="1:10" s="3" customFormat="1" x14ac:dyDescent="0.25">
      <c r="A1590" s="20">
        <v>42023</v>
      </c>
      <c r="B1590" s="21">
        <v>9497</v>
      </c>
      <c r="C1590" s="14" t="s">
        <v>75</v>
      </c>
      <c r="D1590" s="22">
        <v>14706</v>
      </c>
      <c r="E1590" s="29" t="s">
        <v>384</v>
      </c>
      <c r="F1590" s="24">
        <f>10706+4000</f>
        <v>14706</v>
      </c>
      <c r="G1590" s="31">
        <f t="shared" si="24"/>
        <v>0</v>
      </c>
      <c r="H1590" s="39" t="s">
        <v>62</v>
      </c>
    </row>
    <row r="1591" spans="1:10" s="3" customFormat="1" x14ac:dyDescent="0.25">
      <c r="A1591" s="20">
        <v>42023</v>
      </c>
      <c r="B1591" s="21">
        <v>9498</v>
      </c>
      <c r="C1591" s="14" t="s">
        <v>61</v>
      </c>
      <c r="D1591" s="22">
        <v>25392.799999999999</v>
      </c>
      <c r="E1591" s="23">
        <v>42025</v>
      </c>
      <c r="F1591" s="24">
        <v>25392.799999999999</v>
      </c>
      <c r="G1591" s="31">
        <f t="shared" si="24"/>
        <v>0</v>
      </c>
      <c r="H1591" s="39" t="s">
        <v>62</v>
      </c>
    </row>
    <row r="1592" spans="1:10" s="3" customFormat="1" x14ac:dyDescent="0.25">
      <c r="A1592" s="20">
        <v>42023</v>
      </c>
      <c r="B1592" s="21">
        <v>9499</v>
      </c>
      <c r="C1592" s="14" t="s">
        <v>67</v>
      </c>
      <c r="D1592" s="22">
        <v>4986.3999999999996</v>
      </c>
      <c r="E1592" s="23">
        <v>42024</v>
      </c>
      <c r="F1592" s="24">
        <v>4986.3999999999996</v>
      </c>
      <c r="G1592" s="31">
        <f t="shared" si="24"/>
        <v>0</v>
      </c>
      <c r="H1592" s="39" t="s">
        <v>62</v>
      </c>
    </row>
    <row r="1593" spans="1:10" s="3" customFormat="1" x14ac:dyDescent="0.25">
      <c r="A1593" s="20">
        <v>42023</v>
      </c>
      <c r="B1593" s="21">
        <v>9500</v>
      </c>
      <c r="C1593" s="14" t="s">
        <v>84</v>
      </c>
      <c r="D1593" s="22">
        <v>70309.100000000006</v>
      </c>
      <c r="E1593" s="30" t="s">
        <v>385</v>
      </c>
      <c r="F1593" s="24">
        <v>70309.100000000006</v>
      </c>
      <c r="G1593" s="31">
        <f t="shared" si="24"/>
        <v>0</v>
      </c>
      <c r="H1593" s="39" t="s">
        <v>62</v>
      </c>
    </row>
    <row r="1594" spans="1:10" s="3" customFormat="1" x14ac:dyDescent="0.25">
      <c r="A1594" s="20">
        <v>42023</v>
      </c>
      <c r="B1594" s="21">
        <v>9501</v>
      </c>
      <c r="C1594" s="14" t="s">
        <v>72</v>
      </c>
      <c r="D1594" s="22">
        <v>7792.4</v>
      </c>
      <c r="E1594" s="30" t="s">
        <v>386</v>
      </c>
      <c r="F1594" s="24">
        <v>7792.4</v>
      </c>
      <c r="G1594" s="31">
        <f t="shared" si="24"/>
        <v>0</v>
      </c>
      <c r="H1594" s="39" t="s">
        <v>62</v>
      </c>
    </row>
    <row r="1595" spans="1:10" s="3" customFormat="1" x14ac:dyDescent="0.25">
      <c r="A1595" s="20">
        <v>42023</v>
      </c>
      <c r="B1595" s="21">
        <v>9502</v>
      </c>
      <c r="C1595" s="14" t="s">
        <v>176</v>
      </c>
      <c r="D1595" s="22">
        <v>3228.4</v>
      </c>
      <c r="E1595" s="30" t="s">
        <v>498</v>
      </c>
      <c r="F1595" s="96">
        <v>3228.4</v>
      </c>
      <c r="G1595" s="31">
        <f t="shared" si="24"/>
        <v>0</v>
      </c>
      <c r="H1595" s="39" t="s">
        <v>62</v>
      </c>
    </row>
    <row r="1596" spans="1:10" s="3" customFormat="1" x14ac:dyDescent="0.25">
      <c r="A1596" s="20">
        <v>42023</v>
      </c>
      <c r="B1596" s="21">
        <v>9503</v>
      </c>
      <c r="C1596" s="14" t="s">
        <v>173</v>
      </c>
      <c r="D1596" s="22">
        <v>44734.7</v>
      </c>
      <c r="E1596" s="30" t="s">
        <v>387</v>
      </c>
      <c r="F1596" s="24">
        <v>44734.7</v>
      </c>
      <c r="G1596" s="31">
        <f t="shared" si="24"/>
        <v>0</v>
      </c>
      <c r="H1596" s="39" t="s">
        <v>62</v>
      </c>
    </row>
    <row r="1597" spans="1:10" s="3" customFormat="1" x14ac:dyDescent="0.25">
      <c r="A1597" s="20">
        <v>42023</v>
      </c>
      <c r="B1597" s="21">
        <v>9504</v>
      </c>
      <c r="C1597" s="14" t="s">
        <v>78</v>
      </c>
      <c r="D1597" s="22">
        <v>10654.4</v>
      </c>
      <c r="E1597" s="23">
        <v>42024</v>
      </c>
      <c r="F1597" s="24">
        <v>10654.4</v>
      </c>
      <c r="G1597" s="31">
        <f t="shared" si="24"/>
        <v>0</v>
      </c>
      <c r="H1597" s="39" t="s">
        <v>62</v>
      </c>
    </row>
    <row r="1598" spans="1:10" s="3" customFormat="1" x14ac:dyDescent="0.25">
      <c r="A1598" s="20">
        <v>42023</v>
      </c>
      <c r="B1598" s="21">
        <v>9505</v>
      </c>
      <c r="C1598" s="14" t="s">
        <v>172</v>
      </c>
      <c r="D1598" s="22">
        <v>10621.6</v>
      </c>
      <c r="E1598" s="23">
        <v>42024</v>
      </c>
      <c r="F1598" s="24">
        <v>10621.6</v>
      </c>
      <c r="G1598" s="31">
        <f t="shared" si="24"/>
        <v>0</v>
      </c>
      <c r="H1598" s="39" t="s">
        <v>62</v>
      </c>
    </row>
    <row r="1599" spans="1:10" s="3" customFormat="1" x14ac:dyDescent="0.25">
      <c r="A1599" s="20">
        <v>42023</v>
      </c>
      <c r="B1599" s="21">
        <v>9506</v>
      </c>
      <c r="C1599" s="14" t="s">
        <v>108</v>
      </c>
      <c r="D1599" s="22">
        <v>42626.8</v>
      </c>
      <c r="E1599" s="23">
        <v>42023</v>
      </c>
      <c r="F1599" s="24">
        <f>3670.8+38956</f>
        <v>42626.8</v>
      </c>
      <c r="G1599" s="31">
        <f t="shared" si="24"/>
        <v>0</v>
      </c>
      <c r="H1599" s="39" t="s">
        <v>19</v>
      </c>
    </row>
    <row r="1600" spans="1:10" s="3" customFormat="1" x14ac:dyDescent="0.25">
      <c r="A1600" s="20">
        <v>42023</v>
      </c>
      <c r="B1600" s="21">
        <v>9507</v>
      </c>
      <c r="C1600" s="14" t="s">
        <v>172</v>
      </c>
      <c r="D1600" s="22">
        <v>3753.6</v>
      </c>
      <c r="E1600" s="23">
        <v>42024</v>
      </c>
      <c r="F1600" s="24">
        <v>3753.6</v>
      </c>
      <c r="G1600" s="31">
        <f t="shared" si="24"/>
        <v>0</v>
      </c>
      <c r="H1600" s="39" t="s">
        <v>62</v>
      </c>
    </row>
    <row r="1601" spans="1:10" s="3" customFormat="1" x14ac:dyDescent="0.25">
      <c r="A1601" s="20">
        <v>42023</v>
      </c>
      <c r="B1601" s="21">
        <v>9508</v>
      </c>
      <c r="C1601" s="14" t="s">
        <v>243</v>
      </c>
      <c r="D1601" s="22">
        <v>1362</v>
      </c>
      <c r="E1601" s="23">
        <v>42024</v>
      </c>
      <c r="F1601" s="24">
        <v>1362</v>
      </c>
      <c r="G1601" s="31">
        <f t="shared" si="24"/>
        <v>0</v>
      </c>
      <c r="H1601" s="39" t="s">
        <v>62</v>
      </c>
    </row>
    <row r="1602" spans="1:10" s="3" customFormat="1" x14ac:dyDescent="0.25">
      <c r="A1602" s="20">
        <v>42023</v>
      </c>
      <c r="B1602" s="21">
        <v>9509</v>
      </c>
      <c r="C1602" s="14" t="s">
        <v>218</v>
      </c>
      <c r="D1602" s="22">
        <v>0</v>
      </c>
      <c r="E1602" s="23"/>
      <c r="F1602" s="24"/>
      <c r="G1602" s="31">
        <f t="shared" si="24"/>
        <v>0</v>
      </c>
      <c r="H1602" s="39" t="s">
        <v>13</v>
      </c>
      <c r="I1602" s="4"/>
      <c r="J1602" s="4"/>
    </row>
    <row r="1603" spans="1:10" s="3" customFormat="1" x14ac:dyDescent="0.25">
      <c r="A1603" s="20">
        <v>42023</v>
      </c>
      <c r="B1603" s="21">
        <v>9510</v>
      </c>
      <c r="C1603" s="14" t="s">
        <v>137</v>
      </c>
      <c r="D1603" s="22">
        <v>3681.5</v>
      </c>
      <c r="E1603" s="23">
        <v>42023</v>
      </c>
      <c r="F1603" s="24">
        <v>3681.5</v>
      </c>
      <c r="G1603" s="31">
        <f t="shared" ref="G1603:G1666" si="25">D1603-F1603</f>
        <v>0</v>
      </c>
      <c r="H1603" s="39" t="s">
        <v>9</v>
      </c>
      <c r="I1603" s="4"/>
      <c r="J1603" s="4"/>
    </row>
    <row r="1604" spans="1:10" s="3" customFormat="1" x14ac:dyDescent="0.25">
      <c r="A1604" s="20">
        <v>42023</v>
      </c>
      <c r="B1604" s="21">
        <v>9511</v>
      </c>
      <c r="C1604" s="14" t="s">
        <v>388</v>
      </c>
      <c r="D1604" s="22">
        <v>330</v>
      </c>
      <c r="E1604" s="23">
        <v>42023</v>
      </c>
      <c r="F1604" s="24">
        <v>330</v>
      </c>
      <c r="G1604" s="31">
        <f t="shared" si="25"/>
        <v>0</v>
      </c>
      <c r="H1604" s="39" t="s">
        <v>9</v>
      </c>
      <c r="I1604" s="4"/>
      <c r="J1604" s="4"/>
    </row>
    <row r="1605" spans="1:10" s="3" customFormat="1" x14ac:dyDescent="0.25">
      <c r="A1605" s="20">
        <v>42023</v>
      </c>
      <c r="B1605" s="21">
        <v>9512</v>
      </c>
      <c r="C1605" s="14" t="s">
        <v>77</v>
      </c>
      <c r="D1605" s="22">
        <v>4214</v>
      </c>
      <c r="E1605" s="23">
        <v>42024</v>
      </c>
      <c r="F1605" s="24">
        <v>4214</v>
      </c>
      <c r="G1605" s="31">
        <f t="shared" si="25"/>
        <v>0</v>
      </c>
      <c r="H1605" s="39" t="s">
        <v>62</v>
      </c>
      <c r="I1605" s="4"/>
      <c r="J1605" s="4"/>
    </row>
    <row r="1606" spans="1:10" s="3" customFormat="1" x14ac:dyDescent="0.25">
      <c r="A1606" s="20">
        <v>42023</v>
      </c>
      <c r="B1606" s="21">
        <v>9513</v>
      </c>
      <c r="C1606" s="14" t="s">
        <v>180</v>
      </c>
      <c r="D1606" s="22">
        <v>6934.5</v>
      </c>
      <c r="E1606" s="23">
        <v>42023</v>
      </c>
      <c r="F1606" s="24">
        <v>6934.5</v>
      </c>
      <c r="G1606" s="31">
        <f t="shared" si="25"/>
        <v>0</v>
      </c>
      <c r="H1606" s="39" t="s">
        <v>9</v>
      </c>
      <c r="I1606" s="4"/>
      <c r="J1606" s="4"/>
    </row>
    <row r="1607" spans="1:10" s="3" customFormat="1" x14ac:dyDescent="0.25">
      <c r="A1607" s="20">
        <v>42023</v>
      </c>
      <c r="B1607" s="21">
        <v>9514</v>
      </c>
      <c r="C1607" s="14" t="s">
        <v>141</v>
      </c>
      <c r="D1607" s="22">
        <v>4195.2</v>
      </c>
      <c r="E1607" s="23">
        <v>42024</v>
      </c>
      <c r="F1607" s="24">
        <v>4195.2</v>
      </c>
      <c r="G1607" s="31">
        <f t="shared" si="25"/>
        <v>0</v>
      </c>
      <c r="H1607" s="39" t="s">
        <v>9</v>
      </c>
      <c r="I1607" s="4"/>
      <c r="J1607" s="4"/>
    </row>
    <row r="1608" spans="1:10" s="3" customFormat="1" x14ac:dyDescent="0.25">
      <c r="A1608" s="20">
        <v>42023</v>
      </c>
      <c r="B1608" s="21">
        <v>9515</v>
      </c>
      <c r="C1608" s="14" t="s">
        <v>49</v>
      </c>
      <c r="D1608" s="22">
        <v>1459.2</v>
      </c>
      <c r="E1608" s="23">
        <v>42023</v>
      </c>
      <c r="F1608" s="24">
        <v>1459.2</v>
      </c>
      <c r="G1608" s="31">
        <f t="shared" si="25"/>
        <v>0</v>
      </c>
      <c r="H1608" s="39" t="s">
        <v>9</v>
      </c>
      <c r="I1608" s="4"/>
      <c r="J1608" s="4"/>
    </row>
    <row r="1609" spans="1:10" s="3" customFormat="1" x14ac:dyDescent="0.25">
      <c r="A1609" s="20">
        <v>42023</v>
      </c>
      <c r="B1609" s="21">
        <v>9516</v>
      </c>
      <c r="C1609" s="14" t="s">
        <v>87</v>
      </c>
      <c r="D1609" s="22">
        <v>2304</v>
      </c>
      <c r="E1609" s="23">
        <v>42023</v>
      </c>
      <c r="F1609" s="24">
        <v>2304</v>
      </c>
      <c r="G1609" s="31">
        <f t="shared" si="25"/>
        <v>0</v>
      </c>
      <c r="H1609" s="39" t="s">
        <v>9</v>
      </c>
      <c r="I1609" s="4"/>
      <c r="J1609" s="4"/>
    </row>
    <row r="1610" spans="1:10" s="3" customFormat="1" x14ac:dyDescent="0.25">
      <c r="A1610" s="20">
        <v>42023</v>
      </c>
      <c r="B1610" s="21">
        <v>9517</v>
      </c>
      <c r="C1610" s="14" t="s">
        <v>136</v>
      </c>
      <c r="D1610" s="22">
        <v>25903.8</v>
      </c>
      <c r="E1610" s="29" t="s">
        <v>389</v>
      </c>
      <c r="F1610" s="24">
        <f>21000+4903.8</f>
        <v>25903.8</v>
      </c>
      <c r="G1610" s="31">
        <f t="shared" si="25"/>
        <v>0</v>
      </c>
      <c r="H1610" s="39" t="s">
        <v>9</v>
      </c>
      <c r="I1610" s="4"/>
      <c r="J1610" s="4"/>
    </row>
    <row r="1611" spans="1:10" s="3" customFormat="1" x14ac:dyDescent="0.25">
      <c r="A1611" s="20">
        <v>42023</v>
      </c>
      <c r="B1611" s="21">
        <v>9518</v>
      </c>
      <c r="C1611" s="14" t="s">
        <v>390</v>
      </c>
      <c r="D1611" s="22">
        <v>3582.9</v>
      </c>
      <c r="E1611" s="23">
        <v>42023</v>
      </c>
      <c r="F1611" s="24">
        <v>3582.9</v>
      </c>
      <c r="G1611" s="31">
        <f t="shared" si="25"/>
        <v>0</v>
      </c>
      <c r="H1611" s="39" t="s">
        <v>41</v>
      </c>
      <c r="I1611" s="4"/>
      <c r="J1611" s="4"/>
    </row>
    <row r="1612" spans="1:10" s="3" customFormat="1" x14ac:dyDescent="0.25">
      <c r="A1612" s="20">
        <v>42023</v>
      </c>
      <c r="B1612" s="21">
        <v>9519</v>
      </c>
      <c r="C1612" s="14" t="s">
        <v>391</v>
      </c>
      <c r="D1612" s="22">
        <v>4701.2</v>
      </c>
      <c r="E1612" s="23">
        <v>42023</v>
      </c>
      <c r="F1612" s="24">
        <v>4701.2</v>
      </c>
      <c r="G1612" s="31">
        <f t="shared" si="25"/>
        <v>0</v>
      </c>
      <c r="H1612" s="39" t="s">
        <v>9</v>
      </c>
      <c r="I1612" s="4"/>
      <c r="J1612" s="4"/>
    </row>
    <row r="1613" spans="1:10" s="3" customFormat="1" x14ac:dyDescent="0.25">
      <c r="A1613" s="20">
        <v>42023</v>
      </c>
      <c r="B1613" s="21">
        <v>9520</v>
      </c>
      <c r="C1613" s="14" t="s">
        <v>136</v>
      </c>
      <c r="D1613" s="22">
        <v>2902.8</v>
      </c>
      <c r="E1613" s="23">
        <v>42023</v>
      </c>
      <c r="F1613" s="24">
        <v>2902.8</v>
      </c>
      <c r="G1613" s="31">
        <f t="shared" si="25"/>
        <v>0</v>
      </c>
      <c r="H1613" s="39" t="s">
        <v>9</v>
      </c>
      <c r="I1613" s="4"/>
      <c r="J1613" s="4"/>
    </row>
    <row r="1614" spans="1:10" s="3" customFormat="1" x14ac:dyDescent="0.25">
      <c r="A1614" s="20">
        <v>42023</v>
      </c>
      <c r="B1614" s="21">
        <v>9521</v>
      </c>
      <c r="C1614" s="14" t="s">
        <v>102</v>
      </c>
      <c r="D1614" s="22">
        <v>684.4</v>
      </c>
      <c r="E1614" s="23">
        <v>42023</v>
      </c>
      <c r="F1614" s="24">
        <v>684.4</v>
      </c>
      <c r="G1614" s="31">
        <f t="shared" si="25"/>
        <v>0</v>
      </c>
      <c r="H1614" s="39" t="s">
        <v>9</v>
      </c>
      <c r="I1614" s="4"/>
      <c r="J1614" s="4"/>
    </row>
    <row r="1615" spans="1:10" s="3" customFormat="1" x14ac:dyDescent="0.25">
      <c r="A1615" s="20">
        <v>42023</v>
      </c>
      <c r="B1615" s="21">
        <v>9522</v>
      </c>
      <c r="C1615" s="14" t="s">
        <v>97</v>
      </c>
      <c r="D1615" s="22">
        <v>2975.4</v>
      </c>
      <c r="E1615" s="23">
        <v>42024</v>
      </c>
      <c r="F1615" s="24">
        <v>2975.4</v>
      </c>
      <c r="G1615" s="31">
        <f t="shared" si="25"/>
        <v>0</v>
      </c>
      <c r="H1615" s="39" t="s">
        <v>19</v>
      </c>
      <c r="I1615" s="4"/>
      <c r="J1615" s="61"/>
    </row>
    <row r="1616" spans="1:10" s="3" customFormat="1" x14ac:dyDescent="0.25">
      <c r="A1616" s="20">
        <v>42023</v>
      </c>
      <c r="B1616" s="21">
        <v>9523</v>
      </c>
      <c r="C1616" s="14" t="s">
        <v>106</v>
      </c>
      <c r="D1616" s="22">
        <v>8356.7999999999993</v>
      </c>
      <c r="E1616" s="23">
        <v>42024</v>
      </c>
      <c r="F1616" s="24">
        <v>8356.7999999999993</v>
      </c>
      <c r="G1616" s="31">
        <f t="shared" si="25"/>
        <v>0</v>
      </c>
      <c r="H1616" s="39" t="s">
        <v>19</v>
      </c>
      <c r="I1616" s="4"/>
      <c r="J1616" s="4"/>
    </row>
    <row r="1617" spans="1:10" s="3" customFormat="1" x14ac:dyDescent="0.25">
      <c r="A1617" s="20">
        <v>42023</v>
      </c>
      <c r="B1617" s="21">
        <v>9524</v>
      </c>
      <c r="C1617" s="14" t="s">
        <v>98</v>
      </c>
      <c r="D1617" s="22">
        <v>1747.2</v>
      </c>
      <c r="E1617" s="23">
        <v>42024</v>
      </c>
      <c r="F1617" s="24">
        <v>1747.2</v>
      </c>
      <c r="G1617" s="31">
        <f t="shared" si="25"/>
        <v>0</v>
      </c>
      <c r="H1617" s="39" t="s">
        <v>19</v>
      </c>
      <c r="I1617" s="4"/>
      <c r="J1617" s="4"/>
    </row>
    <row r="1618" spans="1:10" s="3" customFormat="1" x14ac:dyDescent="0.25">
      <c r="A1618" s="20">
        <v>42023</v>
      </c>
      <c r="B1618" s="21">
        <v>9525</v>
      </c>
      <c r="C1618" s="14" t="s">
        <v>392</v>
      </c>
      <c r="D1618" s="22">
        <v>2369.8000000000002</v>
      </c>
      <c r="E1618" s="23">
        <v>42024</v>
      </c>
      <c r="F1618" s="24">
        <v>2369.8000000000002</v>
      </c>
      <c r="G1618" s="31">
        <f t="shared" si="25"/>
        <v>0</v>
      </c>
      <c r="H1618" s="39" t="s">
        <v>19</v>
      </c>
    </row>
    <row r="1619" spans="1:10" s="3" customFormat="1" x14ac:dyDescent="0.25">
      <c r="A1619" s="20">
        <v>42023</v>
      </c>
      <c r="B1619" s="21">
        <v>9526</v>
      </c>
      <c r="C1619" s="14" t="s">
        <v>122</v>
      </c>
      <c r="D1619" s="22">
        <v>6322</v>
      </c>
      <c r="E1619" s="23">
        <v>42023</v>
      </c>
      <c r="F1619" s="24">
        <v>6322</v>
      </c>
      <c r="G1619" s="31">
        <f t="shared" si="25"/>
        <v>0</v>
      </c>
      <c r="H1619" s="39" t="s">
        <v>9</v>
      </c>
    </row>
    <row r="1620" spans="1:10" s="3" customFormat="1" x14ac:dyDescent="0.25">
      <c r="A1620" s="20">
        <v>42023</v>
      </c>
      <c r="B1620" s="21">
        <v>9527</v>
      </c>
      <c r="C1620" s="14" t="s">
        <v>393</v>
      </c>
      <c r="D1620" s="22">
        <v>786.5</v>
      </c>
      <c r="E1620" s="23">
        <v>42024</v>
      </c>
      <c r="F1620" s="24">
        <v>786.5</v>
      </c>
      <c r="G1620" s="31">
        <f t="shared" si="25"/>
        <v>0</v>
      </c>
      <c r="H1620" s="39" t="s">
        <v>19</v>
      </c>
    </row>
    <row r="1621" spans="1:10" s="3" customFormat="1" x14ac:dyDescent="0.25">
      <c r="A1621" s="20">
        <v>42023</v>
      </c>
      <c r="B1621" s="21">
        <v>9528</v>
      </c>
      <c r="C1621" s="14" t="s">
        <v>361</v>
      </c>
      <c r="D1621" s="22">
        <v>8606.4</v>
      </c>
      <c r="E1621" s="23">
        <v>42024</v>
      </c>
      <c r="F1621" s="24">
        <v>8606.4</v>
      </c>
      <c r="G1621" s="31">
        <f t="shared" si="25"/>
        <v>0</v>
      </c>
      <c r="H1621" s="39" t="s">
        <v>19</v>
      </c>
    </row>
    <row r="1622" spans="1:10" s="3" customFormat="1" x14ac:dyDescent="0.25">
      <c r="A1622" s="20">
        <v>42023</v>
      </c>
      <c r="B1622" s="21">
        <v>9529</v>
      </c>
      <c r="C1622" s="14" t="s">
        <v>282</v>
      </c>
      <c r="D1622" s="22">
        <v>3300</v>
      </c>
      <c r="E1622" s="30">
        <v>42045</v>
      </c>
      <c r="F1622" s="96">
        <v>3300</v>
      </c>
      <c r="G1622" s="31">
        <f t="shared" si="25"/>
        <v>0</v>
      </c>
      <c r="H1622" s="39" t="s">
        <v>9</v>
      </c>
    </row>
    <row r="1623" spans="1:10" s="3" customFormat="1" x14ac:dyDescent="0.25">
      <c r="A1623" s="20">
        <v>42023</v>
      </c>
      <c r="B1623" s="21">
        <v>9530</v>
      </c>
      <c r="C1623" s="14" t="s">
        <v>110</v>
      </c>
      <c r="D1623" s="22">
        <v>4936.3999999999996</v>
      </c>
      <c r="E1623" s="23">
        <v>42032</v>
      </c>
      <c r="F1623" s="24">
        <v>4936.3999999999996</v>
      </c>
      <c r="G1623" s="31">
        <f t="shared" si="25"/>
        <v>0</v>
      </c>
      <c r="H1623" s="39" t="s">
        <v>94</v>
      </c>
    </row>
    <row r="1624" spans="1:10" s="3" customFormat="1" x14ac:dyDescent="0.25">
      <c r="A1624" s="20">
        <v>42023</v>
      </c>
      <c r="B1624" s="21">
        <v>9531</v>
      </c>
      <c r="C1624" s="14" t="s">
        <v>252</v>
      </c>
      <c r="D1624" s="22">
        <v>8491.6</v>
      </c>
      <c r="E1624" s="23">
        <v>42023</v>
      </c>
      <c r="F1624" s="24">
        <v>8491.6</v>
      </c>
      <c r="G1624" s="31">
        <f t="shared" si="25"/>
        <v>0</v>
      </c>
      <c r="H1624" s="39" t="s">
        <v>9</v>
      </c>
    </row>
    <row r="1625" spans="1:10" s="3" customFormat="1" x14ac:dyDescent="0.25">
      <c r="A1625" s="20">
        <v>42023</v>
      </c>
      <c r="B1625" s="21">
        <v>9532</v>
      </c>
      <c r="C1625" s="14" t="s">
        <v>47</v>
      </c>
      <c r="D1625" s="22">
        <v>7272</v>
      </c>
      <c r="E1625" s="23">
        <v>42025</v>
      </c>
      <c r="F1625" s="24">
        <v>7272</v>
      </c>
      <c r="G1625" s="31">
        <f t="shared" si="25"/>
        <v>0</v>
      </c>
      <c r="H1625" s="39" t="s">
        <v>9</v>
      </c>
    </row>
    <row r="1626" spans="1:10" s="3" customFormat="1" x14ac:dyDescent="0.25">
      <c r="A1626" s="20">
        <v>42023</v>
      </c>
      <c r="B1626" s="21">
        <v>9533</v>
      </c>
      <c r="C1626" s="14" t="s">
        <v>24</v>
      </c>
      <c r="D1626" s="22">
        <v>7932</v>
      </c>
      <c r="E1626" s="23">
        <v>42027</v>
      </c>
      <c r="F1626" s="24">
        <v>7932</v>
      </c>
      <c r="G1626" s="31">
        <f t="shared" si="25"/>
        <v>0</v>
      </c>
      <c r="H1626" s="39" t="s">
        <v>17</v>
      </c>
    </row>
    <row r="1627" spans="1:10" s="3" customFormat="1" x14ac:dyDescent="0.25">
      <c r="A1627" s="20">
        <v>42023</v>
      </c>
      <c r="B1627" s="21">
        <v>9534</v>
      </c>
      <c r="C1627" s="14" t="s">
        <v>110</v>
      </c>
      <c r="D1627" s="22">
        <v>76922.080000000002</v>
      </c>
      <c r="E1627" s="29" t="s">
        <v>394</v>
      </c>
      <c r="F1627" s="24">
        <f>8621+68301.08</f>
        <v>76922.080000000002</v>
      </c>
      <c r="G1627" s="31">
        <f t="shared" si="25"/>
        <v>0</v>
      </c>
      <c r="H1627" s="39" t="s">
        <v>94</v>
      </c>
    </row>
    <row r="1628" spans="1:10" s="3" customFormat="1" x14ac:dyDescent="0.25">
      <c r="A1628" s="20">
        <v>42023</v>
      </c>
      <c r="B1628" s="21">
        <v>9535</v>
      </c>
      <c r="C1628" s="14" t="s">
        <v>14</v>
      </c>
      <c r="D1628" s="22">
        <v>14154.4</v>
      </c>
      <c r="E1628" s="23">
        <v>42025</v>
      </c>
      <c r="F1628" s="24">
        <v>14154.4</v>
      </c>
      <c r="G1628" s="31">
        <f t="shared" si="25"/>
        <v>0</v>
      </c>
      <c r="H1628" s="39" t="s">
        <v>94</v>
      </c>
    </row>
    <row r="1629" spans="1:10" s="3" customFormat="1" x14ac:dyDescent="0.25">
      <c r="A1629" s="20">
        <v>42023</v>
      </c>
      <c r="B1629" s="21">
        <v>9536</v>
      </c>
      <c r="C1629" s="14" t="s">
        <v>48</v>
      </c>
      <c r="D1629" s="22">
        <v>58102.5</v>
      </c>
      <c r="E1629" s="23">
        <v>42028</v>
      </c>
      <c r="F1629" s="24">
        <v>58102.5</v>
      </c>
      <c r="G1629" s="31">
        <f t="shared" si="25"/>
        <v>0</v>
      </c>
      <c r="H1629" s="39" t="s">
        <v>149</v>
      </c>
    </row>
    <row r="1630" spans="1:10" s="3" customFormat="1" x14ac:dyDescent="0.25">
      <c r="A1630" s="20">
        <v>42023</v>
      </c>
      <c r="B1630" s="21">
        <v>9537</v>
      </c>
      <c r="C1630" s="14" t="s">
        <v>192</v>
      </c>
      <c r="D1630" s="22">
        <v>239.4</v>
      </c>
      <c r="E1630" s="30">
        <v>42045</v>
      </c>
      <c r="F1630" s="96">
        <v>239.4</v>
      </c>
      <c r="G1630" s="31">
        <f t="shared" si="25"/>
        <v>0</v>
      </c>
      <c r="H1630" s="39" t="s">
        <v>9</v>
      </c>
    </row>
    <row r="1631" spans="1:10" s="3" customFormat="1" x14ac:dyDescent="0.25">
      <c r="A1631" s="20">
        <v>42023</v>
      </c>
      <c r="B1631" s="21">
        <v>9538</v>
      </c>
      <c r="C1631" s="14" t="s">
        <v>195</v>
      </c>
      <c r="D1631" s="22">
        <v>174603.25</v>
      </c>
      <c r="E1631" s="30" t="s">
        <v>395</v>
      </c>
      <c r="F1631" s="24">
        <v>174603.25</v>
      </c>
      <c r="G1631" s="31">
        <f t="shared" si="25"/>
        <v>0</v>
      </c>
      <c r="H1631" s="39" t="s">
        <v>149</v>
      </c>
    </row>
    <row r="1632" spans="1:10" s="3" customFormat="1" x14ac:dyDescent="0.25">
      <c r="A1632" s="20">
        <v>42023</v>
      </c>
      <c r="B1632" s="21">
        <v>9539</v>
      </c>
      <c r="C1632" s="14" t="s">
        <v>205</v>
      </c>
      <c r="D1632" s="22">
        <v>5870.1</v>
      </c>
      <c r="E1632" s="23">
        <v>42032</v>
      </c>
      <c r="F1632" s="24">
        <v>5870.1</v>
      </c>
      <c r="G1632" s="31">
        <f t="shared" si="25"/>
        <v>0</v>
      </c>
      <c r="H1632" s="39" t="s">
        <v>149</v>
      </c>
    </row>
    <row r="1633" spans="1:10" s="3" customFormat="1" x14ac:dyDescent="0.25">
      <c r="A1633" s="20">
        <v>42023</v>
      </c>
      <c r="B1633" s="21">
        <v>9540</v>
      </c>
      <c r="C1633" s="14" t="s">
        <v>196</v>
      </c>
      <c r="D1633" s="22">
        <v>6722.48</v>
      </c>
      <c r="E1633" s="30" t="s">
        <v>396</v>
      </c>
      <c r="F1633" s="24">
        <v>6722.48</v>
      </c>
      <c r="G1633" s="31">
        <f t="shared" si="25"/>
        <v>0</v>
      </c>
      <c r="H1633" s="39" t="s">
        <v>149</v>
      </c>
    </row>
    <row r="1634" spans="1:10" s="3" customFormat="1" x14ac:dyDescent="0.25">
      <c r="A1634" s="20">
        <v>42023</v>
      </c>
      <c r="B1634" s="21">
        <v>9541</v>
      </c>
      <c r="C1634" s="14" t="s">
        <v>198</v>
      </c>
      <c r="D1634" s="22">
        <v>11623.56</v>
      </c>
      <c r="E1634" s="23">
        <v>42025</v>
      </c>
      <c r="F1634" s="24">
        <v>11623.56</v>
      </c>
      <c r="G1634" s="31">
        <f t="shared" si="25"/>
        <v>0</v>
      </c>
      <c r="H1634" s="39" t="s">
        <v>149</v>
      </c>
      <c r="I1634" s="4"/>
      <c r="J1634" s="4"/>
    </row>
    <row r="1635" spans="1:10" s="3" customFormat="1" x14ac:dyDescent="0.25">
      <c r="A1635" s="20">
        <v>42023</v>
      </c>
      <c r="B1635" s="21">
        <v>9542</v>
      </c>
      <c r="C1635" s="14" t="s">
        <v>200</v>
      </c>
      <c r="D1635" s="22">
        <v>3286.4</v>
      </c>
      <c r="E1635" s="23">
        <v>42025</v>
      </c>
      <c r="F1635" s="24">
        <v>3286.4</v>
      </c>
      <c r="G1635" s="31">
        <f t="shared" si="25"/>
        <v>0</v>
      </c>
      <c r="H1635" s="39" t="s">
        <v>149</v>
      </c>
      <c r="I1635" s="4"/>
      <c r="J1635" s="4"/>
    </row>
    <row r="1636" spans="1:10" s="3" customFormat="1" x14ac:dyDescent="0.25">
      <c r="A1636" s="20">
        <v>42023</v>
      </c>
      <c r="B1636" s="21">
        <v>9543</v>
      </c>
      <c r="C1636" s="14" t="s">
        <v>349</v>
      </c>
      <c r="D1636" s="22">
        <v>5465.6</v>
      </c>
      <c r="E1636" s="23">
        <v>42025</v>
      </c>
      <c r="F1636" s="24">
        <v>5465.6</v>
      </c>
      <c r="G1636" s="31">
        <f t="shared" si="25"/>
        <v>0</v>
      </c>
      <c r="H1636" s="39" t="s">
        <v>149</v>
      </c>
      <c r="I1636" s="4"/>
      <c r="J1636" s="4"/>
    </row>
    <row r="1637" spans="1:10" s="3" customFormat="1" x14ac:dyDescent="0.25">
      <c r="A1637" s="20">
        <v>42023</v>
      </c>
      <c r="B1637" s="21">
        <v>9544</v>
      </c>
      <c r="C1637" s="14" t="s">
        <v>201</v>
      </c>
      <c r="D1637" s="22">
        <v>11951.7</v>
      </c>
      <c r="E1637" s="23">
        <v>42025</v>
      </c>
      <c r="F1637" s="24">
        <v>11951.7</v>
      </c>
      <c r="G1637" s="31">
        <f t="shared" si="25"/>
        <v>0</v>
      </c>
      <c r="H1637" s="39" t="s">
        <v>149</v>
      </c>
      <c r="I1637" s="4"/>
      <c r="J1637" s="4"/>
    </row>
    <row r="1638" spans="1:10" s="3" customFormat="1" x14ac:dyDescent="0.25">
      <c r="A1638" s="20">
        <v>42023</v>
      </c>
      <c r="B1638" s="21">
        <v>9545</v>
      </c>
      <c r="C1638" s="14" t="s">
        <v>263</v>
      </c>
      <c r="D1638" s="22">
        <v>8179.6</v>
      </c>
      <c r="E1638" s="23">
        <v>42025</v>
      </c>
      <c r="F1638" s="24">
        <v>8179.6</v>
      </c>
      <c r="G1638" s="31">
        <f t="shared" si="25"/>
        <v>0</v>
      </c>
      <c r="H1638" s="39" t="s">
        <v>149</v>
      </c>
      <c r="I1638" s="4"/>
      <c r="J1638" s="4"/>
    </row>
    <row r="1639" spans="1:10" s="3" customFormat="1" x14ac:dyDescent="0.25">
      <c r="A1639" s="20">
        <v>42023</v>
      </c>
      <c r="B1639" s="21">
        <v>9546</v>
      </c>
      <c r="C1639" s="14" t="s">
        <v>196</v>
      </c>
      <c r="D1639" s="22">
        <v>7240.6</v>
      </c>
      <c r="E1639" s="23">
        <v>42025</v>
      </c>
      <c r="F1639" s="24">
        <v>7240.6</v>
      </c>
      <c r="G1639" s="31">
        <f t="shared" si="25"/>
        <v>0</v>
      </c>
      <c r="H1639" s="39" t="s">
        <v>149</v>
      </c>
      <c r="I1639" s="4"/>
      <c r="J1639" s="4"/>
    </row>
    <row r="1640" spans="1:10" s="3" customFormat="1" x14ac:dyDescent="0.25">
      <c r="A1640" s="20">
        <v>42023</v>
      </c>
      <c r="B1640" s="21">
        <v>9547</v>
      </c>
      <c r="C1640" s="14" t="s">
        <v>199</v>
      </c>
      <c r="D1640" s="22">
        <v>14801.6</v>
      </c>
      <c r="E1640" s="23">
        <v>42025</v>
      </c>
      <c r="F1640" s="24">
        <v>14801.6</v>
      </c>
      <c r="G1640" s="31">
        <f t="shared" si="25"/>
        <v>0</v>
      </c>
      <c r="H1640" s="39" t="s">
        <v>149</v>
      </c>
      <c r="I1640" s="4"/>
      <c r="J1640" s="4"/>
    </row>
    <row r="1641" spans="1:10" s="3" customFormat="1" x14ac:dyDescent="0.25">
      <c r="A1641" s="20">
        <v>42023</v>
      </c>
      <c r="B1641" s="21">
        <v>9548</v>
      </c>
      <c r="C1641" s="14" t="s">
        <v>68</v>
      </c>
      <c r="D1641" s="22">
        <v>7282</v>
      </c>
      <c r="E1641" s="23">
        <v>42025</v>
      </c>
      <c r="F1641" s="24">
        <v>7282</v>
      </c>
      <c r="G1641" s="31">
        <f t="shared" si="25"/>
        <v>0</v>
      </c>
      <c r="H1641" s="39" t="s">
        <v>149</v>
      </c>
      <c r="I1641" s="4"/>
      <c r="J1641" s="4"/>
    </row>
    <row r="1642" spans="1:10" s="3" customFormat="1" x14ac:dyDescent="0.25">
      <c r="A1642" s="20">
        <v>42023</v>
      </c>
      <c r="B1642" s="21">
        <v>9549</v>
      </c>
      <c r="C1642" s="14" t="s">
        <v>203</v>
      </c>
      <c r="D1642" s="22">
        <v>17997.5</v>
      </c>
      <c r="E1642" s="23">
        <v>42025</v>
      </c>
      <c r="F1642" s="24">
        <v>17997.5</v>
      </c>
      <c r="G1642" s="31">
        <f t="shared" si="25"/>
        <v>0</v>
      </c>
      <c r="H1642" s="39" t="s">
        <v>149</v>
      </c>
      <c r="I1642" s="4"/>
      <c r="J1642" s="28"/>
    </row>
    <row r="1643" spans="1:10" s="3" customFormat="1" x14ac:dyDescent="0.25">
      <c r="A1643" s="20">
        <v>42023</v>
      </c>
      <c r="B1643" s="21">
        <v>9550</v>
      </c>
      <c r="C1643" s="14" t="s">
        <v>112</v>
      </c>
      <c r="D1643" s="22">
        <v>17111.400000000001</v>
      </c>
      <c r="E1643" s="29" t="s">
        <v>397</v>
      </c>
      <c r="F1643" s="24">
        <f>11000+6111.4</f>
        <v>17111.400000000001</v>
      </c>
      <c r="G1643" s="31">
        <f t="shared" si="25"/>
        <v>0</v>
      </c>
      <c r="H1643" s="39" t="s">
        <v>9</v>
      </c>
      <c r="I1643" s="4"/>
      <c r="J1643" s="4"/>
    </row>
    <row r="1644" spans="1:10" s="3" customFormat="1" x14ac:dyDescent="0.25">
      <c r="A1644" s="20">
        <v>42023</v>
      </c>
      <c r="B1644" s="21">
        <v>9551</v>
      </c>
      <c r="C1644" s="14" t="s">
        <v>208</v>
      </c>
      <c r="D1644" s="22">
        <v>11253</v>
      </c>
      <c r="E1644" s="23">
        <v>42025</v>
      </c>
      <c r="F1644" s="24">
        <v>11253</v>
      </c>
      <c r="G1644" s="31">
        <f t="shared" si="25"/>
        <v>0</v>
      </c>
      <c r="H1644" s="39" t="s">
        <v>149</v>
      </c>
      <c r="I1644" s="4"/>
      <c r="J1644" s="4"/>
    </row>
    <row r="1645" spans="1:10" s="3" customFormat="1" x14ac:dyDescent="0.25">
      <c r="A1645" s="20">
        <v>42023</v>
      </c>
      <c r="B1645" s="21">
        <v>9552</v>
      </c>
      <c r="C1645" s="14" t="s">
        <v>202</v>
      </c>
      <c r="D1645" s="22">
        <v>9402.4</v>
      </c>
      <c r="E1645" s="23">
        <v>42025</v>
      </c>
      <c r="F1645" s="24">
        <v>9402.4</v>
      </c>
      <c r="G1645" s="31">
        <f t="shared" si="25"/>
        <v>0</v>
      </c>
      <c r="H1645" s="39" t="s">
        <v>149</v>
      </c>
      <c r="I1645" s="4"/>
      <c r="J1645" s="4"/>
    </row>
    <row r="1646" spans="1:10" s="3" customFormat="1" x14ac:dyDescent="0.25">
      <c r="A1646" s="20">
        <v>42023</v>
      </c>
      <c r="B1646" s="21">
        <v>9553</v>
      </c>
      <c r="C1646" s="14" t="s">
        <v>90</v>
      </c>
      <c r="D1646" s="22">
        <v>1135</v>
      </c>
      <c r="E1646" s="23">
        <v>42023</v>
      </c>
      <c r="F1646" s="24">
        <v>1135</v>
      </c>
      <c r="G1646" s="31">
        <f t="shared" si="25"/>
        <v>0</v>
      </c>
      <c r="H1646" s="39" t="s">
        <v>9</v>
      </c>
      <c r="I1646" s="4"/>
      <c r="J1646" s="4"/>
    </row>
    <row r="1647" spans="1:10" s="3" customFormat="1" x14ac:dyDescent="0.25">
      <c r="A1647" s="20">
        <v>42023</v>
      </c>
      <c r="B1647" s="21">
        <v>9554</v>
      </c>
      <c r="C1647" s="14" t="s">
        <v>262</v>
      </c>
      <c r="D1647" s="22">
        <v>25511</v>
      </c>
      <c r="E1647" s="23">
        <v>42025</v>
      </c>
      <c r="F1647" s="24">
        <v>25511</v>
      </c>
      <c r="G1647" s="31">
        <f t="shared" si="25"/>
        <v>0</v>
      </c>
      <c r="H1647" s="39" t="s">
        <v>149</v>
      </c>
      <c r="I1647" s="4"/>
      <c r="J1647" s="4"/>
    </row>
    <row r="1648" spans="1:10" s="3" customFormat="1" x14ac:dyDescent="0.25">
      <c r="A1648" s="20">
        <v>42023</v>
      </c>
      <c r="B1648" s="21">
        <v>9555</v>
      </c>
      <c r="C1648" s="14" t="s">
        <v>204</v>
      </c>
      <c r="D1648" s="22">
        <v>9399.4</v>
      </c>
      <c r="E1648" s="23">
        <v>42025</v>
      </c>
      <c r="F1648" s="24">
        <v>9399.4</v>
      </c>
      <c r="G1648" s="31">
        <f t="shared" si="25"/>
        <v>0</v>
      </c>
      <c r="H1648" s="39" t="s">
        <v>149</v>
      </c>
      <c r="I1648" s="4"/>
      <c r="J1648" s="4"/>
    </row>
    <row r="1649" spans="1:10" s="3" customFormat="1" x14ac:dyDescent="0.25">
      <c r="A1649" s="20">
        <v>42023</v>
      </c>
      <c r="B1649" s="21">
        <v>9556</v>
      </c>
      <c r="C1649" s="14" t="s">
        <v>235</v>
      </c>
      <c r="D1649" s="22">
        <v>1982.6</v>
      </c>
      <c r="E1649" s="23">
        <v>42024</v>
      </c>
      <c r="F1649" s="24">
        <v>1982.6</v>
      </c>
      <c r="G1649" s="31">
        <f t="shared" si="25"/>
        <v>0</v>
      </c>
      <c r="H1649" s="39" t="s">
        <v>149</v>
      </c>
      <c r="I1649" s="4"/>
      <c r="J1649" s="4"/>
    </row>
    <row r="1650" spans="1:10" s="3" customFormat="1" x14ac:dyDescent="0.25">
      <c r="A1650" s="20">
        <v>42023</v>
      </c>
      <c r="B1650" s="21">
        <v>9557</v>
      </c>
      <c r="C1650" s="14" t="s">
        <v>80</v>
      </c>
      <c r="D1650" s="22">
        <v>7299</v>
      </c>
      <c r="E1650" s="23">
        <v>42023</v>
      </c>
      <c r="F1650" s="24">
        <v>7299</v>
      </c>
      <c r="G1650" s="31">
        <f t="shared" si="25"/>
        <v>0</v>
      </c>
      <c r="H1650" s="39" t="s">
        <v>9</v>
      </c>
    </row>
    <row r="1651" spans="1:10" s="3" customFormat="1" x14ac:dyDescent="0.25">
      <c r="A1651" s="20">
        <v>42023</v>
      </c>
      <c r="B1651" s="21">
        <v>9558</v>
      </c>
      <c r="C1651" s="14" t="s">
        <v>398</v>
      </c>
      <c r="D1651" s="22">
        <v>19972.8</v>
      </c>
      <c r="E1651" s="23">
        <v>42025</v>
      </c>
      <c r="F1651" s="24">
        <v>19972.8</v>
      </c>
      <c r="G1651" s="31">
        <f t="shared" si="25"/>
        <v>0</v>
      </c>
      <c r="H1651" s="39" t="s">
        <v>149</v>
      </c>
    </row>
    <row r="1652" spans="1:10" s="3" customFormat="1" x14ac:dyDescent="0.25">
      <c r="A1652" s="20">
        <v>42023</v>
      </c>
      <c r="B1652" s="21">
        <v>9559</v>
      </c>
      <c r="C1652" s="60" t="s">
        <v>193</v>
      </c>
      <c r="D1652" s="22">
        <v>10320.040000000001</v>
      </c>
      <c r="E1652" s="30" t="s">
        <v>512</v>
      </c>
      <c r="F1652" s="24">
        <v>10320.040000000001</v>
      </c>
      <c r="G1652" s="31">
        <f t="shared" si="25"/>
        <v>0</v>
      </c>
      <c r="H1652" s="39" t="s">
        <v>9</v>
      </c>
    </row>
    <row r="1653" spans="1:10" s="3" customFormat="1" x14ac:dyDescent="0.25">
      <c r="A1653" s="20">
        <v>42024</v>
      </c>
      <c r="B1653" s="21">
        <v>9560</v>
      </c>
      <c r="C1653" s="14" t="s">
        <v>318</v>
      </c>
      <c r="D1653" s="22">
        <v>14657.2</v>
      </c>
      <c r="E1653" s="23">
        <v>42024</v>
      </c>
      <c r="F1653" s="24">
        <v>14657.2</v>
      </c>
      <c r="G1653" s="31">
        <f t="shared" si="25"/>
        <v>0</v>
      </c>
      <c r="H1653" s="39" t="s">
        <v>9</v>
      </c>
    </row>
    <row r="1654" spans="1:10" s="3" customFormat="1" x14ac:dyDescent="0.25">
      <c r="A1654" s="20">
        <v>42024</v>
      </c>
      <c r="B1654" s="21">
        <v>9561</v>
      </c>
      <c r="C1654" s="14" t="s">
        <v>14</v>
      </c>
      <c r="D1654" s="22">
        <v>19754.3</v>
      </c>
      <c r="E1654" s="23">
        <v>42027</v>
      </c>
      <c r="F1654" s="24">
        <v>19754.3</v>
      </c>
      <c r="G1654" s="31">
        <f t="shared" si="25"/>
        <v>0</v>
      </c>
      <c r="H1654" s="39" t="s">
        <v>15</v>
      </c>
    </row>
    <row r="1655" spans="1:10" s="3" customFormat="1" x14ac:dyDescent="0.25">
      <c r="A1655" s="20">
        <v>42024</v>
      </c>
      <c r="B1655" s="21">
        <v>9562</v>
      </c>
      <c r="C1655" s="14" t="s">
        <v>16</v>
      </c>
      <c r="D1655" s="22">
        <v>4538</v>
      </c>
      <c r="E1655" s="23">
        <v>42024</v>
      </c>
      <c r="F1655" s="24">
        <v>4538</v>
      </c>
      <c r="G1655" s="31">
        <f t="shared" si="25"/>
        <v>0</v>
      </c>
      <c r="H1655" s="39" t="s">
        <v>17</v>
      </c>
    </row>
    <row r="1656" spans="1:10" s="3" customFormat="1" x14ac:dyDescent="0.25">
      <c r="A1656" s="20">
        <v>42024</v>
      </c>
      <c r="B1656" s="21">
        <v>9563</v>
      </c>
      <c r="C1656" s="14" t="s">
        <v>31</v>
      </c>
      <c r="D1656" s="22">
        <v>4200</v>
      </c>
      <c r="E1656" s="23">
        <v>42024</v>
      </c>
      <c r="F1656" s="24">
        <v>4200</v>
      </c>
      <c r="G1656" s="31">
        <f t="shared" si="25"/>
        <v>0</v>
      </c>
      <c r="H1656" s="39" t="s">
        <v>17</v>
      </c>
    </row>
    <row r="1657" spans="1:10" s="3" customFormat="1" x14ac:dyDescent="0.25">
      <c r="A1657" s="20">
        <v>42024</v>
      </c>
      <c r="B1657" s="21">
        <v>9564</v>
      </c>
      <c r="C1657" s="14" t="s">
        <v>267</v>
      </c>
      <c r="D1657" s="22">
        <v>1221.8</v>
      </c>
      <c r="E1657" s="23">
        <v>42024</v>
      </c>
      <c r="F1657" s="24">
        <v>1221.8</v>
      </c>
      <c r="G1657" s="31">
        <f t="shared" si="25"/>
        <v>0</v>
      </c>
      <c r="H1657" s="39" t="s">
        <v>94</v>
      </c>
    </row>
    <row r="1658" spans="1:10" s="3" customFormat="1" x14ac:dyDescent="0.25">
      <c r="A1658" s="20">
        <v>42024</v>
      </c>
      <c r="B1658" s="21">
        <v>9565</v>
      </c>
      <c r="C1658" s="14" t="s">
        <v>24</v>
      </c>
      <c r="D1658" s="22">
        <v>85071.8</v>
      </c>
      <c r="E1658" s="23">
        <v>42027</v>
      </c>
      <c r="F1658" s="24">
        <v>85071.8</v>
      </c>
      <c r="G1658" s="31">
        <f t="shared" si="25"/>
        <v>0</v>
      </c>
      <c r="H1658" s="39" t="s">
        <v>36</v>
      </c>
    </row>
    <row r="1659" spans="1:10" s="3" customFormat="1" x14ac:dyDescent="0.25">
      <c r="A1659" s="20">
        <v>42024</v>
      </c>
      <c r="B1659" s="21">
        <v>9566</v>
      </c>
      <c r="C1659" s="14" t="s">
        <v>211</v>
      </c>
      <c r="D1659" s="22">
        <v>77580.3</v>
      </c>
      <c r="E1659" s="23">
        <v>42032</v>
      </c>
      <c r="F1659" s="24">
        <v>77580.3</v>
      </c>
      <c r="G1659" s="31">
        <f t="shared" si="25"/>
        <v>0</v>
      </c>
      <c r="H1659" s="39" t="s">
        <v>9</v>
      </c>
    </row>
    <row r="1660" spans="1:10" s="3" customFormat="1" x14ac:dyDescent="0.25">
      <c r="A1660" s="20">
        <v>42024</v>
      </c>
      <c r="B1660" s="21">
        <v>9567</v>
      </c>
      <c r="C1660" s="14" t="s">
        <v>20</v>
      </c>
      <c r="D1660" s="22">
        <v>9242.6</v>
      </c>
      <c r="E1660" s="23">
        <v>42024</v>
      </c>
      <c r="F1660" s="24">
        <v>9242.6</v>
      </c>
      <c r="G1660" s="31">
        <f t="shared" si="25"/>
        <v>0</v>
      </c>
      <c r="H1660" s="39" t="s">
        <v>94</v>
      </c>
    </row>
    <row r="1661" spans="1:10" s="3" customFormat="1" x14ac:dyDescent="0.25">
      <c r="A1661" s="20">
        <v>42024</v>
      </c>
      <c r="B1661" s="21">
        <v>9568</v>
      </c>
      <c r="C1661" s="14" t="s">
        <v>121</v>
      </c>
      <c r="D1661" s="22">
        <v>2794.2</v>
      </c>
      <c r="E1661" s="23">
        <v>42024</v>
      </c>
      <c r="F1661" s="24">
        <v>2794.2</v>
      </c>
      <c r="G1661" s="31">
        <f t="shared" si="25"/>
        <v>0</v>
      </c>
      <c r="H1661" s="39" t="s">
        <v>9</v>
      </c>
    </row>
    <row r="1662" spans="1:10" s="3" customFormat="1" x14ac:dyDescent="0.25">
      <c r="A1662" s="20">
        <v>42024</v>
      </c>
      <c r="B1662" s="21">
        <v>9569</v>
      </c>
      <c r="C1662" s="14" t="s">
        <v>399</v>
      </c>
      <c r="D1662" s="22">
        <v>2743.6</v>
      </c>
      <c r="E1662" s="23">
        <v>42024</v>
      </c>
      <c r="F1662" s="24">
        <v>2743.6</v>
      </c>
      <c r="G1662" s="31">
        <f t="shared" si="25"/>
        <v>0</v>
      </c>
      <c r="H1662" s="39" t="s">
        <v>19</v>
      </c>
    </row>
    <row r="1663" spans="1:10" s="3" customFormat="1" x14ac:dyDescent="0.25">
      <c r="A1663" s="20">
        <v>42024</v>
      </c>
      <c r="B1663" s="21">
        <v>9570</v>
      </c>
      <c r="C1663" s="14" t="s">
        <v>99</v>
      </c>
      <c r="D1663" s="22">
        <v>463.6</v>
      </c>
      <c r="E1663" s="23">
        <v>42024</v>
      </c>
      <c r="F1663" s="24">
        <v>463.6</v>
      </c>
      <c r="G1663" s="31">
        <f t="shared" si="25"/>
        <v>0</v>
      </c>
      <c r="H1663" s="39" t="s">
        <v>19</v>
      </c>
    </row>
    <row r="1664" spans="1:10" s="3" customFormat="1" x14ac:dyDescent="0.25">
      <c r="A1664" s="20">
        <v>42024</v>
      </c>
      <c r="B1664" s="21">
        <v>9571</v>
      </c>
      <c r="C1664" s="14" t="s">
        <v>179</v>
      </c>
      <c r="D1664" s="22">
        <v>4228.3999999999996</v>
      </c>
      <c r="E1664" s="23">
        <v>42024</v>
      </c>
      <c r="F1664" s="24">
        <v>4228.3999999999996</v>
      </c>
      <c r="G1664" s="31">
        <f t="shared" si="25"/>
        <v>0</v>
      </c>
      <c r="H1664" s="39" t="s">
        <v>19</v>
      </c>
    </row>
    <row r="1665" spans="1:10" s="3" customFormat="1" x14ac:dyDescent="0.25">
      <c r="A1665" s="20">
        <v>42024</v>
      </c>
      <c r="B1665" s="21">
        <v>9572</v>
      </c>
      <c r="C1665" s="14" t="s">
        <v>114</v>
      </c>
      <c r="D1665" s="22">
        <v>3657.6</v>
      </c>
      <c r="E1665" s="23">
        <v>42024</v>
      </c>
      <c r="F1665" s="24">
        <v>3657.6</v>
      </c>
      <c r="G1665" s="31">
        <f t="shared" si="25"/>
        <v>0</v>
      </c>
      <c r="H1665" s="39" t="s">
        <v>9</v>
      </c>
    </row>
    <row r="1666" spans="1:10" s="3" customFormat="1" x14ac:dyDescent="0.25">
      <c r="A1666" s="20">
        <v>42024</v>
      </c>
      <c r="B1666" s="21">
        <v>9573</v>
      </c>
      <c r="C1666" s="14" t="s">
        <v>148</v>
      </c>
      <c r="D1666" s="22">
        <v>4351.6000000000004</v>
      </c>
      <c r="E1666" s="51">
        <v>42024</v>
      </c>
      <c r="F1666" s="24">
        <v>4351.6000000000004</v>
      </c>
      <c r="G1666" s="31">
        <f t="shared" si="25"/>
        <v>0</v>
      </c>
      <c r="H1666" s="39" t="s">
        <v>9</v>
      </c>
      <c r="I1666" s="4"/>
      <c r="J1666" s="4"/>
    </row>
    <row r="1667" spans="1:10" s="3" customFormat="1" x14ac:dyDescent="0.25">
      <c r="A1667" s="20">
        <v>42024</v>
      </c>
      <c r="B1667" s="21">
        <v>9574</v>
      </c>
      <c r="C1667" s="14" t="s">
        <v>400</v>
      </c>
      <c r="D1667" s="22">
        <v>1051.2</v>
      </c>
      <c r="E1667" s="23">
        <v>42024</v>
      </c>
      <c r="F1667" s="24">
        <v>1051.2</v>
      </c>
      <c r="G1667" s="31">
        <f t="shared" ref="G1667:G1730" si="26">D1667-F1667</f>
        <v>0</v>
      </c>
      <c r="H1667" s="39" t="s">
        <v>9</v>
      </c>
      <c r="I1667" s="4"/>
      <c r="J1667" s="4"/>
    </row>
    <row r="1668" spans="1:10" s="3" customFormat="1" x14ac:dyDescent="0.25">
      <c r="A1668" s="20">
        <v>42024</v>
      </c>
      <c r="B1668" s="21">
        <v>9575</v>
      </c>
      <c r="C1668" s="14" t="s">
        <v>151</v>
      </c>
      <c r="D1668" s="22">
        <v>5020.7</v>
      </c>
      <c r="E1668" s="23">
        <v>42025</v>
      </c>
      <c r="F1668" s="24">
        <v>5020.7</v>
      </c>
      <c r="G1668" s="31">
        <f t="shared" si="26"/>
        <v>0</v>
      </c>
      <c r="H1668" s="39" t="s">
        <v>9</v>
      </c>
      <c r="I1668" s="4"/>
      <c r="J1668" s="4"/>
    </row>
    <row r="1669" spans="1:10" s="3" customFormat="1" x14ac:dyDescent="0.25">
      <c r="A1669" s="20">
        <v>42024</v>
      </c>
      <c r="B1669" s="21">
        <v>9576</v>
      </c>
      <c r="C1669" s="14" t="s">
        <v>91</v>
      </c>
      <c r="D1669" s="22">
        <v>29166.68</v>
      </c>
      <c r="E1669" s="23">
        <v>42024</v>
      </c>
      <c r="F1669" s="24">
        <v>29166.68</v>
      </c>
      <c r="G1669" s="31">
        <f t="shared" si="26"/>
        <v>0</v>
      </c>
      <c r="H1669" s="19" t="s">
        <v>59</v>
      </c>
      <c r="I1669" s="4"/>
      <c r="J1669" s="4"/>
    </row>
    <row r="1670" spans="1:10" s="3" customFormat="1" x14ac:dyDescent="0.25">
      <c r="A1670" s="20">
        <v>42024</v>
      </c>
      <c r="B1670" s="21">
        <v>9577</v>
      </c>
      <c r="C1670" s="14" t="s">
        <v>126</v>
      </c>
      <c r="D1670" s="22">
        <v>2295.4</v>
      </c>
      <c r="E1670" s="23">
        <v>42024</v>
      </c>
      <c r="F1670" s="24">
        <v>2295.4</v>
      </c>
      <c r="G1670" s="31">
        <f t="shared" si="26"/>
        <v>0</v>
      </c>
      <c r="H1670" s="19" t="s">
        <v>59</v>
      </c>
      <c r="I1670" s="4"/>
      <c r="J1670" s="4"/>
    </row>
    <row r="1671" spans="1:10" s="3" customFormat="1" x14ac:dyDescent="0.25">
      <c r="A1671" s="20">
        <v>42024</v>
      </c>
      <c r="B1671" s="21">
        <v>9578</v>
      </c>
      <c r="C1671" s="14" t="s">
        <v>82</v>
      </c>
      <c r="D1671" s="22">
        <v>5898.8</v>
      </c>
      <c r="E1671" s="23">
        <v>42024</v>
      </c>
      <c r="F1671" s="24">
        <v>5898.8</v>
      </c>
      <c r="G1671" s="31">
        <f t="shared" si="26"/>
        <v>0</v>
      </c>
      <c r="H1671" s="19" t="s">
        <v>59</v>
      </c>
      <c r="I1671" s="4"/>
      <c r="J1671" s="4"/>
    </row>
    <row r="1672" spans="1:10" s="3" customFormat="1" x14ac:dyDescent="0.25">
      <c r="A1672" s="20">
        <v>42024</v>
      </c>
      <c r="B1672" s="21">
        <v>9579</v>
      </c>
      <c r="C1672" s="14" t="s">
        <v>14</v>
      </c>
      <c r="D1672" s="22">
        <v>5829.6</v>
      </c>
      <c r="E1672" s="23">
        <v>42026</v>
      </c>
      <c r="F1672" s="24">
        <v>5829.6</v>
      </c>
      <c r="G1672" s="31">
        <f t="shared" si="26"/>
        <v>0</v>
      </c>
      <c r="H1672" s="19" t="s">
        <v>15</v>
      </c>
      <c r="I1672" s="4"/>
      <c r="J1672" s="28"/>
    </row>
    <row r="1673" spans="1:10" s="3" customFormat="1" x14ac:dyDescent="0.25">
      <c r="A1673" s="20">
        <v>42024</v>
      </c>
      <c r="B1673" s="21">
        <v>9580</v>
      </c>
      <c r="C1673" s="14" t="s">
        <v>57</v>
      </c>
      <c r="D1673" s="22">
        <v>630</v>
      </c>
      <c r="E1673" s="23">
        <v>42024</v>
      </c>
      <c r="F1673" s="24">
        <v>630</v>
      </c>
      <c r="G1673" s="31">
        <f t="shared" si="26"/>
        <v>0</v>
      </c>
      <c r="H1673" s="19" t="s">
        <v>59</v>
      </c>
      <c r="I1673" s="4"/>
      <c r="J1673" s="28"/>
    </row>
    <row r="1674" spans="1:10" s="3" customFormat="1" x14ac:dyDescent="0.25">
      <c r="A1674" s="20">
        <v>42024</v>
      </c>
      <c r="B1674" s="21">
        <v>9581</v>
      </c>
      <c r="C1674" s="14" t="s">
        <v>370</v>
      </c>
      <c r="D1674" s="22">
        <v>6277.6</v>
      </c>
      <c r="E1674" s="23">
        <v>42024</v>
      </c>
      <c r="F1674" s="24">
        <v>6277.6</v>
      </c>
      <c r="G1674" s="31">
        <f t="shared" si="26"/>
        <v>0</v>
      </c>
      <c r="H1674" s="19" t="s">
        <v>9</v>
      </c>
      <c r="I1674" s="4"/>
      <c r="J1674" s="4"/>
    </row>
    <row r="1675" spans="1:10" s="3" customFormat="1" x14ac:dyDescent="0.25">
      <c r="A1675" s="20">
        <v>42024</v>
      </c>
      <c r="B1675" s="21">
        <v>9582</v>
      </c>
      <c r="C1675" s="14" t="s">
        <v>45</v>
      </c>
      <c r="D1675" s="22">
        <v>3575.7</v>
      </c>
      <c r="E1675" s="23">
        <v>42032</v>
      </c>
      <c r="F1675" s="24">
        <v>3575.7</v>
      </c>
      <c r="G1675" s="31">
        <f t="shared" si="26"/>
        <v>0</v>
      </c>
      <c r="H1675" s="19" t="s">
        <v>59</v>
      </c>
      <c r="I1675" s="4"/>
      <c r="J1675" s="4"/>
    </row>
    <row r="1676" spans="1:10" s="3" customFormat="1" x14ac:dyDescent="0.25">
      <c r="A1676" s="20">
        <v>42024</v>
      </c>
      <c r="B1676" s="21">
        <v>9583</v>
      </c>
      <c r="C1676" s="14" t="s">
        <v>224</v>
      </c>
      <c r="D1676" s="22">
        <v>4473.1000000000004</v>
      </c>
      <c r="E1676" s="23">
        <v>42024</v>
      </c>
      <c r="F1676" s="24">
        <v>4473.1000000000004</v>
      </c>
      <c r="G1676" s="31">
        <f t="shared" si="26"/>
        <v>0</v>
      </c>
      <c r="H1676" s="19" t="s">
        <v>187</v>
      </c>
      <c r="I1676" s="4"/>
      <c r="J1676" s="4"/>
    </row>
    <row r="1677" spans="1:10" s="3" customFormat="1" x14ac:dyDescent="0.25">
      <c r="A1677" s="20">
        <v>42024</v>
      </c>
      <c r="B1677" s="21">
        <v>9584</v>
      </c>
      <c r="C1677" s="14" t="s">
        <v>106</v>
      </c>
      <c r="D1677" s="22">
        <v>3756</v>
      </c>
      <c r="E1677" s="23">
        <v>42024</v>
      </c>
      <c r="F1677" s="24">
        <v>3756</v>
      </c>
      <c r="G1677" s="31">
        <f t="shared" si="26"/>
        <v>0</v>
      </c>
      <c r="H1677" s="19" t="s">
        <v>187</v>
      </c>
      <c r="I1677" s="4"/>
      <c r="J1677" s="4"/>
    </row>
    <row r="1678" spans="1:10" s="3" customFormat="1" x14ac:dyDescent="0.25">
      <c r="A1678" s="20">
        <v>42024</v>
      </c>
      <c r="B1678" s="21">
        <v>9585</v>
      </c>
      <c r="C1678" s="14" t="s">
        <v>26</v>
      </c>
      <c r="D1678" s="22">
        <v>1728</v>
      </c>
      <c r="E1678" s="23">
        <v>42024</v>
      </c>
      <c r="F1678" s="24">
        <v>1728</v>
      </c>
      <c r="G1678" s="31">
        <f t="shared" si="26"/>
        <v>0</v>
      </c>
      <c r="H1678" s="19" t="s">
        <v>27</v>
      </c>
      <c r="I1678" s="4"/>
      <c r="J1678" s="4"/>
    </row>
    <row r="1679" spans="1:10" s="3" customFormat="1" x14ac:dyDescent="0.25">
      <c r="A1679" s="20">
        <v>42024</v>
      </c>
      <c r="B1679" s="21">
        <v>9586</v>
      </c>
      <c r="C1679" s="14" t="s">
        <v>49</v>
      </c>
      <c r="D1679" s="22">
        <v>1570</v>
      </c>
      <c r="E1679" s="23">
        <v>42024</v>
      </c>
      <c r="F1679" s="24">
        <v>1570</v>
      </c>
      <c r="G1679" s="31">
        <f t="shared" si="26"/>
        <v>0</v>
      </c>
      <c r="H1679" s="19" t="s">
        <v>27</v>
      </c>
      <c r="I1679" s="4"/>
      <c r="J1679" s="4"/>
    </row>
    <row r="1680" spans="1:10" s="3" customFormat="1" x14ac:dyDescent="0.25">
      <c r="A1680" s="20">
        <v>42024</v>
      </c>
      <c r="B1680" s="21">
        <v>9587</v>
      </c>
      <c r="C1680" s="14" t="s">
        <v>294</v>
      </c>
      <c r="D1680" s="22">
        <v>7275.4</v>
      </c>
      <c r="E1680" s="23">
        <v>42024</v>
      </c>
      <c r="F1680" s="24">
        <v>7275.4</v>
      </c>
      <c r="G1680" s="31">
        <f t="shared" si="26"/>
        <v>0</v>
      </c>
      <c r="H1680" s="19" t="s">
        <v>9</v>
      </c>
      <c r="I1680" s="4"/>
      <c r="J1680" s="4"/>
    </row>
    <row r="1681" spans="1:10" s="3" customFormat="1" x14ac:dyDescent="0.25">
      <c r="A1681" s="20">
        <v>42024</v>
      </c>
      <c r="B1681" s="21">
        <v>9588</v>
      </c>
      <c r="C1681" s="14" t="s">
        <v>221</v>
      </c>
      <c r="D1681" s="22">
        <v>1700</v>
      </c>
      <c r="E1681" s="23">
        <v>42024</v>
      </c>
      <c r="F1681" s="24">
        <v>1700</v>
      </c>
      <c r="G1681" s="31">
        <f t="shared" si="26"/>
        <v>0</v>
      </c>
      <c r="H1681" s="19" t="s">
        <v>59</v>
      </c>
      <c r="I1681" s="4"/>
      <c r="J1681" s="4"/>
    </row>
    <row r="1682" spans="1:10" s="3" customFormat="1" x14ac:dyDescent="0.25">
      <c r="A1682" s="20">
        <v>42024</v>
      </c>
      <c r="B1682" s="21">
        <v>9589</v>
      </c>
      <c r="C1682" s="14" t="s">
        <v>145</v>
      </c>
      <c r="D1682" s="22">
        <v>9090</v>
      </c>
      <c r="E1682" s="23">
        <v>42024</v>
      </c>
      <c r="F1682" s="24">
        <v>9090</v>
      </c>
      <c r="G1682" s="31">
        <f t="shared" si="26"/>
        <v>0</v>
      </c>
      <c r="H1682" s="19" t="s">
        <v>9</v>
      </c>
      <c r="I1682" s="4"/>
      <c r="J1682" s="4"/>
    </row>
    <row r="1683" spans="1:10" s="3" customFormat="1" x14ac:dyDescent="0.25">
      <c r="A1683" s="20">
        <v>42024</v>
      </c>
      <c r="B1683" s="21">
        <v>9590</v>
      </c>
      <c r="C1683" s="14" t="s">
        <v>123</v>
      </c>
      <c r="D1683" s="22">
        <v>3456.8</v>
      </c>
      <c r="E1683" s="23">
        <v>42025</v>
      </c>
      <c r="F1683" s="24">
        <v>3456.8</v>
      </c>
      <c r="G1683" s="31">
        <f t="shared" si="26"/>
        <v>0</v>
      </c>
      <c r="H1683" s="62" t="s">
        <v>36</v>
      </c>
      <c r="I1683" s="4"/>
      <c r="J1683" s="28"/>
    </row>
    <row r="1684" spans="1:10" s="3" customFormat="1" x14ac:dyDescent="0.25">
      <c r="A1684" s="20">
        <v>42024</v>
      </c>
      <c r="B1684" s="21">
        <v>9591</v>
      </c>
      <c r="C1684" s="14" t="s">
        <v>56</v>
      </c>
      <c r="D1684" s="22">
        <v>14704.4</v>
      </c>
      <c r="E1684" s="23">
        <v>42025</v>
      </c>
      <c r="F1684" s="24">
        <v>14704.4</v>
      </c>
      <c r="G1684" s="31">
        <f t="shared" si="26"/>
        <v>0</v>
      </c>
      <c r="H1684" s="62" t="s">
        <v>36</v>
      </c>
      <c r="I1684" s="4"/>
      <c r="J1684" s="28"/>
    </row>
    <row r="1685" spans="1:10" s="3" customFormat="1" x14ac:dyDescent="0.25">
      <c r="A1685" s="20">
        <v>42024</v>
      </c>
      <c r="B1685" s="21">
        <v>9592</v>
      </c>
      <c r="C1685" s="14" t="s">
        <v>30</v>
      </c>
      <c r="D1685" s="22">
        <v>1370.8</v>
      </c>
      <c r="E1685" s="23">
        <v>42024</v>
      </c>
      <c r="F1685" s="24">
        <v>1370.8</v>
      </c>
      <c r="G1685" s="31">
        <f t="shared" si="26"/>
        <v>0</v>
      </c>
      <c r="H1685" s="62" t="s">
        <v>9</v>
      </c>
      <c r="I1685" s="4"/>
      <c r="J1685" s="4"/>
    </row>
    <row r="1686" spans="1:10" s="3" customFormat="1" x14ac:dyDescent="0.25">
      <c r="A1686" s="20">
        <v>42024</v>
      </c>
      <c r="B1686" s="21">
        <v>9593</v>
      </c>
      <c r="C1686" s="14" t="s">
        <v>270</v>
      </c>
      <c r="D1686" s="22">
        <v>331.5</v>
      </c>
      <c r="E1686" s="23">
        <v>42024</v>
      </c>
      <c r="F1686" s="24">
        <v>331.5</v>
      </c>
      <c r="G1686" s="31">
        <f t="shared" si="26"/>
        <v>0</v>
      </c>
      <c r="H1686" s="62" t="s">
        <v>9</v>
      </c>
      <c r="I1686" s="4"/>
      <c r="J1686" s="4"/>
    </row>
    <row r="1687" spans="1:10" s="3" customFormat="1" x14ac:dyDescent="0.25">
      <c r="A1687" s="20">
        <v>42024</v>
      </c>
      <c r="B1687" s="21">
        <v>9594</v>
      </c>
      <c r="C1687" s="14" t="s">
        <v>60</v>
      </c>
      <c r="D1687" s="22">
        <v>2368.8000000000002</v>
      </c>
      <c r="E1687" s="23">
        <v>42025</v>
      </c>
      <c r="F1687" s="24">
        <v>2368.8000000000002</v>
      </c>
      <c r="G1687" s="31">
        <f t="shared" si="26"/>
        <v>0</v>
      </c>
      <c r="H1687" s="62" t="s">
        <v>36</v>
      </c>
      <c r="I1687" s="4"/>
      <c r="J1687" s="4"/>
    </row>
    <row r="1688" spans="1:10" s="3" customFormat="1" x14ac:dyDescent="0.25">
      <c r="A1688" s="20">
        <v>42024</v>
      </c>
      <c r="B1688" s="21">
        <v>9595</v>
      </c>
      <c r="C1688" s="14" t="s">
        <v>55</v>
      </c>
      <c r="D1688" s="22">
        <v>25950</v>
      </c>
      <c r="E1688" s="23">
        <v>42025</v>
      </c>
      <c r="F1688" s="24">
        <v>25950</v>
      </c>
      <c r="G1688" s="31">
        <f t="shared" si="26"/>
        <v>0</v>
      </c>
      <c r="H1688" s="62" t="s">
        <v>36</v>
      </c>
      <c r="I1688" s="4"/>
      <c r="J1688" s="4"/>
    </row>
    <row r="1689" spans="1:10" s="3" customFormat="1" x14ac:dyDescent="0.25">
      <c r="A1689" s="20">
        <v>42024</v>
      </c>
      <c r="B1689" s="21">
        <v>9596</v>
      </c>
      <c r="C1689" s="14" t="s">
        <v>130</v>
      </c>
      <c r="D1689" s="22">
        <v>3102.6</v>
      </c>
      <c r="E1689" s="23">
        <v>42026</v>
      </c>
      <c r="F1689" s="24">
        <v>3102.6</v>
      </c>
      <c r="G1689" s="31">
        <f t="shared" si="26"/>
        <v>0</v>
      </c>
      <c r="H1689" s="62" t="s">
        <v>17</v>
      </c>
      <c r="I1689" s="4"/>
      <c r="J1689" s="4"/>
    </row>
    <row r="1690" spans="1:10" s="3" customFormat="1" x14ac:dyDescent="0.25">
      <c r="A1690" s="20">
        <v>42024</v>
      </c>
      <c r="B1690" s="21">
        <v>9597</v>
      </c>
      <c r="C1690" s="14" t="s">
        <v>155</v>
      </c>
      <c r="D1690" s="22">
        <v>1570.4</v>
      </c>
      <c r="E1690" s="23">
        <v>42024</v>
      </c>
      <c r="F1690" s="24">
        <v>1570.4</v>
      </c>
      <c r="G1690" s="31">
        <f t="shared" si="26"/>
        <v>0</v>
      </c>
      <c r="H1690" s="19" t="s">
        <v>59</v>
      </c>
      <c r="I1690" s="4"/>
      <c r="J1690" s="4"/>
    </row>
    <row r="1691" spans="1:10" s="3" customFormat="1" x14ac:dyDescent="0.25">
      <c r="A1691" s="20">
        <v>42024</v>
      </c>
      <c r="B1691" s="21">
        <v>9598</v>
      </c>
      <c r="C1691" s="14" t="s">
        <v>64</v>
      </c>
      <c r="D1691" s="22">
        <v>2713.3</v>
      </c>
      <c r="E1691" s="23">
        <v>42024</v>
      </c>
      <c r="F1691" s="24">
        <v>2713.3</v>
      </c>
      <c r="G1691" s="31">
        <f t="shared" si="26"/>
        <v>0</v>
      </c>
      <c r="H1691" s="62" t="s">
        <v>9</v>
      </c>
      <c r="I1691" s="4"/>
      <c r="J1691" s="4"/>
    </row>
    <row r="1692" spans="1:10" s="3" customFormat="1" x14ac:dyDescent="0.25">
      <c r="A1692" s="20">
        <v>42024</v>
      </c>
      <c r="B1692" s="21">
        <v>9599</v>
      </c>
      <c r="C1692" s="14" t="s">
        <v>401</v>
      </c>
      <c r="D1692" s="22">
        <v>26793.599999999999</v>
      </c>
      <c r="E1692" s="23">
        <v>42025</v>
      </c>
      <c r="F1692" s="24">
        <v>26793.599999999999</v>
      </c>
      <c r="G1692" s="31">
        <f t="shared" si="26"/>
        <v>0</v>
      </c>
      <c r="H1692" s="62" t="s">
        <v>36</v>
      </c>
      <c r="I1692" s="4"/>
      <c r="J1692" s="4"/>
    </row>
    <row r="1693" spans="1:10" s="3" customFormat="1" x14ac:dyDescent="0.25">
      <c r="A1693" s="20">
        <v>42024</v>
      </c>
      <c r="B1693" s="21">
        <v>9600</v>
      </c>
      <c r="C1693" s="14" t="s">
        <v>131</v>
      </c>
      <c r="D1693" s="22">
        <v>6254.8</v>
      </c>
      <c r="E1693" s="23">
        <v>42025</v>
      </c>
      <c r="F1693" s="24">
        <v>6254.8</v>
      </c>
      <c r="G1693" s="31">
        <f t="shared" si="26"/>
        <v>0</v>
      </c>
      <c r="H1693" s="62" t="s">
        <v>17</v>
      </c>
      <c r="I1693" s="4"/>
      <c r="J1693" s="4"/>
    </row>
    <row r="1694" spans="1:10" s="3" customFormat="1" x14ac:dyDescent="0.25">
      <c r="A1694" s="20">
        <v>42024</v>
      </c>
      <c r="B1694" s="21">
        <v>9601</v>
      </c>
      <c r="C1694" s="14" t="s">
        <v>81</v>
      </c>
      <c r="D1694" s="22">
        <v>1468.8</v>
      </c>
      <c r="E1694" s="23">
        <v>42024</v>
      </c>
      <c r="F1694" s="24">
        <v>1468.8</v>
      </c>
      <c r="G1694" s="31">
        <f t="shared" si="26"/>
        <v>0</v>
      </c>
      <c r="H1694" s="62" t="s">
        <v>59</v>
      </c>
      <c r="I1694" s="4"/>
      <c r="J1694" s="4"/>
    </row>
    <row r="1695" spans="1:10" s="3" customFormat="1" x14ac:dyDescent="0.25">
      <c r="A1695" s="20">
        <v>42024</v>
      </c>
      <c r="B1695" s="21">
        <v>9602</v>
      </c>
      <c r="C1695" s="14" t="s">
        <v>134</v>
      </c>
      <c r="D1695" s="22">
        <v>2647.7</v>
      </c>
      <c r="E1695" s="23">
        <v>42025</v>
      </c>
      <c r="F1695" s="24">
        <v>2647.7</v>
      </c>
      <c r="G1695" s="31">
        <f t="shared" si="26"/>
        <v>0</v>
      </c>
      <c r="H1695" s="62" t="s">
        <v>36</v>
      </c>
      <c r="I1695" s="4"/>
      <c r="J1695" s="4"/>
    </row>
    <row r="1696" spans="1:10" s="3" customFormat="1" x14ac:dyDescent="0.25">
      <c r="A1696" s="20">
        <v>42024</v>
      </c>
      <c r="B1696" s="21">
        <v>9603</v>
      </c>
      <c r="C1696" s="14" t="s">
        <v>168</v>
      </c>
      <c r="D1696" s="22">
        <v>8966</v>
      </c>
      <c r="E1696" s="23">
        <v>42024</v>
      </c>
      <c r="F1696" s="24">
        <v>8966</v>
      </c>
      <c r="G1696" s="31">
        <f t="shared" si="26"/>
        <v>0</v>
      </c>
      <c r="H1696" s="62" t="s">
        <v>59</v>
      </c>
      <c r="I1696" s="4"/>
      <c r="J1696" s="4"/>
    </row>
    <row r="1697" spans="1:10" s="3" customFormat="1" x14ac:dyDescent="0.25">
      <c r="A1697" s="20">
        <v>42024</v>
      </c>
      <c r="B1697" s="21">
        <v>9604</v>
      </c>
      <c r="C1697" s="14" t="s">
        <v>128</v>
      </c>
      <c r="D1697" s="22">
        <v>5056.2</v>
      </c>
      <c r="E1697" s="23">
        <v>42024</v>
      </c>
      <c r="F1697" s="24">
        <v>5056.2</v>
      </c>
      <c r="G1697" s="31">
        <f t="shared" si="26"/>
        <v>0</v>
      </c>
      <c r="H1697" s="62" t="s">
        <v>17</v>
      </c>
      <c r="I1697" s="4"/>
      <c r="J1697" s="4"/>
    </row>
    <row r="1698" spans="1:10" s="3" customFormat="1" x14ac:dyDescent="0.25">
      <c r="A1698" s="20">
        <v>42024</v>
      </c>
      <c r="B1698" s="21">
        <v>9605</v>
      </c>
      <c r="C1698" s="14" t="s">
        <v>125</v>
      </c>
      <c r="D1698" s="22">
        <v>15377.2</v>
      </c>
      <c r="E1698" s="23">
        <v>42024</v>
      </c>
      <c r="F1698" s="46">
        <v>15377.2</v>
      </c>
      <c r="G1698" s="31">
        <f t="shared" si="26"/>
        <v>0</v>
      </c>
      <c r="H1698" s="62" t="s">
        <v>9</v>
      </c>
      <c r="I1698" s="4"/>
      <c r="J1698" s="4"/>
    </row>
    <row r="1699" spans="1:10" s="3" customFormat="1" x14ac:dyDescent="0.25">
      <c r="A1699" s="20">
        <v>42024</v>
      </c>
      <c r="B1699" s="21">
        <v>9606</v>
      </c>
      <c r="C1699" s="14" t="s">
        <v>132</v>
      </c>
      <c r="D1699" s="22">
        <v>916</v>
      </c>
      <c r="E1699" s="23">
        <v>42024</v>
      </c>
      <c r="F1699" s="46">
        <v>916</v>
      </c>
      <c r="G1699" s="31">
        <f t="shared" si="26"/>
        <v>0</v>
      </c>
      <c r="H1699" s="62" t="s">
        <v>17</v>
      </c>
      <c r="I1699" s="4"/>
      <c r="J1699" s="4"/>
    </row>
    <row r="1700" spans="1:10" s="3" customFormat="1" x14ac:dyDescent="0.25">
      <c r="A1700" s="20">
        <v>42024</v>
      </c>
      <c r="B1700" s="21">
        <v>9607</v>
      </c>
      <c r="C1700" s="14" t="s">
        <v>165</v>
      </c>
      <c r="D1700" s="22">
        <v>3263.4</v>
      </c>
      <c r="E1700" s="23">
        <v>42024</v>
      </c>
      <c r="F1700" s="46">
        <v>3263.4</v>
      </c>
      <c r="G1700" s="31">
        <f t="shared" si="26"/>
        <v>0</v>
      </c>
      <c r="H1700" s="62" t="s">
        <v>17</v>
      </c>
      <c r="I1700" s="4"/>
      <c r="J1700" s="4"/>
    </row>
    <row r="1701" spans="1:10" s="3" customFormat="1" x14ac:dyDescent="0.25">
      <c r="A1701" s="20">
        <v>42024</v>
      </c>
      <c r="B1701" s="21">
        <v>9608</v>
      </c>
      <c r="C1701" s="14" t="s">
        <v>95</v>
      </c>
      <c r="D1701" s="22">
        <v>3493.2</v>
      </c>
      <c r="E1701" s="23">
        <v>42025</v>
      </c>
      <c r="F1701" s="46">
        <v>3493.2</v>
      </c>
      <c r="G1701" s="31">
        <f t="shared" si="26"/>
        <v>0</v>
      </c>
      <c r="H1701" s="62" t="s">
        <v>94</v>
      </c>
      <c r="I1701" s="4"/>
      <c r="J1701" s="4"/>
    </row>
    <row r="1702" spans="1:10" s="3" customFormat="1" x14ac:dyDescent="0.25">
      <c r="A1702" s="20">
        <v>42024</v>
      </c>
      <c r="B1702" s="21">
        <v>9609</v>
      </c>
      <c r="C1702" s="14" t="s">
        <v>225</v>
      </c>
      <c r="D1702" s="22">
        <v>3078.5</v>
      </c>
      <c r="E1702" s="23">
        <v>42024</v>
      </c>
      <c r="F1702" s="46">
        <v>3078.5</v>
      </c>
      <c r="G1702" s="31">
        <f t="shared" si="26"/>
        <v>0</v>
      </c>
      <c r="H1702" s="62" t="s">
        <v>9</v>
      </c>
      <c r="I1702" s="4"/>
      <c r="J1702" s="4"/>
    </row>
    <row r="1703" spans="1:10" s="3" customFormat="1" x14ac:dyDescent="0.25">
      <c r="A1703" s="20">
        <v>42024</v>
      </c>
      <c r="B1703" s="21">
        <v>9610</v>
      </c>
      <c r="C1703" s="14" t="s">
        <v>228</v>
      </c>
      <c r="D1703" s="22">
        <v>2860.1</v>
      </c>
      <c r="E1703" s="23">
        <v>42024</v>
      </c>
      <c r="F1703" s="46">
        <v>2860.1</v>
      </c>
      <c r="G1703" s="31">
        <f t="shared" si="26"/>
        <v>0</v>
      </c>
      <c r="H1703" s="62" t="s">
        <v>9</v>
      </c>
      <c r="I1703" s="4"/>
      <c r="J1703" s="4"/>
    </row>
    <row r="1704" spans="1:10" s="3" customFormat="1" x14ac:dyDescent="0.25">
      <c r="A1704" s="20">
        <v>42024</v>
      </c>
      <c r="B1704" s="21">
        <v>9611</v>
      </c>
      <c r="C1704" s="14" t="s">
        <v>98</v>
      </c>
      <c r="D1704" s="22">
        <v>1844</v>
      </c>
      <c r="E1704" s="23">
        <v>42025</v>
      </c>
      <c r="F1704" s="46">
        <v>1844</v>
      </c>
      <c r="G1704" s="31">
        <f t="shared" si="26"/>
        <v>0</v>
      </c>
      <c r="H1704" s="62" t="s">
        <v>94</v>
      </c>
      <c r="I1704" s="4"/>
      <c r="J1704" s="28"/>
    </row>
    <row r="1705" spans="1:10" s="3" customFormat="1" x14ac:dyDescent="0.25">
      <c r="A1705" s="20">
        <v>42024</v>
      </c>
      <c r="B1705" s="21">
        <v>9612</v>
      </c>
      <c r="C1705" s="14" t="s">
        <v>190</v>
      </c>
      <c r="D1705" s="22">
        <v>5252.8</v>
      </c>
      <c r="E1705" s="23">
        <v>42025</v>
      </c>
      <c r="F1705" s="46">
        <v>5252.8</v>
      </c>
      <c r="G1705" s="31">
        <f t="shared" si="26"/>
        <v>0</v>
      </c>
      <c r="H1705" s="62" t="s">
        <v>94</v>
      </c>
      <c r="I1705" s="4"/>
      <c r="J1705" s="4"/>
    </row>
    <row r="1706" spans="1:10" s="3" customFormat="1" x14ac:dyDescent="0.25">
      <c r="A1706" s="20">
        <v>42024</v>
      </c>
      <c r="B1706" s="21">
        <v>9613</v>
      </c>
      <c r="C1706" s="14" t="s">
        <v>100</v>
      </c>
      <c r="D1706" s="22">
        <v>2770.2</v>
      </c>
      <c r="E1706" s="23">
        <v>42024</v>
      </c>
      <c r="F1706" s="46">
        <v>2770.2</v>
      </c>
      <c r="G1706" s="31">
        <f t="shared" si="26"/>
        <v>0</v>
      </c>
      <c r="H1706" s="62" t="s">
        <v>62</v>
      </c>
      <c r="I1706" s="4"/>
      <c r="J1706" s="4"/>
    </row>
    <row r="1707" spans="1:10" s="3" customFormat="1" x14ac:dyDescent="0.25">
      <c r="A1707" s="20">
        <v>42024</v>
      </c>
      <c r="B1707" s="21">
        <v>9614</v>
      </c>
      <c r="C1707" s="14" t="s">
        <v>34</v>
      </c>
      <c r="D1707" s="22">
        <v>4224</v>
      </c>
      <c r="E1707" s="23">
        <v>42024</v>
      </c>
      <c r="F1707" s="46">
        <v>4224</v>
      </c>
      <c r="G1707" s="31">
        <f t="shared" si="26"/>
        <v>0</v>
      </c>
      <c r="H1707" s="62" t="s">
        <v>9</v>
      </c>
      <c r="I1707" s="4"/>
      <c r="J1707" s="4"/>
    </row>
    <row r="1708" spans="1:10" s="3" customFormat="1" x14ac:dyDescent="0.25">
      <c r="A1708" s="20">
        <v>42024</v>
      </c>
      <c r="B1708" s="21">
        <v>9615</v>
      </c>
      <c r="C1708" s="14" t="s">
        <v>34</v>
      </c>
      <c r="D1708" s="22">
        <v>210</v>
      </c>
      <c r="E1708" s="23">
        <v>42024</v>
      </c>
      <c r="F1708" s="46">
        <v>210</v>
      </c>
      <c r="G1708" s="31">
        <f t="shared" si="26"/>
        <v>0</v>
      </c>
      <c r="H1708" s="62" t="s">
        <v>9</v>
      </c>
      <c r="I1708" s="4"/>
      <c r="J1708" s="4"/>
    </row>
    <row r="1709" spans="1:10" s="3" customFormat="1" x14ac:dyDescent="0.25">
      <c r="A1709" s="20">
        <v>42024</v>
      </c>
      <c r="B1709" s="21">
        <v>9616</v>
      </c>
      <c r="C1709" s="14" t="s">
        <v>101</v>
      </c>
      <c r="D1709" s="22">
        <v>848</v>
      </c>
      <c r="E1709" s="23">
        <v>42025</v>
      </c>
      <c r="F1709" s="46">
        <v>848</v>
      </c>
      <c r="G1709" s="31">
        <f t="shared" si="26"/>
        <v>0</v>
      </c>
      <c r="H1709" s="62" t="s">
        <v>94</v>
      </c>
      <c r="I1709" s="4"/>
      <c r="J1709" s="4"/>
    </row>
    <row r="1710" spans="1:10" s="3" customFormat="1" x14ac:dyDescent="0.25">
      <c r="A1710" s="20">
        <v>42024</v>
      </c>
      <c r="B1710" s="21">
        <v>9617</v>
      </c>
      <c r="C1710" s="14" t="s">
        <v>96</v>
      </c>
      <c r="D1710" s="22">
        <v>5530.27</v>
      </c>
      <c r="E1710" s="23">
        <v>42025</v>
      </c>
      <c r="F1710" s="46">
        <v>5530.27</v>
      </c>
      <c r="G1710" s="31">
        <f t="shared" si="26"/>
        <v>0</v>
      </c>
      <c r="H1710" s="62" t="s">
        <v>94</v>
      </c>
      <c r="I1710" s="4"/>
      <c r="J1710" s="4"/>
    </row>
    <row r="1711" spans="1:10" s="3" customFormat="1" x14ac:dyDescent="0.25">
      <c r="A1711" s="20">
        <v>42024</v>
      </c>
      <c r="B1711" s="21">
        <v>9618</v>
      </c>
      <c r="C1711" s="14" t="s">
        <v>102</v>
      </c>
      <c r="D1711" s="22">
        <v>1197.5999999999999</v>
      </c>
      <c r="E1711" s="23">
        <v>42024</v>
      </c>
      <c r="F1711" s="46">
        <v>1197.5999999999999</v>
      </c>
      <c r="G1711" s="31">
        <f t="shared" si="26"/>
        <v>0</v>
      </c>
      <c r="H1711" s="62" t="s">
        <v>9</v>
      </c>
      <c r="I1711" s="4"/>
      <c r="J1711" s="4"/>
    </row>
    <row r="1712" spans="1:10" s="3" customFormat="1" x14ac:dyDescent="0.25">
      <c r="A1712" s="20">
        <v>42024</v>
      </c>
      <c r="B1712" s="21">
        <v>9619</v>
      </c>
      <c r="C1712" s="14" t="s">
        <v>140</v>
      </c>
      <c r="D1712" s="22">
        <v>9212</v>
      </c>
      <c r="E1712" s="23">
        <v>42025</v>
      </c>
      <c r="F1712" s="46">
        <v>9212</v>
      </c>
      <c r="G1712" s="31">
        <f t="shared" si="26"/>
        <v>0</v>
      </c>
      <c r="H1712" s="62" t="s">
        <v>94</v>
      </c>
      <c r="I1712" s="4"/>
      <c r="J1712" s="4"/>
    </row>
    <row r="1713" spans="1:10" s="3" customFormat="1" x14ac:dyDescent="0.25">
      <c r="A1713" s="20">
        <v>42024</v>
      </c>
      <c r="B1713" s="21">
        <v>9620</v>
      </c>
      <c r="C1713" s="14" t="s">
        <v>89</v>
      </c>
      <c r="D1713" s="22">
        <v>1601</v>
      </c>
      <c r="E1713" s="23">
        <v>42025</v>
      </c>
      <c r="F1713" s="46">
        <v>1601</v>
      </c>
      <c r="G1713" s="31">
        <f t="shared" si="26"/>
        <v>0</v>
      </c>
      <c r="H1713" s="62" t="s">
        <v>62</v>
      </c>
      <c r="I1713" s="4"/>
      <c r="J1713" s="4"/>
    </row>
    <row r="1714" spans="1:10" s="3" customFormat="1" x14ac:dyDescent="0.25">
      <c r="A1714" s="20">
        <v>42024</v>
      </c>
      <c r="B1714" s="21">
        <v>9621</v>
      </c>
      <c r="C1714" s="14" t="s">
        <v>250</v>
      </c>
      <c r="D1714" s="22">
        <v>6763</v>
      </c>
      <c r="E1714" s="23">
        <v>42025</v>
      </c>
      <c r="F1714" s="46">
        <v>6763</v>
      </c>
      <c r="G1714" s="31">
        <f t="shared" si="26"/>
        <v>0</v>
      </c>
      <c r="H1714" s="62" t="s">
        <v>94</v>
      </c>
    </row>
    <row r="1715" spans="1:10" s="3" customFormat="1" x14ac:dyDescent="0.25">
      <c r="A1715" s="20">
        <v>42024</v>
      </c>
      <c r="B1715" s="21">
        <v>9622</v>
      </c>
      <c r="C1715" s="14" t="s">
        <v>48</v>
      </c>
      <c r="D1715" s="22">
        <v>425.6</v>
      </c>
      <c r="E1715" s="23">
        <v>42025</v>
      </c>
      <c r="F1715" s="46">
        <v>425.6</v>
      </c>
      <c r="G1715" s="31">
        <f t="shared" si="26"/>
        <v>0</v>
      </c>
      <c r="H1715" s="62" t="s">
        <v>94</v>
      </c>
    </row>
    <row r="1716" spans="1:10" s="3" customFormat="1" x14ac:dyDescent="0.25">
      <c r="A1716" s="20">
        <v>42024</v>
      </c>
      <c r="B1716" s="21">
        <v>9623</v>
      </c>
      <c r="C1716" s="26" t="s">
        <v>218</v>
      </c>
      <c r="D1716" s="27">
        <v>0</v>
      </c>
      <c r="E1716" s="23"/>
      <c r="F1716" s="46"/>
      <c r="G1716" s="31">
        <f t="shared" si="26"/>
        <v>0</v>
      </c>
      <c r="H1716" s="62" t="s">
        <v>13</v>
      </c>
    </row>
    <row r="1717" spans="1:10" s="3" customFormat="1" x14ac:dyDescent="0.25">
      <c r="A1717" s="20">
        <v>42024</v>
      </c>
      <c r="B1717" s="21">
        <v>9624</v>
      </c>
      <c r="C1717" s="14" t="s">
        <v>383</v>
      </c>
      <c r="D1717" s="22">
        <v>396</v>
      </c>
      <c r="E1717" s="23">
        <v>42024</v>
      </c>
      <c r="F1717" s="46">
        <v>396</v>
      </c>
      <c r="G1717" s="31">
        <f t="shared" si="26"/>
        <v>0</v>
      </c>
      <c r="H1717" s="62" t="s">
        <v>9</v>
      </c>
    </row>
    <row r="1718" spans="1:10" s="3" customFormat="1" x14ac:dyDescent="0.25">
      <c r="A1718" s="20">
        <v>42024</v>
      </c>
      <c r="B1718" s="21">
        <v>9625</v>
      </c>
      <c r="C1718" s="14" t="s">
        <v>136</v>
      </c>
      <c r="D1718" s="22">
        <v>40278.400000000001</v>
      </c>
      <c r="E1718" s="29" t="s">
        <v>402</v>
      </c>
      <c r="F1718" s="46">
        <f>21000+19278.4</f>
        <v>40278.400000000001</v>
      </c>
      <c r="G1718" s="31">
        <f t="shared" si="26"/>
        <v>0</v>
      </c>
      <c r="H1718" s="62" t="s">
        <v>9</v>
      </c>
    </row>
    <row r="1719" spans="1:10" s="3" customFormat="1" x14ac:dyDescent="0.25">
      <c r="A1719" s="20">
        <v>42024</v>
      </c>
      <c r="B1719" s="21">
        <v>9626</v>
      </c>
      <c r="C1719" s="14" t="s">
        <v>87</v>
      </c>
      <c r="D1719" s="22">
        <v>1228.8</v>
      </c>
      <c r="E1719" s="23">
        <v>42024</v>
      </c>
      <c r="F1719" s="46">
        <v>1228.8</v>
      </c>
      <c r="G1719" s="31">
        <f t="shared" si="26"/>
        <v>0</v>
      </c>
      <c r="H1719" s="62" t="s">
        <v>9</v>
      </c>
    </row>
    <row r="1720" spans="1:10" s="3" customFormat="1" x14ac:dyDescent="0.25">
      <c r="A1720" s="20">
        <v>42024</v>
      </c>
      <c r="B1720" s="21">
        <v>9627</v>
      </c>
      <c r="C1720" s="14" t="s">
        <v>141</v>
      </c>
      <c r="D1720" s="22">
        <v>320</v>
      </c>
      <c r="E1720" s="23">
        <v>42024</v>
      </c>
      <c r="F1720" s="46">
        <v>320</v>
      </c>
      <c r="G1720" s="31">
        <f t="shared" si="26"/>
        <v>0</v>
      </c>
      <c r="H1720" s="62" t="s">
        <v>9</v>
      </c>
    </row>
    <row r="1721" spans="1:10" s="3" customFormat="1" x14ac:dyDescent="0.25">
      <c r="A1721" s="20">
        <v>42024</v>
      </c>
      <c r="B1721" s="21">
        <v>9628</v>
      </c>
      <c r="C1721" s="14" t="s">
        <v>111</v>
      </c>
      <c r="D1721" s="22">
        <v>181515</v>
      </c>
      <c r="E1721" s="23">
        <v>42026</v>
      </c>
      <c r="F1721" s="46">
        <v>181515</v>
      </c>
      <c r="G1721" s="31">
        <f t="shared" si="26"/>
        <v>0</v>
      </c>
      <c r="H1721" s="62" t="s">
        <v>9</v>
      </c>
    </row>
    <row r="1722" spans="1:10" s="3" customFormat="1" x14ac:dyDescent="0.25">
      <c r="A1722" s="20">
        <v>42024</v>
      </c>
      <c r="B1722" s="21">
        <v>9629</v>
      </c>
      <c r="C1722" s="14" t="s">
        <v>37</v>
      </c>
      <c r="D1722" s="22">
        <v>25276.48</v>
      </c>
      <c r="E1722" s="23">
        <v>42035</v>
      </c>
      <c r="F1722" s="46">
        <v>25276.48</v>
      </c>
      <c r="G1722" s="31">
        <f t="shared" si="26"/>
        <v>0</v>
      </c>
      <c r="H1722" s="62" t="s">
        <v>36</v>
      </c>
    </row>
    <row r="1723" spans="1:10" s="3" customFormat="1" x14ac:dyDescent="0.25">
      <c r="A1723" s="20">
        <v>42024</v>
      </c>
      <c r="B1723" s="21">
        <v>9630</v>
      </c>
      <c r="C1723" s="14" t="s">
        <v>32</v>
      </c>
      <c r="D1723" s="22">
        <v>9456</v>
      </c>
      <c r="E1723" s="23">
        <v>42035</v>
      </c>
      <c r="F1723" s="46">
        <v>9456</v>
      </c>
      <c r="G1723" s="31">
        <f t="shared" si="26"/>
        <v>0</v>
      </c>
      <c r="H1723" s="62" t="s">
        <v>19</v>
      </c>
    </row>
    <row r="1724" spans="1:10" s="3" customFormat="1" x14ac:dyDescent="0.25">
      <c r="A1724" s="20">
        <v>42024</v>
      </c>
      <c r="B1724" s="21">
        <v>9631</v>
      </c>
      <c r="C1724" s="14" t="s">
        <v>108</v>
      </c>
      <c r="D1724" s="22">
        <v>8802</v>
      </c>
      <c r="E1724" s="23">
        <v>42040</v>
      </c>
      <c r="F1724" s="46">
        <v>8802</v>
      </c>
      <c r="G1724" s="31">
        <f t="shared" si="26"/>
        <v>0</v>
      </c>
      <c r="H1724" s="62" t="s">
        <v>17</v>
      </c>
    </row>
    <row r="1725" spans="1:10" s="3" customFormat="1" x14ac:dyDescent="0.25">
      <c r="A1725" s="20">
        <v>42024</v>
      </c>
      <c r="B1725" s="21">
        <v>9632</v>
      </c>
      <c r="C1725" s="14" t="s">
        <v>138</v>
      </c>
      <c r="D1725" s="22">
        <v>3654</v>
      </c>
      <c r="E1725" s="23">
        <v>42024</v>
      </c>
      <c r="F1725" s="46">
        <v>3654</v>
      </c>
      <c r="G1725" s="31">
        <f t="shared" si="26"/>
        <v>0</v>
      </c>
      <c r="H1725" s="62" t="s">
        <v>17</v>
      </c>
    </row>
    <row r="1726" spans="1:10" s="3" customFormat="1" x14ac:dyDescent="0.25">
      <c r="A1726" s="20">
        <v>42024</v>
      </c>
      <c r="B1726" s="21">
        <v>9633</v>
      </c>
      <c r="C1726" s="14" t="s">
        <v>366</v>
      </c>
      <c r="D1726" s="22">
        <v>4963</v>
      </c>
      <c r="E1726" s="23">
        <v>42024</v>
      </c>
      <c r="F1726" s="46">
        <v>4963</v>
      </c>
      <c r="G1726" s="31">
        <f t="shared" si="26"/>
        <v>0</v>
      </c>
      <c r="H1726" s="62" t="s">
        <v>9</v>
      </c>
    </row>
    <row r="1727" spans="1:10" s="3" customFormat="1" x14ac:dyDescent="0.25">
      <c r="A1727" s="20">
        <v>42024</v>
      </c>
      <c r="B1727" s="21">
        <v>9634</v>
      </c>
      <c r="C1727" s="14" t="s">
        <v>141</v>
      </c>
      <c r="D1727" s="22">
        <v>2742.4</v>
      </c>
      <c r="E1727" s="23">
        <v>42024</v>
      </c>
      <c r="F1727" s="46">
        <v>2742.4</v>
      </c>
      <c r="G1727" s="31">
        <f t="shared" si="26"/>
        <v>0</v>
      </c>
      <c r="H1727" s="62" t="s">
        <v>9</v>
      </c>
    </row>
    <row r="1728" spans="1:10" s="3" customFormat="1" x14ac:dyDescent="0.25">
      <c r="A1728" s="20">
        <v>42024</v>
      </c>
      <c r="B1728" s="21">
        <v>9635</v>
      </c>
      <c r="C1728" s="14" t="s">
        <v>14</v>
      </c>
      <c r="D1728" s="22">
        <v>26081.7</v>
      </c>
      <c r="E1728" s="23">
        <v>42026</v>
      </c>
      <c r="F1728" s="46">
        <v>26081.7</v>
      </c>
      <c r="G1728" s="31">
        <f t="shared" si="26"/>
        <v>0</v>
      </c>
      <c r="H1728" s="62" t="s">
        <v>9</v>
      </c>
    </row>
    <row r="1729" spans="1:10" s="3" customFormat="1" x14ac:dyDescent="0.25">
      <c r="A1729" s="20">
        <v>42024</v>
      </c>
      <c r="B1729" s="21">
        <v>9636</v>
      </c>
      <c r="C1729" s="14" t="s">
        <v>111</v>
      </c>
      <c r="D1729" s="22">
        <v>183738</v>
      </c>
      <c r="E1729" s="23">
        <v>42026</v>
      </c>
      <c r="F1729" s="46">
        <v>183738</v>
      </c>
      <c r="G1729" s="31">
        <f t="shared" si="26"/>
        <v>0</v>
      </c>
      <c r="H1729" s="62" t="s">
        <v>9</v>
      </c>
    </row>
    <row r="1730" spans="1:10" s="3" customFormat="1" x14ac:dyDescent="0.25">
      <c r="A1730" s="20">
        <v>42024</v>
      </c>
      <c r="B1730" s="21">
        <v>9637</v>
      </c>
      <c r="C1730" s="14" t="s">
        <v>391</v>
      </c>
      <c r="D1730" s="22">
        <v>4158.3999999999996</v>
      </c>
      <c r="E1730" s="23">
        <v>42024</v>
      </c>
      <c r="F1730" s="46">
        <v>4158.3999999999996</v>
      </c>
      <c r="G1730" s="31">
        <f t="shared" si="26"/>
        <v>0</v>
      </c>
      <c r="H1730" s="62" t="s">
        <v>9</v>
      </c>
      <c r="I1730" s="4"/>
      <c r="J1730" s="4"/>
    </row>
    <row r="1731" spans="1:10" s="3" customFormat="1" x14ac:dyDescent="0.25">
      <c r="A1731" s="20">
        <v>42024</v>
      </c>
      <c r="B1731" s="21">
        <v>9638</v>
      </c>
      <c r="C1731" s="14" t="s">
        <v>37</v>
      </c>
      <c r="D1731" s="22">
        <v>2492.8000000000002</v>
      </c>
      <c r="E1731" s="23">
        <v>42035</v>
      </c>
      <c r="F1731" s="46">
        <v>2492.8000000000002</v>
      </c>
      <c r="G1731" s="31">
        <f t="shared" ref="G1731:G1794" si="27">D1731-F1731</f>
        <v>0</v>
      </c>
      <c r="H1731" s="62" t="s">
        <v>9</v>
      </c>
      <c r="I1731" s="4"/>
      <c r="J1731" s="4"/>
    </row>
    <row r="1732" spans="1:10" s="3" customFormat="1" x14ac:dyDescent="0.25">
      <c r="A1732" s="20">
        <v>42024</v>
      </c>
      <c r="B1732" s="21">
        <v>9639</v>
      </c>
      <c r="C1732" s="14" t="s">
        <v>14</v>
      </c>
      <c r="D1732" s="22">
        <v>111951</v>
      </c>
      <c r="E1732" s="47" t="s">
        <v>403</v>
      </c>
      <c r="F1732" s="46">
        <f>35000+76951</f>
        <v>111951</v>
      </c>
      <c r="G1732" s="31">
        <f t="shared" si="27"/>
        <v>0</v>
      </c>
      <c r="H1732" s="62" t="s">
        <v>15</v>
      </c>
      <c r="I1732" s="4"/>
      <c r="J1732" s="4"/>
    </row>
    <row r="1733" spans="1:10" s="3" customFormat="1" x14ac:dyDescent="0.25">
      <c r="A1733" s="20">
        <v>42024</v>
      </c>
      <c r="B1733" s="21">
        <v>9640</v>
      </c>
      <c r="C1733" s="26" t="s">
        <v>404</v>
      </c>
      <c r="D1733" s="27">
        <v>0</v>
      </c>
      <c r="E1733" s="23" t="s">
        <v>405</v>
      </c>
      <c r="F1733" s="46"/>
      <c r="G1733" s="31">
        <f t="shared" si="27"/>
        <v>0</v>
      </c>
      <c r="H1733" s="62" t="s">
        <v>9</v>
      </c>
      <c r="I1733" s="4"/>
      <c r="J1733" s="4"/>
    </row>
    <row r="1734" spans="1:10" s="3" customFormat="1" x14ac:dyDescent="0.25">
      <c r="A1734" s="20">
        <v>42024</v>
      </c>
      <c r="B1734" s="21">
        <v>9641</v>
      </c>
      <c r="C1734" s="14" t="s">
        <v>24</v>
      </c>
      <c r="D1734" s="22">
        <v>106179.6</v>
      </c>
      <c r="E1734" s="30">
        <v>42051</v>
      </c>
      <c r="F1734" s="98">
        <v>106179.6</v>
      </c>
      <c r="G1734" s="31">
        <f t="shared" si="27"/>
        <v>0</v>
      </c>
      <c r="H1734" s="62" t="s">
        <v>62</v>
      </c>
      <c r="I1734" s="4"/>
      <c r="J1734" s="4"/>
    </row>
    <row r="1735" spans="1:10" s="3" customFormat="1" x14ac:dyDescent="0.25">
      <c r="A1735" s="20">
        <v>42024</v>
      </c>
      <c r="B1735" s="21">
        <v>9642</v>
      </c>
      <c r="C1735" s="14" t="s">
        <v>74</v>
      </c>
      <c r="D1735" s="22">
        <v>2290.8000000000002</v>
      </c>
      <c r="E1735" s="23">
        <v>42024</v>
      </c>
      <c r="F1735" s="46">
        <v>2290.8000000000002</v>
      </c>
      <c r="G1735" s="31">
        <f t="shared" si="27"/>
        <v>0</v>
      </c>
      <c r="H1735" s="62" t="s">
        <v>9</v>
      </c>
      <c r="I1735" s="4"/>
      <c r="J1735" s="4"/>
    </row>
    <row r="1736" spans="1:10" s="3" customFormat="1" x14ac:dyDescent="0.25">
      <c r="A1736" s="20">
        <v>42024</v>
      </c>
      <c r="B1736" s="21">
        <v>9643</v>
      </c>
      <c r="C1736" s="14" t="s">
        <v>24</v>
      </c>
      <c r="D1736" s="22">
        <v>235729.36</v>
      </c>
      <c r="E1736" s="30">
        <v>42051</v>
      </c>
      <c r="F1736" s="98">
        <v>235729.36</v>
      </c>
      <c r="G1736" s="31">
        <f t="shared" si="27"/>
        <v>0</v>
      </c>
      <c r="H1736" s="62" t="s">
        <v>19</v>
      </c>
      <c r="I1736" s="4"/>
      <c r="J1736" s="4"/>
    </row>
    <row r="1737" spans="1:10" s="3" customFormat="1" x14ac:dyDescent="0.25">
      <c r="A1737" s="20">
        <v>42024</v>
      </c>
      <c r="B1737" s="21">
        <v>9644</v>
      </c>
      <c r="C1737" s="14" t="s">
        <v>234</v>
      </c>
      <c r="D1737" s="22">
        <v>631</v>
      </c>
      <c r="E1737" s="23">
        <v>42024</v>
      </c>
      <c r="F1737" s="46">
        <v>631</v>
      </c>
      <c r="G1737" s="31">
        <f t="shared" si="27"/>
        <v>0</v>
      </c>
      <c r="H1737" s="62" t="s">
        <v>9</v>
      </c>
      <c r="I1737" s="4"/>
      <c r="J1737" s="4"/>
    </row>
    <row r="1738" spans="1:10" s="3" customFormat="1" x14ac:dyDescent="0.25">
      <c r="A1738" s="20">
        <v>42024</v>
      </c>
      <c r="B1738" s="21">
        <v>9645</v>
      </c>
      <c r="C1738" s="14" t="s">
        <v>80</v>
      </c>
      <c r="D1738" s="22">
        <v>7322.4</v>
      </c>
      <c r="E1738" s="23">
        <v>42024</v>
      </c>
      <c r="F1738" s="46">
        <v>7322.4</v>
      </c>
      <c r="G1738" s="31">
        <f t="shared" si="27"/>
        <v>0</v>
      </c>
      <c r="H1738" s="62" t="s">
        <v>9</v>
      </c>
      <c r="I1738" s="4"/>
      <c r="J1738" s="4"/>
    </row>
    <row r="1739" spans="1:10" s="3" customFormat="1" x14ac:dyDescent="0.25">
      <c r="A1739" s="20">
        <v>42024</v>
      </c>
      <c r="B1739" s="21">
        <v>9646</v>
      </c>
      <c r="C1739" s="14" t="s">
        <v>45</v>
      </c>
      <c r="D1739" s="22">
        <v>91512</v>
      </c>
      <c r="E1739" s="23">
        <v>42032</v>
      </c>
      <c r="F1739" s="46">
        <v>91512</v>
      </c>
      <c r="G1739" s="31">
        <f t="shared" si="27"/>
        <v>0</v>
      </c>
      <c r="H1739" s="62" t="s">
        <v>46</v>
      </c>
      <c r="I1739" s="4"/>
      <c r="J1739" s="4"/>
    </row>
    <row r="1740" spans="1:10" s="3" customFormat="1" x14ac:dyDescent="0.25">
      <c r="A1740" s="20">
        <v>42024</v>
      </c>
      <c r="B1740" s="21">
        <v>9647</v>
      </c>
      <c r="C1740" s="14" t="s">
        <v>16</v>
      </c>
      <c r="D1740" s="22">
        <v>4871.6000000000004</v>
      </c>
      <c r="E1740" s="23">
        <v>42025</v>
      </c>
      <c r="F1740" s="46">
        <v>4871.6000000000004</v>
      </c>
      <c r="G1740" s="31">
        <f t="shared" si="27"/>
        <v>0</v>
      </c>
      <c r="H1740" s="62" t="s">
        <v>17</v>
      </c>
      <c r="I1740" s="4"/>
      <c r="J1740" s="4"/>
    </row>
    <row r="1741" spans="1:10" s="3" customFormat="1" x14ac:dyDescent="0.25">
      <c r="A1741" s="20">
        <v>42025</v>
      </c>
      <c r="B1741" s="21">
        <v>9648</v>
      </c>
      <c r="C1741" s="14" t="s">
        <v>128</v>
      </c>
      <c r="D1741" s="22">
        <v>5395.4</v>
      </c>
      <c r="E1741" s="23">
        <v>42025</v>
      </c>
      <c r="F1741" s="46">
        <v>5395.4</v>
      </c>
      <c r="G1741" s="31">
        <f t="shared" si="27"/>
        <v>0</v>
      </c>
      <c r="H1741" s="62" t="s">
        <v>17</v>
      </c>
      <c r="I1741" s="4"/>
      <c r="J1741" s="4"/>
    </row>
    <row r="1742" spans="1:10" s="3" customFormat="1" x14ac:dyDescent="0.25">
      <c r="A1742" s="20">
        <v>42025</v>
      </c>
      <c r="B1742" s="21">
        <v>9649</v>
      </c>
      <c r="C1742" s="14" t="s">
        <v>31</v>
      </c>
      <c r="D1742" s="22">
        <v>2735</v>
      </c>
      <c r="E1742" s="23">
        <v>42025</v>
      </c>
      <c r="F1742" s="46">
        <v>2735</v>
      </c>
      <c r="G1742" s="31">
        <f t="shared" si="27"/>
        <v>0</v>
      </c>
      <c r="H1742" s="62" t="s">
        <v>17</v>
      </c>
      <c r="I1742" s="4"/>
      <c r="J1742" s="4"/>
    </row>
    <row r="1743" spans="1:10" s="3" customFormat="1" x14ac:dyDescent="0.25">
      <c r="A1743" s="20">
        <v>42025</v>
      </c>
      <c r="B1743" s="21">
        <v>9650</v>
      </c>
      <c r="C1743" s="14" t="s">
        <v>35</v>
      </c>
      <c r="D1743" s="22">
        <v>25210.799999999999</v>
      </c>
      <c r="E1743" s="23">
        <v>42025</v>
      </c>
      <c r="F1743" s="46">
        <v>25210.799999999999</v>
      </c>
      <c r="G1743" s="31">
        <f t="shared" si="27"/>
        <v>0</v>
      </c>
      <c r="H1743" s="62" t="s">
        <v>36</v>
      </c>
      <c r="I1743" s="4"/>
      <c r="J1743" s="4"/>
    </row>
    <row r="1744" spans="1:10" s="3" customFormat="1" x14ac:dyDescent="0.25">
      <c r="A1744" s="20">
        <v>42025</v>
      </c>
      <c r="B1744" s="21">
        <v>9651</v>
      </c>
      <c r="C1744" s="14" t="s">
        <v>406</v>
      </c>
      <c r="D1744" s="22">
        <v>25836.6</v>
      </c>
      <c r="E1744" s="23">
        <v>42025</v>
      </c>
      <c r="F1744" s="46">
        <v>25836.6</v>
      </c>
      <c r="G1744" s="31">
        <f t="shared" si="27"/>
        <v>0</v>
      </c>
      <c r="H1744" s="62" t="s">
        <v>36</v>
      </c>
      <c r="I1744" s="4"/>
      <c r="J1744" s="4"/>
    </row>
    <row r="1745" spans="1:10" s="3" customFormat="1" x14ac:dyDescent="0.25">
      <c r="A1745" s="20">
        <v>42025</v>
      </c>
      <c r="B1745" s="21">
        <v>9652</v>
      </c>
      <c r="C1745" s="14" t="s">
        <v>14</v>
      </c>
      <c r="D1745" s="22">
        <v>10759.2</v>
      </c>
      <c r="E1745" s="23">
        <v>42026</v>
      </c>
      <c r="F1745" s="46">
        <v>10759.2</v>
      </c>
      <c r="G1745" s="31">
        <f t="shared" si="27"/>
        <v>0</v>
      </c>
      <c r="H1745" s="62" t="s">
        <v>15</v>
      </c>
      <c r="I1745" s="4"/>
      <c r="J1745" s="28"/>
    </row>
    <row r="1746" spans="1:10" s="3" customFormat="1" x14ac:dyDescent="0.25">
      <c r="A1746" s="20">
        <v>42025</v>
      </c>
      <c r="B1746" s="21">
        <v>9653</v>
      </c>
      <c r="C1746" s="26" t="s">
        <v>218</v>
      </c>
      <c r="D1746" s="27">
        <v>0</v>
      </c>
      <c r="E1746" s="23"/>
      <c r="F1746" s="46"/>
      <c r="G1746" s="31">
        <f t="shared" si="27"/>
        <v>0</v>
      </c>
      <c r="H1746" s="62" t="s">
        <v>13</v>
      </c>
      <c r="I1746" s="4"/>
      <c r="J1746" s="28"/>
    </row>
    <row r="1747" spans="1:10" s="3" customFormat="1" x14ac:dyDescent="0.25">
      <c r="A1747" s="20">
        <v>42025</v>
      </c>
      <c r="B1747" s="21">
        <v>9654</v>
      </c>
      <c r="C1747" s="14" t="s">
        <v>60</v>
      </c>
      <c r="D1747" s="22">
        <v>5040</v>
      </c>
      <c r="E1747" s="23">
        <v>42025</v>
      </c>
      <c r="F1747" s="46">
        <v>5040</v>
      </c>
      <c r="G1747" s="31">
        <f t="shared" si="27"/>
        <v>0</v>
      </c>
      <c r="H1747" s="62" t="s">
        <v>36</v>
      </c>
      <c r="I1747" s="4"/>
      <c r="J1747" s="4"/>
    </row>
    <row r="1748" spans="1:10" s="3" customFormat="1" x14ac:dyDescent="0.25">
      <c r="A1748" s="20">
        <v>42025</v>
      </c>
      <c r="B1748" s="21">
        <v>9655</v>
      </c>
      <c r="C1748" s="14" t="s">
        <v>37</v>
      </c>
      <c r="D1748" s="22">
        <v>51027.82</v>
      </c>
      <c r="E1748" s="23">
        <v>42035</v>
      </c>
      <c r="F1748" s="46">
        <v>51027.82</v>
      </c>
      <c r="G1748" s="31">
        <f t="shared" si="27"/>
        <v>0</v>
      </c>
      <c r="H1748" s="62" t="s">
        <v>36</v>
      </c>
      <c r="I1748" s="4"/>
      <c r="J1748" s="4"/>
    </row>
    <row r="1749" spans="1:10" s="3" customFormat="1" x14ac:dyDescent="0.25">
      <c r="A1749" s="20">
        <v>42025</v>
      </c>
      <c r="B1749" s="21">
        <v>9656</v>
      </c>
      <c r="C1749" s="14" t="s">
        <v>121</v>
      </c>
      <c r="D1749" s="22">
        <v>2591.6</v>
      </c>
      <c r="E1749" s="23">
        <v>42025</v>
      </c>
      <c r="F1749" s="46">
        <v>2591.6</v>
      </c>
      <c r="G1749" s="31">
        <f t="shared" si="27"/>
        <v>0</v>
      </c>
      <c r="H1749" s="62" t="s">
        <v>9</v>
      </c>
      <c r="I1749" s="4"/>
      <c r="J1749" s="4"/>
    </row>
    <row r="1750" spans="1:10" s="3" customFormat="1" x14ac:dyDescent="0.25">
      <c r="A1750" s="20">
        <v>42025</v>
      </c>
      <c r="B1750" s="21">
        <v>9657</v>
      </c>
      <c r="C1750" s="14" t="s">
        <v>26</v>
      </c>
      <c r="D1750" s="22">
        <v>1728</v>
      </c>
      <c r="E1750" s="23">
        <v>42025</v>
      </c>
      <c r="F1750" s="46">
        <v>1728</v>
      </c>
      <c r="G1750" s="31">
        <f t="shared" si="27"/>
        <v>0</v>
      </c>
      <c r="H1750" s="62" t="s">
        <v>27</v>
      </c>
      <c r="I1750" s="4"/>
      <c r="J1750" s="4"/>
    </row>
    <row r="1751" spans="1:10" s="3" customFormat="1" x14ac:dyDescent="0.25">
      <c r="A1751" s="20">
        <v>42025</v>
      </c>
      <c r="B1751" s="21">
        <v>9658</v>
      </c>
      <c r="C1751" s="14" t="s">
        <v>148</v>
      </c>
      <c r="D1751" s="22">
        <v>3845.6</v>
      </c>
      <c r="E1751" s="23">
        <v>42025</v>
      </c>
      <c r="F1751" s="46">
        <v>3845.6</v>
      </c>
      <c r="G1751" s="31">
        <f t="shared" si="27"/>
        <v>0</v>
      </c>
      <c r="H1751" s="62" t="s">
        <v>9</v>
      </c>
      <c r="I1751" s="4"/>
      <c r="J1751" s="4"/>
    </row>
    <row r="1752" spans="1:10" s="3" customFormat="1" x14ac:dyDescent="0.25">
      <c r="A1752" s="20">
        <v>42025</v>
      </c>
      <c r="B1752" s="21">
        <v>9659</v>
      </c>
      <c r="C1752" s="14" t="s">
        <v>158</v>
      </c>
      <c r="D1752" s="22">
        <v>1061.28</v>
      </c>
      <c r="E1752" s="51">
        <v>42025</v>
      </c>
      <c r="F1752" s="46">
        <v>1061.28</v>
      </c>
      <c r="G1752" s="31">
        <f t="shared" si="27"/>
        <v>0</v>
      </c>
      <c r="H1752" s="62" t="s">
        <v>9</v>
      </c>
      <c r="I1752" s="4"/>
      <c r="J1752" s="4"/>
    </row>
    <row r="1753" spans="1:10" s="3" customFormat="1" x14ac:dyDescent="0.25">
      <c r="A1753" s="20">
        <v>42025</v>
      </c>
      <c r="B1753" s="21">
        <v>9660</v>
      </c>
      <c r="C1753" s="14" t="s">
        <v>20</v>
      </c>
      <c r="D1753" s="22">
        <v>8954</v>
      </c>
      <c r="E1753" s="23">
        <v>42025</v>
      </c>
      <c r="F1753" s="46">
        <v>8954</v>
      </c>
      <c r="G1753" s="31">
        <f t="shared" si="27"/>
        <v>0</v>
      </c>
      <c r="H1753" s="62" t="s">
        <v>94</v>
      </c>
      <c r="I1753" s="4"/>
      <c r="J1753" s="4"/>
    </row>
    <row r="1754" spans="1:10" s="3" customFormat="1" x14ac:dyDescent="0.25">
      <c r="A1754" s="20">
        <v>42025</v>
      </c>
      <c r="B1754" s="21">
        <v>9661</v>
      </c>
      <c r="C1754" s="14" t="s">
        <v>151</v>
      </c>
      <c r="D1754" s="22">
        <v>3864</v>
      </c>
      <c r="E1754" s="23">
        <v>42026</v>
      </c>
      <c r="F1754" s="46">
        <v>3864</v>
      </c>
      <c r="G1754" s="31">
        <f t="shared" si="27"/>
        <v>0</v>
      </c>
      <c r="H1754" s="62" t="s">
        <v>9</v>
      </c>
      <c r="I1754" s="4"/>
      <c r="J1754" s="4"/>
    </row>
    <row r="1755" spans="1:10" s="3" customFormat="1" x14ac:dyDescent="0.25">
      <c r="A1755" s="20">
        <v>42025</v>
      </c>
      <c r="B1755" s="21">
        <v>9662</v>
      </c>
      <c r="C1755" s="14" t="s">
        <v>114</v>
      </c>
      <c r="D1755" s="22">
        <v>4070.4</v>
      </c>
      <c r="E1755" s="23">
        <v>42025</v>
      </c>
      <c r="F1755" s="46">
        <v>4070.4</v>
      </c>
      <c r="G1755" s="31">
        <f t="shared" si="27"/>
        <v>0</v>
      </c>
      <c r="H1755" s="62" t="s">
        <v>9</v>
      </c>
      <c r="I1755" s="4"/>
      <c r="J1755" s="4"/>
    </row>
    <row r="1756" spans="1:10" s="3" customFormat="1" x14ac:dyDescent="0.25">
      <c r="A1756" s="20">
        <v>42025</v>
      </c>
      <c r="B1756" s="21">
        <v>9663</v>
      </c>
      <c r="C1756" s="14" t="s">
        <v>30</v>
      </c>
      <c r="D1756" s="22">
        <v>5228.3999999999996</v>
      </c>
      <c r="E1756" s="23">
        <v>42025</v>
      </c>
      <c r="F1756" s="46">
        <v>5228.3999999999996</v>
      </c>
      <c r="G1756" s="31">
        <f t="shared" si="27"/>
        <v>0</v>
      </c>
      <c r="H1756" s="62" t="s">
        <v>9</v>
      </c>
      <c r="I1756" s="4"/>
      <c r="J1756" s="4"/>
    </row>
    <row r="1757" spans="1:10" s="3" customFormat="1" x14ac:dyDescent="0.25">
      <c r="A1757" s="20">
        <v>42025</v>
      </c>
      <c r="B1757" s="21">
        <v>9664</v>
      </c>
      <c r="C1757" s="14" t="s">
        <v>21</v>
      </c>
      <c r="D1757" s="22">
        <v>3189.4</v>
      </c>
      <c r="E1757" s="51">
        <v>42025</v>
      </c>
      <c r="F1757" s="46">
        <v>3189.4</v>
      </c>
      <c r="G1757" s="31">
        <f t="shared" si="27"/>
        <v>0</v>
      </c>
      <c r="H1757" s="62" t="s">
        <v>9</v>
      </c>
      <c r="I1757" s="4"/>
      <c r="J1757" s="4"/>
    </row>
    <row r="1758" spans="1:10" s="3" customFormat="1" x14ac:dyDescent="0.25">
      <c r="A1758" s="20">
        <v>42025</v>
      </c>
      <c r="B1758" s="21">
        <v>9665</v>
      </c>
      <c r="C1758" s="14" t="s">
        <v>18</v>
      </c>
      <c r="D1758" s="22">
        <v>62203.3</v>
      </c>
      <c r="E1758" s="29" t="s">
        <v>407</v>
      </c>
      <c r="F1758" s="46">
        <f>48000+8000+6203.3</f>
        <v>62203.3</v>
      </c>
      <c r="G1758" s="31">
        <f t="shared" si="27"/>
        <v>0</v>
      </c>
      <c r="H1758" s="62" t="s">
        <v>9</v>
      </c>
      <c r="I1758" s="4"/>
      <c r="J1758" s="4"/>
    </row>
    <row r="1759" spans="1:10" s="3" customFormat="1" x14ac:dyDescent="0.25">
      <c r="A1759" s="20">
        <v>42025</v>
      </c>
      <c r="B1759" s="21">
        <v>9666</v>
      </c>
      <c r="C1759" s="14" t="s">
        <v>214</v>
      </c>
      <c r="D1759" s="22">
        <v>400</v>
      </c>
      <c r="E1759" s="23">
        <v>42025</v>
      </c>
      <c r="F1759" s="46">
        <v>400</v>
      </c>
      <c r="G1759" s="31">
        <f t="shared" si="27"/>
        <v>0</v>
      </c>
      <c r="H1759" s="62" t="s">
        <v>19</v>
      </c>
      <c r="I1759" s="4"/>
      <c r="J1759" s="4"/>
    </row>
    <row r="1760" spans="1:10" s="3" customFormat="1" x14ac:dyDescent="0.25">
      <c r="A1760" s="20">
        <v>42025</v>
      </c>
      <c r="B1760" s="21">
        <v>9667</v>
      </c>
      <c r="C1760" s="14" t="s">
        <v>53</v>
      </c>
      <c r="D1760" s="22">
        <v>1260</v>
      </c>
      <c r="E1760" s="23">
        <v>42025</v>
      </c>
      <c r="F1760" s="46">
        <v>1260</v>
      </c>
      <c r="G1760" s="31">
        <f t="shared" si="27"/>
        <v>0</v>
      </c>
      <c r="H1760" s="62" t="s">
        <v>19</v>
      </c>
      <c r="I1760" s="4"/>
      <c r="J1760" s="4"/>
    </row>
    <row r="1761" spans="1:10" s="3" customFormat="1" x14ac:dyDescent="0.25">
      <c r="A1761" s="20">
        <v>42025</v>
      </c>
      <c r="B1761" s="21">
        <v>9668</v>
      </c>
      <c r="C1761" s="14" t="s">
        <v>157</v>
      </c>
      <c r="D1761" s="22">
        <v>4796.6000000000004</v>
      </c>
      <c r="E1761" s="23">
        <v>42025</v>
      </c>
      <c r="F1761" s="46">
        <v>4796.6000000000004</v>
      </c>
      <c r="G1761" s="31">
        <f t="shared" si="27"/>
        <v>0</v>
      </c>
      <c r="H1761" s="62" t="s">
        <v>9</v>
      </c>
      <c r="I1761" s="4"/>
      <c r="J1761" s="4"/>
    </row>
    <row r="1762" spans="1:10" s="3" customFormat="1" x14ac:dyDescent="0.25">
      <c r="A1762" s="20">
        <v>42025</v>
      </c>
      <c r="B1762" s="21">
        <v>9669</v>
      </c>
      <c r="C1762" s="14" t="s">
        <v>135</v>
      </c>
      <c r="D1762" s="22">
        <v>11326</v>
      </c>
      <c r="E1762" s="23">
        <v>42025</v>
      </c>
      <c r="F1762" s="46">
        <v>11326</v>
      </c>
      <c r="G1762" s="31">
        <f t="shared" si="27"/>
        <v>0</v>
      </c>
      <c r="H1762" s="62" t="s">
        <v>9</v>
      </c>
    </row>
    <row r="1763" spans="1:10" s="3" customFormat="1" x14ac:dyDescent="0.25">
      <c r="A1763" s="20">
        <v>42025</v>
      </c>
      <c r="B1763" s="21">
        <v>9670</v>
      </c>
      <c r="C1763" s="26" t="s">
        <v>218</v>
      </c>
      <c r="D1763" s="27">
        <v>0</v>
      </c>
      <c r="E1763" s="23"/>
      <c r="F1763" s="46"/>
      <c r="G1763" s="31">
        <f t="shared" si="27"/>
        <v>0</v>
      </c>
      <c r="H1763" s="62" t="s">
        <v>13</v>
      </c>
    </row>
    <row r="1764" spans="1:10" s="3" customFormat="1" x14ac:dyDescent="0.25">
      <c r="A1764" s="20">
        <v>42025</v>
      </c>
      <c r="B1764" s="21">
        <v>9671</v>
      </c>
      <c r="C1764" s="26" t="s">
        <v>218</v>
      </c>
      <c r="D1764" s="27">
        <v>0</v>
      </c>
      <c r="E1764" s="23"/>
      <c r="F1764" s="46"/>
      <c r="G1764" s="31">
        <f t="shared" si="27"/>
        <v>0</v>
      </c>
      <c r="H1764" s="62" t="s">
        <v>13</v>
      </c>
    </row>
    <row r="1765" spans="1:10" s="3" customFormat="1" x14ac:dyDescent="0.25">
      <c r="A1765" s="20">
        <v>42025</v>
      </c>
      <c r="B1765" s="21">
        <v>9672</v>
      </c>
      <c r="C1765" s="26" t="s">
        <v>218</v>
      </c>
      <c r="D1765" s="27">
        <v>0</v>
      </c>
      <c r="E1765" s="47"/>
      <c r="F1765" s="46"/>
      <c r="G1765" s="31">
        <f t="shared" si="27"/>
        <v>0</v>
      </c>
      <c r="H1765" s="62" t="s">
        <v>13</v>
      </c>
    </row>
    <row r="1766" spans="1:10" s="3" customFormat="1" x14ac:dyDescent="0.25">
      <c r="A1766" s="20">
        <v>42025</v>
      </c>
      <c r="B1766" s="21">
        <v>9673</v>
      </c>
      <c r="C1766" s="14" t="s">
        <v>18</v>
      </c>
      <c r="D1766" s="22">
        <v>112732.21</v>
      </c>
      <c r="E1766" s="29" t="s">
        <v>408</v>
      </c>
      <c r="F1766" s="46">
        <f>16000+96732.21</f>
        <v>112732.21</v>
      </c>
      <c r="G1766" s="31">
        <f t="shared" si="27"/>
        <v>0</v>
      </c>
      <c r="H1766" s="62" t="s">
        <v>62</v>
      </c>
    </row>
    <row r="1767" spans="1:10" s="3" customFormat="1" x14ac:dyDescent="0.25">
      <c r="A1767" s="20">
        <v>42025</v>
      </c>
      <c r="B1767" s="21">
        <v>9674</v>
      </c>
      <c r="C1767" s="14" t="s">
        <v>32</v>
      </c>
      <c r="D1767" s="22">
        <v>291689.28000000003</v>
      </c>
      <c r="E1767" s="23">
        <v>42035</v>
      </c>
      <c r="F1767" s="46">
        <v>291689.28000000003</v>
      </c>
      <c r="G1767" s="31">
        <f t="shared" si="27"/>
        <v>0</v>
      </c>
      <c r="H1767" s="62" t="s">
        <v>149</v>
      </c>
    </row>
    <row r="1768" spans="1:10" s="3" customFormat="1" x14ac:dyDescent="0.25">
      <c r="A1768" s="20">
        <v>42025</v>
      </c>
      <c r="B1768" s="21">
        <v>9675</v>
      </c>
      <c r="C1768" s="14" t="s">
        <v>34</v>
      </c>
      <c r="D1768" s="22">
        <v>2860.2</v>
      </c>
      <c r="E1768" s="23">
        <v>42025</v>
      </c>
      <c r="F1768" s="46">
        <v>2860.2</v>
      </c>
      <c r="G1768" s="31">
        <f t="shared" si="27"/>
        <v>0</v>
      </c>
      <c r="H1768" s="62" t="s">
        <v>9</v>
      </c>
    </row>
    <row r="1769" spans="1:10" s="3" customFormat="1" x14ac:dyDescent="0.25">
      <c r="A1769" s="20">
        <v>42025</v>
      </c>
      <c r="B1769" s="21">
        <v>9676</v>
      </c>
      <c r="C1769" s="26" t="s">
        <v>218</v>
      </c>
      <c r="D1769" s="27">
        <v>0</v>
      </c>
      <c r="E1769" s="23"/>
      <c r="F1769" s="46"/>
      <c r="G1769" s="31">
        <f t="shared" si="27"/>
        <v>0</v>
      </c>
      <c r="H1769" s="62" t="s">
        <v>13</v>
      </c>
    </row>
    <row r="1770" spans="1:10" s="3" customFormat="1" x14ac:dyDescent="0.25">
      <c r="A1770" s="20">
        <v>42025</v>
      </c>
      <c r="B1770" s="21">
        <v>9677</v>
      </c>
      <c r="C1770" s="14" t="s">
        <v>270</v>
      </c>
      <c r="D1770" s="22">
        <v>277.8</v>
      </c>
      <c r="E1770" s="23">
        <v>42025</v>
      </c>
      <c r="F1770" s="46">
        <v>277.8</v>
      </c>
      <c r="G1770" s="31">
        <f t="shared" si="27"/>
        <v>0</v>
      </c>
      <c r="H1770" s="62" t="s">
        <v>9</v>
      </c>
    </row>
    <row r="1771" spans="1:10" s="3" customFormat="1" x14ac:dyDescent="0.25">
      <c r="A1771" s="20">
        <v>42025</v>
      </c>
      <c r="B1771" s="21">
        <v>9678</v>
      </c>
      <c r="C1771" s="14" t="s">
        <v>38</v>
      </c>
      <c r="D1771" s="22">
        <v>40664</v>
      </c>
      <c r="E1771" s="30">
        <v>42037</v>
      </c>
      <c r="F1771" s="98">
        <v>40664</v>
      </c>
      <c r="G1771" s="31">
        <f t="shared" si="27"/>
        <v>0</v>
      </c>
      <c r="H1771" s="62" t="s">
        <v>19</v>
      </c>
    </row>
    <row r="1772" spans="1:10" s="3" customFormat="1" x14ac:dyDescent="0.25">
      <c r="A1772" s="20">
        <v>42025</v>
      </c>
      <c r="B1772" s="21">
        <v>9679</v>
      </c>
      <c r="C1772" s="14" t="s">
        <v>47</v>
      </c>
      <c r="D1772" s="22">
        <v>25621.8</v>
      </c>
      <c r="E1772" s="23">
        <v>42025</v>
      </c>
      <c r="F1772" s="46">
        <v>25621.8</v>
      </c>
      <c r="G1772" s="31">
        <f t="shared" si="27"/>
        <v>0</v>
      </c>
      <c r="H1772" s="62" t="s">
        <v>9</v>
      </c>
    </row>
    <row r="1773" spans="1:10" s="3" customFormat="1" x14ac:dyDescent="0.25">
      <c r="A1773" s="20">
        <v>42025</v>
      </c>
      <c r="B1773" s="21">
        <v>9680</v>
      </c>
      <c r="C1773" s="14" t="s">
        <v>215</v>
      </c>
      <c r="D1773" s="22">
        <v>16707.599999999999</v>
      </c>
      <c r="E1773" s="23">
        <v>42025</v>
      </c>
      <c r="F1773" s="46">
        <v>16707.599999999999</v>
      </c>
      <c r="G1773" s="31">
        <f t="shared" si="27"/>
        <v>0</v>
      </c>
      <c r="H1773" s="62" t="s">
        <v>9</v>
      </c>
    </row>
    <row r="1774" spans="1:10" s="3" customFormat="1" x14ac:dyDescent="0.25">
      <c r="A1774" s="20">
        <v>42025</v>
      </c>
      <c r="B1774" s="21">
        <v>9681</v>
      </c>
      <c r="C1774" s="14" t="s">
        <v>215</v>
      </c>
      <c r="D1774" s="22">
        <v>381.6</v>
      </c>
      <c r="E1774" s="23">
        <v>42025</v>
      </c>
      <c r="F1774" s="46">
        <v>381.6</v>
      </c>
      <c r="G1774" s="31">
        <f t="shared" si="27"/>
        <v>0</v>
      </c>
      <c r="H1774" s="62" t="s">
        <v>9</v>
      </c>
    </row>
    <row r="1775" spans="1:10" s="3" customFormat="1" x14ac:dyDescent="0.25">
      <c r="A1775" s="20">
        <v>42025</v>
      </c>
      <c r="B1775" s="21">
        <v>9682</v>
      </c>
      <c r="C1775" s="14" t="s">
        <v>409</v>
      </c>
      <c r="D1775" s="22">
        <v>6168.6</v>
      </c>
      <c r="E1775" s="23">
        <v>42025</v>
      </c>
      <c r="F1775" s="46">
        <v>6168.6</v>
      </c>
      <c r="G1775" s="31">
        <f t="shared" si="27"/>
        <v>0</v>
      </c>
      <c r="H1775" s="62" t="s">
        <v>9</v>
      </c>
    </row>
    <row r="1776" spans="1:10" s="3" customFormat="1" x14ac:dyDescent="0.25">
      <c r="A1776" s="20">
        <v>42025</v>
      </c>
      <c r="B1776" s="21">
        <v>9683</v>
      </c>
      <c r="C1776" s="14" t="s">
        <v>125</v>
      </c>
      <c r="D1776" s="22">
        <v>11647.6</v>
      </c>
      <c r="E1776" s="23">
        <v>42025</v>
      </c>
      <c r="F1776" s="46">
        <v>11647.6</v>
      </c>
      <c r="G1776" s="31">
        <f t="shared" si="27"/>
        <v>0</v>
      </c>
      <c r="H1776" s="62" t="s">
        <v>94</v>
      </c>
    </row>
    <row r="1777" spans="1:10" s="3" customFormat="1" x14ac:dyDescent="0.25">
      <c r="A1777" s="20">
        <v>42025</v>
      </c>
      <c r="B1777" s="21">
        <v>9684</v>
      </c>
      <c r="C1777" s="14" t="s">
        <v>57</v>
      </c>
      <c r="D1777" s="22">
        <v>630</v>
      </c>
      <c r="E1777" s="23">
        <v>42025</v>
      </c>
      <c r="F1777" s="46">
        <v>630</v>
      </c>
      <c r="G1777" s="31">
        <f t="shared" si="27"/>
        <v>0</v>
      </c>
      <c r="H1777" s="62" t="s">
        <v>19</v>
      </c>
    </row>
    <row r="1778" spans="1:10" s="3" customFormat="1" x14ac:dyDescent="0.25">
      <c r="A1778" s="20">
        <v>42025</v>
      </c>
      <c r="B1778" s="21">
        <v>9685</v>
      </c>
      <c r="C1778" s="14" t="s">
        <v>87</v>
      </c>
      <c r="D1778" s="22">
        <v>2304</v>
      </c>
      <c r="E1778" s="23">
        <v>42025</v>
      </c>
      <c r="F1778" s="46">
        <v>2304</v>
      </c>
      <c r="G1778" s="31">
        <f t="shared" si="27"/>
        <v>0</v>
      </c>
      <c r="H1778" s="62" t="s">
        <v>94</v>
      </c>
      <c r="I1778" s="4"/>
      <c r="J1778" s="4"/>
    </row>
    <row r="1779" spans="1:10" s="3" customFormat="1" x14ac:dyDescent="0.25">
      <c r="A1779" s="20">
        <v>42025</v>
      </c>
      <c r="B1779" s="21">
        <v>9686</v>
      </c>
      <c r="C1779" s="14" t="s">
        <v>50</v>
      </c>
      <c r="D1779" s="22">
        <v>1090</v>
      </c>
      <c r="E1779" s="23">
        <v>42025</v>
      </c>
      <c r="F1779" s="46">
        <v>1090</v>
      </c>
      <c r="G1779" s="31">
        <f t="shared" si="27"/>
        <v>0</v>
      </c>
      <c r="H1779" s="62" t="s">
        <v>94</v>
      </c>
      <c r="I1779" s="4"/>
      <c r="J1779" s="4"/>
    </row>
    <row r="1780" spans="1:10" s="3" customFormat="1" x14ac:dyDescent="0.25">
      <c r="A1780" s="20">
        <v>42025</v>
      </c>
      <c r="B1780" s="21">
        <v>9687</v>
      </c>
      <c r="C1780" s="14" t="s">
        <v>24</v>
      </c>
      <c r="D1780" s="22">
        <v>274781.33</v>
      </c>
      <c r="E1780" s="30">
        <v>42051</v>
      </c>
      <c r="F1780" s="98">
        <v>274781.33</v>
      </c>
      <c r="G1780" s="31">
        <f t="shared" si="27"/>
        <v>0</v>
      </c>
      <c r="H1780" s="62" t="s">
        <v>46</v>
      </c>
      <c r="I1780" s="4"/>
      <c r="J1780" s="4"/>
    </row>
    <row r="1781" spans="1:10" s="3" customFormat="1" x14ac:dyDescent="0.25">
      <c r="A1781" s="20">
        <v>42025</v>
      </c>
      <c r="B1781" s="21">
        <v>9688</v>
      </c>
      <c r="C1781" s="14" t="s">
        <v>24</v>
      </c>
      <c r="D1781" s="22">
        <v>17569.599999999999</v>
      </c>
      <c r="E1781" s="23">
        <v>42026</v>
      </c>
      <c r="F1781" s="46">
        <v>17569.599999999999</v>
      </c>
      <c r="G1781" s="31">
        <f t="shared" si="27"/>
        <v>0</v>
      </c>
      <c r="H1781" s="62" t="s">
        <v>46</v>
      </c>
      <c r="I1781" s="4"/>
      <c r="J1781" s="4"/>
    </row>
    <row r="1782" spans="1:10" s="3" customFormat="1" x14ac:dyDescent="0.25">
      <c r="A1782" s="20">
        <v>42025</v>
      </c>
      <c r="B1782" s="21">
        <v>9689</v>
      </c>
      <c r="C1782" s="14" t="s">
        <v>118</v>
      </c>
      <c r="D1782" s="22">
        <v>19029</v>
      </c>
      <c r="E1782" s="23">
        <v>42032</v>
      </c>
      <c r="F1782" s="46">
        <v>19029</v>
      </c>
      <c r="G1782" s="31">
        <f t="shared" si="27"/>
        <v>0</v>
      </c>
      <c r="H1782" s="62" t="s">
        <v>19</v>
      </c>
      <c r="I1782" s="4"/>
      <c r="J1782" s="4"/>
    </row>
    <row r="1783" spans="1:10" s="3" customFormat="1" x14ac:dyDescent="0.25">
      <c r="A1783" s="20">
        <v>42025</v>
      </c>
      <c r="B1783" s="21">
        <v>9690</v>
      </c>
      <c r="C1783" s="14" t="s">
        <v>14</v>
      </c>
      <c r="D1783" s="63">
        <v>53228.4</v>
      </c>
      <c r="E1783" s="30">
        <v>42039</v>
      </c>
      <c r="F1783" s="98">
        <v>53228.4</v>
      </c>
      <c r="G1783" s="31">
        <f t="shared" si="27"/>
        <v>0</v>
      </c>
      <c r="H1783" s="56" t="s">
        <v>183</v>
      </c>
      <c r="I1783" s="4"/>
      <c r="J1783" s="4"/>
    </row>
    <row r="1784" spans="1:10" s="3" customFormat="1" x14ac:dyDescent="0.25">
      <c r="A1784" s="20">
        <v>42025</v>
      </c>
      <c r="B1784" s="21">
        <v>9691</v>
      </c>
      <c r="C1784" s="14" t="s">
        <v>81</v>
      </c>
      <c r="D1784" s="22">
        <v>1460.2</v>
      </c>
      <c r="E1784" s="23">
        <v>42025</v>
      </c>
      <c r="F1784" s="46">
        <v>1460.2</v>
      </c>
      <c r="G1784" s="31">
        <f t="shared" si="27"/>
        <v>0</v>
      </c>
      <c r="H1784" s="56" t="s">
        <v>19</v>
      </c>
      <c r="I1784" s="4"/>
      <c r="J1784" s="4"/>
    </row>
    <row r="1785" spans="1:10" s="3" customFormat="1" x14ac:dyDescent="0.25">
      <c r="A1785" s="20">
        <v>42025</v>
      </c>
      <c r="B1785" s="21">
        <v>9692</v>
      </c>
      <c r="C1785" s="14" t="s">
        <v>360</v>
      </c>
      <c r="D1785" s="22">
        <v>360</v>
      </c>
      <c r="E1785" s="23">
        <v>42025</v>
      </c>
      <c r="F1785" s="46">
        <v>360</v>
      </c>
      <c r="G1785" s="31">
        <f t="shared" si="27"/>
        <v>0</v>
      </c>
      <c r="H1785" s="56" t="s">
        <v>9</v>
      </c>
      <c r="I1785" s="4"/>
      <c r="J1785" s="4"/>
    </row>
    <row r="1786" spans="1:10" s="3" customFormat="1" x14ac:dyDescent="0.25">
      <c r="A1786" s="20">
        <v>42025</v>
      </c>
      <c r="B1786" s="21">
        <v>9693</v>
      </c>
      <c r="C1786" s="14" t="s">
        <v>192</v>
      </c>
      <c r="D1786" s="22">
        <v>704</v>
      </c>
      <c r="E1786" s="30">
        <v>42045</v>
      </c>
      <c r="F1786" s="98">
        <v>704</v>
      </c>
      <c r="G1786" s="31">
        <f t="shared" si="27"/>
        <v>0</v>
      </c>
      <c r="H1786" s="56" t="s">
        <v>41</v>
      </c>
      <c r="I1786" s="4"/>
      <c r="J1786" s="28"/>
    </row>
    <row r="1787" spans="1:10" s="3" customFormat="1" x14ac:dyDescent="0.25">
      <c r="A1787" s="20">
        <v>42025</v>
      </c>
      <c r="B1787" s="21">
        <v>9694</v>
      </c>
      <c r="C1787" s="14" t="s">
        <v>152</v>
      </c>
      <c r="D1787" s="22">
        <v>3545.5</v>
      </c>
      <c r="E1787" s="23">
        <v>42025</v>
      </c>
      <c r="F1787" s="46">
        <v>3545.5</v>
      </c>
      <c r="G1787" s="31">
        <f t="shared" si="27"/>
        <v>0</v>
      </c>
      <c r="H1787" s="56" t="s">
        <v>17</v>
      </c>
      <c r="I1787" s="4"/>
      <c r="J1787" s="4"/>
    </row>
    <row r="1788" spans="1:10" s="3" customFormat="1" x14ac:dyDescent="0.25">
      <c r="A1788" s="20">
        <v>42025</v>
      </c>
      <c r="B1788" s="21">
        <v>9695</v>
      </c>
      <c r="C1788" s="14" t="s">
        <v>292</v>
      </c>
      <c r="D1788" s="22">
        <v>2810.6</v>
      </c>
      <c r="E1788" s="23">
        <v>42025</v>
      </c>
      <c r="F1788" s="46">
        <v>2810.6</v>
      </c>
      <c r="G1788" s="31">
        <f t="shared" si="27"/>
        <v>0</v>
      </c>
      <c r="H1788" s="56" t="s">
        <v>17</v>
      </c>
      <c r="I1788" s="4"/>
      <c r="J1788" s="4"/>
    </row>
    <row r="1789" spans="1:10" s="3" customFormat="1" x14ac:dyDescent="0.25">
      <c r="A1789" s="20">
        <v>42025</v>
      </c>
      <c r="B1789" s="21">
        <v>9696</v>
      </c>
      <c r="C1789" s="14" t="s">
        <v>131</v>
      </c>
      <c r="D1789" s="22">
        <v>6660</v>
      </c>
      <c r="E1789" s="23">
        <v>42034</v>
      </c>
      <c r="F1789" s="46">
        <v>6660</v>
      </c>
      <c r="G1789" s="31">
        <f t="shared" si="27"/>
        <v>0</v>
      </c>
      <c r="H1789" s="56" t="s">
        <v>17</v>
      </c>
      <c r="I1789" s="4"/>
      <c r="J1789" s="4"/>
    </row>
    <row r="1790" spans="1:10" s="3" customFormat="1" x14ac:dyDescent="0.25">
      <c r="A1790" s="20">
        <v>42025</v>
      </c>
      <c r="B1790" s="21">
        <v>9697</v>
      </c>
      <c r="C1790" s="14" t="s">
        <v>168</v>
      </c>
      <c r="D1790" s="22">
        <v>9797</v>
      </c>
      <c r="E1790" s="23">
        <v>42025</v>
      </c>
      <c r="F1790" s="46">
        <v>9797</v>
      </c>
      <c r="G1790" s="31">
        <f t="shared" si="27"/>
        <v>0</v>
      </c>
      <c r="H1790" s="56" t="s">
        <v>17</v>
      </c>
      <c r="I1790" s="4"/>
      <c r="J1790" s="4"/>
    </row>
    <row r="1791" spans="1:10" s="3" customFormat="1" x14ac:dyDescent="0.25">
      <c r="A1791" s="20">
        <v>42025</v>
      </c>
      <c r="B1791" s="21">
        <v>9698</v>
      </c>
      <c r="C1791" s="14" t="s">
        <v>102</v>
      </c>
      <c r="D1791" s="22">
        <v>1179.8</v>
      </c>
      <c r="E1791" s="23">
        <v>42025</v>
      </c>
      <c r="F1791" s="46">
        <v>1179.8</v>
      </c>
      <c r="G1791" s="31">
        <f t="shared" si="27"/>
        <v>0</v>
      </c>
      <c r="H1791" s="56" t="s">
        <v>9</v>
      </c>
      <c r="I1791" s="4"/>
      <c r="J1791" s="4"/>
    </row>
    <row r="1792" spans="1:10" s="3" customFormat="1" x14ac:dyDescent="0.25">
      <c r="A1792" s="20">
        <v>42025</v>
      </c>
      <c r="B1792" s="21">
        <v>9699</v>
      </c>
      <c r="C1792" s="14" t="s">
        <v>410</v>
      </c>
      <c r="D1792" s="22">
        <v>2711.2</v>
      </c>
      <c r="E1792" s="30" t="s">
        <v>499</v>
      </c>
      <c r="F1792" s="98">
        <v>2711.2</v>
      </c>
      <c r="G1792" s="31">
        <f t="shared" si="27"/>
        <v>0</v>
      </c>
      <c r="H1792" s="56" t="s">
        <v>9</v>
      </c>
      <c r="I1792" s="4"/>
      <c r="J1792" s="4"/>
    </row>
    <row r="1793" spans="1:10" s="3" customFormat="1" x14ac:dyDescent="0.25">
      <c r="A1793" s="20">
        <v>42025</v>
      </c>
      <c r="B1793" s="21">
        <v>9700</v>
      </c>
      <c r="C1793" s="14" t="s">
        <v>325</v>
      </c>
      <c r="D1793" s="22">
        <v>1071.8</v>
      </c>
      <c r="E1793" s="23">
        <v>42025</v>
      </c>
      <c r="F1793" s="46">
        <v>1071.8</v>
      </c>
      <c r="G1793" s="31">
        <f t="shared" si="27"/>
        <v>0</v>
      </c>
      <c r="H1793" s="56" t="s">
        <v>41</v>
      </c>
      <c r="I1793" s="4"/>
      <c r="J1793" s="4"/>
    </row>
    <row r="1794" spans="1:10" s="3" customFormat="1" x14ac:dyDescent="0.25">
      <c r="A1794" s="20">
        <v>42025</v>
      </c>
      <c r="B1794" s="21">
        <v>9701</v>
      </c>
      <c r="C1794" s="14" t="s">
        <v>251</v>
      </c>
      <c r="D1794" s="22">
        <v>30372</v>
      </c>
      <c r="E1794" s="23">
        <v>42025</v>
      </c>
      <c r="F1794" s="46">
        <v>30372</v>
      </c>
      <c r="G1794" s="31">
        <f t="shared" si="27"/>
        <v>0</v>
      </c>
      <c r="H1794" s="56" t="s">
        <v>187</v>
      </c>
      <c r="I1794" s="4"/>
      <c r="J1794" s="28"/>
    </row>
    <row r="1795" spans="1:10" s="3" customFormat="1" x14ac:dyDescent="0.25">
      <c r="A1795" s="20">
        <v>42025</v>
      </c>
      <c r="B1795" s="21">
        <v>9702</v>
      </c>
      <c r="C1795" s="14" t="s">
        <v>179</v>
      </c>
      <c r="D1795" s="22">
        <v>40</v>
      </c>
      <c r="E1795" s="23">
        <v>42025</v>
      </c>
      <c r="F1795" s="46">
        <v>40</v>
      </c>
      <c r="G1795" s="31">
        <f t="shared" ref="G1795:G1858" si="28">D1795-F1795</f>
        <v>0</v>
      </c>
      <c r="H1795" s="56" t="s">
        <v>187</v>
      </c>
      <c r="I1795" s="4"/>
      <c r="J1795" s="64"/>
    </row>
    <row r="1796" spans="1:10" s="3" customFormat="1" x14ac:dyDescent="0.25">
      <c r="A1796" s="20">
        <v>42025</v>
      </c>
      <c r="B1796" s="21">
        <v>9703</v>
      </c>
      <c r="C1796" s="14" t="s">
        <v>106</v>
      </c>
      <c r="D1796" s="22">
        <v>25153.8</v>
      </c>
      <c r="E1796" s="23">
        <v>42025</v>
      </c>
      <c r="F1796" s="46">
        <v>25153.8</v>
      </c>
      <c r="G1796" s="31">
        <f t="shared" si="28"/>
        <v>0</v>
      </c>
      <c r="H1796" s="56" t="s">
        <v>187</v>
      </c>
      <c r="I1796" s="4"/>
      <c r="J1796" s="64"/>
    </row>
    <row r="1797" spans="1:10" s="3" customFormat="1" x14ac:dyDescent="0.25">
      <c r="A1797" s="20">
        <v>42025</v>
      </c>
      <c r="B1797" s="21">
        <v>9704</v>
      </c>
      <c r="C1797" s="14" t="s">
        <v>247</v>
      </c>
      <c r="D1797" s="22">
        <v>6560.4</v>
      </c>
      <c r="E1797" s="23">
        <v>42025</v>
      </c>
      <c r="F1797" s="46">
        <v>6560.4</v>
      </c>
      <c r="G1797" s="31">
        <f t="shared" si="28"/>
        <v>0</v>
      </c>
      <c r="H1797" s="56" t="s">
        <v>41</v>
      </c>
      <c r="I1797" s="4"/>
      <c r="J1797" s="64"/>
    </row>
    <row r="1798" spans="1:10" s="3" customFormat="1" x14ac:dyDescent="0.25">
      <c r="A1798" s="20">
        <v>42025</v>
      </c>
      <c r="B1798" s="21">
        <v>9705</v>
      </c>
      <c r="C1798" s="14" t="s">
        <v>78</v>
      </c>
      <c r="D1798" s="22">
        <v>14172.4</v>
      </c>
      <c r="E1798" s="23">
        <v>42026</v>
      </c>
      <c r="F1798" s="46">
        <v>14172.4</v>
      </c>
      <c r="G1798" s="31">
        <f t="shared" si="28"/>
        <v>0</v>
      </c>
      <c r="H1798" s="56" t="s">
        <v>62</v>
      </c>
      <c r="I1798" s="4"/>
      <c r="J1798" s="64"/>
    </row>
    <row r="1799" spans="1:10" s="3" customFormat="1" x14ac:dyDescent="0.25">
      <c r="A1799" s="20">
        <v>42025</v>
      </c>
      <c r="B1799" s="21">
        <v>9706</v>
      </c>
      <c r="C1799" s="14" t="s">
        <v>75</v>
      </c>
      <c r="D1799" s="22">
        <v>16398.8</v>
      </c>
      <c r="E1799" s="23">
        <v>42026</v>
      </c>
      <c r="F1799" s="46">
        <v>16398.8</v>
      </c>
      <c r="G1799" s="31">
        <f t="shared" si="28"/>
        <v>0</v>
      </c>
      <c r="H1799" s="56" t="s">
        <v>62</v>
      </c>
      <c r="I1799" s="4"/>
      <c r="J1799" s="64"/>
    </row>
    <row r="1800" spans="1:10" s="3" customFormat="1" x14ac:dyDescent="0.25">
      <c r="A1800" s="20">
        <v>42025</v>
      </c>
      <c r="B1800" s="21">
        <v>9707</v>
      </c>
      <c r="C1800" s="14" t="s">
        <v>67</v>
      </c>
      <c r="D1800" s="22">
        <v>4730</v>
      </c>
      <c r="E1800" s="23">
        <v>42026</v>
      </c>
      <c r="F1800" s="46">
        <v>4730</v>
      </c>
      <c r="G1800" s="31">
        <f t="shared" si="28"/>
        <v>0</v>
      </c>
      <c r="H1800" s="56" t="s">
        <v>62</v>
      </c>
      <c r="I1800" s="4"/>
      <c r="J1800" s="64"/>
    </row>
    <row r="1801" spans="1:10" s="3" customFormat="1" x14ac:dyDescent="0.25">
      <c r="A1801" s="20">
        <v>42025</v>
      </c>
      <c r="B1801" s="21">
        <v>9708</v>
      </c>
      <c r="C1801" s="14" t="s">
        <v>178</v>
      </c>
      <c r="D1801" s="22">
        <v>5456</v>
      </c>
      <c r="E1801" s="23">
        <v>42029</v>
      </c>
      <c r="F1801" s="46">
        <v>5456</v>
      </c>
      <c r="G1801" s="31">
        <f t="shared" si="28"/>
        <v>0</v>
      </c>
      <c r="H1801" s="56" t="s">
        <v>62</v>
      </c>
      <c r="I1801" s="4"/>
      <c r="J1801" s="64"/>
    </row>
    <row r="1802" spans="1:10" s="3" customFormat="1" x14ac:dyDescent="0.25">
      <c r="A1802" s="20">
        <v>42025</v>
      </c>
      <c r="B1802" s="21">
        <v>9709</v>
      </c>
      <c r="C1802" s="14" t="s">
        <v>78</v>
      </c>
      <c r="D1802" s="22">
        <v>508.3</v>
      </c>
      <c r="E1802" s="23">
        <v>42026</v>
      </c>
      <c r="F1802" s="46">
        <v>508.3</v>
      </c>
      <c r="G1802" s="31">
        <f t="shared" si="28"/>
        <v>0</v>
      </c>
      <c r="H1802" s="56" t="s">
        <v>62</v>
      </c>
      <c r="I1802" s="4"/>
      <c r="J1802" s="64"/>
    </row>
    <row r="1803" spans="1:10" s="3" customFormat="1" x14ac:dyDescent="0.25">
      <c r="A1803" s="20">
        <v>42025</v>
      </c>
      <c r="B1803" s="21">
        <v>9710</v>
      </c>
      <c r="C1803" s="14" t="s">
        <v>111</v>
      </c>
      <c r="D1803" s="22">
        <v>4476.78</v>
      </c>
      <c r="E1803" s="23">
        <v>42026</v>
      </c>
      <c r="F1803" s="46">
        <v>4476.78</v>
      </c>
      <c r="G1803" s="31">
        <f t="shared" si="28"/>
        <v>0</v>
      </c>
      <c r="H1803" s="56" t="s">
        <v>9</v>
      </c>
      <c r="I1803" s="4"/>
      <c r="J1803" s="64"/>
    </row>
    <row r="1804" spans="1:10" s="3" customFormat="1" x14ac:dyDescent="0.25">
      <c r="A1804" s="20">
        <v>42025</v>
      </c>
      <c r="B1804" s="21">
        <v>9711</v>
      </c>
      <c r="C1804" s="14" t="s">
        <v>75</v>
      </c>
      <c r="D1804" s="22">
        <v>593.4</v>
      </c>
      <c r="E1804" s="23">
        <v>42029</v>
      </c>
      <c r="F1804" s="46">
        <v>593.4</v>
      </c>
      <c r="G1804" s="31">
        <f t="shared" si="28"/>
        <v>0</v>
      </c>
      <c r="H1804" s="56" t="s">
        <v>62</v>
      </c>
      <c r="I1804" s="4"/>
      <c r="J1804" s="64"/>
    </row>
    <row r="1805" spans="1:10" s="3" customFormat="1" x14ac:dyDescent="0.25">
      <c r="A1805" s="20">
        <v>42025</v>
      </c>
      <c r="B1805" s="21">
        <v>9712</v>
      </c>
      <c r="C1805" s="14" t="s">
        <v>176</v>
      </c>
      <c r="D1805" s="22">
        <v>4038.8</v>
      </c>
      <c r="E1805" s="30" t="s">
        <v>500</v>
      </c>
      <c r="F1805" s="98">
        <v>4038.8</v>
      </c>
      <c r="G1805" s="31">
        <f t="shared" si="28"/>
        <v>0</v>
      </c>
      <c r="H1805" s="56" t="s">
        <v>62</v>
      </c>
      <c r="I1805" s="4"/>
      <c r="J1805" s="64"/>
    </row>
    <row r="1806" spans="1:10" s="3" customFormat="1" x14ac:dyDescent="0.25">
      <c r="A1806" s="20">
        <v>42025</v>
      </c>
      <c r="B1806" s="21">
        <v>9713</v>
      </c>
      <c r="C1806" s="14" t="s">
        <v>61</v>
      </c>
      <c r="D1806" s="22">
        <v>11281.48</v>
      </c>
      <c r="E1806" s="23">
        <v>42026</v>
      </c>
      <c r="F1806" s="46">
        <v>11281.48</v>
      </c>
      <c r="G1806" s="31">
        <f t="shared" si="28"/>
        <v>0</v>
      </c>
      <c r="H1806" s="56" t="s">
        <v>62</v>
      </c>
      <c r="I1806" s="4"/>
      <c r="J1806" s="64"/>
    </row>
    <row r="1807" spans="1:10" s="3" customFormat="1" x14ac:dyDescent="0.25">
      <c r="A1807" s="20">
        <v>42025</v>
      </c>
      <c r="B1807" s="21">
        <v>9714</v>
      </c>
      <c r="C1807" s="14" t="s">
        <v>14</v>
      </c>
      <c r="D1807" s="22">
        <v>112998</v>
      </c>
      <c r="E1807" s="23">
        <v>42035</v>
      </c>
      <c r="F1807" s="46">
        <v>112998</v>
      </c>
      <c r="G1807" s="31">
        <f t="shared" si="28"/>
        <v>0</v>
      </c>
      <c r="H1807" s="56" t="s">
        <v>183</v>
      </c>
      <c r="I1807" s="4"/>
      <c r="J1807" s="64"/>
    </row>
    <row r="1808" spans="1:10" s="3" customFormat="1" x14ac:dyDescent="0.25">
      <c r="A1808" s="20">
        <v>42025</v>
      </c>
      <c r="B1808" s="21">
        <v>9715</v>
      </c>
      <c r="C1808" s="14" t="s">
        <v>123</v>
      </c>
      <c r="D1808" s="22">
        <v>26953</v>
      </c>
      <c r="E1808" s="23">
        <v>42026</v>
      </c>
      <c r="F1808" s="46">
        <v>26953</v>
      </c>
      <c r="G1808" s="31">
        <f t="shared" si="28"/>
        <v>0</v>
      </c>
      <c r="H1808" s="56" t="s">
        <v>94</v>
      </c>
      <c r="I1808" s="4"/>
      <c r="J1808" s="64"/>
    </row>
    <row r="1809" spans="1:10" s="3" customFormat="1" x14ac:dyDescent="0.25">
      <c r="A1809" s="20">
        <v>42025</v>
      </c>
      <c r="B1809" s="21">
        <v>9716</v>
      </c>
      <c r="C1809" s="14" t="s">
        <v>110</v>
      </c>
      <c r="D1809" s="22">
        <v>5962.8</v>
      </c>
      <c r="E1809" s="23">
        <v>42032</v>
      </c>
      <c r="F1809" s="46">
        <v>5962.8</v>
      </c>
      <c r="G1809" s="31">
        <f t="shared" si="28"/>
        <v>0</v>
      </c>
      <c r="H1809" s="56" t="s">
        <v>9</v>
      </c>
      <c r="I1809" s="4"/>
      <c r="J1809" s="64"/>
    </row>
    <row r="1810" spans="1:10" s="3" customFormat="1" x14ac:dyDescent="0.25">
      <c r="A1810" s="20">
        <v>42025</v>
      </c>
      <c r="B1810" s="21">
        <v>9717</v>
      </c>
      <c r="C1810" s="14" t="s">
        <v>141</v>
      </c>
      <c r="D1810" s="22">
        <v>4489.6000000000004</v>
      </c>
      <c r="E1810" s="23">
        <v>42025</v>
      </c>
      <c r="F1810" s="46">
        <v>4489.6000000000004</v>
      </c>
      <c r="G1810" s="31">
        <f t="shared" si="28"/>
        <v>0</v>
      </c>
      <c r="H1810" s="56" t="s">
        <v>9</v>
      </c>
      <c r="I1810" s="4"/>
      <c r="J1810" s="64"/>
    </row>
    <row r="1811" spans="1:10" s="3" customFormat="1" x14ac:dyDescent="0.25">
      <c r="A1811" s="20">
        <v>42025</v>
      </c>
      <c r="B1811" s="21">
        <v>9718</v>
      </c>
      <c r="C1811" s="14" t="s">
        <v>192</v>
      </c>
      <c r="D1811" s="22">
        <v>98</v>
      </c>
      <c r="E1811" s="30">
        <v>42055</v>
      </c>
      <c r="F1811" s="98">
        <v>98</v>
      </c>
      <c r="G1811" s="31">
        <f t="shared" si="28"/>
        <v>0</v>
      </c>
      <c r="H1811" s="56" t="s">
        <v>9</v>
      </c>
      <c r="I1811" s="4"/>
      <c r="J1811" s="64"/>
    </row>
    <row r="1812" spans="1:10" s="3" customFormat="1" x14ac:dyDescent="0.25">
      <c r="A1812" s="20">
        <v>42025</v>
      </c>
      <c r="B1812" s="21">
        <v>9719</v>
      </c>
      <c r="C1812" s="14" t="s">
        <v>213</v>
      </c>
      <c r="D1812" s="22">
        <v>96</v>
      </c>
      <c r="E1812" s="23">
        <v>42025</v>
      </c>
      <c r="F1812" s="46">
        <v>96</v>
      </c>
      <c r="G1812" s="31">
        <f t="shared" si="28"/>
        <v>0</v>
      </c>
      <c r="H1812" s="56" t="s">
        <v>183</v>
      </c>
      <c r="I1812" s="4"/>
      <c r="J1812" s="64"/>
    </row>
    <row r="1813" spans="1:10" s="3" customFormat="1" x14ac:dyDescent="0.25">
      <c r="A1813" s="20">
        <v>42025</v>
      </c>
      <c r="B1813" s="21">
        <v>9720</v>
      </c>
      <c r="C1813" s="14" t="s">
        <v>391</v>
      </c>
      <c r="D1813" s="22">
        <v>3128</v>
      </c>
      <c r="E1813" s="23">
        <v>42025</v>
      </c>
      <c r="F1813" s="46">
        <v>3128</v>
      </c>
      <c r="G1813" s="31">
        <f t="shared" si="28"/>
        <v>0</v>
      </c>
      <c r="H1813" s="56" t="s">
        <v>9</v>
      </c>
      <c r="I1813" s="4"/>
      <c r="J1813" s="64"/>
    </row>
    <row r="1814" spans="1:10" s="3" customFormat="1" x14ac:dyDescent="0.25">
      <c r="A1814" s="20">
        <v>42025</v>
      </c>
      <c r="B1814" s="21">
        <v>9721</v>
      </c>
      <c r="C1814" s="14" t="s">
        <v>48</v>
      </c>
      <c r="D1814" s="22">
        <v>795.8</v>
      </c>
      <c r="E1814" s="23">
        <v>42025</v>
      </c>
      <c r="F1814" s="46">
        <v>795.8</v>
      </c>
      <c r="G1814" s="31">
        <f t="shared" si="28"/>
        <v>0</v>
      </c>
      <c r="H1814" s="56" t="s">
        <v>149</v>
      </c>
      <c r="I1814" s="4"/>
      <c r="J1814" s="64"/>
    </row>
    <row r="1815" spans="1:10" s="3" customFormat="1" x14ac:dyDescent="0.25">
      <c r="A1815" s="20">
        <v>42025</v>
      </c>
      <c r="B1815" s="21">
        <v>9722</v>
      </c>
      <c r="C1815" s="14" t="s">
        <v>126</v>
      </c>
      <c r="D1815" s="22">
        <v>2925.6</v>
      </c>
      <c r="E1815" s="23">
        <v>42025</v>
      </c>
      <c r="F1815" s="46">
        <v>2925.6</v>
      </c>
      <c r="G1815" s="31">
        <f t="shared" si="28"/>
        <v>0</v>
      </c>
      <c r="H1815" s="56" t="s">
        <v>149</v>
      </c>
      <c r="I1815" s="4"/>
      <c r="J1815" s="64"/>
    </row>
    <row r="1816" spans="1:10" s="3" customFormat="1" x14ac:dyDescent="0.25">
      <c r="A1816" s="20">
        <v>42025</v>
      </c>
      <c r="B1816" s="21">
        <v>9723</v>
      </c>
      <c r="C1816" s="14" t="s">
        <v>24</v>
      </c>
      <c r="D1816" s="22">
        <v>43531.4</v>
      </c>
      <c r="E1816" s="30">
        <v>42039</v>
      </c>
      <c r="F1816" s="98">
        <v>43531.4</v>
      </c>
      <c r="G1816" s="31">
        <f t="shared" si="28"/>
        <v>0</v>
      </c>
      <c r="H1816" s="56" t="s">
        <v>17</v>
      </c>
      <c r="I1816" s="4"/>
      <c r="J1816" s="64"/>
    </row>
    <row r="1817" spans="1:10" s="3" customFormat="1" x14ac:dyDescent="0.25">
      <c r="A1817" s="20">
        <v>42025</v>
      </c>
      <c r="B1817" s="21">
        <v>9724</v>
      </c>
      <c r="C1817" s="14" t="s">
        <v>411</v>
      </c>
      <c r="D1817" s="22">
        <v>2309.1999999999998</v>
      </c>
      <c r="E1817" s="23">
        <v>42025</v>
      </c>
      <c r="F1817" s="46">
        <v>2309.1999999999998</v>
      </c>
      <c r="G1817" s="31">
        <f t="shared" si="28"/>
        <v>0</v>
      </c>
      <c r="H1817" s="56" t="s">
        <v>9</v>
      </c>
      <c r="I1817" s="4"/>
      <c r="J1817" s="64"/>
    </row>
    <row r="1818" spans="1:10" s="3" customFormat="1" x14ac:dyDescent="0.25">
      <c r="A1818" s="20">
        <v>42025</v>
      </c>
      <c r="B1818" s="21">
        <v>9725</v>
      </c>
      <c r="C1818" s="14" t="s">
        <v>80</v>
      </c>
      <c r="D1818" s="22">
        <v>7030.8</v>
      </c>
      <c r="E1818" s="23">
        <v>42025</v>
      </c>
      <c r="F1818" s="46">
        <v>7030.8</v>
      </c>
      <c r="G1818" s="31">
        <f t="shared" si="28"/>
        <v>0</v>
      </c>
      <c r="H1818" s="56" t="s">
        <v>9</v>
      </c>
      <c r="I1818" s="4"/>
      <c r="J1818" s="64"/>
    </row>
    <row r="1819" spans="1:10" s="3" customFormat="1" x14ac:dyDescent="0.25">
      <c r="A1819" s="20">
        <v>42025</v>
      </c>
      <c r="B1819" s="21">
        <v>9726</v>
      </c>
      <c r="C1819" s="14" t="s">
        <v>234</v>
      </c>
      <c r="D1819" s="22">
        <v>172.8</v>
      </c>
      <c r="E1819" s="23">
        <v>42025</v>
      </c>
      <c r="F1819" s="46">
        <v>172.8</v>
      </c>
      <c r="G1819" s="31">
        <f t="shared" si="28"/>
        <v>0</v>
      </c>
      <c r="H1819" s="56" t="s">
        <v>9</v>
      </c>
      <c r="I1819" s="4"/>
      <c r="J1819" s="64"/>
    </row>
    <row r="1820" spans="1:10" s="3" customFormat="1" x14ac:dyDescent="0.25">
      <c r="A1820" s="20">
        <v>42026</v>
      </c>
      <c r="B1820" s="21">
        <v>9727</v>
      </c>
      <c r="C1820" s="14" t="s">
        <v>24</v>
      </c>
      <c r="D1820" s="22">
        <v>2760</v>
      </c>
      <c r="E1820" s="23">
        <v>42026</v>
      </c>
      <c r="F1820" s="46">
        <v>2760</v>
      </c>
      <c r="G1820" s="31">
        <f t="shared" si="28"/>
        <v>0</v>
      </c>
      <c r="H1820" s="56" t="s">
        <v>9</v>
      </c>
      <c r="I1820" s="4"/>
      <c r="J1820" s="64"/>
    </row>
    <row r="1821" spans="1:10" s="3" customFormat="1" x14ac:dyDescent="0.25">
      <c r="A1821" s="20">
        <v>42026</v>
      </c>
      <c r="B1821" s="21">
        <v>9728</v>
      </c>
      <c r="C1821" s="14" t="s">
        <v>211</v>
      </c>
      <c r="D1821" s="22">
        <v>131132.5</v>
      </c>
      <c r="E1821" s="23">
        <v>42027</v>
      </c>
      <c r="F1821" s="46">
        <v>131132.5</v>
      </c>
      <c r="G1821" s="31">
        <f t="shared" si="28"/>
        <v>0</v>
      </c>
      <c r="H1821" s="56" t="s">
        <v>9</v>
      </c>
      <c r="I1821" s="4"/>
      <c r="J1821" s="64"/>
    </row>
    <row r="1822" spans="1:10" s="3" customFormat="1" x14ac:dyDescent="0.25">
      <c r="A1822" s="20">
        <v>42026</v>
      </c>
      <c r="B1822" s="21">
        <v>9729</v>
      </c>
      <c r="C1822" s="14" t="s">
        <v>158</v>
      </c>
      <c r="D1822" s="22">
        <v>11938.1</v>
      </c>
      <c r="E1822" s="23">
        <v>42026</v>
      </c>
      <c r="F1822" s="46">
        <v>11938.1</v>
      </c>
      <c r="G1822" s="31">
        <f t="shared" si="28"/>
        <v>0</v>
      </c>
      <c r="H1822" s="56" t="s">
        <v>9</v>
      </c>
      <c r="I1822" s="4"/>
      <c r="J1822" s="64"/>
    </row>
    <row r="1823" spans="1:10" s="3" customFormat="1" x14ac:dyDescent="0.25">
      <c r="A1823" s="20">
        <v>42026</v>
      </c>
      <c r="B1823" s="21">
        <v>9730</v>
      </c>
      <c r="C1823" s="14" t="s">
        <v>91</v>
      </c>
      <c r="D1823" s="22">
        <v>10296</v>
      </c>
      <c r="E1823" s="23">
        <v>42026</v>
      </c>
      <c r="F1823" s="46">
        <v>10296</v>
      </c>
      <c r="G1823" s="31">
        <f t="shared" si="28"/>
        <v>0</v>
      </c>
      <c r="H1823" s="56" t="s">
        <v>17</v>
      </c>
      <c r="I1823" s="4"/>
      <c r="J1823" s="64"/>
    </row>
    <row r="1824" spans="1:10" s="3" customFormat="1" x14ac:dyDescent="0.25">
      <c r="A1824" s="20">
        <v>42026</v>
      </c>
      <c r="B1824" s="21">
        <v>9731</v>
      </c>
      <c r="C1824" s="14" t="s">
        <v>267</v>
      </c>
      <c r="D1824" s="22">
        <v>1230</v>
      </c>
      <c r="E1824" s="23">
        <v>42026</v>
      </c>
      <c r="F1824" s="46">
        <v>1230</v>
      </c>
      <c r="G1824" s="31">
        <f t="shared" si="28"/>
        <v>0</v>
      </c>
      <c r="H1824" s="56" t="s">
        <v>36</v>
      </c>
      <c r="I1824" s="4"/>
      <c r="J1824" s="64"/>
    </row>
    <row r="1825" spans="1:10" s="3" customFormat="1" x14ac:dyDescent="0.25">
      <c r="A1825" s="20">
        <v>42026</v>
      </c>
      <c r="B1825" s="21">
        <v>9732</v>
      </c>
      <c r="C1825" s="14" t="s">
        <v>236</v>
      </c>
      <c r="D1825" s="22">
        <v>46615.199999999997</v>
      </c>
      <c r="E1825" s="97" t="s">
        <v>520</v>
      </c>
      <c r="F1825" s="98">
        <f>18431.2+15000+13184</f>
        <v>46615.199999999997</v>
      </c>
      <c r="G1825" s="31">
        <f t="shared" si="28"/>
        <v>0</v>
      </c>
      <c r="H1825" s="56" t="s">
        <v>36</v>
      </c>
      <c r="I1825" s="4"/>
      <c r="J1825" s="64"/>
    </row>
    <row r="1826" spans="1:10" s="3" customFormat="1" x14ac:dyDescent="0.25">
      <c r="A1826" s="20">
        <v>42026</v>
      </c>
      <c r="B1826" s="21">
        <v>9733</v>
      </c>
      <c r="C1826" s="14" t="s">
        <v>14</v>
      </c>
      <c r="D1826" s="22">
        <v>23032.5</v>
      </c>
      <c r="E1826" s="23">
        <v>42035</v>
      </c>
      <c r="F1826" s="46">
        <v>23032.5</v>
      </c>
      <c r="G1826" s="31">
        <f t="shared" si="28"/>
        <v>0</v>
      </c>
      <c r="H1826" s="56" t="s">
        <v>187</v>
      </c>
      <c r="I1826" s="4"/>
      <c r="J1826" s="64"/>
    </row>
    <row r="1827" spans="1:10" s="3" customFormat="1" x14ac:dyDescent="0.25">
      <c r="A1827" s="20">
        <v>42026</v>
      </c>
      <c r="B1827" s="21">
        <v>9734</v>
      </c>
      <c r="C1827" s="14" t="s">
        <v>130</v>
      </c>
      <c r="D1827" s="22">
        <v>19348.8</v>
      </c>
      <c r="E1827" s="29" t="s">
        <v>412</v>
      </c>
      <c r="F1827" s="46">
        <f>3000+16348.8</f>
        <v>19348.8</v>
      </c>
      <c r="G1827" s="31">
        <f t="shared" si="28"/>
        <v>0</v>
      </c>
      <c r="H1827" s="56" t="s">
        <v>17</v>
      </c>
      <c r="I1827" s="4"/>
      <c r="J1827" s="64"/>
    </row>
    <row r="1828" spans="1:10" s="3" customFormat="1" x14ac:dyDescent="0.25">
      <c r="A1828" s="20">
        <v>42026</v>
      </c>
      <c r="B1828" s="21">
        <v>9735</v>
      </c>
      <c r="C1828" s="14" t="s">
        <v>31</v>
      </c>
      <c r="D1828" s="22">
        <v>4575.2</v>
      </c>
      <c r="E1828" s="23">
        <v>42026</v>
      </c>
      <c r="F1828" s="46">
        <v>4575.2</v>
      </c>
      <c r="G1828" s="31">
        <f t="shared" si="28"/>
        <v>0</v>
      </c>
      <c r="H1828" s="56" t="s">
        <v>17</v>
      </c>
      <c r="I1828" s="4"/>
      <c r="J1828" s="64"/>
    </row>
    <row r="1829" spans="1:10" s="3" customFormat="1" x14ac:dyDescent="0.25">
      <c r="A1829" s="20">
        <v>42026</v>
      </c>
      <c r="B1829" s="21">
        <v>9736</v>
      </c>
      <c r="C1829" s="14" t="s">
        <v>20</v>
      </c>
      <c r="D1829" s="22">
        <v>18781.2</v>
      </c>
      <c r="E1829" s="23">
        <v>42026</v>
      </c>
      <c r="F1829" s="46">
        <v>18781.2</v>
      </c>
      <c r="G1829" s="31">
        <f t="shared" si="28"/>
        <v>0</v>
      </c>
      <c r="H1829" s="56" t="s">
        <v>94</v>
      </c>
      <c r="I1829" s="4"/>
      <c r="J1829" s="64"/>
    </row>
    <row r="1830" spans="1:10" s="3" customFormat="1" x14ac:dyDescent="0.25">
      <c r="A1830" s="20">
        <v>42026</v>
      </c>
      <c r="B1830" s="21">
        <v>9737</v>
      </c>
      <c r="C1830" s="14" t="s">
        <v>299</v>
      </c>
      <c r="D1830" s="22">
        <v>4073.6</v>
      </c>
      <c r="E1830" s="23">
        <v>42026</v>
      </c>
      <c r="F1830" s="46">
        <v>4073.6</v>
      </c>
      <c r="G1830" s="31">
        <f t="shared" si="28"/>
        <v>0</v>
      </c>
      <c r="H1830" s="56" t="s">
        <v>17</v>
      </c>
      <c r="I1830" s="4"/>
      <c r="J1830" s="64"/>
    </row>
    <row r="1831" spans="1:10" s="3" customFormat="1" x14ac:dyDescent="0.25">
      <c r="A1831" s="20">
        <v>42026</v>
      </c>
      <c r="B1831" s="21">
        <v>9738</v>
      </c>
      <c r="C1831" s="14" t="s">
        <v>16</v>
      </c>
      <c r="D1831" s="22">
        <v>4415.6000000000004</v>
      </c>
      <c r="E1831" s="23">
        <v>42026</v>
      </c>
      <c r="F1831" s="46">
        <v>4415.6000000000004</v>
      </c>
      <c r="G1831" s="31">
        <f t="shared" si="28"/>
        <v>0</v>
      </c>
      <c r="H1831" s="56" t="s">
        <v>17</v>
      </c>
      <c r="I1831" s="4"/>
      <c r="J1831" s="64"/>
    </row>
    <row r="1832" spans="1:10" s="3" customFormat="1" x14ac:dyDescent="0.25">
      <c r="A1832" s="20">
        <v>42026</v>
      </c>
      <c r="B1832" s="21">
        <v>9739</v>
      </c>
      <c r="C1832" s="14" t="s">
        <v>45</v>
      </c>
      <c r="D1832" s="22">
        <v>8371.2000000000007</v>
      </c>
      <c r="E1832" s="23">
        <v>42032</v>
      </c>
      <c r="F1832" s="46">
        <v>8371.2000000000007</v>
      </c>
      <c r="G1832" s="31">
        <f t="shared" si="28"/>
        <v>0</v>
      </c>
      <c r="H1832" s="56" t="s">
        <v>17</v>
      </c>
      <c r="I1832" s="4"/>
      <c r="J1832" s="64"/>
    </row>
    <row r="1833" spans="1:10" s="3" customFormat="1" x14ac:dyDescent="0.25">
      <c r="A1833" s="20">
        <v>42026</v>
      </c>
      <c r="B1833" s="21">
        <v>9740</v>
      </c>
      <c r="C1833" s="14" t="s">
        <v>143</v>
      </c>
      <c r="D1833" s="22">
        <v>13358.4</v>
      </c>
      <c r="E1833" s="23">
        <v>42026</v>
      </c>
      <c r="F1833" s="46">
        <v>13358.4</v>
      </c>
      <c r="G1833" s="31">
        <f t="shared" si="28"/>
        <v>0</v>
      </c>
      <c r="H1833" s="56" t="s">
        <v>17</v>
      </c>
      <c r="I1833" s="4"/>
      <c r="J1833" s="64"/>
    </row>
    <row r="1834" spans="1:10" s="3" customFormat="1" x14ac:dyDescent="0.25">
      <c r="A1834" s="20">
        <v>42026</v>
      </c>
      <c r="B1834" s="21">
        <v>9741</v>
      </c>
      <c r="C1834" s="14" t="s">
        <v>148</v>
      </c>
      <c r="D1834" s="22">
        <v>3123.4</v>
      </c>
      <c r="E1834" s="23">
        <v>42026</v>
      </c>
      <c r="F1834" s="46">
        <v>3123.4</v>
      </c>
      <c r="G1834" s="31">
        <f t="shared" si="28"/>
        <v>0</v>
      </c>
      <c r="H1834" s="56" t="s">
        <v>9</v>
      </c>
      <c r="I1834" s="4"/>
      <c r="J1834" s="64"/>
    </row>
    <row r="1835" spans="1:10" s="3" customFormat="1" x14ac:dyDescent="0.25">
      <c r="A1835" s="20">
        <v>42026</v>
      </c>
      <c r="B1835" s="21">
        <v>9742</v>
      </c>
      <c r="C1835" s="14" t="s">
        <v>26</v>
      </c>
      <c r="D1835" s="22">
        <v>2304</v>
      </c>
      <c r="E1835" s="23">
        <v>42026</v>
      </c>
      <c r="F1835" s="46">
        <v>2304</v>
      </c>
      <c r="G1835" s="31">
        <f t="shared" si="28"/>
        <v>0</v>
      </c>
      <c r="H1835" s="56" t="s">
        <v>27</v>
      </c>
      <c r="I1835" s="4"/>
      <c r="J1835" s="64"/>
    </row>
    <row r="1836" spans="1:10" s="3" customFormat="1" x14ac:dyDescent="0.25">
      <c r="A1836" s="20">
        <v>42026</v>
      </c>
      <c r="B1836" s="21">
        <v>9743</v>
      </c>
      <c r="C1836" s="14" t="s">
        <v>114</v>
      </c>
      <c r="D1836" s="22">
        <v>722.4</v>
      </c>
      <c r="E1836" s="23">
        <v>42026</v>
      </c>
      <c r="F1836" s="46">
        <v>722.4</v>
      </c>
      <c r="G1836" s="31">
        <f t="shared" si="28"/>
        <v>0</v>
      </c>
      <c r="H1836" s="56" t="s">
        <v>9</v>
      </c>
      <c r="I1836" s="4"/>
      <c r="J1836" s="64"/>
    </row>
    <row r="1837" spans="1:10" s="3" customFormat="1" x14ac:dyDescent="0.25">
      <c r="A1837" s="20">
        <v>42026</v>
      </c>
      <c r="B1837" s="21">
        <v>9744</v>
      </c>
      <c r="C1837" s="14" t="s">
        <v>399</v>
      </c>
      <c r="D1837" s="22">
        <v>4024.2</v>
      </c>
      <c r="E1837" s="23">
        <v>42026</v>
      </c>
      <c r="F1837" s="46">
        <v>4024.2</v>
      </c>
      <c r="G1837" s="31">
        <f t="shared" si="28"/>
        <v>0</v>
      </c>
      <c r="H1837" s="56" t="s">
        <v>312</v>
      </c>
      <c r="I1837" s="4"/>
      <c r="J1837" s="64"/>
    </row>
    <row r="1838" spans="1:10" s="3" customFormat="1" x14ac:dyDescent="0.25">
      <c r="A1838" s="20">
        <v>42026</v>
      </c>
      <c r="B1838" s="21">
        <v>9745</v>
      </c>
      <c r="C1838" s="14" t="s">
        <v>97</v>
      </c>
      <c r="D1838" s="22">
        <v>8471.1</v>
      </c>
      <c r="E1838" s="23">
        <v>42026</v>
      </c>
      <c r="F1838" s="46">
        <v>8471.1</v>
      </c>
      <c r="G1838" s="31">
        <f t="shared" si="28"/>
        <v>0</v>
      </c>
      <c r="H1838" s="56" t="s">
        <v>9</v>
      </c>
      <c r="I1838" s="4"/>
      <c r="J1838" s="64"/>
    </row>
    <row r="1839" spans="1:10" s="3" customFormat="1" x14ac:dyDescent="0.25">
      <c r="A1839" s="20">
        <v>42026</v>
      </c>
      <c r="B1839" s="21">
        <v>9746</v>
      </c>
      <c r="C1839" s="14" t="s">
        <v>121</v>
      </c>
      <c r="D1839" s="22">
        <v>3382</v>
      </c>
      <c r="E1839" s="23">
        <v>42026</v>
      </c>
      <c r="F1839" s="46">
        <v>3382</v>
      </c>
      <c r="G1839" s="31">
        <f t="shared" si="28"/>
        <v>0</v>
      </c>
      <c r="H1839" s="56" t="s">
        <v>9</v>
      </c>
      <c r="I1839" s="4"/>
      <c r="J1839" s="64"/>
    </row>
    <row r="1840" spans="1:10" s="3" customFormat="1" x14ac:dyDescent="0.25">
      <c r="A1840" s="20">
        <v>42026</v>
      </c>
      <c r="B1840" s="21">
        <v>9747</v>
      </c>
      <c r="C1840" s="14" t="s">
        <v>97</v>
      </c>
      <c r="D1840" s="22">
        <v>3497.4</v>
      </c>
      <c r="E1840" s="23">
        <v>42026</v>
      </c>
      <c r="F1840" s="46">
        <v>3497.4</v>
      </c>
      <c r="G1840" s="31">
        <f t="shared" si="28"/>
        <v>0</v>
      </c>
      <c r="H1840" s="56" t="s">
        <v>9</v>
      </c>
      <c r="I1840" s="4"/>
      <c r="J1840" s="64"/>
    </row>
    <row r="1841" spans="1:10" s="3" customFormat="1" x14ac:dyDescent="0.25">
      <c r="A1841" s="20">
        <v>42026</v>
      </c>
      <c r="B1841" s="21">
        <v>9748</v>
      </c>
      <c r="C1841" s="14" t="s">
        <v>294</v>
      </c>
      <c r="D1841" s="22">
        <v>6887.35</v>
      </c>
      <c r="E1841" s="23">
        <v>42026</v>
      </c>
      <c r="F1841" s="46">
        <v>6887.35</v>
      </c>
      <c r="G1841" s="31">
        <f t="shared" si="28"/>
        <v>0</v>
      </c>
      <c r="H1841" s="56" t="s">
        <v>9</v>
      </c>
      <c r="I1841" s="4"/>
      <c r="J1841" s="64"/>
    </row>
    <row r="1842" spans="1:10" s="3" customFormat="1" x14ac:dyDescent="0.25">
      <c r="A1842" s="20">
        <v>42026</v>
      </c>
      <c r="B1842" s="21">
        <v>9749</v>
      </c>
      <c r="C1842" s="14" t="s">
        <v>24</v>
      </c>
      <c r="D1842" s="22">
        <v>6705.6</v>
      </c>
      <c r="E1842" s="23">
        <v>42026</v>
      </c>
      <c r="F1842" s="46">
        <v>6705.6</v>
      </c>
      <c r="G1842" s="31">
        <f t="shared" si="28"/>
        <v>0</v>
      </c>
      <c r="H1842" s="56" t="s">
        <v>312</v>
      </c>
      <c r="I1842" s="4"/>
      <c r="J1842" s="64"/>
    </row>
    <row r="1843" spans="1:10" s="3" customFormat="1" x14ac:dyDescent="0.25">
      <c r="A1843" s="20">
        <v>42026</v>
      </c>
      <c r="B1843" s="21">
        <v>9750</v>
      </c>
      <c r="C1843" s="14" t="s">
        <v>151</v>
      </c>
      <c r="D1843" s="22">
        <v>15415.4</v>
      </c>
      <c r="E1843" s="23">
        <v>42028</v>
      </c>
      <c r="F1843" s="46">
        <v>15415.4</v>
      </c>
      <c r="G1843" s="31">
        <f t="shared" si="28"/>
        <v>0</v>
      </c>
      <c r="H1843" s="56" t="s">
        <v>9</v>
      </c>
      <c r="I1843" s="4"/>
      <c r="J1843" s="64"/>
    </row>
    <row r="1844" spans="1:10" s="3" customFormat="1" x14ac:dyDescent="0.25">
      <c r="A1844" s="20">
        <v>42026</v>
      </c>
      <c r="B1844" s="21">
        <v>9751</v>
      </c>
      <c r="C1844" s="14" t="s">
        <v>22</v>
      </c>
      <c r="D1844" s="22">
        <v>4560</v>
      </c>
      <c r="E1844" s="23">
        <v>42026</v>
      </c>
      <c r="F1844" s="46">
        <v>4560</v>
      </c>
      <c r="G1844" s="31">
        <f t="shared" si="28"/>
        <v>0</v>
      </c>
      <c r="H1844" s="56" t="s">
        <v>9</v>
      </c>
      <c r="I1844" s="4"/>
      <c r="J1844" s="64"/>
    </row>
    <row r="1845" spans="1:10" s="3" customFormat="1" x14ac:dyDescent="0.25">
      <c r="A1845" s="20">
        <v>42026</v>
      </c>
      <c r="B1845" s="21">
        <v>9752</v>
      </c>
      <c r="C1845" s="14" t="s">
        <v>50</v>
      </c>
      <c r="D1845" s="22">
        <v>4478.3999999999996</v>
      </c>
      <c r="E1845" s="23">
        <v>42026</v>
      </c>
      <c r="F1845" s="46">
        <v>4478.3999999999996</v>
      </c>
      <c r="G1845" s="31">
        <f t="shared" si="28"/>
        <v>0</v>
      </c>
      <c r="H1845" s="56" t="s">
        <v>19</v>
      </c>
      <c r="I1845" s="4"/>
      <c r="J1845" s="64"/>
    </row>
    <row r="1846" spans="1:10" s="3" customFormat="1" x14ac:dyDescent="0.25">
      <c r="A1846" s="20">
        <v>42026</v>
      </c>
      <c r="B1846" s="21">
        <v>9753</v>
      </c>
      <c r="C1846" s="14" t="s">
        <v>83</v>
      </c>
      <c r="D1846" s="22">
        <v>6376</v>
      </c>
      <c r="E1846" s="23">
        <v>42026</v>
      </c>
      <c r="F1846" s="46">
        <v>6376</v>
      </c>
      <c r="G1846" s="31">
        <f t="shared" si="28"/>
        <v>0</v>
      </c>
      <c r="H1846" s="56" t="s">
        <v>59</v>
      </c>
      <c r="I1846" s="4"/>
      <c r="J1846" s="64"/>
    </row>
    <row r="1847" spans="1:10" s="3" customFormat="1" x14ac:dyDescent="0.25">
      <c r="A1847" s="20">
        <v>42026</v>
      </c>
      <c r="B1847" s="21">
        <v>9754</v>
      </c>
      <c r="C1847" s="14" t="s">
        <v>128</v>
      </c>
      <c r="D1847" s="22">
        <v>4112.8</v>
      </c>
      <c r="E1847" s="23">
        <v>42026</v>
      </c>
      <c r="F1847" s="46">
        <v>4112.8</v>
      </c>
      <c r="G1847" s="31">
        <f t="shared" si="28"/>
        <v>0</v>
      </c>
      <c r="H1847" s="56" t="s">
        <v>19</v>
      </c>
      <c r="I1847" s="4"/>
      <c r="J1847" s="64"/>
    </row>
    <row r="1848" spans="1:10" s="3" customFormat="1" x14ac:dyDescent="0.25">
      <c r="A1848" s="20">
        <v>42026</v>
      </c>
      <c r="B1848" s="21">
        <v>9755</v>
      </c>
      <c r="C1848" s="14" t="s">
        <v>217</v>
      </c>
      <c r="D1848" s="22">
        <v>3012.2</v>
      </c>
      <c r="E1848" s="23">
        <v>42026</v>
      </c>
      <c r="F1848" s="46">
        <v>3012.2</v>
      </c>
      <c r="G1848" s="31">
        <f t="shared" si="28"/>
        <v>0</v>
      </c>
      <c r="H1848" s="56" t="s">
        <v>59</v>
      </c>
      <c r="I1848" s="4"/>
      <c r="J1848" s="64"/>
    </row>
    <row r="1849" spans="1:10" s="3" customFormat="1" x14ac:dyDescent="0.25">
      <c r="A1849" s="20">
        <v>42026</v>
      </c>
      <c r="B1849" s="21">
        <v>9756</v>
      </c>
      <c r="C1849" s="14" t="s">
        <v>81</v>
      </c>
      <c r="D1849" s="22">
        <v>1523.8</v>
      </c>
      <c r="E1849" s="23">
        <v>42026</v>
      </c>
      <c r="F1849" s="46">
        <v>1523.8</v>
      </c>
      <c r="G1849" s="31">
        <f t="shared" si="28"/>
        <v>0</v>
      </c>
      <c r="H1849" s="56" t="s">
        <v>59</v>
      </c>
      <c r="I1849" s="4"/>
      <c r="J1849" s="64"/>
    </row>
    <row r="1850" spans="1:10" s="3" customFormat="1" x14ac:dyDescent="0.25">
      <c r="A1850" s="20">
        <v>42026</v>
      </c>
      <c r="B1850" s="21">
        <v>9757</v>
      </c>
      <c r="C1850" s="14" t="s">
        <v>168</v>
      </c>
      <c r="D1850" s="22">
        <v>8694</v>
      </c>
      <c r="E1850" s="23">
        <v>42026</v>
      </c>
      <c r="F1850" s="46">
        <v>8694</v>
      </c>
      <c r="G1850" s="31">
        <f t="shared" si="28"/>
        <v>0</v>
      </c>
      <c r="H1850" s="56" t="s">
        <v>59</v>
      </c>
      <c r="I1850" s="4"/>
      <c r="J1850" s="64"/>
    </row>
    <row r="1851" spans="1:10" s="3" customFormat="1" x14ac:dyDescent="0.25">
      <c r="A1851" s="20">
        <v>42026</v>
      </c>
      <c r="B1851" s="21">
        <v>9758</v>
      </c>
      <c r="C1851" s="14" t="s">
        <v>53</v>
      </c>
      <c r="D1851" s="22">
        <v>1260</v>
      </c>
      <c r="E1851" s="23">
        <v>42026</v>
      </c>
      <c r="F1851" s="46">
        <v>1260</v>
      </c>
      <c r="G1851" s="31">
        <f t="shared" si="28"/>
        <v>0</v>
      </c>
      <c r="H1851" s="56" t="s">
        <v>59</v>
      </c>
      <c r="I1851" s="4"/>
      <c r="J1851" s="64"/>
    </row>
    <row r="1852" spans="1:10" s="3" customFormat="1" x14ac:dyDescent="0.25">
      <c r="A1852" s="20">
        <v>42026</v>
      </c>
      <c r="B1852" s="21">
        <v>9759</v>
      </c>
      <c r="C1852" s="14" t="s">
        <v>58</v>
      </c>
      <c r="D1852" s="22">
        <v>420</v>
      </c>
      <c r="E1852" s="23">
        <v>42026</v>
      </c>
      <c r="F1852" s="46">
        <v>420</v>
      </c>
      <c r="G1852" s="31">
        <f t="shared" si="28"/>
        <v>0</v>
      </c>
      <c r="H1852" s="56" t="s">
        <v>59</v>
      </c>
      <c r="I1852" s="4"/>
      <c r="J1852" s="64"/>
    </row>
    <row r="1853" spans="1:10" s="3" customFormat="1" x14ac:dyDescent="0.25">
      <c r="A1853" s="20">
        <v>42026</v>
      </c>
      <c r="B1853" s="21">
        <v>9760</v>
      </c>
      <c r="C1853" s="14" t="s">
        <v>57</v>
      </c>
      <c r="D1853" s="22">
        <v>1890</v>
      </c>
      <c r="E1853" s="23">
        <v>42026</v>
      </c>
      <c r="F1853" s="46">
        <v>1890</v>
      </c>
      <c r="G1853" s="31">
        <f t="shared" si="28"/>
        <v>0</v>
      </c>
      <c r="H1853" s="56" t="s">
        <v>59</v>
      </c>
      <c r="I1853" s="4"/>
      <c r="J1853" s="64"/>
    </row>
    <row r="1854" spans="1:10" s="3" customFormat="1" x14ac:dyDescent="0.25">
      <c r="A1854" s="20">
        <v>42026</v>
      </c>
      <c r="B1854" s="21">
        <v>9761</v>
      </c>
      <c r="C1854" s="14" t="s">
        <v>48</v>
      </c>
      <c r="D1854" s="22">
        <v>6466.6</v>
      </c>
      <c r="E1854" s="23">
        <v>42026</v>
      </c>
      <c r="F1854" s="46">
        <v>6466.6</v>
      </c>
      <c r="G1854" s="31">
        <f t="shared" si="28"/>
        <v>0</v>
      </c>
      <c r="H1854" s="56" t="s">
        <v>19</v>
      </c>
      <c r="I1854" s="4"/>
      <c r="J1854" s="64"/>
    </row>
    <row r="1855" spans="1:10" s="3" customFormat="1" x14ac:dyDescent="0.25">
      <c r="A1855" s="20">
        <v>42026</v>
      </c>
      <c r="B1855" s="21">
        <v>9762</v>
      </c>
      <c r="C1855" s="14" t="s">
        <v>64</v>
      </c>
      <c r="D1855" s="22">
        <v>4167.6000000000004</v>
      </c>
      <c r="E1855" s="23">
        <v>42026</v>
      </c>
      <c r="F1855" s="46">
        <v>4167.6000000000004</v>
      </c>
      <c r="G1855" s="31">
        <f t="shared" si="28"/>
        <v>0</v>
      </c>
      <c r="H1855" s="56" t="s">
        <v>9</v>
      </c>
      <c r="I1855" s="4"/>
      <c r="J1855" s="64"/>
    </row>
    <row r="1856" spans="1:10" s="3" customFormat="1" x14ac:dyDescent="0.25">
      <c r="A1856" s="20">
        <v>42026</v>
      </c>
      <c r="B1856" s="21">
        <v>9763</v>
      </c>
      <c r="C1856" s="14" t="s">
        <v>213</v>
      </c>
      <c r="D1856" s="22">
        <v>18600</v>
      </c>
      <c r="E1856" s="23">
        <v>42026</v>
      </c>
      <c r="F1856" s="46">
        <v>18600</v>
      </c>
      <c r="G1856" s="31">
        <f t="shared" si="28"/>
        <v>0</v>
      </c>
      <c r="H1856" s="56" t="s">
        <v>19</v>
      </c>
      <c r="I1856" s="4"/>
      <c r="J1856" s="64"/>
    </row>
    <row r="1857" spans="1:10" s="3" customFormat="1" x14ac:dyDescent="0.25">
      <c r="A1857" s="20">
        <v>42026</v>
      </c>
      <c r="B1857" s="21">
        <v>9764</v>
      </c>
      <c r="C1857" s="14" t="s">
        <v>82</v>
      </c>
      <c r="D1857" s="22">
        <v>9877.2000000000007</v>
      </c>
      <c r="E1857" s="23">
        <v>42026</v>
      </c>
      <c r="F1857" s="46">
        <v>9877.2000000000007</v>
      </c>
      <c r="G1857" s="31">
        <f t="shared" si="28"/>
        <v>0</v>
      </c>
      <c r="H1857" s="56" t="s">
        <v>59</v>
      </c>
      <c r="I1857" s="4"/>
      <c r="J1857" s="64"/>
    </row>
    <row r="1858" spans="1:10" s="3" customFormat="1" x14ac:dyDescent="0.25">
      <c r="A1858" s="20">
        <v>42026</v>
      </c>
      <c r="B1858" s="21">
        <v>9765</v>
      </c>
      <c r="C1858" s="14" t="s">
        <v>49</v>
      </c>
      <c r="D1858" s="22">
        <v>1810</v>
      </c>
      <c r="E1858" s="23">
        <v>42026</v>
      </c>
      <c r="F1858" s="46">
        <v>1810</v>
      </c>
      <c r="G1858" s="31">
        <f t="shared" si="28"/>
        <v>0</v>
      </c>
      <c r="H1858" s="56" t="s">
        <v>19</v>
      </c>
      <c r="I1858" s="4"/>
      <c r="J1858" s="64"/>
    </row>
    <row r="1859" spans="1:10" s="3" customFormat="1" x14ac:dyDescent="0.25">
      <c r="A1859" s="20">
        <v>42026</v>
      </c>
      <c r="B1859" s="21">
        <v>9766</v>
      </c>
      <c r="C1859" s="14" t="s">
        <v>45</v>
      </c>
      <c r="D1859" s="22">
        <v>136207.35</v>
      </c>
      <c r="E1859" s="23">
        <v>42032</v>
      </c>
      <c r="F1859" s="46">
        <v>136207.35</v>
      </c>
      <c r="G1859" s="31">
        <f t="shared" ref="G1859:G1922" si="29">D1859-F1859</f>
        <v>0</v>
      </c>
      <c r="H1859" s="56" t="s">
        <v>46</v>
      </c>
      <c r="I1859" s="4"/>
      <c r="J1859" s="64"/>
    </row>
    <row r="1860" spans="1:10" s="3" customFormat="1" x14ac:dyDescent="0.25">
      <c r="A1860" s="20">
        <v>42026</v>
      </c>
      <c r="B1860" s="21">
        <v>9767</v>
      </c>
      <c r="C1860" s="14" t="s">
        <v>141</v>
      </c>
      <c r="D1860" s="22">
        <v>10916.4</v>
      </c>
      <c r="E1860" s="23">
        <v>42026</v>
      </c>
      <c r="F1860" s="24">
        <v>10916.4</v>
      </c>
      <c r="G1860" s="31">
        <f t="shared" si="29"/>
        <v>0</v>
      </c>
      <c r="H1860" s="39" t="s">
        <v>19</v>
      </c>
      <c r="I1860" s="4"/>
      <c r="J1860" s="64"/>
    </row>
    <row r="1861" spans="1:10" s="3" customFormat="1" x14ac:dyDescent="0.25">
      <c r="A1861" s="20">
        <v>42026</v>
      </c>
      <c r="B1861" s="21">
        <v>9768</v>
      </c>
      <c r="C1861" s="14" t="s">
        <v>292</v>
      </c>
      <c r="D1861" s="22">
        <v>3210.8</v>
      </c>
      <c r="E1861" s="23">
        <v>42026</v>
      </c>
      <c r="F1861" s="24">
        <v>3210.8</v>
      </c>
      <c r="G1861" s="31">
        <f t="shared" si="29"/>
        <v>0</v>
      </c>
      <c r="H1861" s="39" t="s">
        <v>59</v>
      </c>
      <c r="I1861" s="4"/>
      <c r="J1861" s="64"/>
    </row>
    <row r="1862" spans="1:10" s="3" customFormat="1" x14ac:dyDescent="0.25">
      <c r="A1862" s="20">
        <v>42026</v>
      </c>
      <c r="B1862" s="21">
        <v>9769</v>
      </c>
      <c r="C1862" s="14" t="s">
        <v>319</v>
      </c>
      <c r="D1862" s="22">
        <v>1536.6</v>
      </c>
      <c r="E1862" s="23">
        <v>42026</v>
      </c>
      <c r="F1862" s="24">
        <v>1536.6</v>
      </c>
      <c r="G1862" s="31">
        <f t="shared" si="29"/>
        <v>0</v>
      </c>
      <c r="H1862" s="39" t="s">
        <v>9</v>
      </c>
      <c r="I1862" s="4"/>
      <c r="J1862" s="64"/>
    </row>
    <row r="1863" spans="1:10" s="3" customFormat="1" x14ac:dyDescent="0.25">
      <c r="A1863" s="20">
        <v>42026</v>
      </c>
      <c r="B1863" s="21">
        <v>9770</v>
      </c>
      <c r="C1863" s="14" t="s">
        <v>71</v>
      </c>
      <c r="D1863" s="22">
        <v>6636.86</v>
      </c>
      <c r="E1863" s="23">
        <v>42026</v>
      </c>
      <c r="F1863" s="24">
        <v>6636.86</v>
      </c>
      <c r="G1863" s="31">
        <f t="shared" si="29"/>
        <v>0</v>
      </c>
      <c r="H1863" s="39" t="s">
        <v>9</v>
      </c>
      <c r="I1863" s="4"/>
      <c r="J1863" s="64"/>
    </row>
    <row r="1864" spans="1:10" s="3" customFormat="1" x14ac:dyDescent="0.25">
      <c r="A1864" s="20">
        <v>42026</v>
      </c>
      <c r="B1864" s="21">
        <v>9771</v>
      </c>
      <c r="C1864" s="14" t="s">
        <v>34</v>
      </c>
      <c r="D1864" s="22">
        <v>2520</v>
      </c>
      <c r="E1864" s="23">
        <v>42026</v>
      </c>
      <c r="F1864" s="24">
        <v>2520</v>
      </c>
      <c r="G1864" s="31">
        <f t="shared" si="29"/>
        <v>0</v>
      </c>
      <c r="H1864" s="39" t="s">
        <v>9</v>
      </c>
      <c r="I1864" s="4"/>
      <c r="J1864" s="64"/>
    </row>
    <row r="1865" spans="1:10" s="3" customFormat="1" x14ac:dyDescent="0.25">
      <c r="A1865" s="20">
        <v>42026</v>
      </c>
      <c r="B1865" s="21">
        <v>9772</v>
      </c>
      <c r="C1865" s="14" t="s">
        <v>229</v>
      </c>
      <c r="D1865" s="22">
        <v>6182.95</v>
      </c>
      <c r="E1865" s="23">
        <v>42026</v>
      </c>
      <c r="F1865" s="24">
        <v>6182.95</v>
      </c>
      <c r="G1865" s="31">
        <f t="shared" si="29"/>
        <v>0</v>
      </c>
      <c r="H1865" s="39" t="s">
        <v>9</v>
      </c>
      <c r="I1865" s="4"/>
      <c r="J1865" s="64"/>
    </row>
    <row r="1866" spans="1:10" s="3" customFormat="1" x14ac:dyDescent="0.25">
      <c r="A1866" s="20">
        <v>42026</v>
      </c>
      <c r="B1866" s="21">
        <v>9773</v>
      </c>
      <c r="C1866" s="14" t="s">
        <v>192</v>
      </c>
      <c r="D1866" s="22">
        <v>16530.5</v>
      </c>
      <c r="E1866" s="74">
        <v>42055</v>
      </c>
      <c r="F1866" s="96">
        <v>16530.5</v>
      </c>
      <c r="G1866" s="31">
        <f t="shared" si="29"/>
        <v>0</v>
      </c>
      <c r="H1866" s="39" t="s">
        <v>94</v>
      </c>
      <c r="I1866" s="4"/>
      <c r="J1866" s="64"/>
    </row>
    <row r="1867" spans="1:10" s="3" customFormat="1" x14ac:dyDescent="0.25">
      <c r="A1867" s="20">
        <v>42026</v>
      </c>
      <c r="B1867" s="21">
        <v>9774</v>
      </c>
      <c r="C1867" s="14" t="s">
        <v>100</v>
      </c>
      <c r="D1867" s="22">
        <v>4256.3999999999996</v>
      </c>
      <c r="E1867" s="65">
        <v>42026</v>
      </c>
      <c r="F1867" s="24">
        <v>4256.3999999999996</v>
      </c>
      <c r="G1867" s="31">
        <f t="shared" si="29"/>
        <v>0</v>
      </c>
      <c r="H1867" s="39" t="s">
        <v>9</v>
      </c>
      <c r="I1867" s="4"/>
      <c r="J1867" s="64"/>
    </row>
    <row r="1868" spans="1:10" s="3" customFormat="1" x14ac:dyDescent="0.25">
      <c r="A1868" s="20">
        <v>42026</v>
      </c>
      <c r="B1868" s="21">
        <v>9775</v>
      </c>
      <c r="C1868" s="14" t="s">
        <v>35</v>
      </c>
      <c r="D1868" s="22">
        <v>26138.06</v>
      </c>
      <c r="E1868" s="65">
        <v>42026</v>
      </c>
      <c r="F1868" s="24">
        <v>26138.06</v>
      </c>
      <c r="G1868" s="31">
        <f t="shared" si="29"/>
        <v>0</v>
      </c>
      <c r="H1868" s="39" t="s">
        <v>36</v>
      </c>
      <c r="I1868" s="4"/>
      <c r="J1868" s="64"/>
    </row>
    <row r="1869" spans="1:10" s="3" customFormat="1" x14ac:dyDescent="0.25">
      <c r="A1869" s="20">
        <v>42026</v>
      </c>
      <c r="B1869" s="21">
        <v>9776</v>
      </c>
      <c r="C1869" s="14" t="s">
        <v>30</v>
      </c>
      <c r="D1869" s="22">
        <v>2264.1999999999998</v>
      </c>
      <c r="E1869" s="65">
        <v>42026</v>
      </c>
      <c r="F1869" s="24">
        <v>2264.1999999999998</v>
      </c>
      <c r="G1869" s="31">
        <f t="shared" si="29"/>
        <v>0</v>
      </c>
      <c r="H1869" s="39" t="s">
        <v>9</v>
      </c>
      <c r="I1869" s="4"/>
      <c r="J1869" s="64"/>
    </row>
    <row r="1870" spans="1:10" s="3" customFormat="1" x14ac:dyDescent="0.25">
      <c r="A1870" s="20">
        <v>42026</v>
      </c>
      <c r="B1870" s="21">
        <v>9777</v>
      </c>
      <c r="C1870" s="14" t="s">
        <v>110</v>
      </c>
      <c r="D1870" s="22">
        <v>64645.24</v>
      </c>
      <c r="E1870" s="65">
        <v>42032</v>
      </c>
      <c r="F1870" s="24">
        <v>64645.24</v>
      </c>
      <c r="G1870" s="31">
        <f t="shared" si="29"/>
        <v>0</v>
      </c>
      <c r="H1870" s="19" t="s">
        <v>183</v>
      </c>
      <c r="I1870" s="4"/>
      <c r="J1870" s="64"/>
    </row>
    <row r="1871" spans="1:10" s="3" customFormat="1" x14ac:dyDescent="0.25">
      <c r="A1871" s="20">
        <v>42026</v>
      </c>
      <c r="B1871" s="21">
        <v>9778</v>
      </c>
      <c r="C1871" s="14" t="s">
        <v>406</v>
      </c>
      <c r="D1871" s="22">
        <v>10421.299999999999</v>
      </c>
      <c r="E1871" s="65">
        <v>42026</v>
      </c>
      <c r="F1871" s="24">
        <v>10421.299999999999</v>
      </c>
      <c r="G1871" s="31">
        <f t="shared" si="29"/>
        <v>0</v>
      </c>
      <c r="H1871" s="19" t="s">
        <v>36</v>
      </c>
      <c r="I1871" s="4"/>
      <c r="J1871" s="64"/>
    </row>
    <row r="1872" spans="1:10" s="3" customFormat="1" x14ac:dyDescent="0.25">
      <c r="A1872" s="20">
        <v>42026</v>
      </c>
      <c r="B1872" s="21">
        <v>9779</v>
      </c>
      <c r="C1872" s="14" t="s">
        <v>134</v>
      </c>
      <c r="D1872" s="22">
        <v>1578.6</v>
      </c>
      <c r="E1872" s="65">
        <v>42026</v>
      </c>
      <c r="F1872" s="24">
        <v>1578.6</v>
      </c>
      <c r="G1872" s="31">
        <f t="shared" si="29"/>
        <v>0</v>
      </c>
      <c r="H1872" s="19" t="s">
        <v>36</v>
      </c>
      <c r="I1872" s="4"/>
      <c r="J1872" s="64"/>
    </row>
    <row r="1873" spans="1:10" s="3" customFormat="1" x14ac:dyDescent="0.25">
      <c r="A1873" s="20">
        <v>42026</v>
      </c>
      <c r="B1873" s="21">
        <v>9780</v>
      </c>
      <c r="C1873" s="14" t="s">
        <v>137</v>
      </c>
      <c r="D1873" s="22">
        <v>3936.8</v>
      </c>
      <c r="E1873" s="65">
        <v>42026</v>
      </c>
      <c r="F1873" s="24">
        <v>3936.8</v>
      </c>
      <c r="G1873" s="31">
        <f t="shared" si="29"/>
        <v>0</v>
      </c>
      <c r="H1873" s="19" t="s">
        <v>9</v>
      </c>
      <c r="I1873" s="4"/>
      <c r="J1873" s="64"/>
    </row>
    <row r="1874" spans="1:10" s="3" customFormat="1" x14ac:dyDescent="0.25">
      <c r="A1874" s="20">
        <v>42026</v>
      </c>
      <c r="B1874" s="21">
        <v>9781</v>
      </c>
      <c r="C1874" s="14" t="s">
        <v>60</v>
      </c>
      <c r="D1874" s="22">
        <v>10468.4</v>
      </c>
      <c r="E1874" s="65">
        <v>42026</v>
      </c>
      <c r="F1874" s="24">
        <v>10468.4</v>
      </c>
      <c r="G1874" s="31">
        <f t="shared" si="29"/>
        <v>0</v>
      </c>
      <c r="H1874" s="19" t="s">
        <v>36</v>
      </c>
      <c r="I1874" s="4"/>
      <c r="J1874" s="64"/>
    </row>
    <row r="1875" spans="1:10" s="3" customFormat="1" x14ac:dyDescent="0.25">
      <c r="A1875" s="20">
        <v>42026</v>
      </c>
      <c r="B1875" s="21">
        <v>9782</v>
      </c>
      <c r="C1875" s="14" t="s">
        <v>24</v>
      </c>
      <c r="D1875" s="22">
        <v>53297.68</v>
      </c>
      <c r="E1875" s="74">
        <v>42039</v>
      </c>
      <c r="F1875" s="96">
        <v>53297.68</v>
      </c>
      <c r="G1875" s="31">
        <f t="shared" si="29"/>
        <v>0</v>
      </c>
      <c r="H1875" s="19" t="s">
        <v>183</v>
      </c>
      <c r="I1875" s="4"/>
      <c r="J1875" s="64"/>
    </row>
    <row r="1876" spans="1:10" s="3" customFormat="1" x14ac:dyDescent="0.25">
      <c r="A1876" s="20">
        <v>42026</v>
      </c>
      <c r="B1876" s="21">
        <v>9783</v>
      </c>
      <c r="C1876" s="14" t="s">
        <v>47</v>
      </c>
      <c r="D1876" s="22">
        <v>25722</v>
      </c>
      <c r="E1876" s="65">
        <v>42026</v>
      </c>
      <c r="F1876" s="24">
        <v>25722</v>
      </c>
      <c r="G1876" s="31">
        <f t="shared" si="29"/>
        <v>0</v>
      </c>
      <c r="H1876" s="19" t="s">
        <v>36</v>
      </c>
      <c r="I1876" s="4"/>
      <c r="J1876" s="64"/>
    </row>
    <row r="1877" spans="1:10" s="3" customFormat="1" x14ac:dyDescent="0.25">
      <c r="A1877" s="20">
        <v>42026</v>
      </c>
      <c r="B1877" s="21">
        <v>9784</v>
      </c>
      <c r="C1877" s="14" t="s">
        <v>56</v>
      </c>
      <c r="D1877" s="22">
        <v>12307.6</v>
      </c>
      <c r="E1877" s="65">
        <v>42026</v>
      </c>
      <c r="F1877" s="24">
        <v>12307.6</v>
      </c>
      <c r="G1877" s="31">
        <f t="shared" si="29"/>
        <v>0</v>
      </c>
      <c r="H1877" s="19" t="s">
        <v>36</v>
      </c>
      <c r="I1877" s="4"/>
      <c r="J1877" s="64"/>
    </row>
    <row r="1878" spans="1:10" s="3" customFormat="1" x14ac:dyDescent="0.25">
      <c r="A1878" s="20">
        <v>42026</v>
      </c>
      <c r="B1878" s="21">
        <v>9785</v>
      </c>
      <c r="C1878" s="14" t="s">
        <v>56</v>
      </c>
      <c r="D1878" s="22">
        <v>1472.4</v>
      </c>
      <c r="E1878" s="65">
        <v>42026</v>
      </c>
      <c r="F1878" s="24">
        <v>1472.4</v>
      </c>
      <c r="G1878" s="31">
        <f t="shared" si="29"/>
        <v>0</v>
      </c>
      <c r="H1878" s="19" t="s">
        <v>36</v>
      </c>
      <c r="I1878" s="4"/>
      <c r="J1878" s="64"/>
    </row>
    <row r="1879" spans="1:10" s="3" customFormat="1" x14ac:dyDescent="0.25">
      <c r="A1879" s="20">
        <v>42026</v>
      </c>
      <c r="B1879" s="21">
        <v>9786</v>
      </c>
      <c r="C1879" s="14" t="s">
        <v>123</v>
      </c>
      <c r="D1879" s="22">
        <v>16994.8</v>
      </c>
      <c r="E1879" s="65">
        <v>42026</v>
      </c>
      <c r="F1879" s="24">
        <v>16994.8</v>
      </c>
      <c r="G1879" s="31">
        <f t="shared" si="29"/>
        <v>0</v>
      </c>
      <c r="H1879" s="19" t="s">
        <v>36</v>
      </c>
      <c r="I1879" s="4"/>
      <c r="J1879" s="64"/>
    </row>
    <row r="1880" spans="1:10" s="3" customFormat="1" x14ac:dyDescent="0.25">
      <c r="A1880" s="20">
        <v>42026</v>
      </c>
      <c r="B1880" s="21">
        <v>9787</v>
      </c>
      <c r="C1880" s="14" t="s">
        <v>335</v>
      </c>
      <c r="D1880" s="22">
        <v>224</v>
      </c>
      <c r="E1880" s="65">
        <v>42026</v>
      </c>
      <c r="F1880" s="24">
        <v>224</v>
      </c>
      <c r="G1880" s="31">
        <f t="shared" si="29"/>
        <v>0</v>
      </c>
      <c r="H1880" s="19" t="s">
        <v>9</v>
      </c>
      <c r="I1880" s="4"/>
      <c r="J1880" s="4"/>
    </row>
    <row r="1881" spans="1:10" s="3" customFormat="1" x14ac:dyDescent="0.25">
      <c r="A1881" s="20">
        <v>42026</v>
      </c>
      <c r="B1881" s="21">
        <v>9788</v>
      </c>
      <c r="C1881" s="14" t="s">
        <v>24</v>
      </c>
      <c r="D1881" s="22">
        <v>17283.96</v>
      </c>
      <c r="E1881" s="65">
        <v>42026</v>
      </c>
      <c r="F1881" s="24">
        <v>17283.96</v>
      </c>
      <c r="G1881" s="31">
        <f t="shared" si="29"/>
        <v>0</v>
      </c>
      <c r="H1881" s="19" t="s">
        <v>183</v>
      </c>
      <c r="I1881" s="4"/>
      <c r="J1881" s="4"/>
    </row>
    <row r="1882" spans="1:10" s="3" customFormat="1" x14ac:dyDescent="0.25">
      <c r="A1882" s="20">
        <v>42026</v>
      </c>
      <c r="B1882" s="21">
        <v>9789</v>
      </c>
      <c r="C1882" s="14" t="s">
        <v>413</v>
      </c>
      <c r="D1882" s="22">
        <v>4637</v>
      </c>
      <c r="E1882" s="65">
        <v>42026</v>
      </c>
      <c r="F1882" s="24">
        <v>4637</v>
      </c>
      <c r="G1882" s="31">
        <f t="shared" si="29"/>
        <v>0</v>
      </c>
      <c r="H1882" s="19" t="s">
        <v>9</v>
      </c>
      <c r="I1882" s="4"/>
      <c r="J1882" s="4"/>
    </row>
    <row r="1883" spans="1:10" s="3" customFormat="1" x14ac:dyDescent="0.25">
      <c r="A1883" s="20">
        <v>42026</v>
      </c>
      <c r="B1883" s="21">
        <v>9790</v>
      </c>
      <c r="C1883" s="14" t="s">
        <v>87</v>
      </c>
      <c r="D1883" s="22">
        <v>1507.2</v>
      </c>
      <c r="E1883" s="65">
        <v>42026</v>
      </c>
      <c r="F1883" s="24">
        <v>1507.2</v>
      </c>
      <c r="G1883" s="31">
        <f t="shared" si="29"/>
        <v>0</v>
      </c>
      <c r="H1883" s="19" t="s">
        <v>9</v>
      </c>
      <c r="I1883" s="4"/>
      <c r="J1883" s="4"/>
    </row>
    <row r="1884" spans="1:10" s="3" customFormat="1" x14ac:dyDescent="0.25">
      <c r="A1884" s="20">
        <v>42026</v>
      </c>
      <c r="B1884" s="21">
        <v>9791</v>
      </c>
      <c r="C1884" s="14" t="s">
        <v>292</v>
      </c>
      <c r="D1884" s="22">
        <v>9666.6</v>
      </c>
      <c r="E1884" s="65">
        <v>42026</v>
      </c>
      <c r="F1884" s="24">
        <v>9666.6</v>
      </c>
      <c r="G1884" s="31">
        <f t="shared" si="29"/>
        <v>0</v>
      </c>
      <c r="H1884" s="19" t="s">
        <v>9</v>
      </c>
      <c r="I1884" s="4"/>
      <c r="J1884" s="4"/>
    </row>
    <row r="1885" spans="1:10" s="3" customFormat="1" x14ac:dyDescent="0.25">
      <c r="A1885" s="20">
        <v>42026</v>
      </c>
      <c r="B1885" s="21">
        <v>9792</v>
      </c>
      <c r="C1885" s="14" t="s">
        <v>104</v>
      </c>
      <c r="D1885" s="22">
        <v>1994</v>
      </c>
      <c r="E1885" s="65">
        <v>42027</v>
      </c>
      <c r="F1885" s="24">
        <f>103.6+1890.4</f>
        <v>1994</v>
      </c>
      <c r="G1885" s="31">
        <f t="shared" si="29"/>
        <v>0</v>
      </c>
      <c r="H1885" s="19" t="s">
        <v>62</v>
      </c>
      <c r="I1885" s="4"/>
      <c r="J1885" s="4"/>
    </row>
    <row r="1886" spans="1:10" s="3" customFormat="1" x14ac:dyDescent="0.25">
      <c r="A1886" s="20">
        <v>42026</v>
      </c>
      <c r="B1886" s="21">
        <v>9793</v>
      </c>
      <c r="C1886" s="14" t="s">
        <v>95</v>
      </c>
      <c r="D1886" s="22">
        <v>3124.2</v>
      </c>
      <c r="E1886" s="65">
        <v>42027</v>
      </c>
      <c r="F1886" s="24">
        <v>3124.2</v>
      </c>
      <c r="G1886" s="31">
        <f t="shared" si="29"/>
        <v>0</v>
      </c>
      <c r="H1886" s="19" t="s">
        <v>62</v>
      </c>
      <c r="I1886" s="4"/>
      <c r="J1886" s="4"/>
    </row>
    <row r="1887" spans="1:10" s="3" customFormat="1" x14ac:dyDescent="0.25">
      <c r="A1887" s="20">
        <v>42026</v>
      </c>
      <c r="B1887" s="21">
        <v>9794</v>
      </c>
      <c r="C1887" s="14" t="s">
        <v>93</v>
      </c>
      <c r="D1887" s="22">
        <v>1812.2</v>
      </c>
      <c r="E1887" s="65">
        <v>42027</v>
      </c>
      <c r="F1887" s="24">
        <v>1812.2</v>
      </c>
      <c r="G1887" s="31">
        <f t="shared" si="29"/>
        <v>0</v>
      </c>
      <c r="H1887" s="19" t="s">
        <v>62</v>
      </c>
      <c r="I1887" s="4"/>
      <c r="J1887" s="4"/>
    </row>
    <row r="1888" spans="1:10" s="3" customFormat="1" x14ac:dyDescent="0.25">
      <c r="A1888" s="20">
        <v>42026</v>
      </c>
      <c r="B1888" s="21">
        <v>9795</v>
      </c>
      <c r="C1888" s="14" t="s">
        <v>106</v>
      </c>
      <c r="D1888" s="22">
        <v>8889.6</v>
      </c>
      <c r="E1888" s="65">
        <v>42027</v>
      </c>
      <c r="F1888" s="24">
        <v>8889.6</v>
      </c>
      <c r="G1888" s="31">
        <f t="shared" si="29"/>
        <v>0</v>
      </c>
      <c r="H1888" s="19" t="s">
        <v>62</v>
      </c>
      <c r="I1888" s="4"/>
      <c r="J1888" s="4"/>
    </row>
    <row r="1889" spans="1:10" s="3" customFormat="1" x14ac:dyDescent="0.25">
      <c r="A1889" s="20">
        <v>42026</v>
      </c>
      <c r="B1889" s="21">
        <v>9796</v>
      </c>
      <c r="C1889" s="14" t="s">
        <v>24</v>
      </c>
      <c r="D1889" s="22">
        <v>5111</v>
      </c>
      <c r="E1889" s="65">
        <v>42026</v>
      </c>
      <c r="F1889" s="24">
        <v>5111</v>
      </c>
      <c r="G1889" s="31">
        <f t="shared" si="29"/>
        <v>0</v>
      </c>
      <c r="H1889" s="19" t="s">
        <v>94</v>
      </c>
      <c r="I1889" s="4"/>
      <c r="J1889" s="4"/>
    </row>
    <row r="1890" spans="1:10" s="3" customFormat="1" x14ac:dyDescent="0.25">
      <c r="A1890" s="20">
        <v>42026</v>
      </c>
      <c r="B1890" s="21">
        <v>9797</v>
      </c>
      <c r="C1890" s="14" t="s">
        <v>361</v>
      </c>
      <c r="D1890" s="22">
        <v>6947</v>
      </c>
      <c r="E1890" s="65">
        <v>42027</v>
      </c>
      <c r="F1890" s="24">
        <v>6947</v>
      </c>
      <c r="G1890" s="31">
        <f t="shared" si="29"/>
        <v>0</v>
      </c>
      <c r="H1890" s="19" t="s">
        <v>62</v>
      </c>
    </row>
    <row r="1891" spans="1:10" s="3" customFormat="1" x14ac:dyDescent="0.25">
      <c r="A1891" s="20">
        <v>42026</v>
      </c>
      <c r="B1891" s="21">
        <v>9798</v>
      </c>
      <c r="C1891" s="14" t="s">
        <v>190</v>
      </c>
      <c r="D1891" s="22">
        <v>4224</v>
      </c>
      <c r="E1891" s="65">
        <v>42027</v>
      </c>
      <c r="F1891" s="24">
        <v>4224</v>
      </c>
      <c r="G1891" s="31">
        <f t="shared" si="29"/>
        <v>0</v>
      </c>
      <c r="H1891" s="19" t="s">
        <v>62</v>
      </c>
    </row>
    <row r="1892" spans="1:10" s="3" customFormat="1" x14ac:dyDescent="0.25">
      <c r="A1892" s="20">
        <v>42026</v>
      </c>
      <c r="B1892" s="21">
        <v>9799</v>
      </c>
      <c r="C1892" s="14" t="s">
        <v>32</v>
      </c>
      <c r="D1892" s="22">
        <v>11097.6</v>
      </c>
      <c r="E1892" s="65">
        <v>42035</v>
      </c>
      <c r="F1892" s="24">
        <v>11097.6</v>
      </c>
      <c r="G1892" s="31">
        <f t="shared" si="29"/>
        <v>0</v>
      </c>
      <c r="H1892" s="19" t="s">
        <v>62</v>
      </c>
    </row>
    <row r="1893" spans="1:10" s="3" customFormat="1" x14ac:dyDescent="0.25">
      <c r="A1893" s="20">
        <v>42026</v>
      </c>
      <c r="B1893" s="21">
        <v>9800</v>
      </c>
      <c r="C1893" s="14" t="s">
        <v>136</v>
      </c>
      <c r="D1893" s="22">
        <v>40450.6</v>
      </c>
      <c r="E1893" s="66" t="s">
        <v>414</v>
      </c>
      <c r="F1893" s="24">
        <f>12800+27650.6</f>
        <v>40450.6</v>
      </c>
      <c r="G1893" s="48">
        <f t="shared" si="29"/>
        <v>0</v>
      </c>
      <c r="H1893" s="19" t="s">
        <v>9</v>
      </c>
    </row>
    <row r="1894" spans="1:10" s="3" customFormat="1" x14ac:dyDescent="0.25">
      <c r="A1894" s="20">
        <v>42026</v>
      </c>
      <c r="B1894" s="21">
        <v>9801</v>
      </c>
      <c r="C1894" s="14" t="s">
        <v>415</v>
      </c>
      <c r="D1894" s="22">
        <v>562</v>
      </c>
      <c r="E1894" s="65">
        <v>42027</v>
      </c>
      <c r="F1894" s="24">
        <v>562</v>
      </c>
      <c r="G1894" s="31">
        <f t="shared" si="29"/>
        <v>0</v>
      </c>
      <c r="H1894" s="19" t="s">
        <v>62</v>
      </c>
    </row>
    <row r="1895" spans="1:10" s="3" customFormat="1" x14ac:dyDescent="0.25">
      <c r="A1895" s="20">
        <v>42026</v>
      </c>
      <c r="B1895" s="21">
        <v>9802</v>
      </c>
      <c r="C1895" s="14" t="s">
        <v>416</v>
      </c>
      <c r="D1895" s="22">
        <v>133</v>
      </c>
      <c r="E1895" s="65">
        <v>42026</v>
      </c>
      <c r="F1895" s="24">
        <v>133</v>
      </c>
      <c r="G1895" s="31">
        <f t="shared" si="29"/>
        <v>0</v>
      </c>
      <c r="H1895" s="19" t="s">
        <v>9</v>
      </c>
    </row>
    <row r="1896" spans="1:10" s="3" customFormat="1" x14ac:dyDescent="0.25">
      <c r="A1896" s="20">
        <v>42026</v>
      </c>
      <c r="B1896" s="21">
        <v>9803</v>
      </c>
      <c r="C1896" s="14" t="s">
        <v>282</v>
      </c>
      <c r="D1896" s="22">
        <v>3300</v>
      </c>
      <c r="E1896" s="74">
        <v>42045</v>
      </c>
      <c r="F1896" s="96">
        <v>3300</v>
      </c>
      <c r="G1896" s="31">
        <f t="shared" si="29"/>
        <v>0</v>
      </c>
      <c r="H1896" s="19" t="s">
        <v>9</v>
      </c>
    </row>
    <row r="1897" spans="1:10" s="3" customFormat="1" x14ac:dyDescent="0.25">
      <c r="A1897" s="20">
        <v>42026</v>
      </c>
      <c r="B1897" s="21">
        <v>9804</v>
      </c>
      <c r="C1897" s="14" t="s">
        <v>153</v>
      </c>
      <c r="D1897" s="22">
        <v>4439.3999999999996</v>
      </c>
      <c r="E1897" s="65">
        <v>42026</v>
      </c>
      <c r="F1897" s="24">
        <v>4439.3999999999996</v>
      </c>
      <c r="G1897" s="31">
        <f t="shared" si="29"/>
        <v>0</v>
      </c>
      <c r="H1897" s="19" t="s">
        <v>19</v>
      </c>
    </row>
    <row r="1898" spans="1:10" s="3" customFormat="1" x14ac:dyDescent="0.25">
      <c r="A1898" s="20">
        <v>42026</v>
      </c>
      <c r="B1898" s="21">
        <v>9805</v>
      </c>
      <c r="C1898" s="14" t="s">
        <v>126</v>
      </c>
      <c r="D1898" s="22">
        <v>2456.4</v>
      </c>
      <c r="E1898" s="65">
        <v>42026</v>
      </c>
      <c r="F1898" s="24">
        <v>2456.4</v>
      </c>
      <c r="G1898" s="31">
        <f t="shared" si="29"/>
        <v>0</v>
      </c>
      <c r="H1898" s="19" t="s">
        <v>19</v>
      </c>
    </row>
    <row r="1899" spans="1:10" s="3" customFormat="1" x14ac:dyDescent="0.25">
      <c r="A1899" s="20">
        <v>42026</v>
      </c>
      <c r="B1899" s="21">
        <v>9806</v>
      </c>
      <c r="C1899" s="14" t="s">
        <v>344</v>
      </c>
      <c r="D1899" s="22">
        <v>470.9</v>
      </c>
      <c r="E1899" s="65">
        <v>42026</v>
      </c>
      <c r="F1899" s="24">
        <v>470.9</v>
      </c>
      <c r="G1899" s="31">
        <f t="shared" si="29"/>
        <v>0</v>
      </c>
      <c r="H1899" s="19" t="s">
        <v>9</v>
      </c>
    </row>
    <row r="1900" spans="1:10" s="3" customFormat="1" x14ac:dyDescent="0.25">
      <c r="A1900" s="20">
        <v>42026</v>
      </c>
      <c r="B1900" s="21">
        <v>9807</v>
      </c>
      <c r="C1900" s="14" t="s">
        <v>141</v>
      </c>
      <c r="D1900" s="22">
        <v>232</v>
      </c>
      <c r="E1900" s="65">
        <v>42026</v>
      </c>
      <c r="F1900" s="24">
        <v>232</v>
      </c>
      <c r="G1900" s="31">
        <f t="shared" si="29"/>
        <v>0</v>
      </c>
      <c r="H1900" s="19" t="s">
        <v>9</v>
      </c>
    </row>
    <row r="1901" spans="1:10" s="3" customFormat="1" x14ac:dyDescent="0.25">
      <c r="A1901" s="20">
        <v>42026</v>
      </c>
      <c r="B1901" s="21">
        <v>9808</v>
      </c>
      <c r="C1901" s="14" t="s">
        <v>111</v>
      </c>
      <c r="D1901" s="22">
        <v>153571</v>
      </c>
      <c r="E1901" s="65">
        <v>42027</v>
      </c>
      <c r="F1901" s="24">
        <v>153571</v>
      </c>
      <c r="G1901" s="31">
        <f t="shared" si="29"/>
        <v>0</v>
      </c>
      <c r="H1901" s="19" t="s">
        <v>19</v>
      </c>
    </row>
    <row r="1902" spans="1:10" s="3" customFormat="1" x14ac:dyDescent="0.25">
      <c r="A1902" s="20">
        <v>42026</v>
      </c>
      <c r="B1902" s="21">
        <v>9809</v>
      </c>
      <c r="C1902" s="14" t="s">
        <v>111</v>
      </c>
      <c r="D1902" s="22">
        <v>180915</v>
      </c>
      <c r="E1902" s="65">
        <v>42029</v>
      </c>
      <c r="F1902" s="24">
        <v>180915</v>
      </c>
      <c r="G1902" s="31">
        <f t="shared" si="29"/>
        <v>0</v>
      </c>
      <c r="H1902" s="19" t="s">
        <v>19</v>
      </c>
    </row>
    <row r="1903" spans="1:10" s="3" customFormat="1" x14ac:dyDescent="0.25">
      <c r="A1903" s="20">
        <v>42026</v>
      </c>
      <c r="B1903" s="21">
        <v>9810</v>
      </c>
      <c r="C1903" s="14" t="s">
        <v>131</v>
      </c>
      <c r="D1903" s="22">
        <v>2924.8</v>
      </c>
      <c r="E1903" s="65">
        <v>42026</v>
      </c>
      <c r="F1903" s="24">
        <v>2924.8</v>
      </c>
      <c r="G1903" s="31">
        <f t="shared" si="29"/>
        <v>0</v>
      </c>
      <c r="H1903" s="19" t="s">
        <v>19</v>
      </c>
    </row>
    <row r="1904" spans="1:10" s="3" customFormat="1" x14ac:dyDescent="0.25">
      <c r="A1904" s="20">
        <v>42026</v>
      </c>
      <c r="B1904" s="21">
        <v>9811</v>
      </c>
      <c r="C1904" s="14" t="s">
        <v>265</v>
      </c>
      <c r="D1904" s="22">
        <v>4342.6000000000004</v>
      </c>
      <c r="E1904" s="65">
        <v>42026</v>
      </c>
      <c r="F1904" s="24">
        <v>4342.6000000000004</v>
      </c>
      <c r="G1904" s="31">
        <f t="shared" si="29"/>
        <v>0</v>
      </c>
      <c r="H1904" s="19" t="s">
        <v>9</v>
      </c>
    </row>
    <row r="1905" spans="1:8" s="3" customFormat="1" x14ac:dyDescent="0.25">
      <c r="A1905" s="20">
        <v>42026</v>
      </c>
      <c r="B1905" s="21">
        <v>9812</v>
      </c>
      <c r="C1905" s="14" t="s">
        <v>265</v>
      </c>
      <c r="D1905" s="22">
        <v>841.6</v>
      </c>
      <c r="E1905" s="65">
        <v>42026</v>
      </c>
      <c r="F1905" s="24">
        <v>841.6</v>
      </c>
      <c r="G1905" s="31">
        <f t="shared" si="29"/>
        <v>0</v>
      </c>
      <c r="H1905" s="19" t="s">
        <v>9</v>
      </c>
    </row>
    <row r="1906" spans="1:8" s="3" customFormat="1" x14ac:dyDescent="0.25">
      <c r="A1906" s="20">
        <v>42026</v>
      </c>
      <c r="B1906" s="21">
        <v>9813</v>
      </c>
      <c r="C1906" s="14" t="s">
        <v>207</v>
      </c>
      <c r="D1906" s="22">
        <v>32646.67</v>
      </c>
      <c r="E1906" s="65">
        <v>42032</v>
      </c>
      <c r="F1906" s="24">
        <v>32646.67</v>
      </c>
      <c r="G1906" s="31">
        <f t="shared" si="29"/>
        <v>0</v>
      </c>
      <c r="H1906" s="19" t="s">
        <v>149</v>
      </c>
    </row>
    <row r="1907" spans="1:8" s="3" customFormat="1" x14ac:dyDescent="0.25">
      <c r="A1907" s="20">
        <v>42026</v>
      </c>
      <c r="B1907" s="21">
        <v>9814</v>
      </c>
      <c r="C1907" s="14" t="s">
        <v>206</v>
      </c>
      <c r="D1907" s="22">
        <v>3960</v>
      </c>
      <c r="E1907" s="65">
        <v>42032</v>
      </c>
      <c r="F1907" s="24">
        <v>3960</v>
      </c>
      <c r="G1907" s="31">
        <f t="shared" si="29"/>
        <v>0</v>
      </c>
      <c r="H1907" s="19" t="s">
        <v>149</v>
      </c>
    </row>
    <row r="1908" spans="1:8" s="3" customFormat="1" x14ac:dyDescent="0.25">
      <c r="A1908" s="20">
        <v>42026</v>
      </c>
      <c r="B1908" s="21">
        <v>9815</v>
      </c>
      <c r="C1908" s="14" t="s">
        <v>195</v>
      </c>
      <c r="D1908" s="22">
        <v>142559.91</v>
      </c>
      <c r="E1908" s="67" t="s">
        <v>417</v>
      </c>
      <c r="F1908" s="24">
        <f>116930.35+25629.56</f>
        <v>142559.91</v>
      </c>
      <c r="G1908" s="31">
        <f t="shared" si="29"/>
        <v>0</v>
      </c>
      <c r="H1908" s="19" t="s">
        <v>149</v>
      </c>
    </row>
    <row r="1909" spans="1:8" s="3" customFormat="1" x14ac:dyDescent="0.25">
      <c r="A1909" s="20">
        <v>42026</v>
      </c>
      <c r="B1909" s="21">
        <v>9816</v>
      </c>
      <c r="C1909" s="14" t="s">
        <v>197</v>
      </c>
      <c r="D1909" s="22">
        <v>1449.38</v>
      </c>
      <c r="E1909" s="65">
        <v>42028</v>
      </c>
      <c r="F1909" s="24">
        <v>1449.38</v>
      </c>
      <c r="G1909" s="31">
        <f t="shared" si="29"/>
        <v>0</v>
      </c>
      <c r="H1909" s="19" t="s">
        <v>149</v>
      </c>
    </row>
    <row r="1910" spans="1:8" s="3" customFormat="1" x14ac:dyDescent="0.25">
      <c r="A1910" s="20">
        <v>42026</v>
      </c>
      <c r="B1910" s="21">
        <v>9817</v>
      </c>
      <c r="C1910" s="14" t="s">
        <v>261</v>
      </c>
      <c r="D1910" s="22">
        <v>3547.8</v>
      </c>
      <c r="E1910" s="65">
        <v>42028</v>
      </c>
      <c r="F1910" s="24">
        <v>3547.8</v>
      </c>
      <c r="G1910" s="31">
        <f t="shared" si="29"/>
        <v>0</v>
      </c>
      <c r="H1910" s="19" t="s">
        <v>149</v>
      </c>
    </row>
    <row r="1911" spans="1:8" s="3" customFormat="1" x14ac:dyDescent="0.25">
      <c r="A1911" s="20">
        <v>42026</v>
      </c>
      <c r="B1911" s="21">
        <v>9818</v>
      </c>
      <c r="C1911" s="14" t="s">
        <v>201</v>
      </c>
      <c r="D1911" s="22">
        <v>24440.2</v>
      </c>
      <c r="E1911" s="66" t="s">
        <v>418</v>
      </c>
      <c r="F1911" s="24">
        <f>23040+1400.2</f>
        <v>24440.2</v>
      </c>
      <c r="G1911" s="31">
        <f t="shared" si="29"/>
        <v>0</v>
      </c>
      <c r="H1911" s="19" t="s">
        <v>149</v>
      </c>
    </row>
    <row r="1912" spans="1:8" s="3" customFormat="1" x14ac:dyDescent="0.25">
      <c r="A1912" s="20">
        <v>42026</v>
      </c>
      <c r="B1912" s="21">
        <v>9819</v>
      </c>
      <c r="C1912" s="14" t="s">
        <v>209</v>
      </c>
      <c r="D1912" s="22">
        <v>13443.6</v>
      </c>
      <c r="E1912" s="65">
        <v>42032</v>
      </c>
      <c r="F1912" s="24">
        <v>13443.6</v>
      </c>
      <c r="G1912" s="31">
        <f t="shared" si="29"/>
        <v>0</v>
      </c>
      <c r="H1912" s="19" t="s">
        <v>149</v>
      </c>
    </row>
    <row r="1913" spans="1:8" s="3" customFormat="1" x14ac:dyDescent="0.25">
      <c r="A1913" s="20">
        <v>42026</v>
      </c>
      <c r="B1913" s="21">
        <v>9820</v>
      </c>
      <c r="C1913" s="14" t="s">
        <v>210</v>
      </c>
      <c r="D1913" s="22">
        <v>3643.2</v>
      </c>
      <c r="E1913" s="65">
        <v>42028</v>
      </c>
      <c r="F1913" s="24">
        <v>3643.2</v>
      </c>
      <c r="G1913" s="31">
        <f t="shared" si="29"/>
        <v>0</v>
      </c>
      <c r="H1913" s="19" t="s">
        <v>149</v>
      </c>
    </row>
    <row r="1914" spans="1:8" s="3" customFormat="1" x14ac:dyDescent="0.25">
      <c r="A1914" s="20">
        <v>42026</v>
      </c>
      <c r="B1914" s="21">
        <v>9821</v>
      </c>
      <c r="C1914" s="14" t="s">
        <v>201</v>
      </c>
      <c r="D1914" s="22">
        <v>1811.6</v>
      </c>
      <c r="E1914" s="65">
        <v>42028</v>
      </c>
      <c r="F1914" s="24">
        <v>1811.6</v>
      </c>
      <c r="G1914" s="31">
        <f t="shared" si="29"/>
        <v>0</v>
      </c>
      <c r="H1914" s="19" t="s">
        <v>149</v>
      </c>
    </row>
    <row r="1915" spans="1:8" s="3" customFormat="1" x14ac:dyDescent="0.25">
      <c r="A1915" s="20">
        <v>42026</v>
      </c>
      <c r="B1915" s="21">
        <v>9822</v>
      </c>
      <c r="C1915" s="14" t="s">
        <v>202</v>
      </c>
      <c r="D1915" s="22">
        <v>15554</v>
      </c>
      <c r="E1915" s="65">
        <v>42028</v>
      </c>
      <c r="F1915" s="24">
        <v>15554</v>
      </c>
      <c r="G1915" s="31">
        <f t="shared" si="29"/>
        <v>0</v>
      </c>
      <c r="H1915" s="19" t="s">
        <v>46</v>
      </c>
    </row>
    <row r="1916" spans="1:8" s="3" customFormat="1" x14ac:dyDescent="0.25">
      <c r="A1916" s="20">
        <v>42026</v>
      </c>
      <c r="B1916" s="21">
        <v>9823</v>
      </c>
      <c r="C1916" s="14" t="s">
        <v>419</v>
      </c>
      <c r="D1916" s="22">
        <v>249.6</v>
      </c>
      <c r="E1916" s="65">
        <v>42026</v>
      </c>
      <c r="F1916" s="24">
        <v>249.6</v>
      </c>
      <c r="G1916" s="31">
        <f t="shared" si="29"/>
        <v>0</v>
      </c>
      <c r="H1916" s="19" t="s">
        <v>9</v>
      </c>
    </row>
    <row r="1917" spans="1:8" s="3" customFormat="1" x14ac:dyDescent="0.25">
      <c r="A1917" s="20">
        <v>42026</v>
      </c>
      <c r="B1917" s="21">
        <v>9824</v>
      </c>
      <c r="C1917" s="14" t="s">
        <v>198</v>
      </c>
      <c r="D1917" s="22">
        <v>14951.3</v>
      </c>
      <c r="E1917" s="65">
        <v>42028</v>
      </c>
      <c r="F1917" s="24">
        <v>14951.3</v>
      </c>
      <c r="G1917" s="31">
        <f t="shared" si="29"/>
        <v>0</v>
      </c>
      <c r="H1917" s="19" t="s">
        <v>149</v>
      </c>
    </row>
    <row r="1918" spans="1:8" s="3" customFormat="1" x14ac:dyDescent="0.25">
      <c r="A1918" s="20">
        <v>42026</v>
      </c>
      <c r="B1918" s="21">
        <v>9825</v>
      </c>
      <c r="C1918" s="14" t="s">
        <v>208</v>
      </c>
      <c r="D1918" s="22">
        <v>11588.75</v>
      </c>
      <c r="E1918" s="65">
        <v>42028</v>
      </c>
      <c r="F1918" s="24">
        <v>11588.75</v>
      </c>
      <c r="G1918" s="31">
        <f t="shared" si="29"/>
        <v>0</v>
      </c>
      <c r="H1918" s="19" t="s">
        <v>149</v>
      </c>
    </row>
    <row r="1919" spans="1:8" s="3" customFormat="1" x14ac:dyDescent="0.25">
      <c r="A1919" s="20">
        <v>42026</v>
      </c>
      <c r="B1919" s="21">
        <v>9826</v>
      </c>
      <c r="C1919" s="14" t="s">
        <v>204</v>
      </c>
      <c r="D1919" s="22">
        <v>5035.3999999999996</v>
      </c>
      <c r="E1919" s="65">
        <v>42028</v>
      </c>
      <c r="F1919" s="24">
        <v>5035.3999999999996</v>
      </c>
      <c r="G1919" s="31">
        <f t="shared" si="29"/>
        <v>0</v>
      </c>
      <c r="H1919" s="19" t="s">
        <v>149</v>
      </c>
    </row>
    <row r="1920" spans="1:8" s="3" customFormat="1" x14ac:dyDescent="0.25">
      <c r="A1920" s="20">
        <v>42026</v>
      </c>
      <c r="B1920" s="21">
        <v>9827</v>
      </c>
      <c r="C1920" s="14" t="s">
        <v>350</v>
      </c>
      <c r="D1920" s="22">
        <v>3704.75</v>
      </c>
      <c r="E1920" s="65">
        <v>42028</v>
      </c>
      <c r="F1920" s="24">
        <v>3704.75</v>
      </c>
      <c r="G1920" s="31">
        <f t="shared" si="29"/>
        <v>0</v>
      </c>
      <c r="H1920" s="19" t="s">
        <v>149</v>
      </c>
    </row>
    <row r="1921" spans="1:8" s="3" customFormat="1" x14ac:dyDescent="0.25">
      <c r="A1921" s="20">
        <v>42026</v>
      </c>
      <c r="B1921" s="21">
        <v>9828</v>
      </c>
      <c r="C1921" s="14" t="s">
        <v>68</v>
      </c>
      <c r="D1921" s="22">
        <v>2124</v>
      </c>
      <c r="E1921" s="65">
        <v>42028</v>
      </c>
      <c r="F1921" s="24">
        <v>2124</v>
      </c>
      <c r="G1921" s="31">
        <f t="shared" si="29"/>
        <v>0</v>
      </c>
      <c r="H1921" s="19" t="s">
        <v>9</v>
      </c>
    </row>
    <row r="1922" spans="1:8" s="3" customFormat="1" x14ac:dyDescent="0.25">
      <c r="A1922" s="20">
        <v>42026</v>
      </c>
      <c r="B1922" s="21">
        <v>9829</v>
      </c>
      <c r="C1922" s="14" t="s">
        <v>420</v>
      </c>
      <c r="D1922" s="22">
        <v>4169.6000000000004</v>
      </c>
      <c r="E1922" s="23">
        <v>42028</v>
      </c>
      <c r="F1922" s="24">
        <v>4169.6000000000004</v>
      </c>
      <c r="G1922" s="31">
        <f t="shared" si="29"/>
        <v>0</v>
      </c>
      <c r="H1922" s="19" t="s">
        <v>149</v>
      </c>
    </row>
    <row r="1923" spans="1:8" s="3" customFormat="1" x14ac:dyDescent="0.25">
      <c r="A1923" s="20">
        <v>42026</v>
      </c>
      <c r="B1923" s="21">
        <v>9830</v>
      </c>
      <c r="C1923" s="14" t="s">
        <v>349</v>
      </c>
      <c r="D1923" s="22">
        <v>10058</v>
      </c>
      <c r="E1923" s="23">
        <v>42028</v>
      </c>
      <c r="F1923" s="24">
        <v>10058</v>
      </c>
      <c r="G1923" s="31">
        <f t="shared" ref="G1923:G1986" si="30">D1923-F1923</f>
        <v>0</v>
      </c>
      <c r="H1923" s="19" t="s">
        <v>149</v>
      </c>
    </row>
    <row r="1924" spans="1:8" s="3" customFormat="1" x14ac:dyDescent="0.25">
      <c r="A1924" s="20">
        <v>42026</v>
      </c>
      <c r="B1924" s="21">
        <v>9831</v>
      </c>
      <c r="C1924" s="14" t="s">
        <v>22</v>
      </c>
      <c r="D1924" s="22">
        <v>1394</v>
      </c>
      <c r="E1924" s="23">
        <v>42026</v>
      </c>
      <c r="F1924" s="24">
        <v>1394</v>
      </c>
      <c r="G1924" s="31">
        <f t="shared" si="30"/>
        <v>0</v>
      </c>
      <c r="H1924" s="19" t="s">
        <v>9</v>
      </c>
    </row>
    <row r="1925" spans="1:8" s="3" customFormat="1" x14ac:dyDescent="0.25">
      <c r="A1925" s="20">
        <v>42026</v>
      </c>
      <c r="B1925" s="21">
        <v>9832</v>
      </c>
      <c r="C1925" s="14" t="s">
        <v>421</v>
      </c>
      <c r="D1925" s="22">
        <v>7628.5</v>
      </c>
      <c r="E1925" s="23">
        <v>42028</v>
      </c>
      <c r="F1925" s="24">
        <v>7628.5</v>
      </c>
      <c r="G1925" s="31">
        <f t="shared" si="30"/>
        <v>0</v>
      </c>
      <c r="H1925" s="19" t="s">
        <v>149</v>
      </c>
    </row>
    <row r="1926" spans="1:8" s="3" customFormat="1" x14ac:dyDescent="0.25">
      <c r="A1926" s="20">
        <v>42026</v>
      </c>
      <c r="B1926" s="21">
        <v>9833</v>
      </c>
      <c r="C1926" s="14" t="s">
        <v>295</v>
      </c>
      <c r="D1926" s="22">
        <v>380</v>
      </c>
      <c r="E1926" s="23">
        <v>42026</v>
      </c>
      <c r="F1926" s="24">
        <v>380</v>
      </c>
      <c r="G1926" s="31">
        <f t="shared" si="30"/>
        <v>0</v>
      </c>
      <c r="H1926" s="19" t="s">
        <v>9</v>
      </c>
    </row>
    <row r="1927" spans="1:8" s="3" customFormat="1" x14ac:dyDescent="0.25">
      <c r="A1927" s="20">
        <v>42026</v>
      </c>
      <c r="B1927" s="21">
        <v>9834</v>
      </c>
      <c r="C1927" s="14" t="s">
        <v>24</v>
      </c>
      <c r="D1927" s="22">
        <v>107330.2</v>
      </c>
      <c r="E1927" s="30">
        <v>42051</v>
      </c>
      <c r="F1927" s="96">
        <v>107330.2</v>
      </c>
      <c r="G1927" s="31">
        <f t="shared" si="30"/>
        <v>0</v>
      </c>
      <c r="H1927" s="19" t="s">
        <v>94</v>
      </c>
    </row>
    <row r="1928" spans="1:8" s="3" customFormat="1" x14ac:dyDescent="0.25">
      <c r="A1928" s="20">
        <v>42026</v>
      </c>
      <c r="B1928" s="21">
        <v>9835</v>
      </c>
      <c r="C1928" s="14" t="s">
        <v>80</v>
      </c>
      <c r="D1928" s="22">
        <v>7093.8</v>
      </c>
      <c r="E1928" s="23">
        <v>42026</v>
      </c>
      <c r="F1928" s="24">
        <v>7093.8</v>
      </c>
      <c r="G1928" s="31">
        <f t="shared" si="30"/>
        <v>0</v>
      </c>
      <c r="H1928" s="39" t="s">
        <v>9</v>
      </c>
    </row>
    <row r="1929" spans="1:8" s="3" customFormat="1" x14ac:dyDescent="0.25">
      <c r="A1929" s="20">
        <v>42026</v>
      </c>
      <c r="B1929" s="21">
        <v>9836</v>
      </c>
      <c r="C1929" s="14" t="s">
        <v>421</v>
      </c>
      <c r="D1929" s="22">
        <v>3788.7</v>
      </c>
      <c r="E1929" s="23">
        <v>42028</v>
      </c>
      <c r="F1929" s="24">
        <v>3788.7</v>
      </c>
      <c r="G1929" s="31">
        <f t="shared" si="30"/>
        <v>0</v>
      </c>
      <c r="H1929" s="39" t="s">
        <v>149</v>
      </c>
    </row>
    <row r="1930" spans="1:8" s="3" customFormat="1" x14ac:dyDescent="0.25">
      <c r="A1930" s="20">
        <v>42027</v>
      </c>
      <c r="B1930" s="21">
        <v>9837</v>
      </c>
      <c r="C1930" s="14" t="s">
        <v>32</v>
      </c>
      <c r="D1930" s="22">
        <v>78825</v>
      </c>
      <c r="E1930" s="23">
        <v>42035</v>
      </c>
      <c r="F1930" s="24">
        <v>78825</v>
      </c>
      <c r="G1930" s="31">
        <f t="shared" si="30"/>
        <v>0</v>
      </c>
      <c r="H1930" s="39" t="s">
        <v>9</v>
      </c>
    </row>
    <row r="1931" spans="1:8" s="3" customFormat="1" x14ac:dyDescent="0.25">
      <c r="A1931" s="20">
        <v>42027</v>
      </c>
      <c r="B1931" s="21">
        <v>9838</v>
      </c>
      <c r="C1931" s="14" t="s">
        <v>26</v>
      </c>
      <c r="D1931" s="22">
        <v>3456</v>
      </c>
      <c r="E1931" s="23">
        <v>42027</v>
      </c>
      <c r="F1931" s="24">
        <v>3456</v>
      </c>
      <c r="G1931" s="31">
        <f t="shared" si="30"/>
        <v>0</v>
      </c>
      <c r="H1931" s="39" t="s">
        <v>27</v>
      </c>
    </row>
    <row r="1932" spans="1:8" s="3" customFormat="1" x14ac:dyDescent="0.25">
      <c r="A1932" s="20">
        <v>42027</v>
      </c>
      <c r="B1932" s="21">
        <v>9839</v>
      </c>
      <c r="C1932" s="14" t="s">
        <v>18</v>
      </c>
      <c r="D1932" s="22">
        <v>64050.7</v>
      </c>
      <c r="E1932" s="23">
        <v>42033</v>
      </c>
      <c r="F1932" s="24">
        <v>64050.7</v>
      </c>
      <c r="G1932" s="31">
        <f t="shared" si="30"/>
        <v>0</v>
      </c>
      <c r="H1932" s="39" t="s">
        <v>9</v>
      </c>
    </row>
    <row r="1933" spans="1:8" s="3" customFormat="1" x14ac:dyDescent="0.25">
      <c r="A1933" s="20">
        <v>42027</v>
      </c>
      <c r="B1933" s="21">
        <v>9840</v>
      </c>
      <c r="C1933" s="14" t="s">
        <v>14</v>
      </c>
      <c r="D1933" s="22">
        <v>32253.599999999999</v>
      </c>
      <c r="E1933" s="23">
        <v>42035</v>
      </c>
      <c r="F1933" s="24">
        <v>32253.599999999999</v>
      </c>
      <c r="G1933" s="31">
        <f t="shared" si="30"/>
        <v>0</v>
      </c>
      <c r="H1933" s="39" t="s">
        <v>15</v>
      </c>
    </row>
    <row r="1934" spans="1:8" s="3" customFormat="1" x14ac:dyDescent="0.25">
      <c r="A1934" s="20">
        <v>42027</v>
      </c>
      <c r="B1934" s="21">
        <v>9841</v>
      </c>
      <c r="C1934" s="14" t="s">
        <v>16</v>
      </c>
      <c r="D1934" s="22">
        <v>4778.3999999999996</v>
      </c>
      <c r="E1934" s="23">
        <v>42027</v>
      </c>
      <c r="F1934" s="24">
        <v>4778.3999999999996</v>
      </c>
      <c r="G1934" s="31">
        <f t="shared" si="30"/>
        <v>0</v>
      </c>
      <c r="H1934" s="39" t="s">
        <v>17</v>
      </c>
    </row>
    <row r="1935" spans="1:8" s="3" customFormat="1" x14ac:dyDescent="0.25">
      <c r="A1935" s="20">
        <v>42027</v>
      </c>
      <c r="B1935" s="21">
        <v>9842</v>
      </c>
      <c r="C1935" s="14" t="s">
        <v>267</v>
      </c>
      <c r="D1935" s="22">
        <v>2182.86</v>
      </c>
      <c r="E1935" s="23">
        <v>42027</v>
      </c>
      <c r="F1935" s="24">
        <v>2182.86</v>
      </c>
      <c r="G1935" s="31">
        <f t="shared" si="30"/>
        <v>0</v>
      </c>
      <c r="H1935" s="39" t="s">
        <v>94</v>
      </c>
    </row>
    <row r="1936" spans="1:8" s="3" customFormat="1" x14ac:dyDescent="0.25">
      <c r="A1936" s="20">
        <v>42027</v>
      </c>
      <c r="B1936" s="21">
        <v>9843</v>
      </c>
      <c r="C1936" s="14" t="s">
        <v>25</v>
      </c>
      <c r="D1936" s="22">
        <v>943.2</v>
      </c>
      <c r="E1936" s="23">
        <v>42027</v>
      </c>
      <c r="F1936" s="24">
        <v>943.2</v>
      </c>
      <c r="G1936" s="31">
        <f t="shared" si="30"/>
        <v>0</v>
      </c>
      <c r="H1936" s="39" t="s">
        <v>9</v>
      </c>
    </row>
    <row r="1937" spans="1:8" s="3" customFormat="1" x14ac:dyDescent="0.25">
      <c r="A1937" s="20">
        <v>42027</v>
      </c>
      <c r="B1937" s="21">
        <v>9844</v>
      </c>
      <c r="C1937" s="14" t="s">
        <v>31</v>
      </c>
      <c r="D1937" s="22">
        <v>3517.6</v>
      </c>
      <c r="E1937" s="23">
        <v>42027</v>
      </c>
      <c r="F1937" s="24">
        <v>3517.6</v>
      </c>
      <c r="G1937" s="31">
        <f t="shared" si="30"/>
        <v>0</v>
      </c>
      <c r="H1937" s="39" t="s">
        <v>17</v>
      </c>
    </row>
    <row r="1938" spans="1:8" s="3" customFormat="1" x14ac:dyDescent="0.25">
      <c r="A1938" s="20">
        <v>42027</v>
      </c>
      <c r="B1938" s="21">
        <v>9845</v>
      </c>
      <c r="C1938" s="14" t="s">
        <v>130</v>
      </c>
      <c r="D1938" s="22">
        <v>5487.4</v>
      </c>
      <c r="E1938" s="23">
        <v>42027</v>
      </c>
      <c r="F1938" s="24">
        <v>5487.4</v>
      </c>
      <c r="G1938" s="31">
        <f t="shared" si="30"/>
        <v>0</v>
      </c>
      <c r="H1938" s="39" t="s">
        <v>17</v>
      </c>
    </row>
    <row r="1939" spans="1:8" s="3" customFormat="1" x14ac:dyDescent="0.25">
      <c r="A1939" s="20">
        <v>42027</v>
      </c>
      <c r="B1939" s="21">
        <v>9846</v>
      </c>
      <c r="C1939" s="14" t="s">
        <v>128</v>
      </c>
      <c r="D1939" s="22">
        <v>9720.2000000000007</v>
      </c>
      <c r="E1939" s="23">
        <v>42027</v>
      </c>
      <c r="F1939" s="46">
        <v>9720.2000000000007</v>
      </c>
      <c r="G1939" s="31">
        <f t="shared" si="30"/>
        <v>0</v>
      </c>
      <c r="H1939" s="56" t="s">
        <v>17</v>
      </c>
    </row>
    <row r="1940" spans="1:8" s="3" customFormat="1" x14ac:dyDescent="0.25">
      <c r="A1940" s="20">
        <v>42027</v>
      </c>
      <c r="B1940" s="21">
        <v>9847</v>
      </c>
      <c r="C1940" s="14" t="s">
        <v>299</v>
      </c>
      <c r="D1940" s="22">
        <v>3423.75</v>
      </c>
      <c r="E1940" s="23">
        <v>42027</v>
      </c>
      <c r="F1940" s="24">
        <v>3423.75</v>
      </c>
      <c r="G1940" s="31">
        <f t="shared" si="30"/>
        <v>0</v>
      </c>
      <c r="H1940" s="56" t="s">
        <v>17</v>
      </c>
    </row>
    <row r="1941" spans="1:8" s="3" customFormat="1" x14ac:dyDescent="0.25">
      <c r="A1941" s="20">
        <v>42027</v>
      </c>
      <c r="B1941" s="21">
        <v>9848</v>
      </c>
      <c r="C1941" s="14" t="s">
        <v>20</v>
      </c>
      <c r="D1941" s="22">
        <v>18433.8</v>
      </c>
      <c r="E1941" s="23">
        <v>42027</v>
      </c>
      <c r="F1941" s="46">
        <v>18433.8</v>
      </c>
      <c r="G1941" s="31">
        <f t="shared" si="30"/>
        <v>0</v>
      </c>
      <c r="H1941" s="56" t="s">
        <v>94</v>
      </c>
    </row>
    <row r="1942" spans="1:8" s="3" customFormat="1" x14ac:dyDescent="0.25">
      <c r="A1942" s="20">
        <v>42027</v>
      </c>
      <c r="B1942" s="21">
        <v>9849</v>
      </c>
      <c r="C1942" s="14" t="s">
        <v>91</v>
      </c>
      <c r="D1942" s="22">
        <v>25671.72</v>
      </c>
      <c r="E1942" s="23">
        <v>42027</v>
      </c>
      <c r="F1942" s="46">
        <v>25671.72</v>
      </c>
      <c r="G1942" s="31">
        <f t="shared" si="30"/>
        <v>0</v>
      </c>
      <c r="H1942" s="56" t="s">
        <v>59</v>
      </c>
    </row>
    <row r="1943" spans="1:8" s="3" customFormat="1" x14ac:dyDescent="0.25">
      <c r="A1943" s="20">
        <v>42027</v>
      </c>
      <c r="B1943" s="21">
        <v>9850</v>
      </c>
      <c r="C1943" s="14" t="s">
        <v>103</v>
      </c>
      <c r="D1943" s="22">
        <v>62608.5</v>
      </c>
      <c r="E1943" s="23">
        <v>42029</v>
      </c>
      <c r="F1943" s="46">
        <v>62608.5</v>
      </c>
      <c r="G1943" s="31">
        <f t="shared" si="30"/>
        <v>0</v>
      </c>
      <c r="H1943" s="56" t="s">
        <v>19</v>
      </c>
    </row>
    <row r="1944" spans="1:8" s="3" customFormat="1" x14ac:dyDescent="0.25">
      <c r="A1944" s="20">
        <v>42027</v>
      </c>
      <c r="B1944" s="21">
        <v>9851</v>
      </c>
      <c r="C1944" s="14" t="s">
        <v>148</v>
      </c>
      <c r="D1944" s="22">
        <v>4305.6000000000004</v>
      </c>
      <c r="E1944" s="23">
        <v>42027</v>
      </c>
      <c r="F1944" s="46">
        <v>4305.6000000000004</v>
      </c>
      <c r="G1944" s="31">
        <f t="shared" si="30"/>
        <v>0</v>
      </c>
      <c r="H1944" s="56" t="s">
        <v>9</v>
      </c>
    </row>
    <row r="1945" spans="1:8" s="3" customFormat="1" x14ac:dyDescent="0.25">
      <c r="A1945" s="20">
        <v>42027</v>
      </c>
      <c r="B1945" s="21">
        <v>9852</v>
      </c>
      <c r="C1945" s="14" t="s">
        <v>60</v>
      </c>
      <c r="D1945" s="22">
        <v>5325.6</v>
      </c>
      <c r="E1945" s="23">
        <v>42028</v>
      </c>
      <c r="F1945" s="46">
        <v>5325.6</v>
      </c>
      <c r="G1945" s="31">
        <f t="shared" si="30"/>
        <v>0</v>
      </c>
      <c r="H1945" s="56" t="s">
        <v>36</v>
      </c>
    </row>
    <row r="1946" spans="1:8" s="3" customFormat="1" x14ac:dyDescent="0.25">
      <c r="A1946" s="20">
        <v>42027</v>
      </c>
      <c r="B1946" s="21">
        <v>9853</v>
      </c>
      <c r="C1946" s="14" t="s">
        <v>154</v>
      </c>
      <c r="D1946" s="22">
        <v>18711</v>
      </c>
      <c r="E1946" s="23">
        <v>42028</v>
      </c>
      <c r="F1946" s="46">
        <v>18711</v>
      </c>
      <c r="G1946" s="31">
        <f t="shared" si="30"/>
        <v>0</v>
      </c>
      <c r="H1946" s="56" t="s">
        <v>36</v>
      </c>
    </row>
    <row r="1947" spans="1:8" s="3" customFormat="1" x14ac:dyDescent="0.25">
      <c r="A1947" s="20">
        <v>42027</v>
      </c>
      <c r="B1947" s="21">
        <v>9854</v>
      </c>
      <c r="C1947" s="14" t="s">
        <v>214</v>
      </c>
      <c r="D1947" s="22">
        <v>600</v>
      </c>
      <c r="E1947" s="23">
        <v>42027</v>
      </c>
      <c r="F1947" s="46">
        <v>600</v>
      </c>
      <c r="G1947" s="31">
        <f t="shared" si="30"/>
        <v>0</v>
      </c>
      <c r="H1947" s="56" t="s">
        <v>59</v>
      </c>
    </row>
    <row r="1948" spans="1:8" s="3" customFormat="1" x14ac:dyDescent="0.25">
      <c r="A1948" s="20">
        <v>42027</v>
      </c>
      <c r="B1948" s="21">
        <v>9855</v>
      </c>
      <c r="C1948" s="14" t="s">
        <v>53</v>
      </c>
      <c r="D1948" s="22">
        <v>1357.1</v>
      </c>
      <c r="E1948" s="23">
        <v>42027</v>
      </c>
      <c r="F1948" s="46">
        <v>1357.1</v>
      </c>
      <c r="G1948" s="31">
        <f t="shared" si="30"/>
        <v>0</v>
      </c>
      <c r="H1948" s="56" t="s">
        <v>59</v>
      </c>
    </row>
    <row r="1949" spans="1:8" s="3" customFormat="1" x14ac:dyDescent="0.25">
      <c r="A1949" s="20">
        <v>42027</v>
      </c>
      <c r="B1949" s="21">
        <v>9856</v>
      </c>
      <c r="C1949" s="14" t="s">
        <v>81</v>
      </c>
      <c r="D1949" s="22">
        <v>2419.1999999999998</v>
      </c>
      <c r="E1949" s="23">
        <v>42027</v>
      </c>
      <c r="F1949" s="46">
        <v>2419.1999999999998</v>
      </c>
      <c r="G1949" s="31">
        <f t="shared" si="30"/>
        <v>0</v>
      </c>
      <c r="H1949" s="56" t="s">
        <v>59</v>
      </c>
    </row>
    <row r="1950" spans="1:8" s="3" customFormat="1" x14ac:dyDescent="0.25">
      <c r="A1950" s="20">
        <v>42027</v>
      </c>
      <c r="B1950" s="21">
        <v>9857</v>
      </c>
      <c r="C1950" s="14" t="s">
        <v>238</v>
      </c>
      <c r="D1950" s="22">
        <v>376.8</v>
      </c>
      <c r="E1950" s="23">
        <v>42027</v>
      </c>
      <c r="F1950" s="46">
        <v>376.8</v>
      </c>
      <c r="G1950" s="31">
        <f t="shared" si="30"/>
        <v>0</v>
      </c>
      <c r="H1950" s="56" t="s">
        <v>59</v>
      </c>
    </row>
    <row r="1951" spans="1:8" s="3" customFormat="1" x14ac:dyDescent="0.25">
      <c r="A1951" s="20">
        <v>42027</v>
      </c>
      <c r="B1951" s="21">
        <v>9858</v>
      </c>
      <c r="C1951" s="14" t="s">
        <v>167</v>
      </c>
      <c r="D1951" s="22">
        <v>547.20000000000005</v>
      </c>
      <c r="E1951" s="23">
        <v>42027</v>
      </c>
      <c r="F1951" s="46">
        <v>547.20000000000005</v>
      </c>
      <c r="G1951" s="31">
        <f t="shared" si="30"/>
        <v>0</v>
      </c>
      <c r="H1951" s="56" t="s">
        <v>59</v>
      </c>
    </row>
    <row r="1952" spans="1:8" s="3" customFormat="1" x14ac:dyDescent="0.25">
      <c r="A1952" s="20">
        <v>42027</v>
      </c>
      <c r="B1952" s="21">
        <v>9859</v>
      </c>
      <c r="C1952" s="14" t="s">
        <v>82</v>
      </c>
      <c r="D1952" s="22">
        <v>4462.8</v>
      </c>
      <c r="E1952" s="23">
        <v>42027</v>
      </c>
      <c r="F1952" s="46">
        <v>4462.8</v>
      </c>
      <c r="G1952" s="31">
        <f t="shared" si="30"/>
        <v>0</v>
      </c>
      <c r="H1952" s="56" t="s">
        <v>59</v>
      </c>
    </row>
    <row r="1953" spans="1:8" s="3" customFormat="1" x14ac:dyDescent="0.25">
      <c r="A1953" s="20">
        <v>42027</v>
      </c>
      <c r="B1953" s="21">
        <v>9860</v>
      </c>
      <c r="C1953" s="14" t="s">
        <v>422</v>
      </c>
      <c r="D1953" s="22">
        <v>1522.4</v>
      </c>
      <c r="E1953" s="23">
        <v>42027</v>
      </c>
      <c r="F1953" s="46">
        <v>1522.4</v>
      </c>
      <c r="G1953" s="31">
        <f t="shared" si="30"/>
        <v>0</v>
      </c>
      <c r="H1953" s="56" t="s">
        <v>9</v>
      </c>
    </row>
    <row r="1954" spans="1:8" s="3" customFormat="1" x14ac:dyDescent="0.25">
      <c r="A1954" s="20">
        <v>42027</v>
      </c>
      <c r="B1954" s="21">
        <v>9861</v>
      </c>
      <c r="C1954" s="14" t="s">
        <v>47</v>
      </c>
      <c r="D1954" s="22">
        <v>25312.5</v>
      </c>
      <c r="E1954" s="23">
        <v>42028</v>
      </c>
      <c r="F1954" s="46">
        <v>25312.5</v>
      </c>
      <c r="G1954" s="31">
        <f t="shared" si="30"/>
        <v>0</v>
      </c>
      <c r="H1954" s="56" t="s">
        <v>36</v>
      </c>
    </row>
    <row r="1955" spans="1:8" s="3" customFormat="1" x14ac:dyDescent="0.25">
      <c r="A1955" s="20">
        <v>42027</v>
      </c>
      <c r="B1955" s="21">
        <v>9862</v>
      </c>
      <c r="C1955" s="14" t="s">
        <v>168</v>
      </c>
      <c r="D1955" s="22">
        <v>10371</v>
      </c>
      <c r="E1955" s="23">
        <v>42027</v>
      </c>
      <c r="F1955" s="46">
        <v>10371</v>
      </c>
      <c r="G1955" s="31">
        <f t="shared" si="30"/>
        <v>0</v>
      </c>
      <c r="H1955" s="56" t="s">
        <v>59</v>
      </c>
    </row>
    <row r="1956" spans="1:8" s="3" customFormat="1" x14ac:dyDescent="0.25">
      <c r="A1956" s="20">
        <v>42027</v>
      </c>
      <c r="B1956" s="21">
        <v>9863</v>
      </c>
      <c r="C1956" s="14" t="s">
        <v>161</v>
      </c>
      <c r="D1956" s="22">
        <v>3595.25</v>
      </c>
      <c r="E1956" s="23">
        <v>42027</v>
      </c>
      <c r="F1956" s="46">
        <v>3595.25</v>
      </c>
      <c r="G1956" s="31">
        <f t="shared" si="30"/>
        <v>0</v>
      </c>
      <c r="H1956" s="56" t="s">
        <v>9</v>
      </c>
    </row>
    <row r="1957" spans="1:8" s="3" customFormat="1" x14ac:dyDescent="0.25">
      <c r="A1957" s="20">
        <v>42027</v>
      </c>
      <c r="B1957" s="21">
        <v>9864</v>
      </c>
      <c r="C1957" s="14" t="s">
        <v>256</v>
      </c>
      <c r="D1957" s="22">
        <v>27611.7</v>
      </c>
      <c r="E1957" s="23">
        <v>42028</v>
      </c>
      <c r="F1957" s="46">
        <v>27611.7</v>
      </c>
      <c r="G1957" s="31">
        <f t="shared" si="30"/>
        <v>0</v>
      </c>
      <c r="H1957" s="56" t="s">
        <v>36</v>
      </c>
    </row>
    <row r="1958" spans="1:8" s="3" customFormat="1" x14ac:dyDescent="0.25">
      <c r="A1958" s="20">
        <v>42027</v>
      </c>
      <c r="B1958" s="21">
        <v>9865</v>
      </c>
      <c r="C1958" s="14" t="s">
        <v>57</v>
      </c>
      <c r="D1958" s="22">
        <v>1260</v>
      </c>
      <c r="E1958" s="23">
        <v>42027</v>
      </c>
      <c r="F1958" s="46">
        <v>1260</v>
      </c>
      <c r="G1958" s="31">
        <f t="shared" si="30"/>
        <v>0</v>
      </c>
      <c r="H1958" s="56" t="s">
        <v>59</v>
      </c>
    </row>
    <row r="1959" spans="1:8" s="3" customFormat="1" x14ac:dyDescent="0.25">
      <c r="A1959" s="20">
        <v>42027</v>
      </c>
      <c r="B1959" s="21">
        <v>9866</v>
      </c>
      <c r="C1959" s="14" t="s">
        <v>159</v>
      </c>
      <c r="D1959" s="22">
        <v>10163.4</v>
      </c>
      <c r="E1959" s="23">
        <v>42027</v>
      </c>
      <c r="F1959" s="46">
        <v>10163.4</v>
      </c>
      <c r="G1959" s="31">
        <f t="shared" si="30"/>
        <v>0</v>
      </c>
      <c r="H1959" s="56" t="s">
        <v>9</v>
      </c>
    </row>
    <row r="1960" spans="1:8" s="3" customFormat="1" x14ac:dyDescent="0.25">
      <c r="A1960" s="20">
        <v>42027</v>
      </c>
      <c r="B1960" s="21">
        <v>9867</v>
      </c>
      <c r="C1960" s="14" t="s">
        <v>114</v>
      </c>
      <c r="D1960" s="22">
        <v>34200.080000000002</v>
      </c>
      <c r="E1960" s="23">
        <v>42027</v>
      </c>
      <c r="F1960" s="46">
        <v>34200.080000000002</v>
      </c>
      <c r="G1960" s="31">
        <f t="shared" si="30"/>
        <v>0</v>
      </c>
      <c r="H1960" s="56" t="s">
        <v>187</v>
      </c>
    </row>
    <row r="1961" spans="1:8" s="3" customFormat="1" x14ac:dyDescent="0.25">
      <c r="A1961" s="20">
        <v>42027</v>
      </c>
      <c r="B1961" s="21">
        <v>9868</v>
      </c>
      <c r="C1961" s="14" t="s">
        <v>55</v>
      </c>
      <c r="D1961" s="22">
        <v>27400.9</v>
      </c>
      <c r="E1961" s="23">
        <v>42028</v>
      </c>
      <c r="F1961" s="46">
        <v>27400.9</v>
      </c>
      <c r="G1961" s="31">
        <f t="shared" si="30"/>
        <v>0</v>
      </c>
      <c r="H1961" s="56" t="s">
        <v>36</v>
      </c>
    </row>
    <row r="1962" spans="1:8" s="3" customFormat="1" x14ac:dyDescent="0.25">
      <c r="A1962" s="20">
        <v>42027</v>
      </c>
      <c r="B1962" s="21">
        <v>9869</v>
      </c>
      <c r="C1962" s="14" t="s">
        <v>118</v>
      </c>
      <c r="D1962" s="22">
        <v>8611</v>
      </c>
      <c r="E1962" s="23">
        <v>42033</v>
      </c>
      <c r="F1962" s="46">
        <v>8611</v>
      </c>
      <c r="G1962" s="31">
        <f t="shared" si="30"/>
        <v>0</v>
      </c>
      <c r="H1962" s="56" t="s">
        <v>59</v>
      </c>
    </row>
    <row r="1963" spans="1:8" s="3" customFormat="1" x14ac:dyDescent="0.25">
      <c r="A1963" s="20">
        <v>42027</v>
      </c>
      <c r="B1963" s="21">
        <v>9870</v>
      </c>
      <c r="C1963" s="14" t="s">
        <v>154</v>
      </c>
      <c r="D1963" s="22">
        <v>517.5</v>
      </c>
      <c r="E1963" s="23">
        <v>42028</v>
      </c>
      <c r="F1963" s="46">
        <v>517.5</v>
      </c>
      <c r="G1963" s="31">
        <f t="shared" si="30"/>
        <v>0</v>
      </c>
      <c r="H1963" s="56" t="s">
        <v>36</v>
      </c>
    </row>
    <row r="1964" spans="1:8" s="3" customFormat="1" x14ac:dyDescent="0.25">
      <c r="A1964" s="20">
        <v>42027</v>
      </c>
      <c r="B1964" s="21">
        <v>9871</v>
      </c>
      <c r="C1964" s="14" t="s">
        <v>319</v>
      </c>
      <c r="D1964" s="22">
        <v>2383.1999999999998</v>
      </c>
      <c r="E1964" s="23">
        <v>42027</v>
      </c>
      <c r="F1964" s="46">
        <v>2383.1999999999998</v>
      </c>
      <c r="G1964" s="31">
        <f t="shared" si="30"/>
        <v>0</v>
      </c>
      <c r="H1964" s="56" t="s">
        <v>9</v>
      </c>
    </row>
    <row r="1965" spans="1:8" s="3" customFormat="1" x14ac:dyDescent="0.25">
      <c r="A1965" s="20">
        <v>42027</v>
      </c>
      <c r="B1965" s="21">
        <v>9872</v>
      </c>
      <c r="C1965" s="14" t="s">
        <v>56</v>
      </c>
      <c r="D1965" s="22">
        <v>11132</v>
      </c>
      <c r="E1965" s="23">
        <v>42028</v>
      </c>
      <c r="F1965" s="46">
        <v>11132</v>
      </c>
      <c r="G1965" s="31">
        <f t="shared" si="30"/>
        <v>0</v>
      </c>
      <c r="H1965" s="56" t="s">
        <v>36</v>
      </c>
    </row>
    <row r="1966" spans="1:8" s="3" customFormat="1" x14ac:dyDescent="0.25">
      <c r="A1966" s="20">
        <v>42027</v>
      </c>
      <c r="B1966" s="21">
        <v>9873</v>
      </c>
      <c r="C1966" s="14" t="s">
        <v>37</v>
      </c>
      <c r="D1966" s="22">
        <v>53935.42</v>
      </c>
      <c r="E1966" s="23">
        <v>42035</v>
      </c>
      <c r="F1966" s="46">
        <v>53935.42</v>
      </c>
      <c r="G1966" s="31">
        <f t="shared" si="30"/>
        <v>0</v>
      </c>
      <c r="H1966" s="56" t="s">
        <v>36</v>
      </c>
    </row>
    <row r="1967" spans="1:8" s="3" customFormat="1" x14ac:dyDescent="0.25">
      <c r="A1967" s="20">
        <v>42027</v>
      </c>
      <c r="B1967" s="21">
        <v>9874</v>
      </c>
      <c r="C1967" s="26" t="s">
        <v>12</v>
      </c>
      <c r="D1967" s="27">
        <v>0</v>
      </c>
      <c r="E1967" s="23"/>
      <c r="F1967" s="46"/>
      <c r="G1967" s="31">
        <f t="shared" si="30"/>
        <v>0</v>
      </c>
      <c r="H1967" s="56" t="s">
        <v>13</v>
      </c>
    </row>
    <row r="1968" spans="1:8" s="3" customFormat="1" x14ac:dyDescent="0.25">
      <c r="A1968" s="20">
        <v>42027</v>
      </c>
      <c r="B1968" s="21">
        <v>9875</v>
      </c>
      <c r="C1968" s="14" t="s">
        <v>215</v>
      </c>
      <c r="D1968" s="22">
        <v>19108.400000000001</v>
      </c>
      <c r="E1968" s="23">
        <v>42027</v>
      </c>
      <c r="F1968" s="46">
        <v>19108.400000000001</v>
      </c>
      <c r="G1968" s="31">
        <f t="shared" si="30"/>
        <v>0</v>
      </c>
      <c r="H1968" s="56" t="s">
        <v>9</v>
      </c>
    </row>
    <row r="1969" spans="1:8" s="3" customFormat="1" x14ac:dyDescent="0.25">
      <c r="A1969" s="20">
        <v>42027</v>
      </c>
      <c r="B1969" s="21">
        <v>9876</v>
      </c>
      <c r="C1969" s="14" t="s">
        <v>78</v>
      </c>
      <c r="D1969" s="22">
        <v>9050</v>
      </c>
      <c r="E1969" s="23">
        <v>42029</v>
      </c>
      <c r="F1969" s="46">
        <v>9050</v>
      </c>
      <c r="G1969" s="31">
        <f t="shared" si="30"/>
        <v>0</v>
      </c>
      <c r="H1969" s="56" t="s">
        <v>62</v>
      </c>
    </row>
    <row r="1970" spans="1:8" s="3" customFormat="1" x14ac:dyDescent="0.25">
      <c r="A1970" s="20">
        <v>42027</v>
      </c>
      <c r="B1970" s="21">
        <v>9877</v>
      </c>
      <c r="C1970" s="14" t="s">
        <v>294</v>
      </c>
      <c r="D1970" s="22">
        <v>5305.2</v>
      </c>
      <c r="E1970" s="23">
        <v>42027</v>
      </c>
      <c r="F1970" s="46">
        <v>5305.2</v>
      </c>
      <c r="G1970" s="31">
        <f t="shared" si="30"/>
        <v>0</v>
      </c>
      <c r="H1970" s="56" t="s">
        <v>9</v>
      </c>
    </row>
    <row r="1971" spans="1:8" s="3" customFormat="1" x14ac:dyDescent="0.25">
      <c r="A1971" s="20">
        <v>42027</v>
      </c>
      <c r="B1971" s="21">
        <v>9878</v>
      </c>
      <c r="C1971" s="14" t="s">
        <v>67</v>
      </c>
      <c r="D1971" s="22">
        <v>4935</v>
      </c>
      <c r="E1971" s="23">
        <v>42029</v>
      </c>
      <c r="F1971" s="46">
        <v>4935</v>
      </c>
      <c r="G1971" s="31">
        <f t="shared" si="30"/>
        <v>0</v>
      </c>
      <c r="H1971" s="56" t="s">
        <v>62</v>
      </c>
    </row>
    <row r="1972" spans="1:8" s="3" customFormat="1" x14ac:dyDescent="0.25">
      <c r="A1972" s="20">
        <v>42027</v>
      </c>
      <c r="B1972" s="21">
        <v>9879</v>
      </c>
      <c r="C1972" s="14" t="s">
        <v>135</v>
      </c>
      <c r="D1972" s="22">
        <v>6951</v>
      </c>
      <c r="E1972" s="23">
        <v>42027</v>
      </c>
      <c r="F1972" s="46">
        <v>6951</v>
      </c>
      <c r="G1972" s="31">
        <f t="shared" si="30"/>
        <v>0</v>
      </c>
      <c r="H1972" s="56" t="s">
        <v>9</v>
      </c>
    </row>
    <row r="1973" spans="1:8" s="3" customFormat="1" x14ac:dyDescent="0.25">
      <c r="A1973" s="20">
        <v>42027</v>
      </c>
      <c r="B1973" s="21">
        <v>9880</v>
      </c>
      <c r="C1973" s="14" t="s">
        <v>170</v>
      </c>
      <c r="D1973" s="22">
        <v>4527.6000000000004</v>
      </c>
      <c r="E1973" s="23">
        <v>42029</v>
      </c>
      <c r="F1973" s="46">
        <v>4527.6000000000004</v>
      </c>
      <c r="G1973" s="31">
        <f t="shared" si="30"/>
        <v>0</v>
      </c>
      <c r="H1973" s="56" t="s">
        <v>62</v>
      </c>
    </row>
    <row r="1974" spans="1:8" s="3" customFormat="1" x14ac:dyDescent="0.25">
      <c r="A1974" s="20">
        <v>42027</v>
      </c>
      <c r="B1974" s="21">
        <v>9881</v>
      </c>
      <c r="C1974" s="14" t="s">
        <v>45</v>
      </c>
      <c r="D1974" s="22">
        <v>61284.69</v>
      </c>
      <c r="E1974" s="29" t="s">
        <v>423</v>
      </c>
      <c r="F1974" s="46">
        <f>14270.66+47014.03</f>
        <v>61284.69</v>
      </c>
      <c r="G1974" s="31">
        <f t="shared" si="30"/>
        <v>0</v>
      </c>
      <c r="H1974" s="56" t="s">
        <v>46</v>
      </c>
    </row>
    <row r="1975" spans="1:8" s="3" customFormat="1" x14ac:dyDescent="0.25">
      <c r="A1975" s="20">
        <v>42027</v>
      </c>
      <c r="B1975" s="21">
        <v>9882</v>
      </c>
      <c r="C1975" s="14" t="s">
        <v>72</v>
      </c>
      <c r="D1975" s="22">
        <v>21482.400000000001</v>
      </c>
      <c r="E1975" s="30" t="s">
        <v>424</v>
      </c>
      <c r="F1975" s="46">
        <v>21482.400000000001</v>
      </c>
      <c r="G1975" s="31">
        <f t="shared" si="30"/>
        <v>0</v>
      </c>
      <c r="H1975" s="56" t="s">
        <v>62</v>
      </c>
    </row>
    <row r="1976" spans="1:8" s="3" customFormat="1" x14ac:dyDescent="0.25">
      <c r="A1976" s="20">
        <v>42027</v>
      </c>
      <c r="B1976" s="21">
        <v>9883</v>
      </c>
      <c r="C1976" s="14" t="s">
        <v>75</v>
      </c>
      <c r="D1976" s="22">
        <v>19274</v>
      </c>
      <c r="E1976" s="23">
        <v>42029</v>
      </c>
      <c r="F1976" s="46">
        <v>19274</v>
      </c>
      <c r="G1976" s="31">
        <f t="shared" si="30"/>
        <v>0</v>
      </c>
      <c r="H1976" s="56" t="s">
        <v>62</v>
      </c>
    </row>
    <row r="1977" spans="1:8" s="3" customFormat="1" x14ac:dyDescent="0.25">
      <c r="A1977" s="20">
        <v>42027</v>
      </c>
      <c r="B1977" s="21">
        <v>9884</v>
      </c>
      <c r="C1977" s="14" t="s">
        <v>176</v>
      </c>
      <c r="D1977" s="22">
        <v>18822.400000000001</v>
      </c>
      <c r="E1977" s="30" t="s">
        <v>501</v>
      </c>
      <c r="F1977" s="98">
        <v>18822.400000000001</v>
      </c>
      <c r="G1977" s="31">
        <f t="shared" si="30"/>
        <v>0</v>
      </c>
      <c r="H1977" s="56" t="s">
        <v>62</v>
      </c>
    </row>
    <row r="1978" spans="1:8" s="3" customFormat="1" x14ac:dyDescent="0.25">
      <c r="A1978" s="20">
        <v>42027</v>
      </c>
      <c r="B1978" s="21">
        <v>9885</v>
      </c>
      <c r="C1978" s="14" t="s">
        <v>125</v>
      </c>
      <c r="D1978" s="22">
        <v>21252.400000000001</v>
      </c>
      <c r="E1978" s="47" t="s">
        <v>425</v>
      </c>
      <c r="F1978" s="46">
        <f>10224+11028.4</f>
        <v>21252.400000000001</v>
      </c>
      <c r="G1978" s="31">
        <f t="shared" si="30"/>
        <v>0</v>
      </c>
      <c r="H1978" s="56" t="s">
        <v>9</v>
      </c>
    </row>
    <row r="1979" spans="1:8" s="3" customFormat="1" x14ac:dyDescent="0.25">
      <c r="A1979" s="20">
        <v>42027</v>
      </c>
      <c r="B1979" s="21">
        <v>9886</v>
      </c>
      <c r="C1979" s="14" t="s">
        <v>84</v>
      </c>
      <c r="D1979" s="22">
        <v>39073.9</v>
      </c>
      <c r="E1979" s="30" t="s">
        <v>502</v>
      </c>
      <c r="F1979" s="98">
        <v>39073.9</v>
      </c>
      <c r="G1979" s="31">
        <f t="shared" si="30"/>
        <v>0</v>
      </c>
      <c r="H1979" s="56" t="s">
        <v>62</v>
      </c>
    </row>
    <row r="1980" spans="1:8" s="3" customFormat="1" x14ac:dyDescent="0.25">
      <c r="A1980" s="20">
        <v>42027</v>
      </c>
      <c r="B1980" s="21">
        <v>9887</v>
      </c>
      <c r="C1980" s="26" t="s">
        <v>12</v>
      </c>
      <c r="D1980" s="27">
        <v>0</v>
      </c>
      <c r="E1980" s="23"/>
      <c r="F1980" s="46"/>
      <c r="G1980" s="31">
        <f t="shared" si="30"/>
        <v>0</v>
      </c>
      <c r="H1980" s="56" t="s">
        <v>13</v>
      </c>
    </row>
    <row r="1981" spans="1:8" s="3" customFormat="1" x14ac:dyDescent="0.25">
      <c r="A1981" s="20">
        <v>42027</v>
      </c>
      <c r="B1981" s="21">
        <v>9888</v>
      </c>
      <c r="C1981" s="14" t="s">
        <v>16</v>
      </c>
      <c r="D1981" s="22">
        <v>3475.2</v>
      </c>
      <c r="E1981" s="23">
        <v>42027</v>
      </c>
      <c r="F1981" s="46">
        <v>3475.2</v>
      </c>
      <c r="G1981" s="31">
        <f t="shared" si="30"/>
        <v>0</v>
      </c>
      <c r="H1981" s="56" t="s">
        <v>9</v>
      </c>
    </row>
    <row r="1982" spans="1:8" s="3" customFormat="1" x14ac:dyDescent="0.25">
      <c r="A1982" s="20">
        <v>42027</v>
      </c>
      <c r="B1982" s="21">
        <v>9889</v>
      </c>
      <c r="C1982" s="26" t="s">
        <v>12</v>
      </c>
      <c r="D1982" s="27">
        <v>0</v>
      </c>
      <c r="E1982" s="23"/>
      <c r="F1982" s="46"/>
      <c r="G1982" s="31">
        <f t="shared" si="30"/>
        <v>0</v>
      </c>
      <c r="H1982" s="56" t="s">
        <v>13</v>
      </c>
    </row>
    <row r="1983" spans="1:8" s="3" customFormat="1" x14ac:dyDescent="0.25">
      <c r="A1983" s="20">
        <v>42027</v>
      </c>
      <c r="B1983" s="21">
        <v>9890</v>
      </c>
      <c r="C1983" s="14" t="s">
        <v>178</v>
      </c>
      <c r="D1983" s="22">
        <v>6913.6</v>
      </c>
      <c r="E1983" s="23">
        <v>42029</v>
      </c>
      <c r="F1983" s="46">
        <v>6913.6</v>
      </c>
      <c r="G1983" s="31">
        <f t="shared" si="30"/>
        <v>0</v>
      </c>
      <c r="H1983" s="56" t="s">
        <v>62</v>
      </c>
    </row>
    <row r="1984" spans="1:8" s="3" customFormat="1" x14ac:dyDescent="0.25">
      <c r="A1984" s="20">
        <v>42027</v>
      </c>
      <c r="B1984" s="21">
        <v>9891</v>
      </c>
      <c r="C1984" s="14" t="s">
        <v>133</v>
      </c>
      <c r="D1984" s="22">
        <v>34584.699999999997</v>
      </c>
      <c r="E1984" s="23">
        <v>42027</v>
      </c>
      <c r="F1984" s="46">
        <v>34584.699999999997</v>
      </c>
      <c r="G1984" s="31">
        <f t="shared" si="30"/>
        <v>0</v>
      </c>
      <c r="H1984" s="56" t="s">
        <v>9</v>
      </c>
    </row>
    <row r="1985" spans="1:8" s="3" customFormat="1" x14ac:dyDescent="0.25">
      <c r="A1985" s="20">
        <v>42027</v>
      </c>
      <c r="B1985" s="21">
        <v>9892</v>
      </c>
      <c r="C1985" s="14" t="s">
        <v>426</v>
      </c>
      <c r="D1985" s="22">
        <v>13572</v>
      </c>
      <c r="E1985" s="23">
        <v>42029</v>
      </c>
      <c r="F1985" s="46">
        <v>13572</v>
      </c>
      <c r="G1985" s="31">
        <f t="shared" si="30"/>
        <v>0</v>
      </c>
      <c r="H1985" s="56" t="s">
        <v>62</v>
      </c>
    </row>
    <row r="1986" spans="1:8" s="3" customFormat="1" x14ac:dyDescent="0.25">
      <c r="A1986" s="20">
        <v>42027</v>
      </c>
      <c r="B1986" s="21">
        <v>9893</v>
      </c>
      <c r="C1986" s="14" t="s">
        <v>173</v>
      </c>
      <c r="D1986" s="22">
        <v>38262.400000000001</v>
      </c>
      <c r="E1986" s="30" t="s">
        <v>503</v>
      </c>
      <c r="F1986" s="98">
        <v>38262.400000000001</v>
      </c>
      <c r="G1986" s="31">
        <f t="shared" si="30"/>
        <v>0</v>
      </c>
      <c r="H1986" s="56" t="s">
        <v>62</v>
      </c>
    </row>
    <row r="1987" spans="1:8" s="3" customFormat="1" x14ac:dyDescent="0.25">
      <c r="A1987" s="20">
        <v>42027</v>
      </c>
      <c r="B1987" s="21">
        <v>9894</v>
      </c>
      <c r="C1987" s="14" t="s">
        <v>133</v>
      </c>
      <c r="D1987" s="22">
        <v>1971.6</v>
      </c>
      <c r="E1987" s="23">
        <v>42027</v>
      </c>
      <c r="F1987" s="46">
        <v>1971.6</v>
      </c>
      <c r="G1987" s="31">
        <f t="shared" ref="G1987:G2050" si="31">D1987-F1987</f>
        <v>0</v>
      </c>
      <c r="H1987" s="56" t="s">
        <v>9</v>
      </c>
    </row>
    <row r="1988" spans="1:8" s="3" customFormat="1" x14ac:dyDescent="0.25">
      <c r="A1988" s="20">
        <v>42027</v>
      </c>
      <c r="B1988" s="21">
        <v>9895</v>
      </c>
      <c r="C1988" s="14" t="s">
        <v>294</v>
      </c>
      <c r="D1988" s="22">
        <v>14339.4</v>
      </c>
      <c r="E1988" s="23">
        <v>42027</v>
      </c>
      <c r="F1988" s="46">
        <v>14339.4</v>
      </c>
      <c r="G1988" s="31">
        <f t="shared" si="31"/>
        <v>0</v>
      </c>
      <c r="H1988" s="56" t="s">
        <v>94</v>
      </c>
    </row>
    <row r="1989" spans="1:8" s="3" customFormat="1" x14ac:dyDescent="0.25">
      <c r="A1989" s="20">
        <v>42027</v>
      </c>
      <c r="B1989" s="21">
        <v>9896</v>
      </c>
      <c r="C1989" s="14" t="s">
        <v>141</v>
      </c>
      <c r="D1989" s="22">
        <v>818.8</v>
      </c>
      <c r="E1989" s="23">
        <v>42027</v>
      </c>
      <c r="F1989" s="46">
        <v>818.8</v>
      </c>
      <c r="G1989" s="31">
        <f t="shared" si="31"/>
        <v>0</v>
      </c>
      <c r="H1989" s="56" t="s">
        <v>9</v>
      </c>
    </row>
    <row r="1990" spans="1:8" s="3" customFormat="1" x14ac:dyDescent="0.25">
      <c r="A1990" s="20">
        <v>42027</v>
      </c>
      <c r="B1990" s="21">
        <v>9897</v>
      </c>
      <c r="C1990" s="14" t="s">
        <v>87</v>
      </c>
      <c r="D1990" s="22">
        <v>2514.5</v>
      </c>
      <c r="E1990" s="23">
        <v>42027</v>
      </c>
      <c r="F1990" s="46">
        <v>2514.5</v>
      </c>
      <c r="G1990" s="31">
        <f t="shared" si="31"/>
        <v>0</v>
      </c>
      <c r="H1990" s="56" t="s">
        <v>94</v>
      </c>
    </row>
    <row r="1991" spans="1:8" s="3" customFormat="1" x14ac:dyDescent="0.25">
      <c r="A1991" s="20">
        <v>42027</v>
      </c>
      <c r="B1991" s="21">
        <v>9898</v>
      </c>
      <c r="C1991" s="14" t="s">
        <v>61</v>
      </c>
      <c r="D1991" s="22">
        <v>14471.2</v>
      </c>
      <c r="E1991" s="23">
        <v>42029</v>
      </c>
      <c r="F1991" s="46">
        <v>14471.2</v>
      </c>
      <c r="G1991" s="31">
        <f t="shared" si="31"/>
        <v>0</v>
      </c>
      <c r="H1991" s="56" t="s">
        <v>62</v>
      </c>
    </row>
    <row r="1992" spans="1:8" s="3" customFormat="1" x14ac:dyDescent="0.25">
      <c r="A1992" s="20">
        <v>42027</v>
      </c>
      <c r="B1992" s="21">
        <v>9899</v>
      </c>
      <c r="C1992" s="14" t="s">
        <v>44</v>
      </c>
      <c r="D1992" s="22">
        <v>1787.2</v>
      </c>
      <c r="E1992" s="23">
        <v>42027</v>
      </c>
      <c r="F1992" s="46">
        <v>1787.2</v>
      </c>
      <c r="G1992" s="31">
        <f t="shared" si="31"/>
        <v>0</v>
      </c>
      <c r="H1992" s="56" t="s">
        <v>9</v>
      </c>
    </row>
    <row r="1993" spans="1:8" s="3" customFormat="1" x14ac:dyDescent="0.25">
      <c r="A1993" s="20">
        <v>42027</v>
      </c>
      <c r="B1993" s="21">
        <v>9900</v>
      </c>
      <c r="C1993" s="14" t="s">
        <v>141</v>
      </c>
      <c r="D1993" s="22">
        <v>6918.4</v>
      </c>
      <c r="E1993" s="23">
        <v>42027</v>
      </c>
      <c r="F1993" s="46">
        <v>6918.4</v>
      </c>
      <c r="G1993" s="31">
        <f t="shared" si="31"/>
        <v>0</v>
      </c>
      <c r="H1993" s="56" t="s">
        <v>94</v>
      </c>
    </row>
    <row r="1994" spans="1:8" s="3" customFormat="1" x14ac:dyDescent="0.25">
      <c r="A1994" s="20">
        <v>42027</v>
      </c>
      <c r="B1994" s="21">
        <v>9901</v>
      </c>
      <c r="C1994" s="14" t="s">
        <v>66</v>
      </c>
      <c r="D1994" s="22">
        <v>1844.4</v>
      </c>
      <c r="E1994" s="23">
        <v>42027</v>
      </c>
      <c r="F1994" s="46">
        <v>1844.4</v>
      </c>
      <c r="G1994" s="31">
        <f t="shared" si="31"/>
        <v>0</v>
      </c>
      <c r="H1994" s="56" t="s">
        <v>9</v>
      </c>
    </row>
    <row r="1995" spans="1:8" s="3" customFormat="1" x14ac:dyDescent="0.25">
      <c r="A1995" s="20">
        <v>42027</v>
      </c>
      <c r="B1995" s="21">
        <v>9902</v>
      </c>
      <c r="C1995" s="14" t="s">
        <v>102</v>
      </c>
      <c r="D1995" s="22">
        <v>2505.6</v>
      </c>
      <c r="E1995" s="23">
        <v>42027</v>
      </c>
      <c r="F1995" s="46">
        <v>2505.6</v>
      </c>
      <c r="G1995" s="31">
        <f t="shared" si="31"/>
        <v>0</v>
      </c>
      <c r="H1995" s="56" t="s">
        <v>9</v>
      </c>
    </row>
    <row r="1996" spans="1:8" s="3" customFormat="1" x14ac:dyDescent="0.25">
      <c r="A1996" s="20">
        <v>42027</v>
      </c>
      <c r="B1996" s="21">
        <v>9903</v>
      </c>
      <c r="C1996" s="14" t="s">
        <v>18</v>
      </c>
      <c r="D1996" s="22">
        <v>200204.95</v>
      </c>
      <c r="E1996" s="97" t="s">
        <v>492</v>
      </c>
      <c r="F1996" s="98">
        <f>3265+128000+68939.95</f>
        <v>200204.95</v>
      </c>
      <c r="G1996" s="31">
        <f t="shared" si="31"/>
        <v>0</v>
      </c>
      <c r="H1996" s="56" t="s">
        <v>183</v>
      </c>
    </row>
    <row r="1997" spans="1:8" s="3" customFormat="1" x14ac:dyDescent="0.25">
      <c r="A1997" s="20">
        <v>42027</v>
      </c>
      <c r="B1997" s="21">
        <v>9904</v>
      </c>
      <c r="C1997" s="14" t="s">
        <v>98</v>
      </c>
      <c r="D1997" s="22">
        <v>958.6</v>
      </c>
      <c r="E1997" s="23">
        <v>42028</v>
      </c>
      <c r="F1997" s="46">
        <v>958.6</v>
      </c>
      <c r="G1997" s="31">
        <f t="shared" si="31"/>
        <v>0</v>
      </c>
      <c r="H1997" s="56" t="s">
        <v>19</v>
      </c>
    </row>
    <row r="1998" spans="1:8" s="3" customFormat="1" x14ac:dyDescent="0.25">
      <c r="A1998" s="20">
        <v>42027</v>
      </c>
      <c r="B1998" s="21">
        <v>9905</v>
      </c>
      <c r="C1998" s="14" t="s">
        <v>93</v>
      </c>
      <c r="D1998" s="22">
        <v>1726.1</v>
      </c>
      <c r="E1998" s="23">
        <v>42028</v>
      </c>
      <c r="F1998" s="46">
        <v>1726.1</v>
      </c>
      <c r="G1998" s="31">
        <f t="shared" si="31"/>
        <v>0</v>
      </c>
      <c r="H1998" s="56" t="s">
        <v>19</v>
      </c>
    </row>
    <row r="1999" spans="1:8" s="3" customFormat="1" x14ac:dyDescent="0.25">
      <c r="A1999" s="20">
        <v>42027</v>
      </c>
      <c r="B1999" s="21">
        <v>9906</v>
      </c>
      <c r="C1999" s="14" t="s">
        <v>95</v>
      </c>
      <c r="D1999" s="22">
        <v>2976.6</v>
      </c>
      <c r="E1999" s="23">
        <v>42028</v>
      </c>
      <c r="F1999" s="46">
        <v>2976.6</v>
      </c>
      <c r="G1999" s="31">
        <f t="shared" si="31"/>
        <v>0</v>
      </c>
      <c r="H1999" s="56" t="s">
        <v>19</v>
      </c>
    </row>
    <row r="2000" spans="1:8" s="3" customFormat="1" x14ac:dyDescent="0.25">
      <c r="A2000" s="20">
        <v>42027</v>
      </c>
      <c r="B2000" s="21">
        <v>9907</v>
      </c>
      <c r="C2000" s="14" t="s">
        <v>24</v>
      </c>
      <c r="D2000" s="22">
        <v>8622</v>
      </c>
      <c r="E2000" s="30">
        <v>42039</v>
      </c>
      <c r="F2000" s="98">
        <v>8622</v>
      </c>
      <c r="G2000" s="31">
        <f t="shared" si="31"/>
        <v>0</v>
      </c>
      <c r="H2000" s="56" t="s">
        <v>187</v>
      </c>
    </row>
    <row r="2001" spans="1:8" s="3" customFormat="1" x14ac:dyDescent="0.25">
      <c r="A2001" s="20">
        <v>42027</v>
      </c>
      <c r="B2001" s="21">
        <v>9908</v>
      </c>
      <c r="C2001" s="14" t="s">
        <v>104</v>
      </c>
      <c r="D2001" s="22">
        <v>22686.799999999999</v>
      </c>
      <c r="E2001" s="23">
        <v>42028</v>
      </c>
      <c r="F2001" s="46">
        <v>22686.799999999999</v>
      </c>
      <c r="G2001" s="31">
        <f t="shared" si="31"/>
        <v>0</v>
      </c>
      <c r="H2001" s="56" t="s">
        <v>19</v>
      </c>
    </row>
    <row r="2002" spans="1:8" s="3" customFormat="1" x14ac:dyDescent="0.25">
      <c r="A2002" s="20">
        <v>42027</v>
      </c>
      <c r="B2002" s="21">
        <v>9909</v>
      </c>
      <c r="C2002" s="14" t="s">
        <v>270</v>
      </c>
      <c r="D2002" s="22">
        <v>1282.9000000000001</v>
      </c>
      <c r="E2002" s="23">
        <v>42027</v>
      </c>
      <c r="F2002" s="46">
        <v>1282.9000000000001</v>
      </c>
      <c r="G2002" s="31">
        <f t="shared" si="31"/>
        <v>0</v>
      </c>
      <c r="H2002" s="56" t="s">
        <v>9</v>
      </c>
    </row>
    <row r="2003" spans="1:8" s="3" customFormat="1" x14ac:dyDescent="0.25">
      <c r="A2003" s="20">
        <v>42027</v>
      </c>
      <c r="B2003" s="21">
        <v>9910</v>
      </c>
      <c r="C2003" s="14" t="s">
        <v>136</v>
      </c>
      <c r="D2003" s="22">
        <v>2205.8000000000002</v>
      </c>
      <c r="E2003" s="23">
        <v>42027</v>
      </c>
      <c r="F2003" s="24">
        <v>2205.8000000000002</v>
      </c>
      <c r="G2003" s="31">
        <f t="shared" si="31"/>
        <v>0</v>
      </c>
      <c r="H2003" s="56" t="s">
        <v>9</v>
      </c>
    </row>
    <row r="2004" spans="1:8" s="3" customFormat="1" x14ac:dyDescent="0.25">
      <c r="A2004" s="20">
        <v>42027</v>
      </c>
      <c r="B2004" s="21">
        <v>9911</v>
      </c>
      <c r="C2004" s="14" t="s">
        <v>365</v>
      </c>
      <c r="D2004" s="22">
        <v>2411.1999999999998</v>
      </c>
      <c r="E2004" s="23">
        <v>42027</v>
      </c>
      <c r="F2004" s="24">
        <v>2411.1999999999998</v>
      </c>
      <c r="G2004" s="31">
        <f t="shared" si="31"/>
        <v>0</v>
      </c>
      <c r="H2004" s="56" t="s">
        <v>9</v>
      </c>
    </row>
    <row r="2005" spans="1:8" s="3" customFormat="1" x14ac:dyDescent="0.25">
      <c r="A2005" s="20">
        <v>42027</v>
      </c>
      <c r="B2005" s="21">
        <v>9912</v>
      </c>
      <c r="C2005" s="14" t="s">
        <v>71</v>
      </c>
      <c r="D2005" s="22">
        <v>1350.2</v>
      </c>
      <c r="E2005" s="23">
        <v>42027</v>
      </c>
      <c r="F2005" s="24">
        <v>1350.2</v>
      </c>
      <c r="G2005" s="31">
        <f t="shared" si="31"/>
        <v>0</v>
      </c>
      <c r="H2005" s="56" t="s">
        <v>9</v>
      </c>
    </row>
    <row r="2006" spans="1:8" s="3" customFormat="1" x14ac:dyDescent="0.25">
      <c r="A2006" s="20">
        <v>42027</v>
      </c>
      <c r="B2006" s="21">
        <v>9913</v>
      </c>
      <c r="C2006" s="14" t="s">
        <v>96</v>
      </c>
      <c r="D2006" s="22">
        <v>5511.51</v>
      </c>
      <c r="E2006" s="23">
        <v>42028</v>
      </c>
      <c r="F2006" s="24">
        <v>5511.51</v>
      </c>
      <c r="G2006" s="31">
        <f t="shared" si="31"/>
        <v>0</v>
      </c>
      <c r="H2006" s="56" t="s">
        <v>19</v>
      </c>
    </row>
    <row r="2007" spans="1:8" s="3" customFormat="1" x14ac:dyDescent="0.25">
      <c r="A2007" s="20">
        <v>42027</v>
      </c>
      <c r="B2007" s="21">
        <v>9914</v>
      </c>
      <c r="C2007" s="14" t="s">
        <v>365</v>
      </c>
      <c r="D2007" s="22">
        <v>2024.2</v>
      </c>
      <c r="E2007" s="23">
        <v>42027</v>
      </c>
      <c r="F2007" s="24">
        <v>2024.2</v>
      </c>
      <c r="G2007" s="31">
        <f t="shared" si="31"/>
        <v>0</v>
      </c>
      <c r="H2007" s="56" t="s">
        <v>9</v>
      </c>
    </row>
    <row r="2008" spans="1:8" s="3" customFormat="1" x14ac:dyDescent="0.25">
      <c r="A2008" s="20">
        <v>42027</v>
      </c>
      <c r="B2008" s="21">
        <v>9915</v>
      </c>
      <c r="C2008" s="14" t="s">
        <v>106</v>
      </c>
      <c r="D2008" s="22">
        <v>8444.4</v>
      </c>
      <c r="E2008" s="23">
        <v>42028</v>
      </c>
      <c r="F2008" s="24">
        <v>8444.4</v>
      </c>
      <c r="G2008" s="31">
        <f t="shared" si="31"/>
        <v>0</v>
      </c>
      <c r="H2008" s="56" t="s">
        <v>19</v>
      </c>
    </row>
    <row r="2009" spans="1:8" s="3" customFormat="1" x14ac:dyDescent="0.25">
      <c r="A2009" s="20">
        <v>42027</v>
      </c>
      <c r="B2009" s="21">
        <v>9916</v>
      </c>
      <c r="C2009" s="14" t="s">
        <v>110</v>
      </c>
      <c r="D2009" s="22">
        <v>104029.1</v>
      </c>
      <c r="E2009" s="23">
        <v>42032</v>
      </c>
      <c r="F2009" s="24">
        <v>104029.1</v>
      </c>
      <c r="G2009" s="31">
        <f t="shared" si="31"/>
        <v>0</v>
      </c>
      <c r="H2009" s="56" t="s">
        <v>46</v>
      </c>
    </row>
    <row r="2010" spans="1:8" s="3" customFormat="1" x14ac:dyDescent="0.25">
      <c r="A2010" s="20">
        <v>42027</v>
      </c>
      <c r="B2010" s="21">
        <v>9917</v>
      </c>
      <c r="C2010" s="14" t="s">
        <v>427</v>
      </c>
      <c r="D2010" s="22">
        <v>5161.2</v>
      </c>
      <c r="E2010" s="23">
        <v>42028</v>
      </c>
      <c r="F2010" s="24">
        <v>5161.2</v>
      </c>
      <c r="G2010" s="31">
        <f t="shared" si="31"/>
        <v>0</v>
      </c>
      <c r="H2010" s="56" t="s">
        <v>17</v>
      </c>
    </row>
    <row r="2011" spans="1:8" s="3" customFormat="1" x14ac:dyDescent="0.25">
      <c r="A2011" s="20">
        <v>42027</v>
      </c>
      <c r="B2011" s="21">
        <v>9918</v>
      </c>
      <c r="C2011" s="14" t="s">
        <v>391</v>
      </c>
      <c r="D2011" s="22">
        <v>4259.6000000000004</v>
      </c>
      <c r="E2011" s="23">
        <v>42027</v>
      </c>
      <c r="F2011" s="24">
        <v>4259.6000000000004</v>
      </c>
      <c r="G2011" s="31">
        <f t="shared" si="31"/>
        <v>0</v>
      </c>
      <c r="H2011" s="56" t="s">
        <v>9</v>
      </c>
    </row>
    <row r="2012" spans="1:8" s="3" customFormat="1" x14ac:dyDescent="0.25">
      <c r="A2012" s="20">
        <v>42027</v>
      </c>
      <c r="B2012" s="21">
        <v>9919</v>
      </c>
      <c r="C2012" s="14" t="s">
        <v>136</v>
      </c>
      <c r="D2012" s="22">
        <v>22407.200000000001</v>
      </c>
      <c r="E2012" s="29" t="s">
        <v>428</v>
      </c>
      <c r="F2012" s="46">
        <f>19336+3071.2</f>
        <v>22407.200000000001</v>
      </c>
      <c r="G2012" s="31">
        <f t="shared" si="31"/>
        <v>0</v>
      </c>
      <c r="H2012" s="56" t="s">
        <v>9</v>
      </c>
    </row>
    <row r="2013" spans="1:8" s="3" customFormat="1" x14ac:dyDescent="0.25">
      <c r="A2013" s="20">
        <v>42027</v>
      </c>
      <c r="B2013" s="21">
        <v>9920</v>
      </c>
      <c r="C2013" s="14" t="s">
        <v>43</v>
      </c>
      <c r="D2013" s="22">
        <v>4413.6000000000004</v>
      </c>
      <c r="E2013" s="23">
        <v>42027</v>
      </c>
      <c r="F2013" s="46">
        <v>4413.6000000000004</v>
      </c>
      <c r="G2013" s="31">
        <f t="shared" si="31"/>
        <v>0</v>
      </c>
      <c r="H2013" s="56" t="s">
        <v>9</v>
      </c>
    </row>
    <row r="2014" spans="1:8" s="3" customFormat="1" x14ac:dyDescent="0.25">
      <c r="A2014" s="20">
        <v>42027</v>
      </c>
      <c r="B2014" s="21">
        <v>9921</v>
      </c>
      <c r="C2014" s="14" t="s">
        <v>38</v>
      </c>
      <c r="D2014" s="22">
        <v>40264</v>
      </c>
      <c r="E2014" s="30">
        <v>42037</v>
      </c>
      <c r="F2014" s="98">
        <v>40264</v>
      </c>
      <c r="G2014" s="31">
        <f t="shared" si="31"/>
        <v>0</v>
      </c>
      <c r="H2014" s="56" t="s">
        <v>94</v>
      </c>
    </row>
    <row r="2015" spans="1:8" s="3" customFormat="1" x14ac:dyDescent="0.25">
      <c r="A2015" s="20">
        <v>42027</v>
      </c>
      <c r="B2015" s="21">
        <v>9922</v>
      </c>
      <c r="C2015" s="14" t="s">
        <v>155</v>
      </c>
      <c r="D2015" s="22">
        <v>1539.2</v>
      </c>
      <c r="E2015" s="23">
        <v>42027</v>
      </c>
      <c r="F2015" s="46">
        <v>1539.2</v>
      </c>
      <c r="G2015" s="31">
        <f t="shared" si="31"/>
        <v>0</v>
      </c>
      <c r="H2015" s="56" t="s">
        <v>94</v>
      </c>
    </row>
    <row r="2016" spans="1:8" s="3" customFormat="1" x14ac:dyDescent="0.25">
      <c r="A2016" s="20">
        <v>42027</v>
      </c>
      <c r="B2016" s="21">
        <v>9923</v>
      </c>
      <c r="C2016" s="14" t="s">
        <v>45</v>
      </c>
      <c r="D2016" s="22">
        <v>4060.8</v>
      </c>
      <c r="E2016" s="23">
        <v>42035</v>
      </c>
      <c r="F2016" s="46">
        <v>4060.8</v>
      </c>
      <c r="G2016" s="31">
        <f t="shared" si="31"/>
        <v>0</v>
      </c>
      <c r="H2016" s="56" t="s">
        <v>94</v>
      </c>
    </row>
    <row r="2017" spans="1:8" s="3" customFormat="1" x14ac:dyDescent="0.25">
      <c r="A2017" s="20">
        <v>42027</v>
      </c>
      <c r="B2017" s="21">
        <v>9924</v>
      </c>
      <c r="C2017" s="14" t="s">
        <v>64</v>
      </c>
      <c r="D2017" s="22">
        <v>1221.8</v>
      </c>
      <c r="E2017" s="23">
        <v>42027</v>
      </c>
      <c r="F2017" s="46">
        <v>1221.8</v>
      </c>
      <c r="G2017" s="31">
        <f t="shared" si="31"/>
        <v>0</v>
      </c>
      <c r="H2017" s="56" t="s">
        <v>9</v>
      </c>
    </row>
    <row r="2018" spans="1:8" s="3" customFormat="1" x14ac:dyDescent="0.25">
      <c r="A2018" s="20">
        <v>42027</v>
      </c>
      <c r="B2018" s="21">
        <v>9925</v>
      </c>
      <c r="C2018" s="14" t="s">
        <v>24</v>
      </c>
      <c r="D2018" s="22">
        <v>108204</v>
      </c>
      <c r="E2018" s="30">
        <v>42039</v>
      </c>
      <c r="F2018" s="98">
        <v>108204</v>
      </c>
      <c r="G2018" s="31">
        <f t="shared" si="31"/>
        <v>0</v>
      </c>
      <c r="H2018" s="56" t="s">
        <v>46</v>
      </c>
    </row>
    <row r="2019" spans="1:8" s="3" customFormat="1" x14ac:dyDescent="0.25">
      <c r="A2019" s="20">
        <v>42027</v>
      </c>
      <c r="B2019" s="21">
        <v>9926</v>
      </c>
      <c r="C2019" s="14" t="s">
        <v>35</v>
      </c>
      <c r="D2019" s="22">
        <v>28910.6</v>
      </c>
      <c r="E2019" s="23">
        <v>42028</v>
      </c>
      <c r="F2019" s="46">
        <v>28910.6</v>
      </c>
      <c r="G2019" s="31">
        <f t="shared" si="31"/>
        <v>0</v>
      </c>
      <c r="H2019" s="56" t="s">
        <v>17</v>
      </c>
    </row>
    <row r="2020" spans="1:8" s="3" customFormat="1" x14ac:dyDescent="0.25">
      <c r="A2020" s="20">
        <v>42027</v>
      </c>
      <c r="B2020" s="21">
        <v>9927</v>
      </c>
      <c r="C2020" s="26" t="s">
        <v>12</v>
      </c>
      <c r="D2020" s="27">
        <v>0</v>
      </c>
      <c r="E2020" s="23"/>
      <c r="F2020" s="46"/>
      <c r="G2020" s="31">
        <f t="shared" si="31"/>
        <v>0</v>
      </c>
      <c r="H2020" s="56" t="s">
        <v>13</v>
      </c>
    </row>
    <row r="2021" spans="1:8" s="3" customFormat="1" x14ac:dyDescent="0.25">
      <c r="A2021" s="20">
        <v>42027</v>
      </c>
      <c r="B2021" s="21">
        <v>9928</v>
      </c>
      <c r="C2021" s="14" t="s">
        <v>90</v>
      </c>
      <c r="D2021" s="22">
        <v>1875.3</v>
      </c>
      <c r="E2021" s="23">
        <v>42027</v>
      </c>
      <c r="F2021" s="46">
        <v>1875.3</v>
      </c>
      <c r="G2021" s="31">
        <f t="shared" si="31"/>
        <v>0</v>
      </c>
      <c r="H2021" s="56" t="s">
        <v>9</v>
      </c>
    </row>
    <row r="2022" spans="1:8" s="3" customFormat="1" x14ac:dyDescent="0.25">
      <c r="A2022" s="20">
        <v>42027</v>
      </c>
      <c r="B2022" s="21">
        <v>9929</v>
      </c>
      <c r="C2022" s="14" t="s">
        <v>235</v>
      </c>
      <c r="D2022" s="22">
        <v>2047.92</v>
      </c>
      <c r="E2022" s="23">
        <v>42028</v>
      </c>
      <c r="F2022" s="46">
        <v>2047.92</v>
      </c>
      <c r="G2022" s="31">
        <f t="shared" si="31"/>
        <v>0</v>
      </c>
      <c r="H2022" s="56" t="s">
        <v>17</v>
      </c>
    </row>
    <row r="2023" spans="1:8" s="3" customFormat="1" x14ac:dyDescent="0.25">
      <c r="A2023" s="20">
        <v>42027</v>
      </c>
      <c r="B2023" s="21">
        <v>9930</v>
      </c>
      <c r="C2023" s="14" t="s">
        <v>112</v>
      </c>
      <c r="D2023" s="22">
        <v>11070</v>
      </c>
      <c r="E2023" s="23">
        <v>42027</v>
      </c>
      <c r="F2023" s="46">
        <f>9050+2020</f>
        <v>11070</v>
      </c>
      <c r="G2023" s="31">
        <f t="shared" si="31"/>
        <v>0</v>
      </c>
      <c r="H2023" s="56" t="s">
        <v>9</v>
      </c>
    </row>
    <row r="2024" spans="1:8" s="3" customFormat="1" x14ac:dyDescent="0.25">
      <c r="A2024" s="20">
        <v>42027</v>
      </c>
      <c r="B2024" s="21">
        <v>9931</v>
      </c>
      <c r="C2024" s="14" t="s">
        <v>112</v>
      </c>
      <c r="D2024" s="22">
        <v>3859.8</v>
      </c>
      <c r="E2024" s="29" t="s">
        <v>429</v>
      </c>
      <c r="F2024" s="46">
        <f>2980+879.8</f>
        <v>3859.8</v>
      </c>
      <c r="G2024" s="31">
        <f t="shared" si="31"/>
        <v>0</v>
      </c>
      <c r="H2024" s="56" t="s">
        <v>9</v>
      </c>
    </row>
    <row r="2025" spans="1:8" s="3" customFormat="1" x14ac:dyDescent="0.25">
      <c r="A2025" s="20">
        <v>42027</v>
      </c>
      <c r="B2025" s="21">
        <v>9932</v>
      </c>
      <c r="C2025" s="14" t="s">
        <v>24</v>
      </c>
      <c r="D2025" s="22">
        <v>53482</v>
      </c>
      <c r="E2025" s="30">
        <v>42039</v>
      </c>
      <c r="F2025" s="98">
        <v>53482</v>
      </c>
      <c r="G2025" s="31">
        <f t="shared" si="31"/>
        <v>0</v>
      </c>
      <c r="H2025" s="56" t="s">
        <v>59</v>
      </c>
    </row>
    <row r="2026" spans="1:8" s="3" customFormat="1" x14ac:dyDescent="0.25">
      <c r="A2026" s="20">
        <v>42027</v>
      </c>
      <c r="B2026" s="21">
        <v>9933</v>
      </c>
      <c r="C2026" s="14" t="s">
        <v>80</v>
      </c>
      <c r="D2026" s="22">
        <v>7279.2</v>
      </c>
      <c r="E2026" s="23">
        <v>42027</v>
      </c>
      <c r="F2026" s="46">
        <v>7279.2</v>
      </c>
      <c r="G2026" s="31">
        <f t="shared" si="31"/>
        <v>0</v>
      </c>
      <c r="H2026" s="56" t="s">
        <v>9</v>
      </c>
    </row>
    <row r="2027" spans="1:8" s="3" customFormat="1" x14ac:dyDescent="0.25">
      <c r="A2027" s="20">
        <v>42027</v>
      </c>
      <c r="B2027" s="21">
        <v>9934</v>
      </c>
      <c r="C2027" s="14" t="s">
        <v>64</v>
      </c>
      <c r="D2027" s="22">
        <v>2464</v>
      </c>
      <c r="E2027" s="23">
        <v>42027</v>
      </c>
      <c r="F2027" s="46">
        <v>2464</v>
      </c>
      <c r="G2027" s="31">
        <f t="shared" si="31"/>
        <v>0</v>
      </c>
      <c r="H2027" s="56" t="s">
        <v>9</v>
      </c>
    </row>
    <row r="2028" spans="1:8" s="3" customFormat="1" x14ac:dyDescent="0.25">
      <c r="A2028" s="20">
        <v>42027</v>
      </c>
      <c r="B2028" s="21">
        <v>9935</v>
      </c>
      <c r="C2028" s="14" t="s">
        <v>258</v>
      </c>
      <c r="D2028" s="22">
        <v>265.05</v>
      </c>
      <c r="E2028" s="23">
        <v>42027</v>
      </c>
      <c r="F2028" s="46">
        <v>265.05</v>
      </c>
      <c r="G2028" s="31">
        <f t="shared" si="31"/>
        <v>0</v>
      </c>
      <c r="H2028" s="56" t="s">
        <v>9</v>
      </c>
    </row>
    <row r="2029" spans="1:8" s="3" customFormat="1" x14ac:dyDescent="0.25">
      <c r="A2029" s="20">
        <v>42027</v>
      </c>
      <c r="B2029" s="21">
        <v>9936</v>
      </c>
      <c r="C2029" s="14" t="s">
        <v>267</v>
      </c>
      <c r="D2029" s="22">
        <v>4776.5</v>
      </c>
      <c r="E2029" s="23">
        <v>42028</v>
      </c>
      <c r="F2029" s="46">
        <v>4776.5</v>
      </c>
      <c r="G2029" s="31">
        <f t="shared" si="31"/>
        <v>0</v>
      </c>
      <c r="H2029" s="56" t="s">
        <v>9</v>
      </c>
    </row>
    <row r="2030" spans="1:8" s="3" customFormat="1" x14ac:dyDescent="0.25">
      <c r="A2030" s="20">
        <v>42028</v>
      </c>
      <c r="B2030" s="21">
        <v>9937</v>
      </c>
      <c r="C2030" s="14" t="s">
        <v>318</v>
      </c>
      <c r="D2030" s="22">
        <v>11444</v>
      </c>
      <c r="E2030" s="23">
        <v>42028</v>
      </c>
      <c r="F2030" s="46">
        <v>11444</v>
      </c>
      <c r="G2030" s="31">
        <f t="shared" si="31"/>
        <v>0</v>
      </c>
      <c r="H2030" s="56" t="s">
        <v>62</v>
      </c>
    </row>
    <row r="2031" spans="1:8" s="3" customFormat="1" x14ac:dyDescent="0.25">
      <c r="A2031" s="20">
        <v>42028</v>
      </c>
      <c r="B2031" s="21">
        <v>9938</v>
      </c>
      <c r="C2031" s="14" t="s">
        <v>211</v>
      </c>
      <c r="D2031" s="22">
        <v>57319</v>
      </c>
      <c r="E2031" s="23">
        <v>42032</v>
      </c>
      <c r="F2031" s="46">
        <v>57319</v>
      </c>
      <c r="G2031" s="31">
        <f t="shared" si="31"/>
        <v>0</v>
      </c>
      <c r="H2031" s="56" t="s">
        <v>9</v>
      </c>
    </row>
    <row r="2032" spans="1:8" s="3" customFormat="1" x14ac:dyDescent="0.25">
      <c r="A2032" s="20">
        <v>42028</v>
      </c>
      <c r="B2032" s="21">
        <v>9939</v>
      </c>
      <c r="C2032" s="14" t="s">
        <v>14</v>
      </c>
      <c r="D2032" s="22">
        <v>14166</v>
      </c>
      <c r="E2032" s="23">
        <v>42035</v>
      </c>
      <c r="F2032" s="46">
        <v>14166</v>
      </c>
      <c r="G2032" s="31">
        <f t="shared" si="31"/>
        <v>0</v>
      </c>
      <c r="H2032" s="56" t="s">
        <v>187</v>
      </c>
    </row>
    <row r="2033" spans="1:8" s="3" customFormat="1" x14ac:dyDescent="0.25">
      <c r="A2033" s="20">
        <v>42028</v>
      </c>
      <c r="B2033" s="21">
        <v>9940</v>
      </c>
      <c r="C2033" s="14" t="s">
        <v>16</v>
      </c>
      <c r="D2033" s="22">
        <v>9078.7999999999993</v>
      </c>
      <c r="E2033" s="23">
        <v>42028</v>
      </c>
      <c r="F2033" s="46">
        <v>9078.7999999999993</v>
      </c>
      <c r="G2033" s="31">
        <f t="shared" si="31"/>
        <v>0</v>
      </c>
      <c r="H2033" s="56" t="s">
        <v>17</v>
      </c>
    </row>
    <row r="2034" spans="1:8" s="3" customFormat="1" x14ac:dyDescent="0.25">
      <c r="A2034" s="20">
        <v>42028</v>
      </c>
      <c r="B2034" s="21">
        <v>9941</v>
      </c>
      <c r="C2034" s="14" t="s">
        <v>20</v>
      </c>
      <c r="D2034" s="22">
        <v>19910.75</v>
      </c>
      <c r="E2034" s="23">
        <v>42028</v>
      </c>
      <c r="F2034" s="46">
        <v>19910.75</v>
      </c>
      <c r="G2034" s="31">
        <f t="shared" si="31"/>
        <v>0</v>
      </c>
      <c r="H2034" s="56" t="s">
        <v>94</v>
      </c>
    </row>
    <row r="2035" spans="1:8" s="3" customFormat="1" x14ac:dyDescent="0.25">
      <c r="A2035" s="20">
        <v>42028</v>
      </c>
      <c r="B2035" s="21">
        <v>9942</v>
      </c>
      <c r="C2035" s="14" t="s">
        <v>367</v>
      </c>
      <c r="D2035" s="22">
        <v>20224.900000000001</v>
      </c>
      <c r="E2035" s="30">
        <v>42041</v>
      </c>
      <c r="F2035" s="98">
        <v>20224.900000000001</v>
      </c>
      <c r="G2035" s="31">
        <f t="shared" si="31"/>
        <v>0</v>
      </c>
      <c r="H2035" s="56" t="s">
        <v>19</v>
      </c>
    </row>
    <row r="2036" spans="1:8" s="3" customFormat="1" x14ac:dyDescent="0.25">
      <c r="A2036" s="20">
        <v>42028</v>
      </c>
      <c r="B2036" s="21">
        <v>9943</v>
      </c>
      <c r="C2036" s="14" t="s">
        <v>148</v>
      </c>
      <c r="D2036" s="22">
        <v>5096.8</v>
      </c>
      <c r="E2036" s="23">
        <v>42028</v>
      </c>
      <c r="F2036" s="46">
        <v>5096.8</v>
      </c>
      <c r="G2036" s="31">
        <f t="shared" si="31"/>
        <v>0</v>
      </c>
      <c r="H2036" s="56" t="s">
        <v>59</v>
      </c>
    </row>
    <row r="2037" spans="1:8" s="3" customFormat="1" x14ac:dyDescent="0.25">
      <c r="A2037" s="20">
        <v>42028</v>
      </c>
      <c r="B2037" s="21">
        <v>9944</v>
      </c>
      <c r="C2037" s="14" t="s">
        <v>238</v>
      </c>
      <c r="D2037" s="22">
        <v>640</v>
      </c>
      <c r="E2037" s="23">
        <v>42028</v>
      </c>
      <c r="F2037" s="46">
        <v>640</v>
      </c>
      <c r="G2037" s="31">
        <f t="shared" si="31"/>
        <v>0</v>
      </c>
      <c r="H2037" s="56" t="s">
        <v>59</v>
      </c>
    </row>
    <row r="2038" spans="1:8" s="3" customFormat="1" x14ac:dyDescent="0.25">
      <c r="A2038" s="20">
        <v>42028</v>
      </c>
      <c r="B2038" s="21">
        <v>9945</v>
      </c>
      <c r="C2038" s="14" t="s">
        <v>53</v>
      </c>
      <c r="D2038" s="63">
        <v>2946.1</v>
      </c>
      <c r="E2038" s="23">
        <v>42028</v>
      </c>
      <c r="F2038" s="46">
        <v>2946.1</v>
      </c>
      <c r="G2038" s="31">
        <f t="shared" si="31"/>
        <v>0</v>
      </c>
      <c r="H2038" s="56" t="s">
        <v>59</v>
      </c>
    </row>
    <row r="2039" spans="1:8" s="3" customFormat="1" x14ac:dyDescent="0.25">
      <c r="A2039" s="20">
        <v>42028</v>
      </c>
      <c r="B2039" s="21">
        <v>9946</v>
      </c>
      <c r="C2039" s="26" t="s">
        <v>12</v>
      </c>
      <c r="D2039" s="27">
        <v>0</v>
      </c>
      <c r="E2039" s="23"/>
      <c r="F2039" s="46"/>
      <c r="G2039" s="31">
        <f t="shared" si="31"/>
        <v>0</v>
      </c>
      <c r="H2039" s="56" t="s">
        <v>13</v>
      </c>
    </row>
    <row r="2040" spans="1:8" s="3" customFormat="1" x14ac:dyDescent="0.25">
      <c r="A2040" s="20">
        <v>42028</v>
      </c>
      <c r="B2040" s="21">
        <v>9947</v>
      </c>
      <c r="C2040" s="14" t="s">
        <v>81</v>
      </c>
      <c r="D2040" s="22">
        <v>3490.4</v>
      </c>
      <c r="E2040" s="23">
        <v>42028</v>
      </c>
      <c r="F2040" s="46">
        <v>3490.4</v>
      </c>
      <c r="G2040" s="31">
        <f t="shared" si="31"/>
        <v>0</v>
      </c>
      <c r="H2040" s="56" t="s">
        <v>59</v>
      </c>
    </row>
    <row r="2041" spans="1:8" s="3" customFormat="1" x14ac:dyDescent="0.25">
      <c r="A2041" s="20">
        <v>42028</v>
      </c>
      <c r="B2041" s="21">
        <v>9948</v>
      </c>
      <c r="C2041" s="14" t="s">
        <v>83</v>
      </c>
      <c r="D2041" s="22">
        <v>10220.5</v>
      </c>
      <c r="E2041" s="23">
        <v>42028</v>
      </c>
      <c r="F2041" s="46">
        <v>10220.5</v>
      </c>
      <c r="G2041" s="31">
        <f t="shared" si="31"/>
        <v>0</v>
      </c>
      <c r="H2041" s="56" t="s">
        <v>59</v>
      </c>
    </row>
    <row r="2042" spans="1:8" s="3" customFormat="1" x14ac:dyDescent="0.25">
      <c r="A2042" s="20">
        <v>42028</v>
      </c>
      <c r="B2042" s="21">
        <v>9949</v>
      </c>
      <c r="C2042" s="14" t="s">
        <v>82</v>
      </c>
      <c r="D2042" s="22">
        <v>9201.6</v>
      </c>
      <c r="E2042" s="23">
        <v>42028</v>
      </c>
      <c r="F2042" s="46">
        <v>9201.6</v>
      </c>
      <c r="G2042" s="31">
        <f t="shared" si="31"/>
        <v>0</v>
      </c>
      <c r="H2042" s="56" t="s">
        <v>59</v>
      </c>
    </row>
    <row r="2043" spans="1:8" s="3" customFormat="1" x14ac:dyDescent="0.25">
      <c r="A2043" s="20">
        <v>42028</v>
      </c>
      <c r="B2043" s="21">
        <v>9950</v>
      </c>
      <c r="C2043" s="14" t="s">
        <v>430</v>
      </c>
      <c r="D2043" s="22">
        <v>2660.1</v>
      </c>
      <c r="E2043" s="23">
        <v>42028</v>
      </c>
      <c r="F2043" s="46">
        <v>2660.1</v>
      </c>
      <c r="G2043" s="31">
        <f t="shared" si="31"/>
        <v>0</v>
      </c>
      <c r="H2043" s="56" t="s">
        <v>59</v>
      </c>
    </row>
    <row r="2044" spans="1:8" s="3" customFormat="1" x14ac:dyDescent="0.25">
      <c r="A2044" s="20">
        <v>42028</v>
      </c>
      <c r="B2044" s="21">
        <v>9951</v>
      </c>
      <c r="C2044" s="14" t="s">
        <v>82</v>
      </c>
      <c r="D2044" s="22">
        <v>1554.4</v>
      </c>
      <c r="E2044" s="23">
        <v>42028</v>
      </c>
      <c r="F2044" s="46">
        <v>1554.4</v>
      </c>
      <c r="G2044" s="31">
        <f t="shared" si="31"/>
        <v>0</v>
      </c>
      <c r="H2044" s="56" t="s">
        <v>59</v>
      </c>
    </row>
    <row r="2045" spans="1:8" s="3" customFormat="1" x14ac:dyDescent="0.25">
      <c r="A2045" s="20">
        <v>42028</v>
      </c>
      <c r="B2045" s="21">
        <v>9952</v>
      </c>
      <c r="C2045" s="14" t="s">
        <v>58</v>
      </c>
      <c r="D2045" s="22">
        <v>840</v>
      </c>
      <c r="E2045" s="23">
        <v>42028</v>
      </c>
      <c r="F2045" s="46">
        <v>840</v>
      </c>
      <c r="G2045" s="31">
        <f t="shared" si="31"/>
        <v>0</v>
      </c>
      <c r="H2045" s="56" t="s">
        <v>59</v>
      </c>
    </row>
    <row r="2046" spans="1:8" s="3" customFormat="1" x14ac:dyDescent="0.25">
      <c r="A2046" s="20">
        <v>42028</v>
      </c>
      <c r="B2046" s="21">
        <v>9953</v>
      </c>
      <c r="C2046" s="14" t="s">
        <v>214</v>
      </c>
      <c r="D2046" s="22">
        <v>800</v>
      </c>
      <c r="E2046" s="23">
        <v>42028</v>
      </c>
      <c r="F2046" s="46">
        <v>800</v>
      </c>
      <c r="G2046" s="31">
        <f t="shared" si="31"/>
        <v>0</v>
      </c>
      <c r="H2046" s="56" t="s">
        <v>59</v>
      </c>
    </row>
    <row r="2047" spans="1:8" s="3" customFormat="1" x14ac:dyDescent="0.25">
      <c r="A2047" s="20">
        <v>42028</v>
      </c>
      <c r="B2047" s="21">
        <v>9954</v>
      </c>
      <c r="C2047" s="14" t="s">
        <v>57</v>
      </c>
      <c r="D2047" s="22">
        <v>1680</v>
      </c>
      <c r="E2047" s="23">
        <v>42028</v>
      </c>
      <c r="F2047" s="46">
        <v>1680</v>
      </c>
      <c r="G2047" s="31">
        <f t="shared" si="31"/>
        <v>0</v>
      </c>
      <c r="H2047" s="62" t="s">
        <v>59</v>
      </c>
    </row>
    <row r="2048" spans="1:8" s="3" customFormat="1" x14ac:dyDescent="0.25">
      <c r="A2048" s="20">
        <v>42028</v>
      </c>
      <c r="B2048" s="21">
        <v>9955</v>
      </c>
      <c r="C2048" s="14" t="s">
        <v>32</v>
      </c>
      <c r="D2048" s="22">
        <v>229620</v>
      </c>
      <c r="E2048" s="23">
        <v>42035</v>
      </c>
      <c r="F2048" s="46">
        <v>229620</v>
      </c>
      <c r="G2048" s="31">
        <f t="shared" si="31"/>
        <v>0</v>
      </c>
      <c r="H2048" s="62" t="s">
        <v>149</v>
      </c>
    </row>
    <row r="2049" spans="1:8" s="3" customFormat="1" x14ac:dyDescent="0.25">
      <c r="A2049" s="20">
        <v>42028</v>
      </c>
      <c r="B2049" s="21">
        <v>9956</v>
      </c>
      <c r="C2049" s="14" t="s">
        <v>431</v>
      </c>
      <c r="D2049" s="22">
        <v>5051.2</v>
      </c>
      <c r="E2049" s="23">
        <v>42028</v>
      </c>
      <c r="F2049" s="46">
        <v>5051.2</v>
      </c>
      <c r="G2049" s="31">
        <f t="shared" si="31"/>
        <v>0</v>
      </c>
      <c r="H2049" s="62" t="s">
        <v>9</v>
      </c>
    </row>
    <row r="2050" spans="1:8" s="3" customFormat="1" x14ac:dyDescent="0.25">
      <c r="A2050" s="20">
        <v>42028</v>
      </c>
      <c r="B2050" s="21">
        <v>9957</v>
      </c>
      <c r="C2050" s="14" t="s">
        <v>124</v>
      </c>
      <c r="D2050" s="22">
        <v>1694</v>
      </c>
      <c r="E2050" s="23">
        <v>42028</v>
      </c>
      <c r="F2050" s="46">
        <v>1694</v>
      </c>
      <c r="G2050" s="31">
        <f t="shared" si="31"/>
        <v>0</v>
      </c>
      <c r="H2050" s="62" t="s">
        <v>9</v>
      </c>
    </row>
    <row r="2051" spans="1:8" s="3" customFormat="1" x14ac:dyDescent="0.25">
      <c r="A2051" s="20">
        <v>42028</v>
      </c>
      <c r="B2051" s="21">
        <v>9958</v>
      </c>
      <c r="C2051" s="14" t="s">
        <v>314</v>
      </c>
      <c r="D2051" s="22">
        <v>3825.9</v>
      </c>
      <c r="E2051" s="23">
        <v>42030</v>
      </c>
      <c r="F2051" s="46">
        <v>3825.9</v>
      </c>
      <c r="G2051" s="31">
        <f t="shared" ref="G2051:G2114" si="32">D2051-F2051</f>
        <v>0</v>
      </c>
      <c r="H2051" s="62" t="s">
        <v>312</v>
      </c>
    </row>
    <row r="2052" spans="1:8" s="3" customFormat="1" x14ac:dyDescent="0.25">
      <c r="A2052" s="20">
        <v>42028</v>
      </c>
      <c r="B2052" s="21">
        <v>9959</v>
      </c>
      <c r="C2052" s="14" t="s">
        <v>296</v>
      </c>
      <c r="D2052" s="22">
        <v>1260.8</v>
      </c>
      <c r="E2052" s="23">
        <v>42028</v>
      </c>
      <c r="F2052" s="46">
        <v>1260.8</v>
      </c>
      <c r="G2052" s="31">
        <f t="shared" si="32"/>
        <v>0</v>
      </c>
      <c r="H2052" s="62" t="s">
        <v>9</v>
      </c>
    </row>
    <row r="2053" spans="1:8" s="3" customFormat="1" x14ac:dyDescent="0.25">
      <c r="A2053" s="20">
        <v>42028</v>
      </c>
      <c r="B2053" s="21">
        <v>9960</v>
      </c>
      <c r="C2053" s="14" t="s">
        <v>88</v>
      </c>
      <c r="D2053" s="22">
        <v>1048</v>
      </c>
      <c r="E2053" s="23">
        <v>42028</v>
      </c>
      <c r="F2053" s="46">
        <v>1048</v>
      </c>
      <c r="G2053" s="31">
        <f t="shared" si="32"/>
        <v>0</v>
      </c>
      <c r="H2053" s="62" t="s">
        <v>9</v>
      </c>
    </row>
    <row r="2054" spans="1:8" s="3" customFormat="1" x14ac:dyDescent="0.25">
      <c r="A2054" s="20">
        <v>42028</v>
      </c>
      <c r="B2054" s="21">
        <v>9961</v>
      </c>
      <c r="C2054" s="14" t="s">
        <v>91</v>
      </c>
      <c r="D2054" s="22">
        <v>43391.19</v>
      </c>
      <c r="E2054" s="23">
        <v>42028</v>
      </c>
      <c r="F2054" s="46">
        <v>43391.19</v>
      </c>
      <c r="G2054" s="31">
        <f t="shared" si="32"/>
        <v>0</v>
      </c>
      <c r="H2054" s="62" t="s">
        <v>59</v>
      </c>
    </row>
    <row r="2055" spans="1:8" s="3" customFormat="1" x14ac:dyDescent="0.25">
      <c r="A2055" s="20">
        <v>42028</v>
      </c>
      <c r="B2055" s="21">
        <v>9962</v>
      </c>
      <c r="C2055" s="14" t="s">
        <v>399</v>
      </c>
      <c r="D2055" s="22">
        <v>3705</v>
      </c>
      <c r="E2055" s="23">
        <v>42030</v>
      </c>
      <c r="F2055" s="46">
        <v>3705</v>
      </c>
      <c r="G2055" s="31">
        <f t="shared" si="32"/>
        <v>0</v>
      </c>
      <c r="H2055" s="62" t="s">
        <v>312</v>
      </c>
    </row>
    <row r="2056" spans="1:8" s="3" customFormat="1" x14ac:dyDescent="0.25">
      <c r="A2056" s="20">
        <v>42028</v>
      </c>
      <c r="B2056" s="21">
        <v>9963</v>
      </c>
      <c r="C2056" s="14" t="s">
        <v>125</v>
      </c>
      <c r="D2056" s="22">
        <v>13576.4</v>
      </c>
      <c r="E2056" s="23">
        <v>42033</v>
      </c>
      <c r="F2056" s="46">
        <v>13576.4</v>
      </c>
      <c r="G2056" s="31">
        <f t="shared" si="32"/>
        <v>0</v>
      </c>
      <c r="H2056" s="62" t="s">
        <v>9</v>
      </c>
    </row>
    <row r="2057" spans="1:8" s="3" customFormat="1" x14ac:dyDescent="0.25">
      <c r="A2057" s="20">
        <v>42028</v>
      </c>
      <c r="B2057" s="21">
        <v>9964</v>
      </c>
      <c r="C2057" s="14" t="s">
        <v>319</v>
      </c>
      <c r="D2057" s="22">
        <v>3091</v>
      </c>
      <c r="E2057" s="29" t="s">
        <v>432</v>
      </c>
      <c r="F2057" s="46">
        <f>1500+1591</f>
        <v>3091</v>
      </c>
      <c r="G2057" s="48">
        <f t="shared" si="32"/>
        <v>0</v>
      </c>
      <c r="H2057" s="62" t="s">
        <v>9</v>
      </c>
    </row>
    <row r="2058" spans="1:8" s="3" customFormat="1" x14ac:dyDescent="0.25">
      <c r="A2058" s="20">
        <v>42028</v>
      </c>
      <c r="B2058" s="21">
        <v>9965</v>
      </c>
      <c r="C2058" s="14" t="s">
        <v>433</v>
      </c>
      <c r="D2058" s="22">
        <v>2272.4</v>
      </c>
      <c r="E2058" s="23">
        <v>42028</v>
      </c>
      <c r="F2058" s="46">
        <v>2272.4</v>
      </c>
      <c r="G2058" s="31">
        <f t="shared" si="32"/>
        <v>0</v>
      </c>
      <c r="H2058" s="62" t="s">
        <v>59</v>
      </c>
    </row>
    <row r="2059" spans="1:8" s="3" customFormat="1" x14ac:dyDescent="0.25">
      <c r="A2059" s="20">
        <v>42028</v>
      </c>
      <c r="B2059" s="21">
        <v>9966</v>
      </c>
      <c r="C2059" s="14" t="s">
        <v>167</v>
      </c>
      <c r="D2059" s="22">
        <v>415.2</v>
      </c>
      <c r="E2059" s="23">
        <v>42028</v>
      </c>
      <c r="F2059" s="46">
        <v>415.2</v>
      </c>
      <c r="G2059" s="31">
        <f t="shared" si="32"/>
        <v>0</v>
      </c>
      <c r="H2059" s="62" t="s">
        <v>59</v>
      </c>
    </row>
    <row r="2060" spans="1:8" s="3" customFormat="1" x14ac:dyDescent="0.25">
      <c r="A2060" s="20">
        <v>42028</v>
      </c>
      <c r="B2060" s="21">
        <v>9967</v>
      </c>
      <c r="C2060" s="14" t="s">
        <v>64</v>
      </c>
      <c r="D2060" s="22">
        <v>2115.6</v>
      </c>
      <c r="E2060" s="23">
        <v>42028</v>
      </c>
      <c r="F2060" s="46">
        <v>2115.6</v>
      </c>
      <c r="G2060" s="31">
        <f t="shared" si="32"/>
        <v>0</v>
      </c>
      <c r="H2060" s="62" t="s">
        <v>9</v>
      </c>
    </row>
    <row r="2061" spans="1:8" s="3" customFormat="1" x14ac:dyDescent="0.25">
      <c r="A2061" s="20">
        <v>42028</v>
      </c>
      <c r="B2061" s="21">
        <v>9968</v>
      </c>
      <c r="C2061" s="14" t="s">
        <v>30</v>
      </c>
      <c r="D2061" s="22">
        <v>1431.6</v>
      </c>
      <c r="E2061" s="23">
        <v>42028</v>
      </c>
      <c r="F2061" s="46">
        <v>1431.6</v>
      </c>
      <c r="G2061" s="31">
        <f t="shared" si="32"/>
        <v>0</v>
      </c>
      <c r="H2061" s="62" t="s">
        <v>9</v>
      </c>
    </row>
    <row r="2062" spans="1:8" s="3" customFormat="1" x14ac:dyDescent="0.25">
      <c r="A2062" s="20">
        <v>42028</v>
      </c>
      <c r="B2062" s="21">
        <v>9969</v>
      </c>
      <c r="C2062" s="14" t="s">
        <v>121</v>
      </c>
      <c r="D2062" s="22">
        <v>3677.4</v>
      </c>
      <c r="E2062" s="23">
        <v>42028</v>
      </c>
      <c r="F2062" s="46">
        <v>3677.4</v>
      </c>
      <c r="G2062" s="31">
        <f t="shared" si="32"/>
        <v>0</v>
      </c>
      <c r="H2062" s="62" t="s">
        <v>9</v>
      </c>
    </row>
    <row r="2063" spans="1:8" s="3" customFormat="1" x14ac:dyDescent="0.25">
      <c r="A2063" s="20">
        <v>42028</v>
      </c>
      <c r="B2063" s="21">
        <v>9970</v>
      </c>
      <c r="C2063" s="14" t="s">
        <v>141</v>
      </c>
      <c r="D2063" s="22">
        <v>4520.8</v>
      </c>
      <c r="E2063" s="97" t="s">
        <v>521</v>
      </c>
      <c r="F2063" s="98">
        <f>518.42+4002.38</f>
        <v>4520.8</v>
      </c>
      <c r="G2063" s="31">
        <f t="shared" si="32"/>
        <v>0</v>
      </c>
      <c r="H2063" s="62" t="s">
        <v>9</v>
      </c>
    </row>
    <row r="2064" spans="1:8" s="3" customFormat="1" x14ac:dyDescent="0.25">
      <c r="A2064" s="20">
        <v>42028</v>
      </c>
      <c r="B2064" s="21">
        <v>9971</v>
      </c>
      <c r="C2064" s="14" t="s">
        <v>116</v>
      </c>
      <c r="D2064" s="22">
        <v>10067.200000000001</v>
      </c>
      <c r="E2064" s="23">
        <v>42028</v>
      </c>
      <c r="F2064" s="46">
        <v>10067.200000000001</v>
      </c>
      <c r="G2064" s="31">
        <f t="shared" si="32"/>
        <v>0</v>
      </c>
      <c r="H2064" s="62" t="s">
        <v>9</v>
      </c>
    </row>
    <row r="2065" spans="1:8" s="3" customFormat="1" x14ac:dyDescent="0.25">
      <c r="A2065" s="20">
        <v>42028</v>
      </c>
      <c r="B2065" s="21">
        <v>9972</v>
      </c>
      <c r="C2065" s="14" t="s">
        <v>164</v>
      </c>
      <c r="D2065" s="22">
        <v>1058</v>
      </c>
      <c r="E2065" s="23">
        <v>42028</v>
      </c>
      <c r="F2065" s="46">
        <v>1058</v>
      </c>
      <c r="G2065" s="31">
        <f t="shared" si="32"/>
        <v>0</v>
      </c>
      <c r="H2065" s="62" t="s">
        <v>9</v>
      </c>
    </row>
    <row r="2066" spans="1:8" s="3" customFormat="1" x14ac:dyDescent="0.25">
      <c r="A2066" s="20">
        <v>42028</v>
      </c>
      <c r="B2066" s="21">
        <v>9973</v>
      </c>
      <c r="C2066" s="14" t="s">
        <v>164</v>
      </c>
      <c r="D2066" s="22">
        <v>3924.8</v>
      </c>
      <c r="E2066" s="23">
        <v>42028</v>
      </c>
      <c r="F2066" s="46">
        <v>3924.8</v>
      </c>
      <c r="G2066" s="31">
        <f t="shared" si="32"/>
        <v>0</v>
      </c>
      <c r="H2066" s="62" t="s">
        <v>9</v>
      </c>
    </row>
    <row r="2067" spans="1:8" s="3" customFormat="1" x14ac:dyDescent="0.25">
      <c r="A2067" s="20">
        <v>42028</v>
      </c>
      <c r="B2067" s="21">
        <v>9974</v>
      </c>
      <c r="C2067" s="14" t="s">
        <v>66</v>
      </c>
      <c r="D2067" s="22">
        <v>3308.35</v>
      </c>
      <c r="E2067" s="23">
        <v>42028</v>
      </c>
      <c r="F2067" s="46">
        <v>3308.35</v>
      </c>
      <c r="G2067" s="31">
        <f t="shared" si="32"/>
        <v>0</v>
      </c>
      <c r="H2067" s="62" t="s">
        <v>9</v>
      </c>
    </row>
    <row r="2068" spans="1:8" s="3" customFormat="1" x14ac:dyDescent="0.25">
      <c r="A2068" s="20">
        <v>42028</v>
      </c>
      <c r="B2068" s="21">
        <v>9975</v>
      </c>
      <c r="C2068" s="14" t="s">
        <v>37</v>
      </c>
      <c r="D2068" s="22">
        <v>26751.55</v>
      </c>
      <c r="E2068" s="23">
        <v>42035</v>
      </c>
      <c r="F2068" s="46">
        <v>26751.55</v>
      </c>
      <c r="G2068" s="31">
        <f t="shared" si="32"/>
        <v>0</v>
      </c>
      <c r="H2068" s="62" t="s">
        <v>36</v>
      </c>
    </row>
    <row r="2069" spans="1:8" s="3" customFormat="1" x14ac:dyDescent="0.25">
      <c r="A2069" s="20">
        <v>42028</v>
      </c>
      <c r="B2069" s="21">
        <v>9976</v>
      </c>
      <c r="C2069" s="14" t="s">
        <v>47</v>
      </c>
      <c r="D2069" s="22">
        <v>25593</v>
      </c>
      <c r="E2069" s="23">
        <v>42028</v>
      </c>
      <c r="F2069" s="46">
        <v>25593</v>
      </c>
      <c r="G2069" s="31">
        <f t="shared" si="32"/>
        <v>0</v>
      </c>
      <c r="H2069" s="62" t="s">
        <v>36</v>
      </c>
    </row>
    <row r="2070" spans="1:8" s="3" customFormat="1" x14ac:dyDescent="0.25">
      <c r="A2070" s="20">
        <v>42028</v>
      </c>
      <c r="B2070" s="21">
        <v>9977</v>
      </c>
      <c r="C2070" s="14" t="s">
        <v>426</v>
      </c>
      <c r="D2070" s="22">
        <v>28011.599999999999</v>
      </c>
      <c r="E2070" s="23">
        <v>42029</v>
      </c>
      <c r="F2070" s="46">
        <v>28011.599999999999</v>
      </c>
      <c r="G2070" s="31">
        <f t="shared" si="32"/>
        <v>0</v>
      </c>
      <c r="H2070" s="62" t="s">
        <v>94</v>
      </c>
    </row>
    <row r="2071" spans="1:8" s="3" customFormat="1" x14ac:dyDescent="0.25">
      <c r="A2071" s="20">
        <v>42028</v>
      </c>
      <c r="B2071" s="21">
        <v>9978</v>
      </c>
      <c r="C2071" s="14" t="s">
        <v>60</v>
      </c>
      <c r="D2071" s="22">
        <v>10542.2</v>
      </c>
      <c r="E2071" s="23">
        <v>42028</v>
      </c>
      <c r="F2071" s="46">
        <v>10542.2</v>
      </c>
      <c r="G2071" s="31">
        <f t="shared" si="32"/>
        <v>0</v>
      </c>
      <c r="H2071" s="62" t="s">
        <v>36</v>
      </c>
    </row>
    <row r="2072" spans="1:8" s="3" customFormat="1" x14ac:dyDescent="0.25">
      <c r="A2072" s="20">
        <v>42028</v>
      </c>
      <c r="B2072" s="21">
        <v>9979</v>
      </c>
      <c r="C2072" s="14" t="s">
        <v>56</v>
      </c>
      <c r="D2072" s="22">
        <v>5383.6</v>
      </c>
      <c r="E2072" s="23">
        <v>42028</v>
      </c>
      <c r="F2072" s="46">
        <v>5383.6</v>
      </c>
      <c r="G2072" s="31">
        <f t="shared" si="32"/>
        <v>0</v>
      </c>
      <c r="H2072" s="62" t="s">
        <v>36</v>
      </c>
    </row>
    <row r="2073" spans="1:8" s="3" customFormat="1" x14ac:dyDescent="0.25">
      <c r="A2073" s="20">
        <v>42028</v>
      </c>
      <c r="B2073" s="21">
        <v>9980</v>
      </c>
      <c r="C2073" s="14" t="s">
        <v>26</v>
      </c>
      <c r="D2073" s="22">
        <v>2880</v>
      </c>
      <c r="E2073" s="23">
        <v>42028</v>
      </c>
      <c r="F2073" s="46">
        <v>2880</v>
      </c>
      <c r="G2073" s="31">
        <f t="shared" si="32"/>
        <v>0</v>
      </c>
      <c r="H2073" s="62" t="s">
        <v>9</v>
      </c>
    </row>
    <row r="2074" spans="1:8" s="3" customFormat="1" x14ac:dyDescent="0.25">
      <c r="A2074" s="20">
        <v>42028</v>
      </c>
      <c r="B2074" s="21">
        <v>9981</v>
      </c>
      <c r="C2074" s="14" t="s">
        <v>178</v>
      </c>
      <c r="D2074" s="22">
        <v>10754.8</v>
      </c>
      <c r="E2074" s="23">
        <v>42029</v>
      </c>
      <c r="F2074" s="46">
        <v>10754.8</v>
      </c>
      <c r="G2074" s="31">
        <f t="shared" si="32"/>
        <v>0</v>
      </c>
      <c r="H2074" s="62" t="s">
        <v>94</v>
      </c>
    </row>
    <row r="2075" spans="1:8" s="3" customFormat="1" x14ac:dyDescent="0.25">
      <c r="A2075" s="20">
        <v>42028</v>
      </c>
      <c r="B2075" s="21">
        <v>9982</v>
      </c>
      <c r="C2075" s="14" t="s">
        <v>49</v>
      </c>
      <c r="D2075" s="22">
        <v>2083.1999999999998</v>
      </c>
      <c r="E2075" s="23">
        <v>42028</v>
      </c>
      <c r="F2075" s="46">
        <v>2083.1999999999998</v>
      </c>
      <c r="G2075" s="31">
        <f t="shared" si="32"/>
        <v>0</v>
      </c>
      <c r="H2075" s="62" t="s">
        <v>27</v>
      </c>
    </row>
    <row r="2076" spans="1:8" s="3" customFormat="1" x14ac:dyDescent="0.25">
      <c r="A2076" s="20">
        <v>42028</v>
      </c>
      <c r="B2076" s="21">
        <v>9983</v>
      </c>
      <c r="C2076" s="14" t="s">
        <v>61</v>
      </c>
      <c r="D2076" s="22">
        <v>16786.599999999999</v>
      </c>
      <c r="E2076" s="23">
        <v>42029</v>
      </c>
      <c r="F2076" s="46">
        <v>16786.599999999999</v>
      </c>
      <c r="G2076" s="31">
        <f t="shared" si="32"/>
        <v>0</v>
      </c>
      <c r="H2076" s="62" t="s">
        <v>94</v>
      </c>
    </row>
    <row r="2077" spans="1:8" s="3" customFormat="1" x14ac:dyDescent="0.25">
      <c r="A2077" s="20">
        <v>42028</v>
      </c>
      <c r="B2077" s="21">
        <v>9984</v>
      </c>
      <c r="C2077" s="14" t="s">
        <v>89</v>
      </c>
      <c r="D2077" s="22">
        <v>4877.8</v>
      </c>
      <c r="E2077" s="23">
        <v>42028</v>
      </c>
      <c r="F2077" s="46">
        <v>4877.8</v>
      </c>
      <c r="G2077" s="31">
        <f t="shared" si="32"/>
        <v>0</v>
      </c>
      <c r="H2077" s="62" t="s">
        <v>9</v>
      </c>
    </row>
    <row r="2078" spans="1:8" s="3" customFormat="1" x14ac:dyDescent="0.25">
      <c r="A2078" s="20">
        <v>42028</v>
      </c>
      <c r="B2078" s="21">
        <v>9985</v>
      </c>
      <c r="C2078" s="14" t="s">
        <v>130</v>
      </c>
      <c r="D2078" s="22">
        <v>9292.9</v>
      </c>
      <c r="E2078" s="29" t="s">
        <v>434</v>
      </c>
      <c r="F2078" s="46">
        <f>5292.9+4000</f>
        <v>9292.9</v>
      </c>
      <c r="G2078" s="31">
        <f t="shared" si="32"/>
        <v>0</v>
      </c>
      <c r="H2078" s="62" t="s">
        <v>17</v>
      </c>
    </row>
    <row r="2079" spans="1:8" s="3" customFormat="1" x14ac:dyDescent="0.25">
      <c r="A2079" s="20">
        <v>42028</v>
      </c>
      <c r="B2079" s="21">
        <v>9986</v>
      </c>
      <c r="C2079" s="14" t="s">
        <v>131</v>
      </c>
      <c r="D2079" s="22">
        <v>2682.4</v>
      </c>
      <c r="E2079" s="23">
        <v>42030</v>
      </c>
      <c r="F2079" s="46">
        <v>2682.4</v>
      </c>
      <c r="G2079" s="31">
        <f t="shared" si="32"/>
        <v>0</v>
      </c>
      <c r="H2079" s="62" t="s">
        <v>94</v>
      </c>
    </row>
    <row r="2080" spans="1:8" s="3" customFormat="1" x14ac:dyDescent="0.25">
      <c r="A2080" s="20">
        <v>42028</v>
      </c>
      <c r="B2080" s="21">
        <v>9987</v>
      </c>
      <c r="C2080" s="26" t="s">
        <v>12</v>
      </c>
      <c r="D2080" s="27">
        <v>0</v>
      </c>
      <c r="E2080" s="23"/>
      <c r="F2080" s="46"/>
      <c r="G2080" s="31">
        <f t="shared" si="32"/>
        <v>0</v>
      </c>
      <c r="H2080" s="62" t="s">
        <v>13</v>
      </c>
    </row>
    <row r="2081" spans="1:8" s="3" customFormat="1" x14ac:dyDescent="0.25">
      <c r="A2081" s="20">
        <v>42028</v>
      </c>
      <c r="B2081" s="21">
        <v>9988</v>
      </c>
      <c r="C2081" s="14" t="s">
        <v>75</v>
      </c>
      <c r="D2081" s="22">
        <v>4903.6000000000004</v>
      </c>
      <c r="E2081" s="23">
        <v>42029</v>
      </c>
      <c r="F2081" s="46">
        <v>4903.6000000000004</v>
      </c>
      <c r="G2081" s="31">
        <f t="shared" si="32"/>
        <v>0</v>
      </c>
      <c r="H2081" s="62" t="s">
        <v>94</v>
      </c>
    </row>
    <row r="2082" spans="1:8" s="3" customFormat="1" x14ac:dyDescent="0.25">
      <c r="A2082" s="20">
        <v>42028</v>
      </c>
      <c r="B2082" s="21">
        <v>9989</v>
      </c>
      <c r="C2082" s="14" t="s">
        <v>232</v>
      </c>
      <c r="D2082" s="22">
        <v>4172</v>
      </c>
      <c r="E2082" s="23">
        <v>42028</v>
      </c>
      <c r="F2082" s="46">
        <v>4172</v>
      </c>
      <c r="G2082" s="31">
        <f t="shared" si="32"/>
        <v>0</v>
      </c>
      <c r="H2082" s="62" t="s">
        <v>17</v>
      </c>
    </row>
    <row r="2083" spans="1:8" s="3" customFormat="1" x14ac:dyDescent="0.25">
      <c r="A2083" s="20">
        <v>42028</v>
      </c>
      <c r="B2083" s="21">
        <v>9990</v>
      </c>
      <c r="C2083" s="14" t="s">
        <v>14</v>
      </c>
      <c r="D2083" s="22">
        <v>234050</v>
      </c>
      <c r="E2083" s="97" t="s">
        <v>522</v>
      </c>
      <c r="F2083" s="98">
        <f>225000+9050</f>
        <v>234050</v>
      </c>
      <c r="G2083" s="31">
        <f t="shared" si="32"/>
        <v>0</v>
      </c>
      <c r="H2083" s="62" t="s">
        <v>46</v>
      </c>
    </row>
    <row r="2084" spans="1:8" s="3" customFormat="1" x14ac:dyDescent="0.25">
      <c r="A2084" s="20">
        <v>42028</v>
      </c>
      <c r="B2084" s="21">
        <v>9991</v>
      </c>
      <c r="C2084" s="14" t="s">
        <v>128</v>
      </c>
      <c r="D2084" s="22">
        <v>4467.8999999999996</v>
      </c>
      <c r="E2084" s="23">
        <v>42028</v>
      </c>
      <c r="F2084" s="46">
        <v>4467.8999999999996</v>
      </c>
      <c r="G2084" s="31">
        <f t="shared" si="32"/>
        <v>0</v>
      </c>
      <c r="H2084" s="62" t="s">
        <v>17</v>
      </c>
    </row>
    <row r="2085" spans="1:8" s="3" customFormat="1" x14ac:dyDescent="0.25">
      <c r="A2085" s="20">
        <v>42028</v>
      </c>
      <c r="B2085" s="21">
        <v>9992</v>
      </c>
      <c r="C2085" s="14" t="s">
        <v>151</v>
      </c>
      <c r="D2085" s="22">
        <v>6246.3</v>
      </c>
      <c r="E2085" s="23">
        <v>42029</v>
      </c>
      <c r="F2085" s="46">
        <v>6246.3</v>
      </c>
      <c r="G2085" s="31">
        <f t="shared" si="32"/>
        <v>0</v>
      </c>
      <c r="H2085" s="62" t="s">
        <v>9</v>
      </c>
    </row>
    <row r="2086" spans="1:8" s="3" customFormat="1" x14ac:dyDescent="0.25">
      <c r="A2086" s="20">
        <v>42028</v>
      </c>
      <c r="B2086" s="21">
        <v>9993</v>
      </c>
      <c r="C2086" s="14" t="s">
        <v>132</v>
      </c>
      <c r="D2086" s="22">
        <v>794.2</v>
      </c>
      <c r="E2086" s="23">
        <v>42028</v>
      </c>
      <c r="F2086" s="46">
        <v>794.2</v>
      </c>
      <c r="G2086" s="31">
        <f t="shared" si="32"/>
        <v>0</v>
      </c>
      <c r="H2086" s="62" t="s">
        <v>17</v>
      </c>
    </row>
    <row r="2087" spans="1:8" s="3" customFormat="1" x14ac:dyDescent="0.25">
      <c r="A2087" s="20">
        <v>42028</v>
      </c>
      <c r="B2087" s="21">
        <v>9994</v>
      </c>
      <c r="C2087" s="14" t="s">
        <v>103</v>
      </c>
      <c r="D2087" s="22">
        <v>53097.45</v>
      </c>
      <c r="E2087" s="23">
        <v>42032</v>
      </c>
      <c r="F2087" s="46">
        <v>53097.45</v>
      </c>
      <c r="G2087" s="31">
        <f t="shared" si="32"/>
        <v>0</v>
      </c>
      <c r="H2087" s="62" t="s">
        <v>19</v>
      </c>
    </row>
    <row r="2088" spans="1:8" s="3" customFormat="1" x14ac:dyDescent="0.25">
      <c r="A2088" s="20">
        <v>42028</v>
      </c>
      <c r="B2088" s="21">
        <v>9995</v>
      </c>
      <c r="C2088" s="14" t="s">
        <v>24</v>
      </c>
      <c r="D2088" s="22">
        <v>31299.200000000001</v>
      </c>
      <c r="E2088" s="30">
        <v>42039</v>
      </c>
      <c r="F2088" s="98">
        <v>31299.200000000001</v>
      </c>
      <c r="G2088" s="31">
        <f t="shared" si="32"/>
        <v>0</v>
      </c>
      <c r="H2088" s="62" t="s">
        <v>312</v>
      </c>
    </row>
    <row r="2089" spans="1:8" s="3" customFormat="1" x14ac:dyDescent="0.25">
      <c r="A2089" s="20">
        <v>42028</v>
      </c>
      <c r="B2089" s="21">
        <v>9996</v>
      </c>
      <c r="C2089" s="14" t="s">
        <v>435</v>
      </c>
      <c r="D2089" s="22">
        <v>678.5</v>
      </c>
      <c r="E2089" s="23">
        <v>42028</v>
      </c>
      <c r="F2089" s="46">
        <v>678.5</v>
      </c>
      <c r="G2089" s="31">
        <f t="shared" si="32"/>
        <v>0</v>
      </c>
      <c r="H2089" s="62" t="s">
        <v>9</v>
      </c>
    </row>
    <row r="2090" spans="1:8" s="3" customFormat="1" x14ac:dyDescent="0.25">
      <c r="A2090" s="20">
        <v>42028</v>
      </c>
      <c r="B2090" s="21">
        <v>9997</v>
      </c>
      <c r="C2090" s="14" t="s">
        <v>131</v>
      </c>
      <c r="D2090" s="22">
        <v>10594.5</v>
      </c>
      <c r="E2090" s="23">
        <v>42028</v>
      </c>
      <c r="F2090" s="46">
        <v>10594.5</v>
      </c>
      <c r="G2090" s="31">
        <f t="shared" si="32"/>
        <v>0</v>
      </c>
      <c r="H2090" s="62" t="s">
        <v>9</v>
      </c>
    </row>
    <row r="2091" spans="1:8" s="3" customFormat="1" x14ac:dyDescent="0.25">
      <c r="A2091" s="20">
        <v>42028</v>
      </c>
      <c r="B2091" s="21">
        <v>9998</v>
      </c>
      <c r="C2091" s="14" t="s">
        <v>137</v>
      </c>
      <c r="D2091" s="22">
        <v>345</v>
      </c>
      <c r="E2091" s="23">
        <v>42028</v>
      </c>
      <c r="F2091" s="46">
        <v>345</v>
      </c>
      <c r="G2091" s="31">
        <f t="shared" si="32"/>
        <v>0</v>
      </c>
      <c r="H2091" s="62" t="s">
        <v>9</v>
      </c>
    </row>
    <row r="2092" spans="1:8" s="3" customFormat="1" x14ac:dyDescent="0.25">
      <c r="A2092" s="20">
        <v>42028</v>
      </c>
      <c r="B2092" s="21">
        <v>9999</v>
      </c>
      <c r="C2092" s="14" t="s">
        <v>232</v>
      </c>
      <c r="D2092" s="22">
        <v>4842</v>
      </c>
      <c r="E2092" s="23">
        <v>42028</v>
      </c>
      <c r="F2092" s="46">
        <v>4842</v>
      </c>
      <c r="G2092" s="31">
        <f t="shared" si="32"/>
        <v>0</v>
      </c>
      <c r="H2092" s="62" t="s">
        <v>17</v>
      </c>
    </row>
    <row r="2093" spans="1:8" s="3" customFormat="1" x14ac:dyDescent="0.25">
      <c r="A2093" s="20">
        <v>42028</v>
      </c>
      <c r="B2093" s="21">
        <v>10000</v>
      </c>
      <c r="C2093" s="14" t="s">
        <v>426</v>
      </c>
      <c r="D2093" s="22">
        <v>7180</v>
      </c>
      <c r="E2093" s="23">
        <v>42029</v>
      </c>
      <c r="F2093" s="46">
        <v>7180</v>
      </c>
      <c r="G2093" s="31">
        <f t="shared" si="32"/>
        <v>0</v>
      </c>
      <c r="H2093" s="62" t="s">
        <v>94</v>
      </c>
    </row>
    <row r="2094" spans="1:8" s="3" customFormat="1" x14ac:dyDescent="0.25">
      <c r="A2094" s="20">
        <v>42028</v>
      </c>
      <c r="B2094" s="21">
        <v>10001</v>
      </c>
      <c r="C2094" s="14" t="s">
        <v>86</v>
      </c>
      <c r="D2094" s="22">
        <v>114.4</v>
      </c>
      <c r="E2094" s="23">
        <v>42028</v>
      </c>
      <c r="F2094" s="46">
        <v>114.4</v>
      </c>
      <c r="G2094" s="31">
        <f t="shared" si="32"/>
        <v>0</v>
      </c>
      <c r="H2094" s="62" t="s">
        <v>9</v>
      </c>
    </row>
    <row r="2095" spans="1:8" s="3" customFormat="1" x14ac:dyDescent="0.25">
      <c r="A2095" s="20">
        <v>42028</v>
      </c>
      <c r="B2095" s="21">
        <v>10002</v>
      </c>
      <c r="C2095" s="14" t="s">
        <v>50</v>
      </c>
      <c r="D2095" s="22">
        <v>3432.8</v>
      </c>
      <c r="E2095" s="23">
        <v>42028</v>
      </c>
      <c r="F2095" s="46">
        <v>3432.8</v>
      </c>
      <c r="G2095" s="31">
        <f t="shared" si="32"/>
        <v>0</v>
      </c>
      <c r="H2095" s="62" t="s">
        <v>41</v>
      </c>
    </row>
    <row r="2096" spans="1:8" s="3" customFormat="1" x14ac:dyDescent="0.25">
      <c r="A2096" s="20">
        <v>42028</v>
      </c>
      <c r="B2096" s="21">
        <v>10003</v>
      </c>
      <c r="C2096" s="14" t="s">
        <v>136</v>
      </c>
      <c r="D2096" s="22">
        <v>21262.6</v>
      </c>
      <c r="E2096" s="29" t="s">
        <v>436</v>
      </c>
      <c r="F2096" s="46">
        <f>16400+4862.6</f>
        <v>21262.6</v>
      </c>
      <c r="G2096" s="31">
        <f t="shared" si="32"/>
        <v>0</v>
      </c>
      <c r="H2096" s="62" t="s">
        <v>9</v>
      </c>
    </row>
    <row r="2097" spans="1:8" s="3" customFormat="1" x14ac:dyDescent="0.25">
      <c r="A2097" s="20">
        <v>42028</v>
      </c>
      <c r="B2097" s="21">
        <v>10004</v>
      </c>
      <c r="C2097" s="14" t="s">
        <v>143</v>
      </c>
      <c r="D2097" s="22">
        <v>22158.3</v>
      </c>
      <c r="E2097" s="23">
        <v>42032</v>
      </c>
      <c r="F2097" s="46">
        <v>22158.3</v>
      </c>
      <c r="G2097" s="31">
        <f t="shared" si="32"/>
        <v>0</v>
      </c>
      <c r="H2097" s="62" t="s">
        <v>17</v>
      </c>
    </row>
    <row r="2098" spans="1:8" s="3" customFormat="1" x14ac:dyDescent="0.25">
      <c r="A2098" s="20">
        <v>42028</v>
      </c>
      <c r="B2098" s="21">
        <v>10005</v>
      </c>
      <c r="C2098" s="14" t="s">
        <v>125</v>
      </c>
      <c r="D2098" s="22">
        <v>4290.3999999999996</v>
      </c>
      <c r="E2098" s="23">
        <v>42033</v>
      </c>
      <c r="F2098" s="46">
        <v>4290.3999999999996</v>
      </c>
      <c r="G2098" s="31">
        <f t="shared" si="32"/>
        <v>0</v>
      </c>
      <c r="H2098" s="62" t="s">
        <v>17</v>
      </c>
    </row>
    <row r="2099" spans="1:8" s="3" customFormat="1" x14ac:dyDescent="0.25">
      <c r="A2099" s="20">
        <v>42028</v>
      </c>
      <c r="B2099" s="21">
        <v>10006</v>
      </c>
      <c r="C2099" s="14" t="s">
        <v>110</v>
      </c>
      <c r="D2099" s="22">
        <v>63077.8</v>
      </c>
      <c r="E2099" s="23">
        <v>42032</v>
      </c>
      <c r="F2099" s="46">
        <v>63077.8</v>
      </c>
      <c r="G2099" s="31">
        <f t="shared" si="32"/>
        <v>0</v>
      </c>
      <c r="H2099" s="62" t="s">
        <v>183</v>
      </c>
    </row>
    <row r="2100" spans="1:8" s="3" customFormat="1" x14ac:dyDescent="0.25">
      <c r="A2100" s="20">
        <v>42028</v>
      </c>
      <c r="B2100" s="21">
        <v>10007</v>
      </c>
      <c r="C2100" s="14" t="s">
        <v>112</v>
      </c>
      <c r="D2100" s="22">
        <v>2112</v>
      </c>
      <c r="E2100" s="23">
        <v>42028</v>
      </c>
      <c r="F2100" s="46">
        <v>2112</v>
      </c>
      <c r="G2100" s="31">
        <f t="shared" si="32"/>
        <v>0</v>
      </c>
      <c r="H2100" s="62" t="s">
        <v>9</v>
      </c>
    </row>
    <row r="2101" spans="1:8" s="3" customFormat="1" x14ac:dyDescent="0.25">
      <c r="A2101" s="20">
        <v>42028</v>
      </c>
      <c r="B2101" s="21">
        <v>10008</v>
      </c>
      <c r="C2101" s="14" t="s">
        <v>360</v>
      </c>
      <c r="D2101" s="22">
        <v>484.8</v>
      </c>
      <c r="E2101" s="23">
        <v>42028</v>
      </c>
      <c r="F2101" s="46">
        <v>484.8</v>
      </c>
      <c r="G2101" s="31">
        <f t="shared" si="32"/>
        <v>0</v>
      </c>
      <c r="H2101" s="62" t="s">
        <v>9</v>
      </c>
    </row>
    <row r="2102" spans="1:8" s="3" customFormat="1" x14ac:dyDescent="0.25">
      <c r="A2102" s="20">
        <v>42028</v>
      </c>
      <c r="B2102" s="21">
        <v>10009</v>
      </c>
      <c r="C2102" s="14" t="s">
        <v>38</v>
      </c>
      <c r="D2102" s="22">
        <v>40256</v>
      </c>
      <c r="E2102" s="30">
        <v>42037</v>
      </c>
      <c r="F2102" s="98">
        <v>40256</v>
      </c>
      <c r="G2102" s="31">
        <f t="shared" si="32"/>
        <v>0</v>
      </c>
      <c r="H2102" s="62" t="s">
        <v>187</v>
      </c>
    </row>
    <row r="2103" spans="1:8" s="3" customFormat="1" x14ac:dyDescent="0.25">
      <c r="A2103" s="20">
        <v>42028</v>
      </c>
      <c r="B2103" s="21">
        <v>10010</v>
      </c>
      <c r="C2103" s="14" t="s">
        <v>93</v>
      </c>
      <c r="D2103" s="22">
        <v>4382.8999999999996</v>
      </c>
      <c r="E2103" s="23">
        <v>42029</v>
      </c>
      <c r="F2103" s="46">
        <v>4382.8999999999996</v>
      </c>
      <c r="G2103" s="31">
        <f t="shared" si="32"/>
        <v>0</v>
      </c>
      <c r="H2103" s="62" t="s">
        <v>187</v>
      </c>
    </row>
    <row r="2104" spans="1:8" s="3" customFormat="1" x14ac:dyDescent="0.25">
      <c r="A2104" s="20">
        <v>42028</v>
      </c>
      <c r="B2104" s="21">
        <v>10011</v>
      </c>
      <c r="C2104" s="14" t="s">
        <v>95</v>
      </c>
      <c r="D2104" s="22">
        <v>4329.6000000000004</v>
      </c>
      <c r="E2104" s="23">
        <v>42029</v>
      </c>
      <c r="F2104" s="46">
        <v>4329.6000000000004</v>
      </c>
      <c r="G2104" s="31">
        <f t="shared" si="32"/>
        <v>0</v>
      </c>
      <c r="H2104" s="62" t="s">
        <v>187</v>
      </c>
    </row>
    <row r="2105" spans="1:8" s="3" customFormat="1" x14ac:dyDescent="0.25">
      <c r="A2105" s="20">
        <v>42028</v>
      </c>
      <c r="B2105" s="21">
        <v>10012</v>
      </c>
      <c r="C2105" s="14" t="s">
        <v>437</v>
      </c>
      <c r="D2105" s="22">
        <v>1416.48</v>
      </c>
      <c r="E2105" s="23">
        <v>42029</v>
      </c>
      <c r="F2105" s="46">
        <v>1416.48</v>
      </c>
      <c r="G2105" s="31">
        <f t="shared" si="32"/>
        <v>0</v>
      </c>
      <c r="H2105" s="56" t="s">
        <v>187</v>
      </c>
    </row>
    <row r="2106" spans="1:8" s="3" customFormat="1" x14ac:dyDescent="0.25">
      <c r="A2106" s="20">
        <v>42028</v>
      </c>
      <c r="B2106" s="21">
        <v>10013</v>
      </c>
      <c r="C2106" s="14" t="s">
        <v>141</v>
      </c>
      <c r="D2106" s="63">
        <v>20007.599999999999</v>
      </c>
      <c r="E2106" s="30">
        <v>42039</v>
      </c>
      <c r="F2106" s="98">
        <f>14000+6007.6</f>
        <v>20007.599999999999</v>
      </c>
      <c r="G2106" s="31">
        <f t="shared" si="32"/>
        <v>0</v>
      </c>
      <c r="H2106" s="56" t="s">
        <v>187</v>
      </c>
    </row>
    <row r="2107" spans="1:8" s="3" customFormat="1" x14ac:dyDescent="0.25">
      <c r="A2107" s="20">
        <v>42028</v>
      </c>
      <c r="B2107" s="21">
        <v>10014</v>
      </c>
      <c r="C2107" s="14" t="s">
        <v>98</v>
      </c>
      <c r="D2107" s="22">
        <v>1900</v>
      </c>
      <c r="E2107" s="23">
        <v>42029</v>
      </c>
      <c r="F2107" s="46">
        <v>1900</v>
      </c>
      <c r="G2107" s="31">
        <f t="shared" si="32"/>
        <v>0</v>
      </c>
      <c r="H2107" s="56" t="s">
        <v>187</v>
      </c>
    </row>
    <row r="2108" spans="1:8" s="3" customFormat="1" x14ac:dyDescent="0.25">
      <c r="A2108" s="20">
        <v>42028</v>
      </c>
      <c r="B2108" s="21">
        <v>10015</v>
      </c>
      <c r="C2108" s="14" t="s">
        <v>104</v>
      </c>
      <c r="D2108" s="22">
        <v>616</v>
      </c>
      <c r="E2108" s="23">
        <v>42029</v>
      </c>
      <c r="F2108" s="46">
        <v>616</v>
      </c>
      <c r="G2108" s="31">
        <f t="shared" si="32"/>
        <v>0</v>
      </c>
      <c r="H2108" s="56" t="s">
        <v>187</v>
      </c>
    </row>
    <row r="2109" spans="1:8" s="3" customFormat="1" x14ac:dyDescent="0.25">
      <c r="A2109" s="20">
        <v>42028</v>
      </c>
      <c r="B2109" s="21">
        <v>10016</v>
      </c>
      <c r="C2109" s="14" t="s">
        <v>361</v>
      </c>
      <c r="D2109" s="22">
        <v>6734</v>
      </c>
      <c r="E2109" s="23">
        <v>42029</v>
      </c>
      <c r="F2109" s="46">
        <v>6734</v>
      </c>
      <c r="G2109" s="31">
        <f t="shared" si="32"/>
        <v>0</v>
      </c>
      <c r="H2109" s="56" t="s">
        <v>187</v>
      </c>
    </row>
    <row r="2110" spans="1:8" s="3" customFormat="1" x14ac:dyDescent="0.25">
      <c r="A2110" s="20">
        <v>42028</v>
      </c>
      <c r="B2110" s="21">
        <v>10017</v>
      </c>
      <c r="C2110" s="14" t="s">
        <v>102</v>
      </c>
      <c r="D2110" s="22">
        <v>3249.6</v>
      </c>
      <c r="E2110" s="23">
        <v>42028</v>
      </c>
      <c r="F2110" s="46">
        <v>3249.6</v>
      </c>
      <c r="G2110" s="31">
        <f t="shared" si="32"/>
        <v>0</v>
      </c>
      <c r="H2110" s="56" t="s">
        <v>9</v>
      </c>
    </row>
    <row r="2111" spans="1:8" s="3" customFormat="1" x14ac:dyDescent="0.25">
      <c r="A2111" s="20">
        <v>42028</v>
      </c>
      <c r="B2111" s="21">
        <v>10018</v>
      </c>
      <c r="C2111" s="14" t="s">
        <v>102</v>
      </c>
      <c r="D2111" s="22">
        <v>132</v>
      </c>
      <c r="E2111" s="23">
        <v>42028</v>
      </c>
      <c r="F2111" s="46">
        <v>132</v>
      </c>
      <c r="G2111" s="31">
        <f t="shared" si="32"/>
        <v>0</v>
      </c>
      <c r="H2111" s="56" t="s">
        <v>9</v>
      </c>
    </row>
    <row r="2112" spans="1:8" s="3" customFormat="1" x14ac:dyDescent="0.25">
      <c r="A2112" s="20">
        <v>42028</v>
      </c>
      <c r="B2112" s="21">
        <v>10019</v>
      </c>
      <c r="C2112" s="14" t="s">
        <v>438</v>
      </c>
      <c r="D2112" s="22">
        <v>19686</v>
      </c>
      <c r="E2112" s="23">
        <v>42035</v>
      </c>
      <c r="F2112" s="46">
        <v>19686</v>
      </c>
      <c r="G2112" s="31">
        <f t="shared" si="32"/>
        <v>0</v>
      </c>
      <c r="H2112" s="56" t="s">
        <v>9</v>
      </c>
    </row>
    <row r="2113" spans="1:8" s="3" customFormat="1" x14ac:dyDescent="0.25">
      <c r="A2113" s="20">
        <v>42028</v>
      </c>
      <c r="B2113" s="21">
        <v>10020</v>
      </c>
      <c r="C2113" s="14" t="s">
        <v>191</v>
      </c>
      <c r="D2113" s="22">
        <v>17497.3</v>
      </c>
      <c r="E2113" s="23">
        <v>42028</v>
      </c>
      <c r="F2113" s="46">
        <v>17497.3</v>
      </c>
      <c r="G2113" s="31">
        <f t="shared" si="32"/>
        <v>0</v>
      </c>
      <c r="H2113" s="56" t="s">
        <v>9</v>
      </c>
    </row>
    <row r="2114" spans="1:8" s="3" customFormat="1" x14ac:dyDescent="0.25">
      <c r="A2114" s="20">
        <v>42028</v>
      </c>
      <c r="B2114" s="21">
        <v>10021</v>
      </c>
      <c r="C2114" s="14" t="s">
        <v>336</v>
      </c>
      <c r="D2114" s="22">
        <v>102</v>
      </c>
      <c r="E2114" s="23">
        <v>42028</v>
      </c>
      <c r="F2114" s="24">
        <v>102</v>
      </c>
      <c r="G2114" s="31">
        <f t="shared" si="32"/>
        <v>0</v>
      </c>
      <c r="H2114" s="39" t="s">
        <v>9</v>
      </c>
    </row>
    <row r="2115" spans="1:8" s="3" customFormat="1" x14ac:dyDescent="0.25">
      <c r="A2115" s="20">
        <v>42028</v>
      </c>
      <c r="B2115" s="21">
        <v>10022</v>
      </c>
      <c r="C2115" s="14" t="s">
        <v>303</v>
      </c>
      <c r="D2115" s="22">
        <v>211.6</v>
      </c>
      <c r="E2115" s="23">
        <v>42028</v>
      </c>
      <c r="F2115" s="24">
        <v>211.6</v>
      </c>
      <c r="G2115" s="31">
        <f t="shared" ref="G2115:G2178" si="33">D2115-F2115</f>
        <v>0</v>
      </c>
      <c r="H2115" s="39" t="s">
        <v>9</v>
      </c>
    </row>
    <row r="2116" spans="1:8" s="3" customFormat="1" x14ac:dyDescent="0.25">
      <c r="A2116" s="20">
        <v>42028</v>
      </c>
      <c r="B2116" s="21">
        <v>10023</v>
      </c>
      <c r="C2116" s="14" t="s">
        <v>439</v>
      </c>
      <c r="D2116" s="22">
        <v>1778.4</v>
      </c>
      <c r="E2116" s="23">
        <v>42028</v>
      </c>
      <c r="F2116" s="24">
        <v>1778.4</v>
      </c>
      <c r="G2116" s="31">
        <f t="shared" si="33"/>
        <v>0</v>
      </c>
      <c r="H2116" s="39" t="s">
        <v>9</v>
      </c>
    </row>
    <row r="2117" spans="1:8" s="3" customFormat="1" x14ac:dyDescent="0.25">
      <c r="A2117" s="20">
        <v>42028</v>
      </c>
      <c r="B2117" s="21">
        <v>10024</v>
      </c>
      <c r="C2117" s="14" t="s">
        <v>213</v>
      </c>
      <c r="D2117" s="22">
        <v>55690</v>
      </c>
      <c r="E2117" s="23">
        <v>42028</v>
      </c>
      <c r="F2117" s="24">
        <v>55690</v>
      </c>
      <c r="G2117" s="31">
        <f t="shared" si="33"/>
        <v>0</v>
      </c>
      <c r="H2117" s="39" t="s">
        <v>19</v>
      </c>
    </row>
    <row r="2118" spans="1:8" s="3" customFormat="1" x14ac:dyDescent="0.25">
      <c r="A2118" s="20">
        <v>42028</v>
      </c>
      <c r="B2118" s="21">
        <v>10025</v>
      </c>
      <c r="C2118" s="14" t="s">
        <v>106</v>
      </c>
      <c r="D2118" s="22">
        <v>13360.4</v>
      </c>
      <c r="E2118" s="23">
        <v>42031</v>
      </c>
      <c r="F2118" s="24">
        <v>13360.4</v>
      </c>
      <c r="G2118" s="31">
        <f t="shared" si="33"/>
        <v>0</v>
      </c>
      <c r="H2118" s="39" t="s">
        <v>19</v>
      </c>
    </row>
    <row r="2119" spans="1:8" s="3" customFormat="1" x14ac:dyDescent="0.25">
      <c r="A2119" s="20">
        <v>42028</v>
      </c>
      <c r="B2119" s="21">
        <v>10026</v>
      </c>
      <c r="C2119" s="14" t="s">
        <v>24</v>
      </c>
      <c r="D2119" s="22">
        <v>316061.8</v>
      </c>
      <c r="E2119" s="30">
        <v>42039</v>
      </c>
      <c r="F2119" s="96">
        <v>316061.8</v>
      </c>
      <c r="G2119" s="31">
        <f t="shared" si="33"/>
        <v>0</v>
      </c>
      <c r="H2119" s="39" t="s">
        <v>46</v>
      </c>
    </row>
    <row r="2120" spans="1:8" s="3" customFormat="1" x14ac:dyDescent="0.25">
      <c r="A2120" s="20">
        <v>42028</v>
      </c>
      <c r="B2120" s="21">
        <v>10027</v>
      </c>
      <c r="C2120" s="14" t="s">
        <v>108</v>
      </c>
      <c r="D2120" s="22">
        <v>10515.6</v>
      </c>
      <c r="E2120" s="23">
        <v>42028</v>
      </c>
      <c r="F2120" s="24">
        <f>1067.2+9448.4</f>
        <v>10515.6</v>
      </c>
      <c r="G2120" s="31">
        <f t="shared" si="33"/>
        <v>0</v>
      </c>
      <c r="H2120" s="39" t="s">
        <v>9</v>
      </c>
    </row>
    <row r="2121" spans="1:8" s="3" customFormat="1" x14ac:dyDescent="0.25">
      <c r="A2121" s="20">
        <v>42028</v>
      </c>
      <c r="B2121" s="21">
        <v>10028</v>
      </c>
      <c r="C2121" s="14" t="s">
        <v>232</v>
      </c>
      <c r="D2121" s="22">
        <v>62</v>
      </c>
      <c r="E2121" s="23">
        <v>42028</v>
      </c>
      <c r="F2121" s="24">
        <v>62</v>
      </c>
      <c r="G2121" s="31">
        <f t="shared" si="33"/>
        <v>0</v>
      </c>
      <c r="H2121" s="39" t="s">
        <v>9</v>
      </c>
    </row>
    <row r="2122" spans="1:8" s="3" customFormat="1" x14ac:dyDescent="0.25">
      <c r="A2122" s="20">
        <v>42028</v>
      </c>
      <c r="B2122" s="21">
        <v>10029</v>
      </c>
      <c r="C2122" s="14" t="s">
        <v>282</v>
      </c>
      <c r="D2122" s="22">
        <v>6400</v>
      </c>
      <c r="E2122" s="30">
        <v>42045</v>
      </c>
      <c r="F2122" s="96">
        <v>6400</v>
      </c>
      <c r="G2122" s="31">
        <f t="shared" si="33"/>
        <v>0</v>
      </c>
      <c r="H2122" s="39" t="s">
        <v>9</v>
      </c>
    </row>
    <row r="2123" spans="1:8" s="3" customFormat="1" x14ac:dyDescent="0.25">
      <c r="A2123" s="20">
        <v>42028</v>
      </c>
      <c r="B2123" s="21">
        <v>10030</v>
      </c>
      <c r="C2123" s="14" t="s">
        <v>234</v>
      </c>
      <c r="D2123" s="22">
        <v>298</v>
      </c>
      <c r="E2123" s="23">
        <v>42028</v>
      </c>
      <c r="F2123" s="24">
        <v>298</v>
      </c>
      <c r="G2123" s="31">
        <f t="shared" si="33"/>
        <v>0</v>
      </c>
      <c r="H2123" s="39" t="s">
        <v>9</v>
      </c>
    </row>
    <row r="2124" spans="1:8" s="3" customFormat="1" x14ac:dyDescent="0.25">
      <c r="A2124" s="20">
        <v>42028</v>
      </c>
      <c r="B2124" s="21">
        <v>10031</v>
      </c>
      <c r="C2124" s="14" t="s">
        <v>24</v>
      </c>
      <c r="D2124" s="22">
        <v>6130.8</v>
      </c>
      <c r="E2124" s="30">
        <v>42055</v>
      </c>
      <c r="F2124" s="96">
        <v>6130.8</v>
      </c>
      <c r="G2124" s="31">
        <f t="shared" si="33"/>
        <v>0</v>
      </c>
      <c r="H2124" s="39" t="s">
        <v>9</v>
      </c>
    </row>
    <row r="2125" spans="1:8" s="3" customFormat="1" x14ac:dyDescent="0.25">
      <c r="A2125" s="20">
        <v>42028</v>
      </c>
      <c r="B2125" s="21">
        <v>10032</v>
      </c>
      <c r="C2125" s="14" t="s">
        <v>440</v>
      </c>
      <c r="D2125" s="22">
        <v>10246.799999999999</v>
      </c>
      <c r="E2125" s="23">
        <v>42028</v>
      </c>
      <c r="F2125" s="24">
        <v>10246.799999999999</v>
      </c>
      <c r="G2125" s="31">
        <f t="shared" si="33"/>
        <v>0</v>
      </c>
      <c r="H2125" s="39" t="s">
        <v>9</v>
      </c>
    </row>
    <row r="2126" spans="1:8" s="3" customFormat="1" x14ac:dyDescent="0.25">
      <c r="A2126" s="20">
        <v>42028</v>
      </c>
      <c r="B2126" s="21">
        <v>10033</v>
      </c>
      <c r="C2126" s="14" t="s">
        <v>267</v>
      </c>
      <c r="D2126" s="22">
        <v>4930.4799999999996</v>
      </c>
      <c r="E2126" s="23">
        <v>42028</v>
      </c>
      <c r="F2126" s="24">
        <v>4930.4799999999996</v>
      </c>
      <c r="G2126" s="31">
        <f t="shared" si="33"/>
        <v>0</v>
      </c>
      <c r="H2126" s="39" t="s">
        <v>36</v>
      </c>
    </row>
    <row r="2127" spans="1:8" s="3" customFormat="1" x14ac:dyDescent="0.25">
      <c r="A2127" s="20">
        <v>42029</v>
      </c>
      <c r="B2127" s="21">
        <v>10034</v>
      </c>
      <c r="C2127" s="14" t="s">
        <v>16</v>
      </c>
      <c r="D2127" s="22">
        <v>8889.6</v>
      </c>
      <c r="E2127" s="23">
        <v>42028</v>
      </c>
      <c r="F2127" s="24">
        <v>8889.6</v>
      </c>
      <c r="G2127" s="31">
        <f t="shared" si="33"/>
        <v>0</v>
      </c>
      <c r="H2127" s="39" t="s">
        <v>17</v>
      </c>
    </row>
    <row r="2128" spans="1:8" s="3" customFormat="1" x14ac:dyDescent="0.25">
      <c r="A2128" s="20">
        <v>42029</v>
      </c>
      <c r="B2128" s="21">
        <v>10035</v>
      </c>
      <c r="C2128" s="14" t="s">
        <v>88</v>
      </c>
      <c r="D2128" s="22">
        <v>747.3</v>
      </c>
      <c r="E2128" s="23">
        <v>42028</v>
      </c>
      <c r="F2128" s="24">
        <v>747.3</v>
      </c>
      <c r="G2128" s="31">
        <f t="shared" si="33"/>
        <v>0</v>
      </c>
      <c r="H2128" s="39" t="s">
        <v>9</v>
      </c>
    </row>
    <row r="2129" spans="1:8" s="3" customFormat="1" x14ac:dyDescent="0.25">
      <c r="A2129" s="20">
        <v>42029</v>
      </c>
      <c r="B2129" s="21">
        <v>10036</v>
      </c>
      <c r="C2129" s="14" t="s">
        <v>148</v>
      </c>
      <c r="D2129" s="22">
        <v>5124.3999999999996</v>
      </c>
      <c r="E2129" s="23">
        <v>42028</v>
      </c>
      <c r="F2129" s="24">
        <v>5124.3999999999996</v>
      </c>
      <c r="G2129" s="31">
        <f t="shared" si="33"/>
        <v>0</v>
      </c>
      <c r="H2129" s="39" t="s">
        <v>9</v>
      </c>
    </row>
    <row r="2130" spans="1:8" s="3" customFormat="1" x14ac:dyDescent="0.25">
      <c r="A2130" s="20">
        <v>42029</v>
      </c>
      <c r="B2130" s="21">
        <v>10037</v>
      </c>
      <c r="C2130" s="14" t="s">
        <v>24</v>
      </c>
      <c r="D2130" s="22">
        <v>24869.599999999999</v>
      </c>
      <c r="E2130" s="30">
        <v>42039</v>
      </c>
      <c r="F2130" s="96">
        <v>24869.599999999999</v>
      </c>
      <c r="G2130" s="31">
        <f t="shared" si="33"/>
        <v>0</v>
      </c>
      <c r="H2130" s="39" t="s">
        <v>187</v>
      </c>
    </row>
    <row r="2131" spans="1:8" s="3" customFormat="1" x14ac:dyDescent="0.25">
      <c r="A2131" s="20">
        <v>42029</v>
      </c>
      <c r="B2131" s="21">
        <v>10038</v>
      </c>
      <c r="C2131" s="14" t="s">
        <v>31</v>
      </c>
      <c r="D2131" s="22">
        <v>2725</v>
      </c>
      <c r="E2131" s="23">
        <v>42028</v>
      </c>
      <c r="F2131" s="24">
        <v>2725</v>
      </c>
      <c r="G2131" s="31">
        <f t="shared" si="33"/>
        <v>0</v>
      </c>
      <c r="H2131" s="39" t="s">
        <v>17</v>
      </c>
    </row>
    <row r="2132" spans="1:8" s="3" customFormat="1" x14ac:dyDescent="0.25">
      <c r="A2132" s="20">
        <v>42029</v>
      </c>
      <c r="B2132" s="21">
        <v>10039</v>
      </c>
      <c r="C2132" s="14" t="s">
        <v>37</v>
      </c>
      <c r="D2132" s="22">
        <v>26046.080000000002</v>
      </c>
      <c r="E2132" s="23">
        <v>42035</v>
      </c>
      <c r="F2132" s="24">
        <v>26046.080000000002</v>
      </c>
      <c r="G2132" s="31">
        <f t="shared" si="33"/>
        <v>0</v>
      </c>
      <c r="H2132" s="39" t="s">
        <v>36</v>
      </c>
    </row>
    <row r="2133" spans="1:8" s="3" customFormat="1" x14ac:dyDescent="0.25">
      <c r="A2133" s="20">
        <v>42029</v>
      </c>
      <c r="B2133" s="21">
        <v>10040</v>
      </c>
      <c r="C2133" s="14" t="s">
        <v>233</v>
      </c>
      <c r="D2133" s="22">
        <v>17512</v>
      </c>
      <c r="E2133" s="23">
        <v>42030</v>
      </c>
      <c r="F2133" s="24">
        <v>17512</v>
      </c>
      <c r="G2133" s="31">
        <f t="shared" si="33"/>
        <v>0</v>
      </c>
      <c r="H2133" s="39" t="s">
        <v>36</v>
      </c>
    </row>
    <row r="2134" spans="1:8" s="3" customFormat="1" x14ac:dyDescent="0.25">
      <c r="A2134" s="20">
        <v>42029</v>
      </c>
      <c r="B2134" s="21">
        <v>10041</v>
      </c>
      <c r="C2134" s="14" t="s">
        <v>55</v>
      </c>
      <c r="D2134" s="22">
        <v>24012.799999999999</v>
      </c>
      <c r="E2134" s="23">
        <v>42030</v>
      </c>
      <c r="F2134" s="24">
        <v>24012.799999999999</v>
      </c>
      <c r="G2134" s="31">
        <f t="shared" si="33"/>
        <v>0</v>
      </c>
      <c r="H2134" s="39" t="s">
        <v>36</v>
      </c>
    </row>
    <row r="2135" spans="1:8" s="3" customFormat="1" x14ac:dyDescent="0.25">
      <c r="A2135" s="20">
        <v>42029</v>
      </c>
      <c r="B2135" s="21">
        <v>10042</v>
      </c>
      <c r="C2135" s="14" t="s">
        <v>35</v>
      </c>
      <c r="D2135" s="22">
        <v>25460.06</v>
      </c>
      <c r="E2135" s="23">
        <v>42030</v>
      </c>
      <c r="F2135" s="24">
        <v>25460.06</v>
      </c>
      <c r="G2135" s="31">
        <f t="shared" si="33"/>
        <v>0</v>
      </c>
      <c r="H2135" s="39" t="s">
        <v>36</v>
      </c>
    </row>
    <row r="2136" spans="1:8" s="3" customFormat="1" x14ac:dyDescent="0.25">
      <c r="A2136" s="20">
        <v>42029</v>
      </c>
      <c r="B2136" s="21">
        <v>10043</v>
      </c>
      <c r="C2136" s="14" t="s">
        <v>56</v>
      </c>
      <c r="D2136" s="22">
        <v>4692</v>
      </c>
      <c r="E2136" s="23">
        <v>42030</v>
      </c>
      <c r="F2136" s="24">
        <v>4692</v>
      </c>
      <c r="G2136" s="31">
        <f t="shared" si="33"/>
        <v>0</v>
      </c>
      <c r="H2136" s="39" t="s">
        <v>36</v>
      </c>
    </row>
    <row r="2137" spans="1:8" s="3" customFormat="1" x14ac:dyDescent="0.25">
      <c r="A2137" s="20">
        <v>42029</v>
      </c>
      <c r="B2137" s="21">
        <v>10044</v>
      </c>
      <c r="C2137" s="14" t="s">
        <v>20</v>
      </c>
      <c r="D2137" s="22">
        <v>11862.5</v>
      </c>
      <c r="E2137" s="23">
        <v>42028</v>
      </c>
      <c r="F2137" s="24">
        <v>11862.5</v>
      </c>
      <c r="G2137" s="31">
        <f t="shared" si="33"/>
        <v>0</v>
      </c>
      <c r="H2137" s="39" t="s">
        <v>187</v>
      </c>
    </row>
    <row r="2138" spans="1:8" s="3" customFormat="1" x14ac:dyDescent="0.25">
      <c r="A2138" s="20">
        <v>42029</v>
      </c>
      <c r="B2138" s="21">
        <v>10045</v>
      </c>
      <c r="C2138" s="14" t="s">
        <v>82</v>
      </c>
      <c r="D2138" s="22">
        <v>4180.3999999999996</v>
      </c>
      <c r="E2138" s="23">
        <v>42028</v>
      </c>
      <c r="F2138" s="24">
        <v>4180.3999999999996</v>
      </c>
      <c r="G2138" s="31">
        <f t="shared" si="33"/>
        <v>0</v>
      </c>
      <c r="H2138" s="39" t="s">
        <v>59</v>
      </c>
    </row>
    <row r="2139" spans="1:8" s="3" customFormat="1" x14ac:dyDescent="0.25">
      <c r="A2139" s="20">
        <v>42029</v>
      </c>
      <c r="B2139" s="21">
        <v>10046</v>
      </c>
      <c r="C2139" s="14" t="s">
        <v>214</v>
      </c>
      <c r="D2139" s="22">
        <v>800</v>
      </c>
      <c r="E2139" s="23">
        <v>42028</v>
      </c>
      <c r="F2139" s="24">
        <v>800</v>
      </c>
      <c r="G2139" s="31">
        <f t="shared" si="33"/>
        <v>0</v>
      </c>
      <c r="H2139" s="39" t="s">
        <v>59</v>
      </c>
    </row>
    <row r="2140" spans="1:8" s="3" customFormat="1" x14ac:dyDescent="0.25">
      <c r="A2140" s="20">
        <v>42029</v>
      </c>
      <c r="B2140" s="21">
        <v>10047</v>
      </c>
      <c r="C2140" s="14" t="s">
        <v>53</v>
      </c>
      <c r="D2140" s="22">
        <v>1672.8</v>
      </c>
      <c r="E2140" s="23">
        <v>42028</v>
      </c>
      <c r="F2140" s="24">
        <v>1672.8</v>
      </c>
      <c r="G2140" s="31">
        <f t="shared" si="33"/>
        <v>0</v>
      </c>
      <c r="H2140" s="39" t="s">
        <v>59</v>
      </c>
    </row>
    <row r="2141" spans="1:8" s="3" customFormat="1" x14ac:dyDescent="0.25">
      <c r="A2141" s="20">
        <v>42029</v>
      </c>
      <c r="B2141" s="21">
        <v>10048</v>
      </c>
      <c r="C2141" s="14" t="s">
        <v>86</v>
      </c>
      <c r="D2141" s="22">
        <v>387.2</v>
      </c>
      <c r="E2141" s="23">
        <v>42028</v>
      </c>
      <c r="F2141" s="24">
        <v>387.2</v>
      </c>
      <c r="G2141" s="31">
        <f t="shared" si="33"/>
        <v>0</v>
      </c>
      <c r="H2141" s="39" t="s">
        <v>9</v>
      </c>
    </row>
    <row r="2142" spans="1:8" s="3" customFormat="1" x14ac:dyDescent="0.25">
      <c r="A2142" s="20">
        <v>42029</v>
      </c>
      <c r="B2142" s="21">
        <v>10049</v>
      </c>
      <c r="C2142" s="14" t="s">
        <v>294</v>
      </c>
      <c r="D2142" s="22">
        <v>1458.8</v>
      </c>
      <c r="E2142" s="23">
        <v>42028</v>
      </c>
      <c r="F2142" s="24">
        <v>1458.8</v>
      </c>
      <c r="G2142" s="31">
        <f t="shared" si="33"/>
        <v>0</v>
      </c>
      <c r="H2142" s="39" t="s">
        <v>9</v>
      </c>
    </row>
    <row r="2143" spans="1:8" s="3" customFormat="1" x14ac:dyDescent="0.25">
      <c r="A2143" s="20">
        <v>42029</v>
      </c>
      <c r="B2143" s="21">
        <v>10050</v>
      </c>
      <c r="C2143" s="14" t="s">
        <v>127</v>
      </c>
      <c r="D2143" s="22">
        <v>8306.4</v>
      </c>
      <c r="E2143" s="23">
        <v>42028</v>
      </c>
      <c r="F2143" s="24">
        <v>8306.4</v>
      </c>
      <c r="G2143" s="31">
        <f t="shared" si="33"/>
        <v>0</v>
      </c>
      <c r="H2143" s="39" t="s">
        <v>9</v>
      </c>
    </row>
    <row r="2144" spans="1:8" s="3" customFormat="1" x14ac:dyDescent="0.25">
      <c r="A2144" s="20">
        <v>42029</v>
      </c>
      <c r="B2144" s="21">
        <v>10051</v>
      </c>
      <c r="C2144" s="14" t="s">
        <v>121</v>
      </c>
      <c r="D2144" s="22">
        <v>2923</v>
      </c>
      <c r="E2144" s="23">
        <v>42028</v>
      </c>
      <c r="F2144" s="24">
        <v>2923</v>
      </c>
      <c r="G2144" s="31">
        <f t="shared" si="33"/>
        <v>0</v>
      </c>
      <c r="H2144" s="39" t="s">
        <v>9</v>
      </c>
    </row>
    <row r="2145" spans="1:8" s="3" customFormat="1" x14ac:dyDescent="0.25">
      <c r="A2145" s="20">
        <v>42029</v>
      </c>
      <c r="B2145" s="21">
        <v>10052</v>
      </c>
      <c r="C2145" s="14" t="s">
        <v>152</v>
      </c>
      <c r="D2145" s="22">
        <v>11908.3</v>
      </c>
      <c r="E2145" s="23">
        <v>42028</v>
      </c>
      <c r="F2145" s="24">
        <v>11908.3</v>
      </c>
      <c r="G2145" s="31">
        <f t="shared" si="33"/>
        <v>0</v>
      </c>
      <c r="H2145" s="39" t="s">
        <v>59</v>
      </c>
    </row>
    <row r="2146" spans="1:8" s="3" customFormat="1" x14ac:dyDescent="0.25">
      <c r="A2146" s="20">
        <v>42029</v>
      </c>
      <c r="B2146" s="21">
        <v>10053</v>
      </c>
      <c r="C2146" s="14" t="s">
        <v>441</v>
      </c>
      <c r="D2146" s="22">
        <v>4418.08</v>
      </c>
      <c r="E2146" s="23">
        <v>42028</v>
      </c>
      <c r="F2146" s="24">
        <v>4418.08</v>
      </c>
      <c r="G2146" s="31">
        <f t="shared" si="33"/>
        <v>0</v>
      </c>
      <c r="H2146" s="39" t="s">
        <v>9</v>
      </c>
    </row>
    <row r="2147" spans="1:8" s="3" customFormat="1" x14ac:dyDescent="0.25">
      <c r="A2147" s="20">
        <v>42029</v>
      </c>
      <c r="B2147" s="21">
        <v>10054</v>
      </c>
      <c r="C2147" s="14" t="s">
        <v>441</v>
      </c>
      <c r="D2147" s="22">
        <v>5054.4799999999996</v>
      </c>
      <c r="E2147" s="23">
        <v>42028</v>
      </c>
      <c r="F2147" s="24">
        <v>5054.4799999999996</v>
      </c>
      <c r="G2147" s="31">
        <f t="shared" si="33"/>
        <v>0</v>
      </c>
      <c r="H2147" s="39" t="s">
        <v>9</v>
      </c>
    </row>
    <row r="2148" spans="1:8" s="3" customFormat="1" x14ac:dyDescent="0.25">
      <c r="A2148" s="20">
        <v>42029</v>
      </c>
      <c r="B2148" s="21">
        <v>10055</v>
      </c>
      <c r="C2148" s="14" t="s">
        <v>64</v>
      </c>
      <c r="D2148" s="22">
        <v>2410.8000000000002</v>
      </c>
      <c r="E2148" s="23">
        <v>42028</v>
      </c>
      <c r="F2148" s="24">
        <v>2410.8000000000002</v>
      </c>
      <c r="G2148" s="31">
        <f t="shared" si="33"/>
        <v>0</v>
      </c>
      <c r="H2148" s="39" t="s">
        <v>9</v>
      </c>
    </row>
    <row r="2149" spans="1:8" s="3" customFormat="1" x14ac:dyDescent="0.25">
      <c r="A2149" s="20">
        <v>42029</v>
      </c>
      <c r="B2149" s="21">
        <v>10056</v>
      </c>
      <c r="C2149" s="14" t="s">
        <v>151</v>
      </c>
      <c r="D2149" s="22">
        <v>4894.8</v>
      </c>
      <c r="E2149" s="23">
        <v>42031</v>
      </c>
      <c r="F2149" s="24">
        <v>4894.8</v>
      </c>
      <c r="G2149" s="31">
        <f t="shared" si="33"/>
        <v>0</v>
      </c>
      <c r="H2149" s="39" t="s">
        <v>9</v>
      </c>
    </row>
    <row r="2150" spans="1:8" s="3" customFormat="1" x14ac:dyDescent="0.25">
      <c r="A2150" s="20">
        <v>42029</v>
      </c>
      <c r="B2150" s="21">
        <v>10057</v>
      </c>
      <c r="C2150" s="14" t="s">
        <v>24</v>
      </c>
      <c r="D2150" s="22">
        <v>65461.599999999999</v>
      </c>
      <c r="E2150" s="30">
        <v>42039</v>
      </c>
      <c r="F2150" s="96">
        <v>65461.599999999999</v>
      </c>
      <c r="G2150" s="31">
        <f t="shared" si="33"/>
        <v>0</v>
      </c>
      <c r="H2150" s="39" t="s">
        <v>187</v>
      </c>
    </row>
    <row r="2151" spans="1:8" s="3" customFormat="1" x14ac:dyDescent="0.25">
      <c r="A2151" s="20">
        <v>42029</v>
      </c>
      <c r="B2151" s="21">
        <v>10058</v>
      </c>
      <c r="C2151" s="14" t="s">
        <v>71</v>
      </c>
      <c r="D2151" s="22">
        <v>6576.28</v>
      </c>
      <c r="E2151" s="23">
        <v>42028</v>
      </c>
      <c r="F2151" s="24">
        <v>6576.28</v>
      </c>
      <c r="G2151" s="31">
        <f t="shared" si="33"/>
        <v>0</v>
      </c>
      <c r="H2151" s="39" t="s">
        <v>9</v>
      </c>
    </row>
    <row r="2152" spans="1:8" s="3" customFormat="1" x14ac:dyDescent="0.25">
      <c r="A2152" s="20">
        <v>42029</v>
      </c>
      <c r="B2152" s="21">
        <v>10059</v>
      </c>
      <c r="C2152" s="14" t="s">
        <v>131</v>
      </c>
      <c r="D2152" s="22">
        <v>6013.2</v>
      </c>
      <c r="E2152" s="23">
        <v>42028</v>
      </c>
      <c r="F2152" s="24">
        <v>6013.2</v>
      </c>
      <c r="G2152" s="31">
        <f t="shared" si="33"/>
        <v>0</v>
      </c>
      <c r="H2152" s="39" t="s">
        <v>17</v>
      </c>
    </row>
    <row r="2153" spans="1:8" s="3" customFormat="1" x14ac:dyDescent="0.25">
      <c r="A2153" s="20">
        <v>42029</v>
      </c>
      <c r="B2153" s="21">
        <v>10060</v>
      </c>
      <c r="C2153" s="14" t="s">
        <v>137</v>
      </c>
      <c r="D2153" s="22">
        <v>918.4</v>
      </c>
      <c r="E2153" s="23">
        <v>42028</v>
      </c>
      <c r="F2153" s="24">
        <v>918.4</v>
      </c>
      <c r="G2153" s="31">
        <f t="shared" si="33"/>
        <v>0</v>
      </c>
      <c r="H2153" s="39" t="s">
        <v>9</v>
      </c>
    </row>
    <row r="2154" spans="1:8" s="3" customFormat="1" x14ac:dyDescent="0.25">
      <c r="A2154" s="20">
        <v>42029</v>
      </c>
      <c r="B2154" s="21">
        <v>10061</v>
      </c>
      <c r="C2154" s="14" t="s">
        <v>130</v>
      </c>
      <c r="D2154" s="22">
        <v>7041</v>
      </c>
      <c r="E2154" s="23">
        <v>42028</v>
      </c>
      <c r="F2154" s="24">
        <v>7041</v>
      </c>
      <c r="G2154" s="31">
        <f t="shared" si="33"/>
        <v>0</v>
      </c>
      <c r="H2154" s="39" t="s">
        <v>17</v>
      </c>
    </row>
    <row r="2155" spans="1:8" s="3" customFormat="1" x14ac:dyDescent="0.25">
      <c r="A2155" s="20">
        <v>42029</v>
      </c>
      <c r="B2155" s="21">
        <v>10062</v>
      </c>
      <c r="C2155" s="14" t="s">
        <v>89</v>
      </c>
      <c r="D2155" s="22">
        <v>3329.8</v>
      </c>
      <c r="E2155" s="23">
        <v>42028</v>
      </c>
      <c r="F2155" s="24">
        <v>3329.8</v>
      </c>
      <c r="G2155" s="31">
        <f t="shared" si="33"/>
        <v>0</v>
      </c>
      <c r="H2155" s="39" t="s">
        <v>9</v>
      </c>
    </row>
    <row r="2156" spans="1:8" s="3" customFormat="1" x14ac:dyDescent="0.25">
      <c r="A2156" s="20">
        <v>42029</v>
      </c>
      <c r="B2156" s="21">
        <v>10063</v>
      </c>
      <c r="C2156" s="14" t="s">
        <v>165</v>
      </c>
      <c r="D2156" s="22">
        <v>2688.75</v>
      </c>
      <c r="E2156" s="23">
        <v>42030</v>
      </c>
      <c r="F2156" s="24">
        <v>2688.75</v>
      </c>
      <c r="G2156" s="31">
        <f t="shared" si="33"/>
        <v>0</v>
      </c>
      <c r="H2156" s="39" t="s">
        <v>17</v>
      </c>
    </row>
    <row r="2157" spans="1:8" s="3" customFormat="1" x14ac:dyDescent="0.25">
      <c r="A2157" s="20">
        <v>42029</v>
      </c>
      <c r="B2157" s="21">
        <v>10064</v>
      </c>
      <c r="C2157" s="14" t="s">
        <v>50</v>
      </c>
      <c r="D2157" s="22">
        <v>3304.4</v>
      </c>
      <c r="E2157" s="23">
        <v>42028</v>
      </c>
      <c r="F2157" s="24">
        <v>3304.4</v>
      </c>
      <c r="G2157" s="31">
        <f t="shared" si="33"/>
        <v>0</v>
      </c>
      <c r="H2157" s="39" t="s">
        <v>17</v>
      </c>
    </row>
    <row r="2158" spans="1:8" s="3" customFormat="1" x14ac:dyDescent="0.25">
      <c r="A2158" s="20">
        <v>42029</v>
      </c>
      <c r="B2158" s="21">
        <v>10065</v>
      </c>
      <c r="C2158" s="14" t="s">
        <v>125</v>
      </c>
      <c r="D2158" s="22">
        <v>20905.2</v>
      </c>
      <c r="E2158" s="23">
        <v>42028</v>
      </c>
      <c r="F2158" s="24">
        <v>20905.2</v>
      </c>
      <c r="G2158" s="31">
        <f t="shared" si="33"/>
        <v>0</v>
      </c>
      <c r="H2158" s="39" t="s">
        <v>9</v>
      </c>
    </row>
    <row r="2159" spans="1:8" s="3" customFormat="1" x14ac:dyDescent="0.25">
      <c r="A2159" s="20">
        <v>42029</v>
      </c>
      <c r="B2159" s="21">
        <v>10066</v>
      </c>
      <c r="C2159" s="14" t="s">
        <v>125</v>
      </c>
      <c r="D2159" s="22">
        <v>27527.38</v>
      </c>
      <c r="E2159" s="97" t="s">
        <v>523</v>
      </c>
      <c r="F2159" s="96">
        <f>4500+17000+6027.38</f>
        <v>27527.38</v>
      </c>
      <c r="G2159" s="31">
        <f t="shared" si="33"/>
        <v>0</v>
      </c>
      <c r="H2159" s="39" t="s">
        <v>9</v>
      </c>
    </row>
    <row r="2160" spans="1:8" s="3" customFormat="1" x14ac:dyDescent="0.25">
      <c r="A2160" s="20">
        <v>42029</v>
      </c>
      <c r="B2160" s="21">
        <v>10067</v>
      </c>
      <c r="C2160" s="15" t="s">
        <v>131</v>
      </c>
      <c r="D2160" s="63">
        <v>5107.2</v>
      </c>
      <c r="E2160" s="23">
        <v>42028</v>
      </c>
      <c r="F2160" s="46">
        <v>5107.2</v>
      </c>
      <c r="G2160" s="31">
        <f t="shared" si="33"/>
        <v>0</v>
      </c>
      <c r="H2160" s="68" t="s">
        <v>17</v>
      </c>
    </row>
    <row r="2161" spans="1:8" s="3" customFormat="1" x14ac:dyDescent="0.25">
      <c r="A2161" s="20">
        <v>42029</v>
      </c>
      <c r="B2161" s="21">
        <v>10068</v>
      </c>
      <c r="C2161" s="15" t="s">
        <v>136</v>
      </c>
      <c r="D2161" s="63">
        <v>34850</v>
      </c>
      <c r="E2161" s="29" t="s">
        <v>442</v>
      </c>
      <c r="F2161" s="24">
        <f>16000+18850</f>
        <v>34850</v>
      </c>
      <c r="G2161" s="31">
        <f t="shared" si="33"/>
        <v>0</v>
      </c>
      <c r="H2161" s="68" t="s">
        <v>9</v>
      </c>
    </row>
    <row r="2162" spans="1:8" s="3" customFormat="1" x14ac:dyDescent="0.25">
      <c r="A2162" s="20">
        <v>42029</v>
      </c>
      <c r="B2162" s="21">
        <v>10069</v>
      </c>
      <c r="C2162" s="15" t="s">
        <v>135</v>
      </c>
      <c r="D2162" s="63">
        <v>2871.8</v>
      </c>
      <c r="E2162" s="23">
        <v>42028</v>
      </c>
      <c r="F2162" s="24">
        <v>2871.8</v>
      </c>
      <c r="G2162" s="31">
        <f t="shared" si="33"/>
        <v>0</v>
      </c>
      <c r="H2162" s="68" t="s">
        <v>9</v>
      </c>
    </row>
    <row r="2163" spans="1:8" s="3" customFormat="1" x14ac:dyDescent="0.25">
      <c r="A2163" s="20">
        <v>42029</v>
      </c>
      <c r="B2163" s="21">
        <v>10070</v>
      </c>
      <c r="C2163" s="15" t="s">
        <v>87</v>
      </c>
      <c r="D2163" s="63">
        <v>1353.6</v>
      </c>
      <c r="E2163" s="23">
        <v>42028</v>
      </c>
      <c r="F2163" s="24">
        <v>1353.6</v>
      </c>
      <c r="G2163" s="31">
        <f t="shared" si="33"/>
        <v>0</v>
      </c>
      <c r="H2163" s="68" t="s">
        <v>9</v>
      </c>
    </row>
    <row r="2164" spans="1:8" s="3" customFormat="1" x14ac:dyDescent="0.25">
      <c r="A2164" s="20">
        <v>42029</v>
      </c>
      <c r="B2164" s="21">
        <v>10071</v>
      </c>
      <c r="C2164" s="15" t="s">
        <v>305</v>
      </c>
      <c r="D2164" s="63">
        <v>333</v>
      </c>
      <c r="E2164" s="23">
        <v>42028</v>
      </c>
      <c r="F2164" s="24">
        <v>333</v>
      </c>
      <c r="G2164" s="31">
        <f t="shared" si="33"/>
        <v>0</v>
      </c>
      <c r="H2164" s="68" t="s">
        <v>9</v>
      </c>
    </row>
    <row r="2165" spans="1:8" s="3" customFormat="1" x14ac:dyDescent="0.25">
      <c r="A2165" s="20">
        <v>42029</v>
      </c>
      <c r="B2165" s="21">
        <v>10072</v>
      </c>
      <c r="C2165" s="15" t="s">
        <v>111</v>
      </c>
      <c r="D2165" s="63">
        <v>20567.900000000001</v>
      </c>
      <c r="E2165" s="23">
        <v>42034</v>
      </c>
      <c r="F2165" s="24">
        <v>20567.900000000001</v>
      </c>
      <c r="G2165" s="31">
        <f t="shared" si="33"/>
        <v>0</v>
      </c>
      <c r="H2165" s="68" t="s">
        <v>17</v>
      </c>
    </row>
    <row r="2166" spans="1:8" s="3" customFormat="1" x14ac:dyDescent="0.25">
      <c r="A2166" s="20">
        <v>42029</v>
      </c>
      <c r="B2166" s="21">
        <v>10073</v>
      </c>
      <c r="C2166" s="15" t="s">
        <v>80</v>
      </c>
      <c r="D2166" s="63">
        <v>7437.6</v>
      </c>
      <c r="E2166" s="23">
        <v>42028</v>
      </c>
      <c r="F2166" s="46">
        <v>7437.6</v>
      </c>
      <c r="G2166" s="31">
        <f t="shared" si="33"/>
        <v>0</v>
      </c>
      <c r="H2166" s="68" t="s">
        <v>9</v>
      </c>
    </row>
    <row r="2167" spans="1:8" s="3" customFormat="1" x14ac:dyDescent="0.25">
      <c r="A2167" s="20">
        <v>42029</v>
      </c>
      <c r="B2167" s="21">
        <v>10074</v>
      </c>
      <c r="C2167" s="15" t="s">
        <v>102</v>
      </c>
      <c r="D2167" s="63">
        <v>1512</v>
      </c>
      <c r="E2167" s="23">
        <v>42028</v>
      </c>
      <c r="F2167" s="46">
        <v>1512</v>
      </c>
      <c r="G2167" s="31">
        <f t="shared" si="33"/>
        <v>0</v>
      </c>
      <c r="H2167" s="68" t="s">
        <v>9</v>
      </c>
    </row>
    <row r="2168" spans="1:8" s="3" customFormat="1" x14ac:dyDescent="0.25">
      <c r="A2168" s="20">
        <v>42029</v>
      </c>
      <c r="B2168" s="21">
        <v>10075</v>
      </c>
      <c r="C2168" s="15" t="s">
        <v>158</v>
      </c>
      <c r="D2168" s="63">
        <v>3779.5</v>
      </c>
      <c r="E2168" s="23">
        <v>42028</v>
      </c>
      <c r="F2168" s="24">
        <v>3779.5</v>
      </c>
      <c r="G2168" s="31">
        <f t="shared" si="33"/>
        <v>0</v>
      </c>
      <c r="H2168" s="68" t="s">
        <v>9</v>
      </c>
    </row>
    <row r="2169" spans="1:8" s="3" customFormat="1" x14ac:dyDescent="0.25">
      <c r="A2169" s="20">
        <v>42029</v>
      </c>
      <c r="B2169" s="21">
        <v>10076</v>
      </c>
      <c r="C2169" s="15" t="s">
        <v>24</v>
      </c>
      <c r="D2169" s="63">
        <v>3553.2</v>
      </c>
      <c r="E2169" s="30">
        <v>42039</v>
      </c>
      <c r="F2169" s="96">
        <v>3553.2</v>
      </c>
      <c r="G2169" s="31">
        <f t="shared" si="33"/>
        <v>0</v>
      </c>
      <c r="H2169" s="68" t="s">
        <v>9</v>
      </c>
    </row>
    <row r="2170" spans="1:8" s="3" customFormat="1" x14ac:dyDescent="0.25">
      <c r="A2170" s="20">
        <v>42029</v>
      </c>
      <c r="B2170" s="21">
        <v>10077</v>
      </c>
      <c r="C2170" s="15" t="s">
        <v>234</v>
      </c>
      <c r="D2170" s="63">
        <v>966.6</v>
      </c>
      <c r="E2170" s="23">
        <v>42028</v>
      </c>
      <c r="F2170" s="24">
        <v>966.6</v>
      </c>
      <c r="G2170" s="31">
        <f t="shared" si="33"/>
        <v>0</v>
      </c>
      <c r="H2170" s="68" t="s">
        <v>9</v>
      </c>
    </row>
    <row r="2171" spans="1:8" s="3" customFormat="1" x14ac:dyDescent="0.25">
      <c r="A2171" s="20">
        <v>42030</v>
      </c>
      <c r="B2171" s="21">
        <v>10078</v>
      </c>
      <c r="C2171" s="15" t="s">
        <v>103</v>
      </c>
      <c r="D2171" s="63">
        <v>56083.4</v>
      </c>
      <c r="E2171" s="23">
        <v>42032</v>
      </c>
      <c r="F2171" s="24">
        <v>56083.4</v>
      </c>
      <c r="G2171" s="31">
        <f t="shared" si="33"/>
        <v>0</v>
      </c>
      <c r="H2171" s="68" t="s">
        <v>19</v>
      </c>
    </row>
    <row r="2172" spans="1:8" s="3" customFormat="1" x14ac:dyDescent="0.25">
      <c r="A2172" s="20">
        <v>42030</v>
      </c>
      <c r="B2172" s="21">
        <v>10079</v>
      </c>
      <c r="C2172" s="15" t="s">
        <v>14</v>
      </c>
      <c r="D2172" s="63">
        <v>34581.9</v>
      </c>
      <c r="E2172" s="23">
        <v>42035</v>
      </c>
      <c r="F2172" s="46">
        <v>34581.9</v>
      </c>
      <c r="G2172" s="31">
        <f t="shared" si="33"/>
        <v>0</v>
      </c>
      <c r="H2172" s="68" t="s">
        <v>9</v>
      </c>
    </row>
    <row r="2173" spans="1:8" s="3" customFormat="1" x14ac:dyDescent="0.25">
      <c r="A2173" s="20">
        <v>42030</v>
      </c>
      <c r="B2173" s="21">
        <v>10080</v>
      </c>
      <c r="C2173" s="15" t="s">
        <v>16</v>
      </c>
      <c r="D2173" s="63">
        <v>8747.6</v>
      </c>
      <c r="E2173" s="23">
        <v>42030</v>
      </c>
      <c r="F2173" s="24">
        <v>8747.6</v>
      </c>
      <c r="G2173" s="31">
        <f t="shared" si="33"/>
        <v>0</v>
      </c>
      <c r="H2173" s="68" t="s">
        <v>17</v>
      </c>
    </row>
    <row r="2174" spans="1:8" s="3" customFormat="1" x14ac:dyDescent="0.25">
      <c r="A2174" s="20">
        <v>42030</v>
      </c>
      <c r="B2174" s="21">
        <v>10081</v>
      </c>
      <c r="C2174" s="15" t="s">
        <v>21</v>
      </c>
      <c r="D2174" s="63">
        <v>2144</v>
      </c>
      <c r="E2174" s="23">
        <v>42030</v>
      </c>
      <c r="F2174" s="24">
        <v>2144</v>
      </c>
      <c r="G2174" s="31">
        <f t="shared" si="33"/>
        <v>0</v>
      </c>
      <c r="H2174" s="68" t="s">
        <v>9</v>
      </c>
    </row>
    <row r="2175" spans="1:8" s="3" customFormat="1" x14ac:dyDescent="0.25">
      <c r="A2175" s="20">
        <v>42030</v>
      </c>
      <c r="B2175" s="21">
        <v>10082</v>
      </c>
      <c r="C2175" s="15" t="s">
        <v>267</v>
      </c>
      <c r="D2175" s="63">
        <v>1712.7</v>
      </c>
      <c r="E2175" s="23">
        <v>42030</v>
      </c>
      <c r="F2175" s="46">
        <v>1712.7</v>
      </c>
      <c r="G2175" s="31">
        <f t="shared" si="33"/>
        <v>0</v>
      </c>
      <c r="H2175" s="68" t="s">
        <v>17</v>
      </c>
    </row>
    <row r="2176" spans="1:8" s="3" customFormat="1" x14ac:dyDescent="0.25">
      <c r="A2176" s="20">
        <v>42030</v>
      </c>
      <c r="B2176" s="21">
        <v>10083</v>
      </c>
      <c r="C2176" s="15" t="s">
        <v>20</v>
      </c>
      <c r="D2176" s="63">
        <v>14864.4</v>
      </c>
      <c r="E2176" s="23">
        <v>42030</v>
      </c>
      <c r="F2176" s="46">
        <v>14864.4</v>
      </c>
      <c r="G2176" s="31">
        <f t="shared" si="33"/>
        <v>0</v>
      </c>
      <c r="H2176" s="68" t="s">
        <v>94</v>
      </c>
    </row>
    <row r="2177" spans="1:8" s="3" customFormat="1" x14ac:dyDescent="0.25">
      <c r="A2177" s="20">
        <v>42030</v>
      </c>
      <c r="B2177" s="21">
        <v>10084</v>
      </c>
      <c r="C2177" s="15" t="s">
        <v>112</v>
      </c>
      <c r="D2177" s="63">
        <v>10611.6</v>
      </c>
      <c r="E2177" s="29" t="s">
        <v>443</v>
      </c>
      <c r="F2177" s="46">
        <f>10000+611.6</f>
        <v>10611.6</v>
      </c>
      <c r="G2177" s="31">
        <f t="shared" si="33"/>
        <v>0</v>
      </c>
      <c r="H2177" s="68" t="s">
        <v>9</v>
      </c>
    </row>
    <row r="2178" spans="1:8" s="3" customFormat="1" x14ac:dyDescent="0.25">
      <c r="A2178" s="20">
        <v>42030</v>
      </c>
      <c r="B2178" s="21">
        <v>10085</v>
      </c>
      <c r="C2178" s="15" t="s">
        <v>65</v>
      </c>
      <c r="D2178" s="63">
        <v>12549.6</v>
      </c>
      <c r="E2178" s="23">
        <v>42031</v>
      </c>
      <c r="F2178" s="46">
        <v>12549.6</v>
      </c>
      <c r="G2178" s="31">
        <f t="shared" si="33"/>
        <v>0</v>
      </c>
      <c r="H2178" s="68" t="s">
        <v>62</v>
      </c>
    </row>
    <row r="2179" spans="1:8" s="3" customFormat="1" x14ac:dyDescent="0.25">
      <c r="A2179" s="20">
        <v>42030</v>
      </c>
      <c r="B2179" s="21">
        <v>10086</v>
      </c>
      <c r="C2179" s="15" t="s">
        <v>78</v>
      </c>
      <c r="D2179" s="63">
        <v>8811.2000000000007</v>
      </c>
      <c r="E2179" s="23">
        <v>42031</v>
      </c>
      <c r="F2179" s="46">
        <v>8811.2000000000007</v>
      </c>
      <c r="G2179" s="31">
        <f t="shared" ref="G2179:G2242" si="34">D2179-F2179</f>
        <v>0</v>
      </c>
      <c r="H2179" s="68">
        <v>8811.2000000000007</v>
      </c>
    </row>
    <row r="2180" spans="1:8" s="3" customFormat="1" x14ac:dyDescent="0.25">
      <c r="A2180" s="20">
        <v>42030</v>
      </c>
      <c r="B2180" s="21">
        <v>10087</v>
      </c>
      <c r="C2180" s="15" t="s">
        <v>121</v>
      </c>
      <c r="D2180" s="63">
        <v>901.4</v>
      </c>
      <c r="E2180" s="23">
        <v>42030</v>
      </c>
      <c r="F2180" s="46">
        <v>901.4</v>
      </c>
      <c r="G2180" s="31">
        <f t="shared" si="34"/>
        <v>0</v>
      </c>
      <c r="H2180" s="68" t="s">
        <v>9</v>
      </c>
    </row>
    <row r="2181" spans="1:8" s="3" customFormat="1" x14ac:dyDescent="0.25">
      <c r="A2181" s="20">
        <v>42030</v>
      </c>
      <c r="B2181" s="21">
        <v>10088</v>
      </c>
      <c r="C2181" s="15" t="s">
        <v>72</v>
      </c>
      <c r="D2181" s="63">
        <v>9982</v>
      </c>
      <c r="E2181" s="30" t="s">
        <v>504</v>
      </c>
      <c r="F2181" s="98">
        <v>9982</v>
      </c>
      <c r="G2181" s="31">
        <f t="shared" si="34"/>
        <v>0</v>
      </c>
      <c r="H2181" s="68" t="s">
        <v>62</v>
      </c>
    </row>
    <row r="2182" spans="1:8" s="3" customFormat="1" x14ac:dyDescent="0.25">
      <c r="A2182" s="20">
        <v>42030</v>
      </c>
      <c r="B2182" s="21">
        <v>10089</v>
      </c>
      <c r="C2182" s="14" t="s">
        <v>148</v>
      </c>
      <c r="D2182" s="22">
        <v>4388.3999999999996</v>
      </c>
      <c r="E2182" s="23">
        <v>42030</v>
      </c>
      <c r="F2182" s="24">
        <v>4388.3999999999996</v>
      </c>
      <c r="G2182" s="31">
        <f t="shared" si="34"/>
        <v>0</v>
      </c>
      <c r="H2182" s="39" t="s">
        <v>9</v>
      </c>
    </row>
    <row r="2183" spans="1:8" s="3" customFormat="1" x14ac:dyDescent="0.25">
      <c r="A2183" s="20">
        <v>42030</v>
      </c>
      <c r="B2183" s="21">
        <v>10090</v>
      </c>
      <c r="C2183" s="15" t="s">
        <v>114</v>
      </c>
      <c r="D2183" s="63">
        <v>2118.6</v>
      </c>
      <c r="E2183" s="23">
        <v>42030</v>
      </c>
      <c r="F2183" s="46">
        <v>2118.6</v>
      </c>
      <c r="G2183" s="31">
        <f t="shared" si="34"/>
        <v>0</v>
      </c>
      <c r="H2183" s="68" t="s">
        <v>9</v>
      </c>
    </row>
    <row r="2184" spans="1:8" s="3" customFormat="1" x14ac:dyDescent="0.25">
      <c r="A2184" s="20">
        <v>42030</v>
      </c>
      <c r="B2184" s="21">
        <v>10091</v>
      </c>
      <c r="C2184" s="15" t="s">
        <v>137</v>
      </c>
      <c r="D2184" s="63">
        <v>3823.2</v>
      </c>
      <c r="E2184" s="23">
        <v>42030</v>
      </c>
      <c r="F2184" s="46">
        <v>3823.2</v>
      </c>
      <c r="G2184" s="31">
        <f t="shared" si="34"/>
        <v>0</v>
      </c>
      <c r="H2184" s="68" t="s">
        <v>9</v>
      </c>
    </row>
    <row r="2185" spans="1:8" s="3" customFormat="1" x14ac:dyDescent="0.25">
      <c r="A2185" s="20">
        <v>42030</v>
      </c>
      <c r="B2185" s="21">
        <v>10092</v>
      </c>
      <c r="C2185" s="15" t="s">
        <v>24</v>
      </c>
      <c r="D2185" s="63">
        <v>69618.8</v>
      </c>
      <c r="E2185" s="30">
        <v>42039</v>
      </c>
      <c r="F2185" s="98">
        <v>69618.8</v>
      </c>
      <c r="G2185" s="31">
        <f t="shared" si="34"/>
        <v>0</v>
      </c>
      <c r="H2185" s="68" t="s">
        <v>149</v>
      </c>
    </row>
    <row r="2186" spans="1:8" s="3" customFormat="1" x14ac:dyDescent="0.25">
      <c r="A2186" s="20">
        <v>42030</v>
      </c>
      <c r="B2186" s="21">
        <v>10093</v>
      </c>
      <c r="C2186" s="15" t="s">
        <v>22</v>
      </c>
      <c r="D2186" s="63">
        <v>3241.6</v>
      </c>
      <c r="E2186" s="23">
        <v>42030</v>
      </c>
      <c r="F2186" s="46">
        <v>3241.6</v>
      </c>
      <c r="G2186" s="31">
        <f t="shared" si="34"/>
        <v>0</v>
      </c>
      <c r="H2186" s="68" t="s">
        <v>9</v>
      </c>
    </row>
    <row r="2187" spans="1:8" s="3" customFormat="1" x14ac:dyDescent="0.25">
      <c r="A2187" s="20">
        <v>42030</v>
      </c>
      <c r="B2187" s="21">
        <v>10094</v>
      </c>
      <c r="C2187" s="15" t="s">
        <v>84</v>
      </c>
      <c r="D2187" s="63">
        <v>51109.599999999999</v>
      </c>
      <c r="E2187" s="30" t="s">
        <v>505</v>
      </c>
      <c r="F2187" s="98">
        <v>51109.599999999999</v>
      </c>
      <c r="G2187" s="31">
        <f t="shared" si="34"/>
        <v>0</v>
      </c>
      <c r="H2187" s="68" t="s">
        <v>62</v>
      </c>
    </row>
    <row r="2188" spans="1:8" s="3" customFormat="1" x14ac:dyDescent="0.25">
      <c r="A2188" s="20">
        <v>42030</v>
      </c>
      <c r="B2188" s="21">
        <v>10095</v>
      </c>
      <c r="C2188" s="15" t="s">
        <v>75</v>
      </c>
      <c r="D2188" s="63">
        <v>16432</v>
      </c>
      <c r="E2188" s="23">
        <v>42031</v>
      </c>
      <c r="F2188" s="46">
        <v>16432</v>
      </c>
      <c r="G2188" s="31">
        <f t="shared" si="34"/>
        <v>0</v>
      </c>
      <c r="H2188" s="68" t="s">
        <v>62</v>
      </c>
    </row>
    <row r="2189" spans="1:8" s="3" customFormat="1" x14ac:dyDescent="0.25">
      <c r="A2189" s="20">
        <v>42030</v>
      </c>
      <c r="B2189" s="21">
        <v>10096</v>
      </c>
      <c r="C2189" s="15" t="s">
        <v>135</v>
      </c>
      <c r="D2189" s="63">
        <v>6068.8</v>
      </c>
      <c r="E2189" s="69">
        <v>42030</v>
      </c>
      <c r="F2189" s="46">
        <v>6068.8</v>
      </c>
      <c r="G2189" s="31">
        <f t="shared" si="34"/>
        <v>0</v>
      </c>
      <c r="H2189" s="68" t="s">
        <v>9</v>
      </c>
    </row>
    <row r="2190" spans="1:8" s="3" customFormat="1" x14ac:dyDescent="0.25">
      <c r="A2190" s="20">
        <v>42030</v>
      </c>
      <c r="B2190" s="21">
        <v>10097</v>
      </c>
      <c r="C2190" s="15" t="s">
        <v>319</v>
      </c>
      <c r="D2190" s="63">
        <v>40</v>
      </c>
      <c r="E2190" s="23">
        <v>42030</v>
      </c>
      <c r="F2190" s="46">
        <v>40</v>
      </c>
      <c r="G2190" s="31">
        <f t="shared" si="34"/>
        <v>0</v>
      </c>
      <c r="H2190" s="68" t="s">
        <v>9</v>
      </c>
    </row>
    <row r="2191" spans="1:8" s="3" customFormat="1" x14ac:dyDescent="0.25">
      <c r="A2191" s="20">
        <v>42030</v>
      </c>
      <c r="B2191" s="21">
        <v>10098</v>
      </c>
      <c r="C2191" s="15" t="s">
        <v>176</v>
      </c>
      <c r="D2191" s="63">
        <v>5895.8</v>
      </c>
      <c r="E2191" s="30" t="s">
        <v>514</v>
      </c>
      <c r="F2191" s="46">
        <v>5895.8</v>
      </c>
      <c r="G2191" s="31">
        <f t="shared" si="34"/>
        <v>0</v>
      </c>
      <c r="H2191" s="68" t="s">
        <v>62</v>
      </c>
    </row>
    <row r="2192" spans="1:8" s="3" customFormat="1" x14ac:dyDescent="0.25">
      <c r="A2192" s="20">
        <v>42030</v>
      </c>
      <c r="B2192" s="21">
        <v>10099</v>
      </c>
      <c r="C2192" s="15" t="s">
        <v>72</v>
      </c>
      <c r="D2192" s="63">
        <v>4270.3999999999996</v>
      </c>
      <c r="E2192" s="30" t="s">
        <v>506</v>
      </c>
      <c r="F2192" s="98">
        <v>4270.3999999999996</v>
      </c>
      <c r="G2192" s="31">
        <f t="shared" si="34"/>
        <v>0</v>
      </c>
      <c r="H2192" s="68" t="s">
        <v>62</v>
      </c>
    </row>
    <row r="2193" spans="1:8" s="3" customFormat="1" x14ac:dyDescent="0.25">
      <c r="A2193" s="20">
        <v>42030</v>
      </c>
      <c r="B2193" s="21">
        <v>10100</v>
      </c>
      <c r="C2193" s="15" t="s">
        <v>74</v>
      </c>
      <c r="D2193" s="63">
        <v>2293.1</v>
      </c>
      <c r="E2193" s="23">
        <v>42030</v>
      </c>
      <c r="F2193" s="46">
        <v>2293.1</v>
      </c>
      <c r="G2193" s="31">
        <f t="shared" si="34"/>
        <v>0</v>
      </c>
      <c r="H2193" s="68" t="s">
        <v>9</v>
      </c>
    </row>
    <row r="2194" spans="1:8" s="3" customFormat="1" x14ac:dyDescent="0.25">
      <c r="A2194" s="20">
        <v>42030</v>
      </c>
      <c r="B2194" s="21">
        <v>10101</v>
      </c>
      <c r="C2194" s="15" t="s">
        <v>173</v>
      </c>
      <c r="D2194" s="63">
        <v>33580.6</v>
      </c>
      <c r="E2194" s="30" t="s">
        <v>507</v>
      </c>
      <c r="F2194" s="98">
        <v>33580.6</v>
      </c>
      <c r="G2194" s="31">
        <f t="shared" si="34"/>
        <v>0</v>
      </c>
      <c r="H2194" s="68" t="s">
        <v>62</v>
      </c>
    </row>
    <row r="2195" spans="1:8" s="3" customFormat="1" x14ac:dyDescent="0.25">
      <c r="A2195" s="20">
        <v>42030</v>
      </c>
      <c r="B2195" s="21">
        <v>10102</v>
      </c>
      <c r="C2195" s="15" t="s">
        <v>75</v>
      </c>
      <c r="D2195" s="63">
        <v>956.8</v>
      </c>
      <c r="E2195" s="23">
        <v>42031</v>
      </c>
      <c r="F2195" s="46">
        <v>956.8</v>
      </c>
      <c r="G2195" s="31">
        <f t="shared" si="34"/>
        <v>0</v>
      </c>
      <c r="H2195" s="68" t="s">
        <v>62</v>
      </c>
    </row>
    <row r="2196" spans="1:8" s="3" customFormat="1" x14ac:dyDescent="0.25">
      <c r="A2196" s="20">
        <v>42030</v>
      </c>
      <c r="B2196" s="21">
        <v>10103</v>
      </c>
      <c r="C2196" s="15" t="s">
        <v>26</v>
      </c>
      <c r="D2196" s="63">
        <v>1728</v>
      </c>
      <c r="E2196" s="23">
        <v>42030</v>
      </c>
      <c r="F2196" s="46">
        <v>1728</v>
      </c>
      <c r="G2196" s="31">
        <f t="shared" si="34"/>
        <v>0</v>
      </c>
      <c r="H2196" s="68" t="s">
        <v>27</v>
      </c>
    </row>
    <row r="2197" spans="1:8" s="3" customFormat="1" x14ac:dyDescent="0.25">
      <c r="A2197" s="20">
        <v>42030</v>
      </c>
      <c r="B2197" s="21">
        <v>10104</v>
      </c>
      <c r="C2197" s="15" t="s">
        <v>178</v>
      </c>
      <c r="D2197" s="63">
        <v>5516</v>
      </c>
      <c r="E2197" s="23">
        <v>42031</v>
      </c>
      <c r="F2197" s="46">
        <v>5516</v>
      </c>
      <c r="G2197" s="31">
        <f t="shared" si="34"/>
        <v>0</v>
      </c>
      <c r="H2197" s="68" t="s">
        <v>62</v>
      </c>
    </row>
    <row r="2198" spans="1:8" s="3" customFormat="1" x14ac:dyDescent="0.25">
      <c r="A2198" s="20">
        <v>42030</v>
      </c>
      <c r="B2198" s="21">
        <v>10105</v>
      </c>
      <c r="C2198" s="15" t="s">
        <v>170</v>
      </c>
      <c r="D2198" s="63">
        <v>4435.2</v>
      </c>
      <c r="E2198" s="23">
        <v>42031</v>
      </c>
      <c r="F2198" s="46">
        <v>4435.2</v>
      </c>
      <c r="G2198" s="31">
        <f t="shared" si="34"/>
        <v>0</v>
      </c>
      <c r="H2198" s="68" t="s">
        <v>62</v>
      </c>
    </row>
    <row r="2199" spans="1:8" s="3" customFormat="1" x14ac:dyDescent="0.25">
      <c r="A2199" s="20">
        <v>42030</v>
      </c>
      <c r="B2199" s="21">
        <v>10106</v>
      </c>
      <c r="C2199" s="15" t="s">
        <v>67</v>
      </c>
      <c r="D2199" s="63">
        <v>4232.3999999999996</v>
      </c>
      <c r="E2199" s="23">
        <v>42031</v>
      </c>
      <c r="F2199" s="46">
        <v>4232.3999999999996</v>
      </c>
      <c r="G2199" s="31">
        <f t="shared" si="34"/>
        <v>0</v>
      </c>
      <c r="H2199" s="68" t="s">
        <v>62</v>
      </c>
    </row>
    <row r="2200" spans="1:8" s="3" customFormat="1" x14ac:dyDescent="0.25">
      <c r="A2200" s="20">
        <v>42030</v>
      </c>
      <c r="B2200" s="21">
        <v>10107</v>
      </c>
      <c r="C2200" s="15" t="s">
        <v>399</v>
      </c>
      <c r="D2200" s="63">
        <v>2825.1</v>
      </c>
      <c r="E2200" s="23">
        <v>42030</v>
      </c>
      <c r="F2200" s="46">
        <v>2825.1</v>
      </c>
      <c r="G2200" s="31">
        <f t="shared" si="34"/>
        <v>0</v>
      </c>
      <c r="H2200" s="68" t="s">
        <v>17</v>
      </c>
    </row>
    <row r="2201" spans="1:8" s="3" customFormat="1" x14ac:dyDescent="0.25">
      <c r="A2201" s="20">
        <v>42030</v>
      </c>
      <c r="B2201" s="21">
        <v>10108</v>
      </c>
      <c r="C2201" s="15" t="s">
        <v>255</v>
      </c>
      <c r="D2201" s="63">
        <v>4256</v>
      </c>
      <c r="E2201" s="23">
        <v>42030</v>
      </c>
      <c r="F2201" s="46">
        <v>4256</v>
      </c>
      <c r="G2201" s="31">
        <f t="shared" si="34"/>
        <v>0</v>
      </c>
      <c r="H2201" s="68" t="s">
        <v>9</v>
      </c>
    </row>
    <row r="2202" spans="1:8" s="3" customFormat="1" x14ac:dyDescent="0.25">
      <c r="A2202" s="20">
        <v>42030</v>
      </c>
      <c r="B2202" s="21">
        <v>10109</v>
      </c>
      <c r="C2202" s="15" t="s">
        <v>56</v>
      </c>
      <c r="D2202" s="63">
        <v>12580</v>
      </c>
      <c r="E2202" s="23">
        <v>42030</v>
      </c>
      <c r="F2202" s="46">
        <v>12580</v>
      </c>
      <c r="G2202" s="31">
        <f t="shared" si="34"/>
        <v>0</v>
      </c>
      <c r="H2202" s="68" t="s">
        <v>36</v>
      </c>
    </row>
    <row r="2203" spans="1:8" s="3" customFormat="1" x14ac:dyDescent="0.25">
      <c r="A2203" s="20">
        <v>42030</v>
      </c>
      <c r="B2203" s="21">
        <v>10110</v>
      </c>
      <c r="C2203" s="15" t="s">
        <v>37</v>
      </c>
      <c r="D2203" s="63">
        <v>27501.85</v>
      </c>
      <c r="E2203" s="23">
        <v>42040</v>
      </c>
      <c r="F2203" s="46">
        <v>27501.85</v>
      </c>
      <c r="G2203" s="31">
        <f t="shared" si="34"/>
        <v>0</v>
      </c>
      <c r="H2203" s="68" t="s">
        <v>36</v>
      </c>
    </row>
    <row r="2204" spans="1:8" s="3" customFormat="1" x14ac:dyDescent="0.25">
      <c r="A2204" s="20">
        <v>42030</v>
      </c>
      <c r="B2204" s="21">
        <v>10111</v>
      </c>
      <c r="C2204" s="15" t="s">
        <v>35</v>
      </c>
      <c r="D2204" s="63">
        <v>26154.7</v>
      </c>
      <c r="E2204" s="23">
        <v>42030</v>
      </c>
      <c r="F2204" s="46">
        <v>26154.7</v>
      </c>
      <c r="G2204" s="31">
        <f t="shared" si="34"/>
        <v>0</v>
      </c>
      <c r="H2204" s="68" t="s">
        <v>36</v>
      </c>
    </row>
    <row r="2205" spans="1:8" s="3" customFormat="1" x14ac:dyDescent="0.25">
      <c r="A2205" s="20">
        <v>42030</v>
      </c>
      <c r="B2205" s="21">
        <v>10112</v>
      </c>
      <c r="C2205" s="15" t="s">
        <v>55</v>
      </c>
      <c r="D2205" s="63">
        <v>29212.7</v>
      </c>
      <c r="E2205" s="23">
        <v>42030</v>
      </c>
      <c r="F2205" s="46">
        <v>29212.7</v>
      </c>
      <c r="G2205" s="31">
        <f t="shared" si="34"/>
        <v>0</v>
      </c>
      <c r="H2205" s="68" t="s">
        <v>36</v>
      </c>
    </row>
    <row r="2206" spans="1:8" s="3" customFormat="1" x14ac:dyDescent="0.25">
      <c r="A2206" s="20">
        <v>42030</v>
      </c>
      <c r="B2206" s="21">
        <v>10113</v>
      </c>
      <c r="C2206" s="15" t="s">
        <v>56</v>
      </c>
      <c r="D2206" s="63">
        <v>1720.3</v>
      </c>
      <c r="E2206" s="23">
        <v>42030</v>
      </c>
      <c r="F2206" s="46">
        <v>1720.3</v>
      </c>
      <c r="G2206" s="31">
        <f t="shared" si="34"/>
        <v>0</v>
      </c>
      <c r="H2206" s="68" t="s">
        <v>36</v>
      </c>
    </row>
    <row r="2207" spans="1:8" s="3" customFormat="1" x14ac:dyDescent="0.25">
      <c r="A2207" s="20">
        <v>42030</v>
      </c>
      <c r="B2207" s="21">
        <v>10114</v>
      </c>
      <c r="C2207" s="15" t="s">
        <v>79</v>
      </c>
      <c r="D2207" s="63">
        <v>1416.48</v>
      </c>
      <c r="E2207" s="23">
        <v>42031</v>
      </c>
      <c r="F2207" s="46">
        <v>1416.48</v>
      </c>
      <c r="G2207" s="31">
        <f t="shared" si="34"/>
        <v>0</v>
      </c>
      <c r="H2207" s="68" t="s">
        <v>62</v>
      </c>
    </row>
    <row r="2208" spans="1:8" s="3" customFormat="1" x14ac:dyDescent="0.25">
      <c r="A2208" s="20">
        <v>42030</v>
      </c>
      <c r="B2208" s="21">
        <v>10115</v>
      </c>
      <c r="C2208" s="15" t="s">
        <v>116</v>
      </c>
      <c r="D2208" s="63">
        <v>7512</v>
      </c>
      <c r="E2208" s="23">
        <v>42030</v>
      </c>
      <c r="F2208" s="46">
        <v>7512</v>
      </c>
      <c r="G2208" s="31">
        <f t="shared" si="34"/>
        <v>0</v>
      </c>
      <c r="H2208" s="68" t="s">
        <v>59</v>
      </c>
    </row>
    <row r="2209" spans="1:8" s="3" customFormat="1" x14ac:dyDescent="0.25">
      <c r="A2209" s="20">
        <v>42030</v>
      </c>
      <c r="B2209" s="21">
        <v>10116</v>
      </c>
      <c r="C2209" s="15" t="s">
        <v>61</v>
      </c>
      <c r="D2209" s="63">
        <v>8001.44</v>
      </c>
      <c r="E2209" s="23">
        <v>42031</v>
      </c>
      <c r="F2209" s="46">
        <v>8001.44</v>
      </c>
      <c r="G2209" s="31">
        <f t="shared" si="34"/>
        <v>0</v>
      </c>
      <c r="H2209" s="68" t="s">
        <v>62</v>
      </c>
    </row>
    <row r="2210" spans="1:8" s="3" customFormat="1" x14ac:dyDescent="0.25">
      <c r="A2210" s="20">
        <v>42030</v>
      </c>
      <c r="B2210" s="21">
        <v>10117</v>
      </c>
      <c r="C2210" s="15" t="s">
        <v>118</v>
      </c>
      <c r="D2210" s="63">
        <v>3200</v>
      </c>
      <c r="E2210" s="23">
        <v>42033</v>
      </c>
      <c r="F2210" s="46">
        <v>3200</v>
      </c>
      <c r="G2210" s="31">
        <f t="shared" si="34"/>
        <v>0</v>
      </c>
      <c r="H2210" s="68" t="s">
        <v>59</v>
      </c>
    </row>
    <row r="2211" spans="1:8" s="3" customFormat="1" x14ac:dyDescent="0.25">
      <c r="A2211" s="20">
        <v>42030</v>
      </c>
      <c r="B2211" s="21">
        <v>10118</v>
      </c>
      <c r="C2211" s="15" t="s">
        <v>110</v>
      </c>
      <c r="D2211" s="63">
        <v>6029.6</v>
      </c>
      <c r="E2211" s="23">
        <v>42034</v>
      </c>
      <c r="F2211" s="46">
        <v>6029.6</v>
      </c>
      <c r="G2211" s="31">
        <f t="shared" si="34"/>
        <v>0</v>
      </c>
      <c r="H2211" s="68" t="s">
        <v>17</v>
      </c>
    </row>
    <row r="2212" spans="1:8" s="3" customFormat="1" x14ac:dyDescent="0.25">
      <c r="A2212" s="20">
        <v>42030</v>
      </c>
      <c r="B2212" s="21">
        <v>10119</v>
      </c>
      <c r="C2212" s="15" t="s">
        <v>64</v>
      </c>
      <c r="D2212" s="63">
        <v>2779.8</v>
      </c>
      <c r="E2212" s="23">
        <v>42030</v>
      </c>
      <c r="F2212" s="46">
        <v>2779.8</v>
      </c>
      <c r="G2212" s="31">
        <f t="shared" si="34"/>
        <v>0</v>
      </c>
      <c r="H2212" s="68" t="s">
        <v>9</v>
      </c>
    </row>
    <row r="2213" spans="1:8" s="3" customFormat="1" x14ac:dyDescent="0.25">
      <c r="A2213" s="20">
        <v>42030</v>
      </c>
      <c r="B2213" s="21">
        <v>10120</v>
      </c>
      <c r="C2213" s="15" t="s">
        <v>58</v>
      </c>
      <c r="D2213" s="63">
        <v>835.8</v>
      </c>
      <c r="E2213" s="23">
        <v>42030</v>
      </c>
      <c r="F2213" s="46">
        <v>835.8</v>
      </c>
      <c r="G2213" s="31">
        <f t="shared" si="34"/>
        <v>0</v>
      </c>
      <c r="H2213" s="68" t="s">
        <v>59</v>
      </c>
    </row>
    <row r="2214" spans="1:8" s="3" customFormat="1" x14ac:dyDescent="0.25">
      <c r="A2214" s="20">
        <v>42030</v>
      </c>
      <c r="B2214" s="21">
        <v>10121</v>
      </c>
      <c r="C2214" s="15" t="s">
        <v>30</v>
      </c>
      <c r="D2214" s="63">
        <v>1927.4</v>
      </c>
      <c r="E2214" s="23">
        <v>42030</v>
      </c>
      <c r="F2214" s="46">
        <v>1927.4</v>
      </c>
      <c r="G2214" s="31">
        <f t="shared" si="34"/>
        <v>0</v>
      </c>
      <c r="H2214" s="68" t="s">
        <v>9</v>
      </c>
    </row>
    <row r="2215" spans="1:8" s="3" customFormat="1" x14ac:dyDescent="0.25">
      <c r="A2215" s="20">
        <v>42030</v>
      </c>
      <c r="B2215" s="21">
        <v>10122</v>
      </c>
      <c r="C2215" s="15" t="s">
        <v>221</v>
      </c>
      <c r="D2215" s="63">
        <v>2010</v>
      </c>
      <c r="E2215" s="23">
        <v>42030</v>
      </c>
      <c r="F2215" s="46">
        <v>2010</v>
      </c>
      <c r="G2215" s="31">
        <f t="shared" si="34"/>
        <v>0</v>
      </c>
      <c r="H2215" s="68" t="s">
        <v>59</v>
      </c>
    </row>
    <row r="2216" spans="1:8" s="3" customFormat="1" x14ac:dyDescent="0.25">
      <c r="A2216" s="20">
        <v>42030</v>
      </c>
      <c r="B2216" s="21">
        <v>10123</v>
      </c>
      <c r="C2216" s="15" t="s">
        <v>82</v>
      </c>
      <c r="D2216" s="63">
        <v>3632.2</v>
      </c>
      <c r="E2216" s="23">
        <v>42030</v>
      </c>
      <c r="F2216" s="46">
        <v>3632.2</v>
      </c>
      <c r="G2216" s="31">
        <f t="shared" si="34"/>
        <v>0</v>
      </c>
      <c r="H2216" s="68" t="s">
        <v>59</v>
      </c>
    </row>
    <row r="2217" spans="1:8" s="3" customFormat="1" x14ac:dyDescent="0.25">
      <c r="A2217" s="20">
        <v>42030</v>
      </c>
      <c r="B2217" s="21">
        <v>10124</v>
      </c>
      <c r="C2217" s="15" t="s">
        <v>164</v>
      </c>
      <c r="D2217" s="63">
        <v>2818.4</v>
      </c>
      <c r="E2217" s="23">
        <v>42030</v>
      </c>
      <c r="F2217" s="46">
        <v>2818.4</v>
      </c>
      <c r="G2217" s="31">
        <f t="shared" si="34"/>
        <v>0</v>
      </c>
      <c r="H2217" s="68" t="s">
        <v>9</v>
      </c>
    </row>
    <row r="2218" spans="1:8" s="3" customFormat="1" x14ac:dyDescent="0.25">
      <c r="A2218" s="20">
        <v>42030</v>
      </c>
      <c r="B2218" s="21">
        <v>10125</v>
      </c>
      <c r="C2218" s="15" t="s">
        <v>167</v>
      </c>
      <c r="D2218" s="63">
        <v>720</v>
      </c>
      <c r="E2218" s="23">
        <v>42030</v>
      </c>
      <c r="F2218" s="46">
        <v>720</v>
      </c>
      <c r="G2218" s="31">
        <f t="shared" si="34"/>
        <v>0</v>
      </c>
      <c r="H2218" s="68" t="s">
        <v>59</v>
      </c>
    </row>
    <row r="2219" spans="1:8" s="3" customFormat="1" x14ac:dyDescent="0.25">
      <c r="A2219" s="20">
        <v>42030</v>
      </c>
      <c r="B2219" s="21">
        <v>10126</v>
      </c>
      <c r="C2219" s="15" t="s">
        <v>155</v>
      </c>
      <c r="D2219" s="63">
        <v>649.6</v>
      </c>
      <c r="E2219" s="23">
        <v>42030</v>
      </c>
      <c r="F2219" s="46">
        <v>649.6</v>
      </c>
      <c r="G2219" s="31">
        <f t="shared" si="34"/>
        <v>0</v>
      </c>
      <c r="H2219" s="68" t="s">
        <v>59</v>
      </c>
    </row>
    <row r="2220" spans="1:8" s="3" customFormat="1" x14ac:dyDescent="0.25">
      <c r="A2220" s="20">
        <v>42030</v>
      </c>
      <c r="B2220" s="21">
        <v>10127</v>
      </c>
      <c r="C2220" s="15" t="s">
        <v>444</v>
      </c>
      <c r="D2220" s="63">
        <v>7251.36</v>
      </c>
      <c r="E2220" s="23">
        <v>42031</v>
      </c>
      <c r="F2220" s="46">
        <v>7251.36</v>
      </c>
      <c r="G2220" s="31">
        <f t="shared" si="34"/>
        <v>0</v>
      </c>
      <c r="H2220" s="68" t="s">
        <v>62</v>
      </c>
    </row>
    <row r="2221" spans="1:8" s="3" customFormat="1" x14ac:dyDescent="0.25">
      <c r="A2221" s="20">
        <v>42030</v>
      </c>
      <c r="B2221" s="21">
        <v>10128</v>
      </c>
      <c r="C2221" s="15" t="s">
        <v>49</v>
      </c>
      <c r="D2221" s="63">
        <v>1795</v>
      </c>
      <c r="E2221" s="23">
        <v>42030</v>
      </c>
      <c r="F2221" s="46">
        <v>1795</v>
      </c>
      <c r="G2221" s="31">
        <f t="shared" si="34"/>
        <v>0</v>
      </c>
      <c r="H2221" s="68" t="s">
        <v>27</v>
      </c>
    </row>
    <row r="2222" spans="1:8" s="3" customFormat="1" x14ac:dyDescent="0.25">
      <c r="A2222" s="20">
        <v>42030</v>
      </c>
      <c r="B2222" s="21">
        <v>10129</v>
      </c>
      <c r="C2222" s="15" t="s">
        <v>168</v>
      </c>
      <c r="D2222" s="63">
        <v>11756</v>
      </c>
      <c r="E2222" s="23">
        <v>42030</v>
      </c>
      <c r="F2222" s="46">
        <v>11756</v>
      </c>
      <c r="G2222" s="31">
        <f t="shared" si="34"/>
        <v>0</v>
      </c>
      <c r="H2222" s="68" t="s">
        <v>59</v>
      </c>
    </row>
    <row r="2223" spans="1:8" s="3" customFormat="1" x14ac:dyDescent="0.25">
      <c r="A2223" s="20">
        <v>42030</v>
      </c>
      <c r="B2223" s="21">
        <v>10130</v>
      </c>
      <c r="C2223" s="15" t="s">
        <v>65</v>
      </c>
      <c r="D2223" s="63">
        <v>13902.8</v>
      </c>
      <c r="E2223" s="23">
        <v>42031</v>
      </c>
      <c r="F2223" s="46">
        <v>13902.8</v>
      </c>
      <c r="G2223" s="31">
        <f t="shared" si="34"/>
        <v>0</v>
      </c>
      <c r="H2223" s="68" t="s">
        <v>62</v>
      </c>
    </row>
    <row r="2224" spans="1:8" s="3" customFormat="1" x14ac:dyDescent="0.25">
      <c r="A2224" s="20">
        <v>42030</v>
      </c>
      <c r="B2224" s="21">
        <v>10131</v>
      </c>
      <c r="C2224" s="15" t="s">
        <v>292</v>
      </c>
      <c r="D2224" s="63">
        <v>3256.8</v>
      </c>
      <c r="E2224" s="23">
        <v>42030</v>
      </c>
      <c r="F2224" s="46">
        <v>3256.8</v>
      </c>
      <c r="G2224" s="31">
        <f t="shared" si="34"/>
        <v>0</v>
      </c>
      <c r="H2224" s="68" t="s">
        <v>59</v>
      </c>
    </row>
    <row r="2225" spans="1:8" s="3" customFormat="1" x14ac:dyDescent="0.25">
      <c r="A2225" s="20">
        <v>42030</v>
      </c>
      <c r="B2225" s="21">
        <v>10132</v>
      </c>
      <c r="C2225" s="15" t="s">
        <v>57</v>
      </c>
      <c r="D2225" s="63">
        <v>1400</v>
      </c>
      <c r="E2225" s="23">
        <v>42030</v>
      </c>
      <c r="F2225" s="46">
        <v>1400</v>
      </c>
      <c r="G2225" s="31">
        <f t="shared" si="34"/>
        <v>0</v>
      </c>
      <c r="H2225" s="68" t="s">
        <v>59</v>
      </c>
    </row>
    <row r="2226" spans="1:8" s="3" customFormat="1" x14ac:dyDescent="0.25">
      <c r="A2226" s="20">
        <v>42030</v>
      </c>
      <c r="B2226" s="21">
        <v>10133</v>
      </c>
      <c r="C2226" s="15" t="s">
        <v>148</v>
      </c>
      <c r="D2226" s="63">
        <v>414</v>
      </c>
      <c r="E2226" s="23">
        <v>42030</v>
      </c>
      <c r="F2226" s="46">
        <v>414</v>
      </c>
      <c r="G2226" s="31">
        <f t="shared" si="34"/>
        <v>0</v>
      </c>
      <c r="H2226" s="68" t="s">
        <v>59</v>
      </c>
    </row>
    <row r="2227" spans="1:8" s="3" customFormat="1" x14ac:dyDescent="0.25">
      <c r="A2227" s="20">
        <v>42030</v>
      </c>
      <c r="B2227" s="21">
        <v>10134</v>
      </c>
      <c r="C2227" s="15" t="s">
        <v>131</v>
      </c>
      <c r="D2227" s="63">
        <v>12643.2</v>
      </c>
      <c r="E2227" s="23">
        <v>42033</v>
      </c>
      <c r="F2227" s="46">
        <v>12643.2</v>
      </c>
      <c r="G2227" s="31">
        <f t="shared" si="34"/>
        <v>0</v>
      </c>
      <c r="H2227" s="68" t="s">
        <v>17</v>
      </c>
    </row>
    <row r="2228" spans="1:8" s="3" customFormat="1" x14ac:dyDescent="0.25">
      <c r="A2228" s="20">
        <v>42030</v>
      </c>
      <c r="B2228" s="21">
        <v>10135</v>
      </c>
      <c r="C2228" s="15" t="s">
        <v>104</v>
      </c>
      <c r="D2228" s="63">
        <v>19914.2</v>
      </c>
      <c r="E2228" s="23">
        <v>42030</v>
      </c>
      <c r="F2228" s="46">
        <v>19914.2</v>
      </c>
      <c r="G2228" s="31">
        <f t="shared" si="34"/>
        <v>0</v>
      </c>
      <c r="H2228" s="68" t="s">
        <v>19</v>
      </c>
    </row>
    <row r="2229" spans="1:8" s="3" customFormat="1" x14ac:dyDescent="0.25">
      <c r="A2229" s="20">
        <v>42030</v>
      </c>
      <c r="B2229" s="21">
        <v>10136</v>
      </c>
      <c r="C2229" s="15" t="s">
        <v>185</v>
      </c>
      <c r="D2229" s="63">
        <v>48267.199999999997</v>
      </c>
      <c r="E2229" s="23">
        <v>42030</v>
      </c>
      <c r="F2229" s="46">
        <v>48267.199999999997</v>
      </c>
      <c r="G2229" s="31">
        <f t="shared" si="34"/>
        <v>0</v>
      </c>
      <c r="H2229" s="68" t="s">
        <v>94</v>
      </c>
    </row>
    <row r="2230" spans="1:8" s="3" customFormat="1" x14ac:dyDescent="0.25">
      <c r="A2230" s="20">
        <v>42030</v>
      </c>
      <c r="B2230" s="21">
        <v>10137</v>
      </c>
      <c r="C2230" s="15" t="s">
        <v>250</v>
      </c>
      <c r="D2230" s="63">
        <v>4028</v>
      </c>
      <c r="E2230" s="23">
        <v>42030</v>
      </c>
      <c r="F2230" s="46">
        <v>4028</v>
      </c>
      <c r="G2230" s="31">
        <f t="shared" si="34"/>
        <v>0</v>
      </c>
      <c r="H2230" s="68" t="s">
        <v>19</v>
      </c>
    </row>
    <row r="2231" spans="1:8" s="3" customFormat="1" x14ac:dyDescent="0.25">
      <c r="A2231" s="20">
        <v>42030</v>
      </c>
      <c r="B2231" s="21">
        <v>10138</v>
      </c>
      <c r="C2231" s="15" t="s">
        <v>140</v>
      </c>
      <c r="D2231" s="63">
        <v>5718.4</v>
      </c>
      <c r="E2231" s="23">
        <v>42030</v>
      </c>
      <c r="F2231" s="46">
        <v>5718.4</v>
      </c>
      <c r="G2231" s="31">
        <f t="shared" si="34"/>
        <v>0</v>
      </c>
      <c r="H2231" s="68" t="s">
        <v>41</v>
      </c>
    </row>
    <row r="2232" spans="1:8" s="3" customFormat="1" x14ac:dyDescent="0.25">
      <c r="A2232" s="20">
        <v>42030</v>
      </c>
      <c r="B2232" s="21">
        <v>10139</v>
      </c>
      <c r="C2232" s="15" t="s">
        <v>87</v>
      </c>
      <c r="D2232" s="63">
        <v>2232.5</v>
      </c>
      <c r="E2232" s="23">
        <v>42030</v>
      </c>
      <c r="F2232" s="46">
        <v>2232.5</v>
      </c>
      <c r="G2232" s="31">
        <f t="shared" si="34"/>
        <v>0</v>
      </c>
      <c r="H2232" s="68" t="s">
        <v>41</v>
      </c>
    </row>
    <row r="2233" spans="1:8" s="3" customFormat="1" x14ac:dyDescent="0.25">
      <c r="A2233" s="20">
        <v>42030</v>
      </c>
      <c r="B2233" s="21">
        <v>10140</v>
      </c>
      <c r="C2233" s="15" t="s">
        <v>128</v>
      </c>
      <c r="D2233" s="63">
        <v>5501.4</v>
      </c>
      <c r="E2233" s="23">
        <v>42031</v>
      </c>
      <c r="F2233" s="46">
        <f>2800+2701.4</f>
        <v>5501.4</v>
      </c>
      <c r="G2233" s="31">
        <f t="shared" si="34"/>
        <v>0</v>
      </c>
      <c r="H2233" s="68" t="s">
        <v>17</v>
      </c>
    </row>
    <row r="2234" spans="1:8" s="3" customFormat="1" x14ac:dyDescent="0.25">
      <c r="A2234" s="20">
        <v>42030</v>
      </c>
      <c r="B2234" s="21">
        <v>10141</v>
      </c>
      <c r="C2234" s="15" t="s">
        <v>151</v>
      </c>
      <c r="D2234" s="63">
        <v>1957</v>
      </c>
      <c r="E2234" s="23">
        <v>42030</v>
      </c>
      <c r="F2234" s="46">
        <v>1957</v>
      </c>
      <c r="G2234" s="31">
        <f t="shared" si="34"/>
        <v>0</v>
      </c>
      <c r="H2234" s="68" t="s">
        <v>9</v>
      </c>
    </row>
    <row r="2235" spans="1:8" s="3" customFormat="1" x14ac:dyDescent="0.25">
      <c r="A2235" s="20">
        <v>42030</v>
      </c>
      <c r="B2235" s="21">
        <v>10142</v>
      </c>
      <c r="C2235" s="15" t="s">
        <v>192</v>
      </c>
      <c r="D2235" s="63">
        <v>20218.7</v>
      </c>
      <c r="E2235" s="30">
        <v>42041</v>
      </c>
      <c r="F2235" s="98">
        <v>20218.7</v>
      </c>
      <c r="G2235" s="31">
        <f t="shared" si="34"/>
        <v>0</v>
      </c>
      <c r="H2235" s="68" t="s">
        <v>17</v>
      </c>
    </row>
    <row r="2236" spans="1:8" s="3" customFormat="1" x14ac:dyDescent="0.25">
      <c r="A2236" s="20">
        <v>42030</v>
      </c>
      <c r="B2236" s="21">
        <v>10143</v>
      </c>
      <c r="C2236" s="15" t="s">
        <v>132</v>
      </c>
      <c r="D2236" s="63">
        <v>760</v>
      </c>
      <c r="E2236" s="23">
        <v>42030</v>
      </c>
      <c r="F2236" s="46">
        <v>760</v>
      </c>
      <c r="G2236" s="31">
        <f t="shared" si="34"/>
        <v>0</v>
      </c>
      <c r="H2236" s="68" t="s">
        <v>17</v>
      </c>
    </row>
    <row r="2237" spans="1:8" s="3" customFormat="1" x14ac:dyDescent="0.25">
      <c r="A2237" s="20">
        <v>42030</v>
      </c>
      <c r="B2237" s="21">
        <v>10144</v>
      </c>
      <c r="C2237" s="15" t="s">
        <v>96</v>
      </c>
      <c r="D2237" s="63">
        <v>5485.13</v>
      </c>
      <c r="E2237" s="23">
        <v>42030</v>
      </c>
      <c r="F2237" s="46">
        <v>5485.13</v>
      </c>
      <c r="G2237" s="31">
        <f t="shared" si="34"/>
        <v>0</v>
      </c>
      <c r="H2237" s="68" t="s">
        <v>19</v>
      </c>
    </row>
    <row r="2238" spans="1:8" s="3" customFormat="1" x14ac:dyDescent="0.25">
      <c r="A2238" s="20">
        <v>42030</v>
      </c>
      <c r="B2238" s="21">
        <v>10145</v>
      </c>
      <c r="C2238" s="15" t="s">
        <v>165</v>
      </c>
      <c r="D2238" s="63">
        <v>2734.3</v>
      </c>
      <c r="E2238" s="23">
        <v>42031</v>
      </c>
      <c r="F2238" s="46">
        <v>2734.3</v>
      </c>
      <c r="G2238" s="31">
        <f t="shared" si="34"/>
        <v>0</v>
      </c>
      <c r="H2238" s="68" t="s">
        <v>17</v>
      </c>
    </row>
    <row r="2239" spans="1:8" s="3" customFormat="1" x14ac:dyDescent="0.25">
      <c r="A2239" s="20">
        <v>42030</v>
      </c>
      <c r="B2239" s="21">
        <v>10146</v>
      </c>
      <c r="C2239" s="15" t="s">
        <v>226</v>
      </c>
      <c r="D2239" s="63">
        <v>1410</v>
      </c>
      <c r="E2239" s="23">
        <v>42030</v>
      </c>
      <c r="F2239" s="46">
        <v>1410</v>
      </c>
      <c r="G2239" s="31">
        <f t="shared" si="34"/>
        <v>0</v>
      </c>
      <c r="H2239" s="68" t="s">
        <v>19</v>
      </c>
    </row>
    <row r="2240" spans="1:8" s="3" customFormat="1" x14ac:dyDescent="0.25">
      <c r="A2240" s="20">
        <v>42030</v>
      </c>
      <c r="B2240" s="21">
        <v>10147</v>
      </c>
      <c r="C2240" s="15" t="s">
        <v>104</v>
      </c>
      <c r="D2240" s="63">
        <v>445</v>
      </c>
      <c r="E2240" s="23">
        <v>42030</v>
      </c>
      <c r="F2240" s="46">
        <v>445</v>
      </c>
      <c r="G2240" s="31">
        <f t="shared" si="34"/>
        <v>0</v>
      </c>
      <c r="H2240" s="68" t="s">
        <v>19</v>
      </c>
    </row>
    <row r="2241" spans="1:8" s="3" customFormat="1" x14ac:dyDescent="0.25">
      <c r="A2241" s="20">
        <v>42030</v>
      </c>
      <c r="B2241" s="21">
        <v>10148</v>
      </c>
      <c r="C2241" s="15" t="s">
        <v>130</v>
      </c>
      <c r="D2241" s="63">
        <v>11815.3</v>
      </c>
      <c r="E2241" s="23">
        <v>42034</v>
      </c>
      <c r="F2241" s="46">
        <v>11815.3</v>
      </c>
      <c r="G2241" s="31">
        <f t="shared" si="34"/>
        <v>0</v>
      </c>
      <c r="H2241" s="68" t="s">
        <v>17</v>
      </c>
    </row>
    <row r="2242" spans="1:8" s="3" customFormat="1" x14ac:dyDescent="0.25">
      <c r="A2242" s="20">
        <v>42030</v>
      </c>
      <c r="B2242" s="21">
        <v>10149</v>
      </c>
      <c r="C2242" s="15" t="s">
        <v>93</v>
      </c>
      <c r="D2242" s="63">
        <v>1902.4</v>
      </c>
      <c r="E2242" s="23">
        <v>42030</v>
      </c>
      <c r="F2242" s="46">
        <v>1902.4</v>
      </c>
      <c r="G2242" s="31">
        <f t="shared" si="34"/>
        <v>0</v>
      </c>
      <c r="H2242" s="68" t="s">
        <v>19</v>
      </c>
    </row>
    <row r="2243" spans="1:8" s="3" customFormat="1" x14ac:dyDescent="0.25">
      <c r="A2243" s="20">
        <v>42030</v>
      </c>
      <c r="B2243" s="21">
        <v>10150</v>
      </c>
      <c r="C2243" s="15" t="s">
        <v>95</v>
      </c>
      <c r="D2243" s="63">
        <v>3521.9</v>
      </c>
      <c r="E2243" s="23">
        <v>42030</v>
      </c>
      <c r="F2243" s="46">
        <v>3521.9</v>
      </c>
      <c r="G2243" s="31">
        <f t="shared" ref="G2243:G2306" si="35">D2243-F2243</f>
        <v>0</v>
      </c>
      <c r="H2243" s="68" t="s">
        <v>19</v>
      </c>
    </row>
    <row r="2244" spans="1:8" s="3" customFormat="1" x14ac:dyDescent="0.25">
      <c r="A2244" s="20">
        <v>42030</v>
      </c>
      <c r="B2244" s="21">
        <v>10151</v>
      </c>
      <c r="C2244" s="15" t="s">
        <v>179</v>
      </c>
      <c r="D2244" s="63">
        <v>4316.8</v>
      </c>
      <c r="E2244" s="23">
        <v>42030</v>
      </c>
      <c r="F2244" s="46">
        <v>4316.8</v>
      </c>
      <c r="G2244" s="31">
        <f t="shared" si="35"/>
        <v>0</v>
      </c>
      <c r="H2244" s="68" t="s">
        <v>19</v>
      </c>
    </row>
    <row r="2245" spans="1:8" s="3" customFormat="1" x14ac:dyDescent="0.25">
      <c r="A2245" s="20">
        <v>42030</v>
      </c>
      <c r="B2245" s="21">
        <v>10152</v>
      </c>
      <c r="C2245" s="15" t="s">
        <v>370</v>
      </c>
      <c r="D2245" s="63">
        <v>6382.8</v>
      </c>
      <c r="E2245" s="23">
        <v>42030</v>
      </c>
      <c r="F2245" s="46">
        <v>6382.8</v>
      </c>
      <c r="G2245" s="31">
        <f t="shared" si="35"/>
        <v>0</v>
      </c>
      <c r="H2245" s="68" t="s">
        <v>9</v>
      </c>
    </row>
    <row r="2246" spans="1:8" s="3" customFormat="1" x14ac:dyDescent="0.25">
      <c r="A2246" s="20">
        <v>42030</v>
      </c>
      <c r="B2246" s="21">
        <v>10153</v>
      </c>
      <c r="C2246" s="15" t="s">
        <v>64</v>
      </c>
      <c r="D2246" s="63">
        <v>2839.2</v>
      </c>
      <c r="E2246" s="23">
        <v>42030</v>
      </c>
      <c r="F2246" s="46">
        <v>2839.2</v>
      </c>
      <c r="G2246" s="31">
        <f t="shared" si="35"/>
        <v>0</v>
      </c>
      <c r="H2246" s="68" t="s">
        <v>9</v>
      </c>
    </row>
    <row r="2247" spans="1:8" s="3" customFormat="1" x14ac:dyDescent="0.25">
      <c r="A2247" s="20">
        <v>42030</v>
      </c>
      <c r="B2247" s="21">
        <v>10154</v>
      </c>
      <c r="C2247" s="15" t="s">
        <v>89</v>
      </c>
      <c r="D2247" s="63">
        <v>2288</v>
      </c>
      <c r="E2247" s="23">
        <v>42030</v>
      </c>
      <c r="F2247" s="46">
        <v>2288</v>
      </c>
      <c r="G2247" s="31">
        <f t="shared" si="35"/>
        <v>0</v>
      </c>
      <c r="H2247" s="68" t="s">
        <v>9</v>
      </c>
    </row>
    <row r="2248" spans="1:8" s="3" customFormat="1" x14ac:dyDescent="0.25">
      <c r="A2248" s="20">
        <v>42030</v>
      </c>
      <c r="B2248" s="21">
        <v>10155</v>
      </c>
      <c r="C2248" s="15" t="s">
        <v>180</v>
      </c>
      <c r="D2248" s="63">
        <v>6008.47</v>
      </c>
      <c r="E2248" s="23">
        <v>42030</v>
      </c>
      <c r="F2248" s="46">
        <v>6008.7</v>
      </c>
      <c r="G2248" s="31">
        <f t="shared" si="35"/>
        <v>-0.22999999999956344</v>
      </c>
      <c r="H2248" s="68" t="s">
        <v>9</v>
      </c>
    </row>
    <row r="2249" spans="1:8" s="3" customFormat="1" x14ac:dyDescent="0.25">
      <c r="A2249" s="20">
        <v>42030</v>
      </c>
      <c r="B2249" s="21">
        <v>10156</v>
      </c>
      <c r="C2249" s="15" t="s">
        <v>136</v>
      </c>
      <c r="D2249" s="63">
        <v>4214.8</v>
      </c>
      <c r="E2249" s="23">
        <v>42030</v>
      </c>
      <c r="F2249" s="46">
        <v>4214.8</v>
      </c>
      <c r="G2249" s="31">
        <f t="shared" si="35"/>
        <v>0</v>
      </c>
      <c r="H2249" s="68" t="s">
        <v>9</v>
      </c>
    </row>
    <row r="2250" spans="1:8" s="3" customFormat="1" x14ac:dyDescent="0.25">
      <c r="A2250" s="20">
        <v>42030</v>
      </c>
      <c r="B2250" s="21">
        <v>10157</v>
      </c>
      <c r="C2250" s="15" t="s">
        <v>90</v>
      </c>
      <c r="D2250" s="63">
        <v>921</v>
      </c>
      <c r="E2250" s="23">
        <v>42030</v>
      </c>
      <c r="F2250" s="46">
        <v>921</v>
      </c>
      <c r="G2250" s="31">
        <f t="shared" si="35"/>
        <v>0</v>
      </c>
      <c r="H2250" s="68" t="s">
        <v>9</v>
      </c>
    </row>
    <row r="2251" spans="1:8" s="3" customFormat="1" x14ac:dyDescent="0.25">
      <c r="A2251" s="20">
        <v>42030</v>
      </c>
      <c r="B2251" s="21">
        <v>10158</v>
      </c>
      <c r="C2251" s="15" t="s">
        <v>44</v>
      </c>
      <c r="D2251" s="63">
        <v>1881.6</v>
      </c>
      <c r="E2251" s="23">
        <v>42030</v>
      </c>
      <c r="F2251" s="46">
        <v>1881.6</v>
      </c>
      <c r="G2251" s="31">
        <f t="shared" si="35"/>
        <v>0</v>
      </c>
      <c r="H2251" s="68" t="s">
        <v>9</v>
      </c>
    </row>
    <row r="2252" spans="1:8" s="3" customFormat="1" x14ac:dyDescent="0.25">
      <c r="A2252" s="20">
        <v>42030</v>
      </c>
      <c r="B2252" s="21">
        <v>10159</v>
      </c>
      <c r="C2252" s="15" t="s">
        <v>44</v>
      </c>
      <c r="D2252" s="63">
        <v>264</v>
      </c>
      <c r="E2252" s="23">
        <v>42030</v>
      </c>
      <c r="F2252" s="46">
        <v>264</v>
      </c>
      <c r="G2252" s="31">
        <f t="shared" si="35"/>
        <v>0</v>
      </c>
      <c r="H2252" s="68" t="s">
        <v>9</v>
      </c>
    </row>
    <row r="2253" spans="1:8" s="3" customFormat="1" x14ac:dyDescent="0.25">
      <c r="A2253" s="20">
        <v>42030</v>
      </c>
      <c r="B2253" s="21">
        <v>10160</v>
      </c>
      <c r="C2253" s="15" t="s">
        <v>24</v>
      </c>
      <c r="D2253" s="63">
        <v>233792.12</v>
      </c>
      <c r="E2253" s="30">
        <v>42039</v>
      </c>
      <c r="F2253" s="98">
        <v>233792.12</v>
      </c>
      <c r="G2253" s="31">
        <f t="shared" si="35"/>
        <v>0</v>
      </c>
      <c r="H2253" s="68" t="s">
        <v>183</v>
      </c>
    </row>
    <row r="2254" spans="1:8" s="3" customFormat="1" x14ac:dyDescent="0.25">
      <c r="A2254" s="20">
        <v>42030</v>
      </c>
      <c r="B2254" s="21">
        <v>10161</v>
      </c>
      <c r="C2254" s="15" t="s">
        <v>32</v>
      </c>
      <c r="D2254" s="63">
        <v>256187.8</v>
      </c>
      <c r="E2254" s="23">
        <v>42035</v>
      </c>
      <c r="F2254" s="46">
        <v>256187.8</v>
      </c>
      <c r="G2254" s="31">
        <f t="shared" si="35"/>
        <v>0</v>
      </c>
      <c r="H2254" s="68" t="s">
        <v>149</v>
      </c>
    </row>
    <row r="2255" spans="1:8" s="3" customFormat="1" x14ac:dyDescent="0.25">
      <c r="A2255" s="20">
        <v>42030</v>
      </c>
      <c r="B2255" s="21">
        <v>10162</v>
      </c>
      <c r="C2255" s="15" t="s">
        <v>111</v>
      </c>
      <c r="D2255" s="63">
        <v>170035</v>
      </c>
      <c r="E2255" s="23">
        <v>42034</v>
      </c>
      <c r="F2255" s="46">
        <v>170035</v>
      </c>
      <c r="G2255" s="31">
        <f t="shared" si="35"/>
        <v>0</v>
      </c>
      <c r="H2255" s="68" t="s">
        <v>9</v>
      </c>
    </row>
    <row r="2256" spans="1:8" s="3" customFormat="1" x14ac:dyDescent="0.25">
      <c r="A2256" s="20">
        <v>42030</v>
      </c>
      <c r="B2256" s="21">
        <v>10163</v>
      </c>
      <c r="C2256" s="15" t="s">
        <v>111</v>
      </c>
      <c r="D2256" s="63">
        <v>336670</v>
      </c>
      <c r="E2256" s="23">
        <v>42031</v>
      </c>
      <c r="F2256" s="46">
        <v>336670</v>
      </c>
      <c r="G2256" s="31">
        <f t="shared" si="35"/>
        <v>0</v>
      </c>
      <c r="H2256" s="68"/>
    </row>
    <row r="2257" spans="1:8" s="3" customFormat="1" x14ac:dyDescent="0.25">
      <c r="A2257" s="20">
        <v>42030</v>
      </c>
      <c r="B2257" s="21">
        <v>10164</v>
      </c>
      <c r="C2257" s="15" t="s">
        <v>111</v>
      </c>
      <c r="D2257" s="63">
        <v>198880</v>
      </c>
      <c r="E2257" s="23">
        <v>42031</v>
      </c>
      <c r="F2257" s="46">
        <v>198880</v>
      </c>
      <c r="G2257" s="31">
        <f t="shared" si="35"/>
        <v>0</v>
      </c>
      <c r="H2257" s="68"/>
    </row>
    <row r="2258" spans="1:8" s="3" customFormat="1" x14ac:dyDescent="0.25">
      <c r="A2258" s="20">
        <v>42030</v>
      </c>
      <c r="B2258" s="21">
        <v>10165</v>
      </c>
      <c r="C2258" s="15" t="s">
        <v>445</v>
      </c>
      <c r="D2258" s="63">
        <v>5508</v>
      </c>
      <c r="E2258" s="23">
        <v>42030</v>
      </c>
      <c r="F2258" s="46">
        <v>5508</v>
      </c>
      <c r="G2258" s="31">
        <f t="shared" si="35"/>
        <v>0</v>
      </c>
      <c r="H2258" s="68" t="s">
        <v>9</v>
      </c>
    </row>
    <row r="2259" spans="1:8" s="3" customFormat="1" x14ac:dyDescent="0.25">
      <c r="A2259" s="20">
        <v>42030</v>
      </c>
      <c r="B2259" s="21">
        <v>10166</v>
      </c>
      <c r="C2259" s="15" t="s">
        <v>108</v>
      </c>
      <c r="D2259" s="63">
        <v>14563.6</v>
      </c>
      <c r="E2259" s="23">
        <v>42030</v>
      </c>
      <c r="F2259" s="46">
        <v>14563.6</v>
      </c>
      <c r="G2259" s="31">
        <f t="shared" si="35"/>
        <v>0</v>
      </c>
      <c r="H2259" s="68" t="s">
        <v>94</v>
      </c>
    </row>
    <row r="2260" spans="1:8" s="3" customFormat="1" x14ac:dyDescent="0.25">
      <c r="A2260" s="20">
        <v>42030</v>
      </c>
      <c r="B2260" s="21">
        <v>10167</v>
      </c>
      <c r="C2260" s="15" t="s">
        <v>14</v>
      </c>
      <c r="D2260" s="63">
        <v>6936.7</v>
      </c>
      <c r="E2260" s="23">
        <v>42035</v>
      </c>
      <c r="F2260" s="46">
        <v>6936.7</v>
      </c>
      <c r="G2260" s="31">
        <f t="shared" si="35"/>
        <v>0</v>
      </c>
      <c r="H2260" s="68" t="s">
        <v>15</v>
      </c>
    </row>
    <row r="2261" spans="1:8" s="3" customFormat="1" x14ac:dyDescent="0.25">
      <c r="A2261" s="20">
        <v>42030</v>
      </c>
      <c r="B2261" s="21">
        <v>10168</v>
      </c>
      <c r="C2261" s="15" t="s">
        <v>47</v>
      </c>
      <c r="D2261" s="63">
        <v>7108</v>
      </c>
      <c r="E2261" s="23">
        <v>42032</v>
      </c>
      <c r="F2261" s="46">
        <v>7108</v>
      </c>
      <c r="G2261" s="31">
        <f t="shared" si="35"/>
        <v>0</v>
      </c>
      <c r="H2261" s="68" t="s">
        <v>9</v>
      </c>
    </row>
    <row r="2262" spans="1:8" s="3" customFormat="1" x14ac:dyDescent="0.25">
      <c r="A2262" s="20">
        <v>42030</v>
      </c>
      <c r="B2262" s="21">
        <v>10169</v>
      </c>
      <c r="C2262" s="15" t="s">
        <v>282</v>
      </c>
      <c r="D2262" s="63">
        <v>6400</v>
      </c>
      <c r="E2262" s="30">
        <v>42045</v>
      </c>
      <c r="F2262" s="98">
        <v>6400</v>
      </c>
      <c r="G2262" s="31">
        <f t="shared" si="35"/>
        <v>0</v>
      </c>
      <c r="H2262" s="68" t="s">
        <v>9</v>
      </c>
    </row>
    <row r="2263" spans="1:8" s="3" customFormat="1" x14ac:dyDescent="0.25">
      <c r="A2263" s="20">
        <v>42030</v>
      </c>
      <c r="B2263" s="21">
        <v>10170</v>
      </c>
      <c r="C2263" s="15" t="s">
        <v>446</v>
      </c>
      <c r="D2263" s="63">
        <v>9345.41</v>
      </c>
      <c r="E2263" s="30" t="s">
        <v>529</v>
      </c>
      <c r="F2263" s="46">
        <v>9345.41</v>
      </c>
      <c r="G2263" s="31">
        <f t="shared" si="35"/>
        <v>0</v>
      </c>
      <c r="H2263" s="68" t="s">
        <v>9</v>
      </c>
    </row>
    <row r="2264" spans="1:8" s="3" customFormat="1" x14ac:dyDescent="0.25">
      <c r="A2264" s="20">
        <v>42030</v>
      </c>
      <c r="B2264" s="21">
        <v>10171</v>
      </c>
      <c r="C2264" s="15" t="s">
        <v>159</v>
      </c>
      <c r="D2264" s="63">
        <v>6096</v>
      </c>
      <c r="E2264" s="23">
        <v>42030</v>
      </c>
      <c r="F2264" s="46">
        <v>6096</v>
      </c>
      <c r="G2264" s="31">
        <f t="shared" si="35"/>
        <v>0</v>
      </c>
      <c r="H2264" s="68" t="s">
        <v>9</v>
      </c>
    </row>
    <row r="2265" spans="1:8" s="3" customFormat="1" x14ac:dyDescent="0.25">
      <c r="A2265" s="20">
        <v>42030</v>
      </c>
      <c r="B2265" s="21">
        <v>10172</v>
      </c>
      <c r="C2265" s="15" t="s">
        <v>80</v>
      </c>
      <c r="D2265" s="63">
        <v>7401.6</v>
      </c>
      <c r="E2265" s="23">
        <v>42030</v>
      </c>
      <c r="F2265" s="46">
        <v>7401.6</v>
      </c>
      <c r="G2265" s="31">
        <f t="shared" si="35"/>
        <v>0</v>
      </c>
      <c r="H2265" s="68" t="s">
        <v>9</v>
      </c>
    </row>
    <row r="2266" spans="1:8" s="3" customFormat="1" x14ac:dyDescent="0.25">
      <c r="A2266" s="20">
        <v>42030</v>
      </c>
      <c r="B2266" s="21">
        <v>10173</v>
      </c>
      <c r="C2266" s="15" t="s">
        <v>33</v>
      </c>
      <c r="D2266" s="63">
        <v>2355.6</v>
      </c>
      <c r="E2266" s="23">
        <v>42030</v>
      </c>
      <c r="F2266" s="46">
        <v>2355.6</v>
      </c>
      <c r="G2266" s="31">
        <f t="shared" si="35"/>
        <v>0</v>
      </c>
      <c r="H2266" s="68" t="s">
        <v>9</v>
      </c>
    </row>
    <row r="2267" spans="1:8" s="3" customFormat="1" x14ac:dyDescent="0.25">
      <c r="A2267" s="20">
        <v>42030</v>
      </c>
      <c r="B2267" s="21">
        <v>10174</v>
      </c>
      <c r="C2267" s="70" t="s">
        <v>218</v>
      </c>
      <c r="D2267" s="71">
        <v>0</v>
      </c>
      <c r="E2267" s="23"/>
      <c r="F2267" s="46"/>
      <c r="G2267" s="31">
        <f t="shared" si="35"/>
        <v>0</v>
      </c>
      <c r="H2267" s="68" t="s">
        <v>13</v>
      </c>
    </row>
    <row r="2268" spans="1:8" s="3" customFormat="1" x14ac:dyDescent="0.25">
      <c r="A2268" s="20">
        <v>42030</v>
      </c>
      <c r="B2268" s="21">
        <v>10175</v>
      </c>
      <c r="C2268" s="15" t="s">
        <v>263</v>
      </c>
      <c r="D2268" s="63">
        <v>3762.8</v>
      </c>
      <c r="E2268" s="23">
        <v>42032</v>
      </c>
      <c r="F2268" s="46">
        <v>3762.8</v>
      </c>
      <c r="G2268" s="31">
        <f t="shared" si="35"/>
        <v>0</v>
      </c>
      <c r="H2268" s="68" t="s">
        <v>149</v>
      </c>
    </row>
    <row r="2269" spans="1:8" s="3" customFormat="1" x14ac:dyDescent="0.25">
      <c r="A2269" s="20">
        <v>42030</v>
      </c>
      <c r="B2269" s="21">
        <v>10176</v>
      </c>
      <c r="C2269" s="70" t="s">
        <v>218</v>
      </c>
      <c r="D2269" s="71">
        <v>0</v>
      </c>
      <c r="E2269" s="23"/>
      <c r="F2269" s="46"/>
      <c r="G2269" s="31">
        <f t="shared" si="35"/>
        <v>0</v>
      </c>
      <c r="H2269" s="68" t="s">
        <v>13</v>
      </c>
    </row>
    <row r="2270" spans="1:8" s="3" customFormat="1" x14ac:dyDescent="0.25">
      <c r="A2270" s="20">
        <v>42030</v>
      </c>
      <c r="B2270" s="21">
        <v>10177</v>
      </c>
      <c r="C2270" s="15" t="s">
        <v>207</v>
      </c>
      <c r="D2270" s="63">
        <v>60433.9</v>
      </c>
      <c r="E2270" s="23">
        <v>42035</v>
      </c>
      <c r="F2270" s="46">
        <v>60433.9</v>
      </c>
      <c r="G2270" s="31">
        <f t="shared" si="35"/>
        <v>0</v>
      </c>
      <c r="H2270" s="68" t="s">
        <v>149</v>
      </c>
    </row>
    <row r="2271" spans="1:8" s="3" customFormat="1" x14ac:dyDescent="0.25">
      <c r="A2271" s="20">
        <v>42030</v>
      </c>
      <c r="B2271" s="21">
        <v>10178</v>
      </c>
      <c r="C2271" s="14" t="s">
        <v>195</v>
      </c>
      <c r="D2271" s="22">
        <v>157046.42000000001</v>
      </c>
      <c r="E2271" s="30" t="s">
        <v>447</v>
      </c>
      <c r="F2271" s="24">
        <v>157046.42000000001</v>
      </c>
      <c r="G2271" s="31">
        <f t="shared" si="35"/>
        <v>0</v>
      </c>
      <c r="H2271" s="39" t="s">
        <v>149</v>
      </c>
    </row>
    <row r="2272" spans="1:8" s="3" customFormat="1" x14ac:dyDescent="0.25">
      <c r="A2272" s="20">
        <v>42030</v>
      </c>
      <c r="B2272" s="21">
        <v>10179</v>
      </c>
      <c r="C2272" s="14" t="s">
        <v>213</v>
      </c>
      <c r="D2272" s="22">
        <v>145351.20000000001</v>
      </c>
      <c r="E2272" s="29" t="s">
        <v>448</v>
      </c>
      <c r="F2272" s="24">
        <f>27000+65700+38600+14051.2</f>
        <v>145351.20000000001</v>
      </c>
      <c r="G2272" s="31">
        <f t="shared" si="35"/>
        <v>0</v>
      </c>
      <c r="H2272" s="39" t="s">
        <v>17</v>
      </c>
    </row>
    <row r="2273" spans="1:8" s="3" customFormat="1" x14ac:dyDescent="0.25">
      <c r="A2273" s="20">
        <v>42030</v>
      </c>
      <c r="B2273" s="21">
        <v>10180</v>
      </c>
      <c r="C2273" s="14" t="s">
        <v>349</v>
      </c>
      <c r="D2273" s="22">
        <v>5574.4</v>
      </c>
      <c r="E2273" s="23">
        <v>42032</v>
      </c>
      <c r="F2273" s="24">
        <v>5574.4</v>
      </c>
      <c r="G2273" s="31">
        <f t="shared" si="35"/>
        <v>0</v>
      </c>
      <c r="H2273" s="39" t="s">
        <v>149</v>
      </c>
    </row>
    <row r="2274" spans="1:8" s="3" customFormat="1" x14ac:dyDescent="0.25">
      <c r="A2274" s="20">
        <v>42030</v>
      </c>
      <c r="B2274" s="21">
        <v>10181</v>
      </c>
      <c r="C2274" s="14" t="s">
        <v>201</v>
      </c>
      <c r="D2274" s="22">
        <v>16803.8</v>
      </c>
      <c r="E2274" s="23">
        <v>42032</v>
      </c>
      <c r="F2274" s="24">
        <v>16803.8</v>
      </c>
      <c r="G2274" s="31">
        <f t="shared" si="35"/>
        <v>0</v>
      </c>
      <c r="H2274" s="39" t="s">
        <v>149</v>
      </c>
    </row>
    <row r="2275" spans="1:8" s="3" customFormat="1" x14ac:dyDescent="0.25">
      <c r="A2275" s="20">
        <v>42030</v>
      </c>
      <c r="B2275" s="21">
        <v>10182</v>
      </c>
      <c r="C2275" s="14" t="s">
        <v>318</v>
      </c>
      <c r="D2275" s="22">
        <v>8436.2999999999993</v>
      </c>
      <c r="E2275" s="23">
        <v>42030</v>
      </c>
      <c r="F2275" s="24">
        <v>8436.2999999999993</v>
      </c>
      <c r="G2275" s="31">
        <f t="shared" si="35"/>
        <v>0</v>
      </c>
      <c r="H2275" s="39" t="s">
        <v>9</v>
      </c>
    </row>
    <row r="2276" spans="1:8" s="3" customFormat="1" x14ac:dyDescent="0.25">
      <c r="A2276" s="20">
        <v>42030</v>
      </c>
      <c r="B2276" s="21">
        <v>10183</v>
      </c>
      <c r="C2276" s="14" t="s">
        <v>208</v>
      </c>
      <c r="D2276" s="22">
        <v>18342.900000000001</v>
      </c>
      <c r="E2276" s="23">
        <v>42032</v>
      </c>
      <c r="F2276" s="24">
        <v>18342.900000000001</v>
      </c>
      <c r="G2276" s="31">
        <f t="shared" si="35"/>
        <v>0</v>
      </c>
      <c r="H2276" s="39" t="s">
        <v>149</v>
      </c>
    </row>
    <row r="2277" spans="1:8" s="3" customFormat="1" x14ac:dyDescent="0.25">
      <c r="A2277" s="20">
        <v>42030</v>
      </c>
      <c r="B2277" s="21">
        <v>10184</v>
      </c>
      <c r="C2277" s="14" t="s">
        <v>59</v>
      </c>
      <c r="D2277" s="22">
        <v>100.8</v>
      </c>
      <c r="E2277" s="23">
        <v>42030</v>
      </c>
      <c r="F2277" s="24">
        <v>100.8</v>
      </c>
      <c r="G2277" s="31">
        <f t="shared" si="35"/>
        <v>0</v>
      </c>
      <c r="H2277" s="39" t="s">
        <v>59</v>
      </c>
    </row>
    <row r="2278" spans="1:8" s="3" customFormat="1" x14ac:dyDescent="0.25">
      <c r="A2278" s="20">
        <v>42030</v>
      </c>
      <c r="B2278" s="21">
        <v>10185</v>
      </c>
      <c r="C2278" s="14" t="s">
        <v>199</v>
      </c>
      <c r="D2278" s="22">
        <v>17430.400000000001</v>
      </c>
      <c r="E2278" s="23">
        <v>42032</v>
      </c>
      <c r="F2278" s="24">
        <v>17430.400000000001</v>
      </c>
      <c r="G2278" s="31">
        <f t="shared" si="35"/>
        <v>0</v>
      </c>
      <c r="H2278" s="39" t="s">
        <v>149</v>
      </c>
    </row>
    <row r="2279" spans="1:8" s="3" customFormat="1" x14ac:dyDescent="0.25">
      <c r="A2279" s="20">
        <v>42030</v>
      </c>
      <c r="B2279" s="21">
        <v>10186</v>
      </c>
      <c r="C2279" s="14" t="s">
        <v>198</v>
      </c>
      <c r="D2279" s="22">
        <v>2930.76</v>
      </c>
      <c r="E2279" s="23">
        <v>42032</v>
      </c>
      <c r="F2279" s="24">
        <v>2930.76</v>
      </c>
      <c r="G2279" s="31">
        <f t="shared" si="35"/>
        <v>0</v>
      </c>
      <c r="H2279" s="39" t="s">
        <v>149</v>
      </c>
    </row>
    <row r="2280" spans="1:8" s="3" customFormat="1" x14ac:dyDescent="0.25">
      <c r="A2280" s="20">
        <v>42030</v>
      </c>
      <c r="B2280" s="21">
        <v>10187</v>
      </c>
      <c r="C2280" s="14" t="s">
        <v>205</v>
      </c>
      <c r="D2280" s="22">
        <v>6147.6</v>
      </c>
      <c r="E2280" s="23">
        <v>42032</v>
      </c>
      <c r="F2280" s="24">
        <v>6147.6</v>
      </c>
      <c r="G2280" s="31">
        <f t="shared" si="35"/>
        <v>0</v>
      </c>
      <c r="H2280" s="39" t="s">
        <v>149</v>
      </c>
    </row>
    <row r="2281" spans="1:8" s="3" customFormat="1" x14ac:dyDescent="0.25">
      <c r="A2281" s="20">
        <v>42030</v>
      </c>
      <c r="B2281" s="21">
        <v>10188</v>
      </c>
      <c r="C2281" s="14" t="s">
        <v>196</v>
      </c>
      <c r="D2281" s="22">
        <v>7147.64</v>
      </c>
      <c r="E2281" s="23">
        <v>42032</v>
      </c>
      <c r="F2281" s="24">
        <v>7147.64</v>
      </c>
      <c r="G2281" s="31">
        <f t="shared" si="35"/>
        <v>0</v>
      </c>
      <c r="H2281" s="39" t="s">
        <v>149</v>
      </c>
    </row>
    <row r="2282" spans="1:8" s="3" customFormat="1" x14ac:dyDescent="0.25">
      <c r="A2282" s="20">
        <v>42030</v>
      </c>
      <c r="B2282" s="21">
        <v>10189</v>
      </c>
      <c r="C2282" s="14" t="s">
        <v>261</v>
      </c>
      <c r="D2282" s="22">
        <v>11449.6</v>
      </c>
      <c r="E2282" s="23">
        <v>42032</v>
      </c>
      <c r="F2282" s="24">
        <v>11449.6</v>
      </c>
      <c r="G2282" s="31">
        <f t="shared" si="35"/>
        <v>0</v>
      </c>
      <c r="H2282" s="39" t="s">
        <v>149</v>
      </c>
    </row>
    <row r="2283" spans="1:8" s="3" customFormat="1" x14ac:dyDescent="0.25">
      <c r="A2283" s="20">
        <v>42030</v>
      </c>
      <c r="B2283" s="21">
        <v>10190</v>
      </c>
      <c r="C2283" s="14" t="s">
        <v>200</v>
      </c>
      <c r="D2283" s="22">
        <v>881.2</v>
      </c>
      <c r="E2283" s="23">
        <v>42032</v>
      </c>
      <c r="F2283" s="24">
        <v>881.2</v>
      </c>
      <c r="G2283" s="31">
        <f t="shared" si="35"/>
        <v>0</v>
      </c>
      <c r="H2283" s="39" t="s">
        <v>149</v>
      </c>
    </row>
    <row r="2284" spans="1:8" s="3" customFormat="1" x14ac:dyDescent="0.25">
      <c r="A2284" s="20">
        <v>42030</v>
      </c>
      <c r="B2284" s="21">
        <v>10191</v>
      </c>
      <c r="C2284" s="14" t="s">
        <v>209</v>
      </c>
      <c r="D2284" s="22">
        <v>18774.400000000001</v>
      </c>
      <c r="E2284" s="30">
        <v>42041</v>
      </c>
      <c r="F2284" s="96">
        <v>18774.400000000001</v>
      </c>
      <c r="G2284" s="31">
        <f t="shared" si="35"/>
        <v>0</v>
      </c>
      <c r="H2284" s="39" t="s">
        <v>149</v>
      </c>
    </row>
    <row r="2285" spans="1:8" s="3" customFormat="1" x14ac:dyDescent="0.25">
      <c r="A2285" s="20">
        <v>42030</v>
      </c>
      <c r="B2285" s="21">
        <v>10192</v>
      </c>
      <c r="C2285" s="14" t="s">
        <v>203</v>
      </c>
      <c r="D2285" s="22">
        <v>18388.8</v>
      </c>
      <c r="E2285" s="23">
        <v>42032</v>
      </c>
      <c r="F2285" s="24">
        <v>18388.8</v>
      </c>
      <c r="G2285" s="31">
        <f t="shared" si="35"/>
        <v>0</v>
      </c>
      <c r="H2285" s="39" t="s">
        <v>149</v>
      </c>
    </row>
    <row r="2286" spans="1:8" s="3" customFormat="1" x14ac:dyDescent="0.25">
      <c r="A2286" s="20">
        <v>42030</v>
      </c>
      <c r="B2286" s="21">
        <v>10193</v>
      </c>
      <c r="C2286" s="14" t="s">
        <v>421</v>
      </c>
      <c r="D2286" s="22">
        <v>10556.1</v>
      </c>
      <c r="E2286" s="23">
        <v>42032</v>
      </c>
      <c r="F2286" s="24">
        <v>10556.1</v>
      </c>
      <c r="G2286" s="31">
        <f t="shared" si="35"/>
        <v>0</v>
      </c>
      <c r="H2286" s="39" t="s">
        <v>149</v>
      </c>
    </row>
    <row r="2287" spans="1:8" s="3" customFormat="1" x14ac:dyDescent="0.25">
      <c r="A2287" s="20">
        <v>42030</v>
      </c>
      <c r="B2287" s="21">
        <v>10194</v>
      </c>
      <c r="C2287" s="14" t="s">
        <v>449</v>
      </c>
      <c r="D2287" s="22">
        <v>6441.7</v>
      </c>
      <c r="E2287" s="23">
        <v>42032</v>
      </c>
      <c r="F2287" s="24">
        <v>6441.7</v>
      </c>
      <c r="G2287" s="31">
        <f t="shared" si="35"/>
        <v>0</v>
      </c>
      <c r="H2287" s="39" t="s">
        <v>149</v>
      </c>
    </row>
    <row r="2288" spans="1:8" s="3" customFormat="1" x14ac:dyDescent="0.25">
      <c r="A2288" s="20">
        <v>42030</v>
      </c>
      <c r="B2288" s="21">
        <v>10195</v>
      </c>
      <c r="C2288" s="14" t="s">
        <v>68</v>
      </c>
      <c r="D2288" s="22">
        <v>5797.4</v>
      </c>
      <c r="E2288" s="23">
        <v>42032</v>
      </c>
      <c r="F2288" s="24">
        <v>5797.4</v>
      </c>
      <c r="G2288" s="31">
        <f t="shared" si="35"/>
        <v>0</v>
      </c>
      <c r="H2288" s="39" t="s">
        <v>149</v>
      </c>
    </row>
    <row r="2289" spans="1:8" s="3" customFormat="1" x14ac:dyDescent="0.25">
      <c r="A2289" s="20">
        <v>42031</v>
      </c>
      <c r="B2289" s="21">
        <v>10196</v>
      </c>
      <c r="C2289" s="14" t="s">
        <v>18</v>
      </c>
      <c r="D2289" s="22">
        <v>54534</v>
      </c>
      <c r="E2289" s="29" t="s">
        <v>450</v>
      </c>
      <c r="F2289" s="24">
        <f>13000+41534</f>
        <v>54534</v>
      </c>
      <c r="G2289" s="31">
        <f t="shared" si="35"/>
        <v>0</v>
      </c>
      <c r="H2289" s="39" t="s">
        <v>9</v>
      </c>
    </row>
    <row r="2290" spans="1:8" s="3" customFormat="1" x14ac:dyDescent="0.25">
      <c r="A2290" s="20">
        <v>42031</v>
      </c>
      <c r="B2290" s="21">
        <v>10197</v>
      </c>
      <c r="C2290" s="14" t="s">
        <v>11</v>
      </c>
      <c r="D2290" s="22">
        <v>3383.8</v>
      </c>
      <c r="E2290" s="23">
        <v>42031</v>
      </c>
      <c r="F2290" s="24">
        <v>3383.8</v>
      </c>
      <c r="G2290" s="31">
        <f t="shared" si="35"/>
        <v>0</v>
      </c>
      <c r="H2290" s="39" t="s">
        <v>9</v>
      </c>
    </row>
    <row r="2291" spans="1:8" s="3" customFormat="1" x14ac:dyDescent="0.25">
      <c r="A2291" s="20">
        <v>42031</v>
      </c>
      <c r="B2291" s="21">
        <v>10198</v>
      </c>
      <c r="C2291" s="14" t="s">
        <v>98</v>
      </c>
      <c r="D2291" s="22">
        <v>3431.4</v>
      </c>
      <c r="E2291" s="23">
        <v>42031</v>
      </c>
      <c r="F2291" s="24">
        <v>3431.4</v>
      </c>
      <c r="G2291" s="31">
        <f t="shared" si="35"/>
        <v>0</v>
      </c>
      <c r="H2291" s="39" t="s">
        <v>9</v>
      </c>
    </row>
    <row r="2292" spans="1:8" s="3" customFormat="1" x14ac:dyDescent="0.25">
      <c r="A2292" s="20">
        <v>42031</v>
      </c>
      <c r="B2292" s="21">
        <v>10199</v>
      </c>
      <c r="C2292" s="14" t="s">
        <v>158</v>
      </c>
      <c r="D2292" s="22">
        <v>2509.1999999999998</v>
      </c>
      <c r="E2292" s="23">
        <v>42031</v>
      </c>
      <c r="F2292" s="24">
        <v>2509.1999999999998</v>
      </c>
      <c r="G2292" s="31">
        <f t="shared" si="35"/>
        <v>0</v>
      </c>
      <c r="H2292" s="39" t="s">
        <v>9</v>
      </c>
    </row>
    <row r="2293" spans="1:8" s="3" customFormat="1" x14ac:dyDescent="0.25">
      <c r="A2293" s="20">
        <v>42031</v>
      </c>
      <c r="B2293" s="21">
        <v>10200</v>
      </c>
      <c r="C2293" s="14" t="s">
        <v>211</v>
      </c>
      <c r="D2293" s="22">
        <v>113033.2</v>
      </c>
      <c r="E2293" s="23">
        <v>42032</v>
      </c>
      <c r="F2293" s="24">
        <v>113033.2</v>
      </c>
      <c r="G2293" s="31">
        <f t="shared" si="35"/>
        <v>0</v>
      </c>
      <c r="H2293" s="39" t="s">
        <v>9</v>
      </c>
    </row>
    <row r="2294" spans="1:8" s="3" customFormat="1" x14ac:dyDescent="0.25">
      <c r="A2294" s="20">
        <v>42031</v>
      </c>
      <c r="B2294" s="21">
        <v>10201</v>
      </c>
      <c r="C2294" s="14" t="s">
        <v>43</v>
      </c>
      <c r="D2294" s="22">
        <v>8857.6</v>
      </c>
      <c r="E2294" s="23">
        <v>42031</v>
      </c>
      <c r="F2294" s="24">
        <v>8857.6</v>
      </c>
      <c r="G2294" s="31">
        <f t="shared" si="35"/>
        <v>0</v>
      </c>
      <c r="H2294" s="39" t="s">
        <v>9</v>
      </c>
    </row>
    <row r="2295" spans="1:8" s="3" customFormat="1" x14ac:dyDescent="0.25">
      <c r="A2295" s="20">
        <v>42031</v>
      </c>
      <c r="B2295" s="21">
        <v>10202</v>
      </c>
      <c r="C2295" s="14" t="s">
        <v>267</v>
      </c>
      <c r="D2295" s="22">
        <v>1246.8</v>
      </c>
      <c r="E2295" s="23">
        <v>42031</v>
      </c>
      <c r="F2295" s="24">
        <v>1246.8</v>
      </c>
      <c r="G2295" s="31">
        <f t="shared" si="35"/>
        <v>0</v>
      </c>
      <c r="H2295" s="39" t="s">
        <v>19</v>
      </c>
    </row>
    <row r="2296" spans="1:8" s="3" customFormat="1" x14ac:dyDescent="0.25">
      <c r="A2296" s="20">
        <v>42031</v>
      </c>
      <c r="B2296" s="21">
        <v>10203</v>
      </c>
      <c r="C2296" s="14" t="s">
        <v>14</v>
      </c>
      <c r="D2296" s="22">
        <v>55379.6</v>
      </c>
      <c r="E2296" s="23">
        <v>42035</v>
      </c>
      <c r="F2296" s="24">
        <v>55379.6</v>
      </c>
      <c r="G2296" s="31">
        <f t="shared" si="35"/>
        <v>0</v>
      </c>
      <c r="H2296" s="39" t="s">
        <v>15</v>
      </c>
    </row>
    <row r="2297" spans="1:8" s="3" customFormat="1" x14ac:dyDescent="0.25">
      <c r="A2297" s="20">
        <v>42031</v>
      </c>
      <c r="B2297" s="21">
        <v>10204</v>
      </c>
      <c r="C2297" s="14" t="s">
        <v>190</v>
      </c>
      <c r="D2297" s="22">
        <v>5851.2</v>
      </c>
      <c r="E2297" s="23">
        <v>42031</v>
      </c>
      <c r="F2297" s="24">
        <v>5851.2</v>
      </c>
      <c r="G2297" s="31">
        <f t="shared" si="35"/>
        <v>0</v>
      </c>
      <c r="H2297" s="39" t="s">
        <v>9</v>
      </c>
    </row>
    <row r="2298" spans="1:8" s="3" customFormat="1" x14ac:dyDescent="0.25">
      <c r="A2298" s="20">
        <v>42031</v>
      </c>
      <c r="B2298" s="21">
        <v>10205</v>
      </c>
      <c r="C2298" s="14" t="s">
        <v>31</v>
      </c>
      <c r="D2298" s="22">
        <v>2535</v>
      </c>
      <c r="E2298" s="23">
        <v>42031</v>
      </c>
      <c r="F2298" s="24">
        <v>2535</v>
      </c>
      <c r="G2298" s="31">
        <f t="shared" si="35"/>
        <v>0</v>
      </c>
      <c r="H2298" s="39" t="s">
        <v>17</v>
      </c>
    </row>
    <row r="2299" spans="1:8" s="3" customFormat="1" x14ac:dyDescent="0.25">
      <c r="A2299" s="20">
        <v>42031</v>
      </c>
      <c r="B2299" s="21">
        <v>10206</v>
      </c>
      <c r="C2299" s="14" t="s">
        <v>16</v>
      </c>
      <c r="D2299" s="22">
        <v>4499.2</v>
      </c>
      <c r="E2299" s="23">
        <v>42031</v>
      </c>
      <c r="F2299" s="24">
        <v>4499.2</v>
      </c>
      <c r="G2299" s="31">
        <f t="shared" si="35"/>
        <v>0</v>
      </c>
      <c r="H2299" s="39" t="s">
        <v>17</v>
      </c>
    </row>
    <row r="2300" spans="1:8" s="3" customFormat="1" x14ac:dyDescent="0.25">
      <c r="A2300" s="20">
        <v>42031</v>
      </c>
      <c r="B2300" s="21">
        <v>10207</v>
      </c>
      <c r="C2300" s="14" t="s">
        <v>110</v>
      </c>
      <c r="D2300" s="22">
        <v>37190.9</v>
      </c>
      <c r="E2300" s="29" t="s">
        <v>451</v>
      </c>
      <c r="F2300" s="24">
        <f>14546+22644.9</f>
        <v>37190.9</v>
      </c>
      <c r="G2300" s="31">
        <f t="shared" si="35"/>
        <v>0</v>
      </c>
      <c r="H2300" s="39" t="s">
        <v>19</v>
      </c>
    </row>
    <row r="2301" spans="1:8" s="3" customFormat="1" x14ac:dyDescent="0.25">
      <c r="A2301" s="20">
        <v>42031</v>
      </c>
      <c r="B2301" s="21">
        <v>10208</v>
      </c>
      <c r="C2301" s="14" t="s">
        <v>20</v>
      </c>
      <c r="D2301" s="22">
        <v>12369.6</v>
      </c>
      <c r="E2301" s="23">
        <v>42031</v>
      </c>
      <c r="F2301" s="24">
        <v>12369.6</v>
      </c>
      <c r="G2301" s="31">
        <f t="shared" si="35"/>
        <v>0</v>
      </c>
      <c r="H2301" s="39" t="s">
        <v>94</v>
      </c>
    </row>
    <row r="2302" spans="1:8" s="3" customFormat="1" x14ac:dyDescent="0.25">
      <c r="A2302" s="20">
        <v>42031</v>
      </c>
      <c r="B2302" s="21">
        <v>10209</v>
      </c>
      <c r="C2302" s="14" t="s">
        <v>16</v>
      </c>
      <c r="D2302" s="22">
        <v>190.8</v>
      </c>
      <c r="E2302" s="23">
        <v>42031</v>
      </c>
      <c r="F2302" s="24">
        <v>190.8</v>
      </c>
      <c r="G2302" s="31">
        <f t="shared" si="35"/>
        <v>0</v>
      </c>
      <c r="H2302" s="39" t="s">
        <v>9</v>
      </c>
    </row>
    <row r="2303" spans="1:8" s="3" customFormat="1" x14ac:dyDescent="0.25">
      <c r="A2303" s="20">
        <v>42031</v>
      </c>
      <c r="B2303" s="21">
        <v>10210</v>
      </c>
      <c r="C2303" s="14" t="s">
        <v>121</v>
      </c>
      <c r="D2303" s="22">
        <v>3183.5</v>
      </c>
      <c r="E2303" s="23">
        <v>42031</v>
      </c>
      <c r="F2303" s="24">
        <v>3183.5</v>
      </c>
      <c r="G2303" s="31">
        <f t="shared" si="35"/>
        <v>0</v>
      </c>
      <c r="H2303" s="39" t="s">
        <v>9</v>
      </c>
    </row>
    <row r="2304" spans="1:8" s="3" customFormat="1" x14ac:dyDescent="0.25">
      <c r="A2304" s="20">
        <v>42031</v>
      </c>
      <c r="B2304" s="21">
        <v>10211</v>
      </c>
      <c r="C2304" s="14" t="s">
        <v>114</v>
      </c>
      <c r="D2304" s="22">
        <v>1448.8</v>
      </c>
      <c r="E2304" s="23">
        <v>42031</v>
      </c>
      <c r="F2304" s="24">
        <v>1448.8</v>
      </c>
      <c r="G2304" s="31">
        <f t="shared" si="35"/>
        <v>0</v>
      </c>
      <c r="H2304" s="39" t="s">
        <v>9</v>
      </c>
    </row>
    <row r="2305" spans="1:8" s="3" customFormat="1" x14ac:dyDescent="0.25">
      <c r="A2305" s="20">
        <v>42031</v>
      </c>
      <c r="B2305" s="21">
        <v>10212</v>
      </c>
      <c r="C2305" s="14" t="s">
        <v>26</v>
      </c>
      <c r="D2305" s="22">
        <v>1728</v>
      </c>
      <c r="E2305" s="23">
        <v>42031</v>
      </c>
      <c r="F2305" s="24">
        <v>1728</v>
      </c>
      <c r="G2305" s="31">
        <f t="shared" si="35"/>
        <v>0</v>
      </c>
      <c r="H2305" s="39" t="s">
        <v>27</v>
      </c>
    </row>
    <row r="2306" spans="1:8" s="3" customFormat="1" x14ac:dyDescent="0.25">
      <c r="A2306" s="20">
        <v>42031</v>
      </c>
      <c r="B2306" s="21">
        <v>10213</v>
      </c>
      <c r="C2306" s="14" t="s">
        <v>83</v>
      </c>
      <c r="D2306" s="22">
        <v>4674</v>
      </c>
      <c r="E2306" s="23">
        <v>42031</v>
      </c>
      <c r="F2306" s="24">
        <v>4674</v>
      </c>
      <c r="G2306" s="31">
        <f t="shared" si="35"/>
        <v>0</v>
      </c>
      <c r="H2306" s="39" t="s">
        <v>59</v>
      </c>
    </row>
    <row r="2307" spans="1:8" s="3" customFormat="1" x14ac:dyDescent="0.25">
      <c r="A2307" s="20">
        <v>42031</v>
      </c>
      <c r="B2307" s="21">
        <v>10214</v>
      </c>
      <c r="C2307" s="14" t="s">
        <v>214</v>
      </c>
      <c r="D2307" s="22">
        <v>524</v>
      </c>
      <c r="E2307" s="23">
        <v>42031</v>
      </c>
      <c r="F2307" s="24">
        <v>524</v>
      </c>
      <c r="G2307" s="31">
        <f t="shared" ref="G2307:G2370" si="36">D2307-F2307</f>
        <v>0</v>
      </c>
      <c r="H2307" s="39" t="s">
        <v>59</v>
      </c>
    </row>
    <row r="2308" spans="1:8" s="3" customFormat="1" x14ac:dyDescent="0.25">
      <c r="A2308" s="20">
        <v>42031</v>
      </c>
      <c r="B2308" s="21">
        <v>10215</v>
      </c>
      <c r="C2308" s="14" t="s">
        <v>57</v>
      </c>
      <c r="D2308" s="22">
        <v>400</v>
      </c>
      <c r="E2308" s="23">
        <v>42031</v>
      </c>
      <c r="F2308" s="24">
        <v>400</v>
      </c>
      <c r="G2308" s="31">
        <f t="shared" si="36"/>
        <v>0</v>
      </c>
      <c r="H2308" s="39" t="s">
        <v>59</v>
      </c>
    </row>
    <row r="2309" spans="1:8" s="3" customFormat="1" x14ac:dyDescent="0.25">
      <c r="A2309" s="20">
        <v>42031</v>
      </c>
      <c r="B2309" s="21">
        <v>10216</v>
      </c>
      <c r="C2309" s="14" t="s">
        <v>148</v>
      </c>
      <c r="D2309" s="22">
        <v>4485</v>
      </c>
      <c r="E2309" s="23">
        <v>42031</v>
      </c>
      <c r="F2309" s="24">
        <v>4485</v>
      </c>
      <c r="G2309" s="31">
        <f t="shared" si="36"/>
        <v>0</v>
      </c>
      <c r="H2309" s="39" t="s">
        <v>9</v>
      </c>
    </row>
    <row r="2310" spans="1:8" s="3" customFormat="1" x14ac:dyDescent="0.25">
      <c r="A2310" s="20">
        <v>42031</v>
      </c>
      <c r="B2310" s="21">
        <v>10217</v>
      </c>
      <c r="C2310" s="14" t="s">
        <v>81</v>
      </c>
      <c r="D2310" s="22">
        <v>1413.6</v>
      </c>
      <c r="E2310" s="23">
        <v>42031</v>
      </c>
      <c r="F2310" s="24">
        <v>1413.6</v>
      </c>
      <c r="G2310" s="31">
        <f t="shared" si="36"/>
        <v>0</v>
      </c>
      <c r="H2310" s="39" t="s">
        <v>19</v>
      </c>
    </row>
    <row r="2311" spans="1:8" s="3" customFormat="1" x14ac:dyDescent="0.25">
      <c r="A2311" s="20">
        <v>42031</v>
      </c>
      <c r="B2311" s="21">
        <v>10218</v>
      </c>
      <c r="C2311" s="14" t="s">
        <v>22</v>
      </c>
      <c r="D2311" s="22">
        <v>1302.4000000000001</v>
      </c>
      <c r="E2311" s="23">
        <v>42031</v>
      </c>
      <c r="F2311" s="24">
        <v>1302.4000000000001</v>
      </c>
      <c r="G2311" s="31">
        <f t="shared" si="36"/>
        <v>0</v>
      </c>
      <c r="H2311" s="39" t="s">
        <v>9</v>
      </c>
    </row>
    <row r="2312" spans="1:8" s="3" customFormat="1" x14ac:dyDescent="0.25">
      <c r="A2312" s="20">
        <v>42031</v>
      </c>
      <c r="B2312" s="21">
        <v>10219</v>
      </c>
      <c r="C2312" s="14" t="s">
        <v>37</v>
      </c>
      <c r="D2312" s="22">
        <v>28194.2</v>
      </c>
      <c r="E2312" s="23">
        <v>42040</v>
      </c>
      <c r="F2312" s="24">
        <v>28194.2</v>
      </c>
      <c r="G2312" s="31">
        <f t="shared" si="36"/>
        <v>0</v>
      </c>
      <c r="H2312" s="39" t="s">
        <v>36</v>
      </c>
    </row>
    <row r="2313" spans="1:8" s="3" customFormat="1" x14ac:dyDescent="0.25">
      <c r="A2313" s="20">
        <v>42031</v>
      </c>
      <c r="B2313" s="21">
        <v>10220</v>
      </c>
      <c r="C2313" s="14" t="s">
        <v>82</v>
      </c>
      <c r="D2313" s="22">
        <v>5882.4</v>
      </c>
      <c r="E2313" s="23">
        <v>42031</v>
      </c>
      <c r="F2313" s="24">
        <v>5882.4</v>
      </c>
      <c r="G2313" s="31">
        <f t="shared" si="36"/>
        <v>0</v>
      </c>
      <c r="H2313" s="39" t="s">
        <v>59</v>
      </c>
    </row>
    <row r="2314" spans="1:8" s="3" customFormat="1" x14ac:dyDescent="0.25">
      <c r="A2314" s="20">
        <v>42031</v>
      </c>
      <c r="B2314" s="21">
        <v>10221</v>
      </c>
      <c r="C2314" s="14" t="s">
        <v>60</v>
      </c>
      <c r="D2314" s="22">
        <v>3309.6</v>
      </c>
      <c r="E2314" s="23">
        <v>42031</v>
      </c>
      <c r="F2314" s="24">
        <v>3309.6</v>
      </c>
      <c r="G2314" s="31">
        <f t="shared" si="36"/>
        <v>0</v>
      </c>
      <c r="H2314" s="39" t="s">
        <v>36</v>
      </c>
    </row>
    <row r="2315" spans="1:8" s="3" customFormat="1" x14ac:dyDescent="0.25">
      <c r="A2315" s="20">
        <v>42031</v>
      </c>
      <c r="B2315" s="21">
        <v>10222</v>
      </c>
      <c r="C2315" s="14" t="s">
        <v>238</v>
      </c>
      <c r="D2315" s="22">
        <v>132</v>
      </c>
      <c r="E2315" s="23">
        <v>42031</v>
      </c>
      <c r="F2315" s="24">
        <v>132</v>
      </c>
      <c r="G2315" s="31">
        <f t="shared" si="36"/>
        <v>0</v>
      </c>
      <c r="H2315" s="39" t="s">
        <v>59</v>
      </c>
    </row>
    <row r="2316" spans="1:8" s="3" customFormat="1" x14ac:dyDescent="0.25">
      <c r="A2316" s="20">
        <v>42031</v>
      </c>
      <c r="B2316" s="21">
        <v>10223</v>
      </c>
      <c r="C2316" s="14" t="s">
        <v>400</v>
      </c>
      <c r="D2316" s="22">
        <v>729.6</v>
      </c>
      <c r="E2316" s="23">
        <v>42031</v>
      </c>
      <c r="F2316" s="24">
        <v>729.6</v>
      </c>
      <c r="G2316" s="31">
        <f t="shared" si="36"/>
        <v>0</v>
      </c>
      <c r="H2316" s="39" t="s">
        <v>9</v>
      </c>
    </row>
    <row r="2317" spans="1:8" s="3" customFormat="1" x14ac:dyDescent="0.25">
      <c r="A2317" s="20">
        <v>42031</v>
      </c>
      <c r="B2317" s="21">
        <v>10224</v>
      </c>
      <c r="C2317" s="14" t="s">
        <v>118</v>
      </c>
      <c r="D2317" s="22">
        <v>10291.6</v>
      </c>
      <c r="E2317" s="23">
        <v>42033</v>
      </c>
      <c r="F2317" s="24">
        <v>10291.6</v>
      </c>
      <c r="G2317" s="31">
        <f t="shared" si="36"/>
        <v>0</v>
      </c>
      <c r="H2317" s="39" t="s">
        <v>59</v>
      </c>
    </row>
    <row r="2318" spans="1:8" s="3" customFormat="1" x14ac:dyDescent="0.25">
      <c r="A2318" s="20">
        <v>42031</v>
      </c>
      <c r="B2318" s="21">
        <v>10225</v>
      </c>
      <c r="C2318" s="14" t="s">
        <v>21</v>
      </c>
      <c r="D2318" s="22">
        <v>4834.2</v>
      </c>
      <c r="E2318" s="23">
        <v>42031</v>
      </c>
      <c r="F2318" s="24">
        <v>4834.2</v>
      </c>
      <c r="G2318" s="31">
        <f t="shared" si="36"/>
        <v>0</v>
      </c>
      <c r="H2318" s="39" t="s">
        <v>9</v>
      </c>
    </row>
    <row r="2319" spans="1:8" s="3" customFormat="1" x14ac:dyDescent="0.25">
      <c r="A2319" s="20">
        <v>42031</v>
      </c>
      <c r="B2319" s="21">
        <v>10226</v>
      </c>
      <c r="C2319" s="14" t="s">
        <v>53</v>
      </c>
      <c r="D2319" s="22">
        <v>1443.2</v>
      </c>
      <c r="E2319" s="23">
        <v>42031</v>
      </c>
      <c r="F2319" s="24">
        <v>1443.2</v>
      </c>
      <c r="G2319" s="31">
        <f t="shared" si="36"/>
        <v>0</v>
      </c>
      <c r="H2319" s="39" t="s">
        <v>59</v>
      </c>
    </row>
    <row r="2320" spans="1:8" s="3" customFormat="1" x14ac:dyDescent="0.25">
      <c r="A2320" s="20">
        <v>42031</v>
      </c>
      <c r="B2320" s="21">
        <v>10227</v>
      </c>
      <c r="C2320" s="14" t="s">
        <v>161</v>
      </c>
      <c r="D2320" s="22">
        <v>8864</v>
      </c>
      <c r="E2320" s="23">
        <v>42031</v>
      </c>
      <c r="F2320" s="24">
        <v>8864</v>
      </c>
      <c r="G2320" s="31">
        <f t="shared" si="36"/>
        <v>0</v>
      </c>
      <c r="H2320" s="39" t="s">
        <v>9</v>
      </c>
    </row>
    <row r="2321" spans="1:8" s="3" customFormat="1" x14ac:dyDescent="0.25">
      <c r="A2321" s="20">
        <v>42031</v>
      </c>
      <c r="B2321" s="21">
        <v>10228</v>
      </c>
      <c r="C2321" s="14" t="s">
        <v>375</v>
      </c>
      <c r="D2321" s="22">
        <v>2738</v>
      </c>
      <c r="E2321" s="23">
        <v>42031</v>
      </c>
      <c r="F2321" s="24">
        <v>2738</v>
      </c>
      <c r="G2321" s="31">
        <f t="shared" si="36"/>
        <v>0</v>
      </c>
      <c r="H2321" s="39" t="s">
        <v>9</v>
      </c>
    </row>
    <row r="2322" spans="1:8" s="3" customFormat="1" x14ac:dyDescent="0.25">
      <c r="A2322" s="20">
        <v>42031</v>
      </c>
      <c r="B2322" s="21">
        <v>10229</v>
      </c>
      <c r="C2322" s="14" t="s">
        <v>160</v>
      </c>
      <c r="D2322" s="22">
        <v>1656</v>
      </c>
      <c r="E2322" s="23">
        <v>42031</v>
      </c>
      <c r="F2322" s="24">
        <v>1656</v>
      </c>
      <c r="G2322" s="31">
        <f t="shared" si="36"/>
        <v>0</v>
      </c>
      <c r="H2322" s="39" t="s">
        <v>36</v>
      </c>
    </row>
    <row r="2323" spans="1:8" s="3" customFormat="1" x14ac:dyDescent="0.25">
      <c r="A2323" s="20">
        <v>42031</v>
      </c>
      <c r="B2323" s="21">
        <v>10230</v>
      </c>
      <c r="C2323" s="14" t="s">
        <v>56</v>
      </c>
      <c r="D2323" s="22">
        <v>1453.5</v>
      </c>
      <c r="E2323" s="23">
        <v>42031</v>
      </c>
      <c r="F2323" s="24">
        <v>1453.5</v>
      </c>
      <c r="G2323" s="31">
        <f t="shared" si="36"/>
        <v>0</v>
      </c>
      <c r="H2323" s="39" t="s">
        <v>36</v>
      </c>
    </row>
    <row r="2324" spans="1:8" s="3" customFormat="1" x14ac:dyDescent="0.25">
      <c r="A2324" s="20">
        <v>42031</v>
      </c>
      <c r="B2324" s="21">
        <v>10231</v>
      </c>
      <c r="C2324" s="14" t="s">
        <v>452</v>
      </c>
      <c r="D2324" s="22">
        <v>168</v>
      </c>
      <c r="E2324" s="23">
        <v>42031</v>
      </c>
      <c r="F2324" s="24">
        <v>168</v>
      </c>
      <c r="G2324" s="31">
        <f t="shared" si="36"/>
        <v>0</v>
      </c>
      <c r="H2324" s="39" t="s">
        <v>9</v>
      </c>
    </row>
    <row r="2325" spans="1:8" s="3" customFormat="1" x14ac:dyDescent="0.25">
      <c r="A2325" s="20">
        <v>42031</v>
      </c>
      <c r="B2325" s="21">
        <v>10232</v>
      </c>
      <c r="C2325" s="14" t="s">
        <v>24</v>
      </c>
      <c r="D2325" s="22">
        <v>77073</v>
      </c>
      <c r="E2325" s="30">
        <v>42039</v>
      </c>
      <c r="F2325" s="96">
        <v>77073</v>
      </c>
      <c r="G2325" s="31">
        <f t="shared" si="36"/>
        <v>0</v>
      </c>
      <c r="H2325" s="39" t="s">
        <v>19</v>
      </c>
    </row>
    <row r="2326" spans="1:8" s="3" customFormat="1" x14ac:dyDescent="0.25">
      <c r="A2326" s="20">
        <v>42031</v>
      </c>
      <c r="B2326" s="21">
        <v>10233</v>
      </c>
      <c r="C2326" s="14" t="s">
        <v>24</v>
      </c>
      <c r="D2326" s="22">
        <v>911.4</v>
      </c>
      <c r="E2326" s="30">
        <v>42039</v>
      </c>
      <c r="F2326" s="96">
        <v>911.4</v>
      </c>
      <c r="G2326" s="31">
        <f t="shared" si="36"/>
        <v>0</v>
      </c>
      <c r="H2326" s="39" t="s">
        <v>62</v>
      </c>
    </row>
    <row r="2327" spans="1:8" s="3" customFormat="1" x14ac:dyDescent="0.25">
      <c r="A2327" s="20">
        <v>42031</v>
      </c>
      <c r="B2327" s="21">
        <v>10234</v>
      </c>
      <c r="C2327" s="14" t="s">
        <v>319</v>
      </c>
      <c r="D2327" s="22">
        <v>2196</v>
      </c>
      <c r="E2327" s="23">
        <v>42031</v>
      </c>
      <c r="F2327" s="24">
        <v>2196</v>
      </c>
      <c r="G2327" s="31">
        <f t="shared" si="36"/>
        <v>0</v>
      </c>
      <c r="H2327" s="39" t="s">
        <v>9</v>
      </c>
    </row>
    <row r="2328" spans="1:8" s="3" customFormat="1" x14ac:dyDescent="0.25">
      <c r="A2328" s="20">
        <v>42031</v>
      </c>
      <c r="B2328" s="21">
        <v>10235</v>
      </c>
      <c r="C2328" s="14" t="s">
        <v>125</v>
      </c>
      <c r="D2328" s="22">
        <v>6878.3</v>
      </c>
      <c r="E2328" s="23">
        <v>42031</v>
      </c>
      <c r="F2328" s="24">
        <v>6878.3</v>
      </c>
      <c r="G2328" s="31">
        <f t="shared" si="36"/>
        <v>0</v>
      </c>
      <c r="H2328" s="39" t="s">
        <v>9</v>
      </c>
    </row>
    <row r="2329" spans="1:8" s="3" customFormat="1" x14ac:dyDescent="0.25">
      <c r="A2329" s="20">
        <v>42031</v>
      </c>
      <c r="B2329" s="21">
        <v>10236</v>
      </c>
      <c r="C2329" s="14" t="s">
        <v>125</v>
      </c>
      <c r="D2329" s="22">
        <v>187.2</v>
      </c>
      <c r="E2329" s="23">
        <v>42031</v>
      </c>
      <c r="F2329" s="24">
        <v>187.2</v>
      </c>
      <c r="G2329" s="31">
        <f t="shared" si="36"/>
        <v>0</v>
      </c>
      <c r="H2329" s="39" t="s">
        <v>9</v>
      </c>
    </row>
    <row r="2330" spans="1:8" s="3" customFormat="1" x14ac:dyDescent="0.25">
      <c r="A2330" s="20">
        <v>42031</v>
      </c>
      <c r="B2330" s="21">
        <v>10237</v>
      </c>
      <c r="C2330" s="14" t="s">
        <v>24</v>
      </c>
      <c r="D2330" s="22">
        <v>6778.8</v>
      </c>
      <c r="E2330" s="30">
        <v>42039</v>
      </c>
      <c r="F2330" s="96">
        <v>6778.8</v>
      </c>
      <c r="G2330" s="31">
        <f t="shared" si="36"/>
        <v>0</v>
      </c>
      <c r="H2330" s="39" t="s">
        <v>62</v>
      </c>
    </row>
    <row r="2331" spans="1:8" s="3" customFormat="1" x14ac:dyDescent="0.25">
      <c r="A2331" s="20">
        <v>42031</v>
      </c>
      <c r="B2331" s="21">
        <v>10238</v>
      </c>
      <c r="C2331" s="14" t="s">
        <v>270</v>
      </c>
      <c r="D2331" s="22">
        <v>934.8</v>
      </c>
      <c r="E2331" s="23">
        <v>42031</v>
      </c>
      <c r="F2331" s="24">
        <v>934.8</v>
      </c>
      <c r="G2331" s="31">
        <f t="shared" si="36"/>
        <v>0</v>
      </c>
      <c r="H2331" s="39" t="s">
        <v>9</v>
      </c>
    </row>
    <row r="2332" spans="1:8" s="3" customFormat="1" x14ac:dyDescent="0.25">
      <c r="A2332" s="20">
        <v>42031</v>
      </c>
      <c r="B2332" s="21">
        <v>10239</v>
      </c>
      <c r="C2332" s="14" t="s">
        <v>185</v>
      </c>
      <c r="D2332" s="22">
        <v>123054.39999999999</v>
      </c>
      <c r="E2332" s="23">
        <v>42031</v>
      </c>
      <c r="F2332" s="24">
        <v>123054.39999999999</v>
      </c>
      <c r="G2332" s="31">
        <f t="shared" si="36"/>
        <v>0</v>
      </c>
      <c r="H2332" s="39" t="s">
        <v>183</v>
      </c>
    </row>
    <row r="2333" spans="1:8" s="3" customFormat="1" x14ac:dyDescent="0.25">
      <c r="A2333" s="20">
        <v>42031</v>
      </c>
      <c r="B2333" s="21">
        <v>10240</v>
      </c>
      <c r="C2333" s="14" t="s">
        <v>151</v>
      </c>
      <c r="D2333" s="22">
        <v>4477.1000000000004</v>
      </c>
      <c r="E2333" s="23">
        <v>42032</v>
      </c>
      <c r="F2333" s="24">
        <v>4477.1000000000004</v>
      </c>
      <c r="G2333" s="31">
        <f t="shared" si="36"/>
        <v>0</v>
      </c>
      <c r="H2333" s="39" t="s">
        <v>9</v>
      </c>
    </row>
    <row r="2334" spans="1:8" s="3" customFormat="1" x14ac:dyDescent="0.25">
      <c r="A2334" s="20">
        <v>42031</v>
      </c>
      <c r="B2334" s="21">
        <v>10241</v>
      </c>
      <c r="C2334" s="14" t="s">
        <v>106</v>
      </c>
      <c r="D2334" s="22">
        <v>54377.8</v>
      </c>
      <c r="E2334" s="23">
        <v>42031</v>
      </c>
      <c r="F2334" s="24">
        <v>54377.8</v>
      </c>
      <c r="G2334" s="31">
        <f t="shared" si="36"/>
        <v>0</v>
      </c>
      <c r="H2334" s="39" t="s">
        <v>19</v>
      </c>
    </row>
    <row r="2335" spans="1:8" s="3" customFormat="1" x14ac:dyDescent="0.25">
      <c r="A2335" s="20">
        <v>42031</v>
      </c>
      <c r="B2335" s="21">
        <v>10242</v>
      </c>
      <c r="C2335" s="14" t="s">
        <v>128</v>
      </c>
      <c r="D2335" s="22">
        <v>5957.2</v>
      </c>
      <c r="E2335" s="23">
        <v>42031</v>
      </c>
      <c r="F2335" s="24">
        <v>5957.2</v>
      </c>
      <c r="G2335" s="31">
        <f t="shared" si="36"/>
        <v>0</v>
      </c>
      <c r="H2335" s="39" t="s">
        <v>94</v>
      </c>
    </row>
    <row r="2336" spans="1:8" s="3" customFormat="1" x14ac:dyDescent="0.25">
      <c r="A2336" s="20">
        <v>42031</v>
      </c>
      <c r="B2336" s="21">
        <v>10243</v>
      </c>
      <c r="C2336" s="14" t="s">
        <v>112</v>
      </c>
      <c r="D2336" s="22">
        <v>556</v>
      </c>
      <c r="E2336" s="23">
        <v>42031</v>
      </c>
      <c r="F2336" s="24">
        <v>556</v>
      </c>
      <c r="G2336" s="31">
        <f t="shared" si="36"/>
        <v>0</v>
      </c>
      <c r="H2336" s="39" t="s">
        <v>9</v>
      </c>
    </row>
    <row r="2337" spans="1:8" s="3" customFormat="1" x14ac:dyDescent="0.25">
      <c r="A2337" s="20">
        <v>42031</v>
      </c>
      <c r="B2337" s="21">
        <v>10244</v>
      </c>
      <c r="C2337" s="14" t="s">
        <v>453</v>
      </c>
      <c r="D2337" s="22">
        <v>4214.6000000000004</v>
      </c>
      <c r="E2337" s="23">
        <v>42031</v>
      </c>
      <c r="F2337" s="24">
        <v>4214.6000000000004</v>
      </c>
      <c r="G2337" s="31">
        <f t="shared" si="36"/>
        <v>0</v>
      </c>
      <c r="H2337" s="39" t="s">
        <v>19</v>
      </c>
    </row>
    <row r="2338" spans="1:8" s="3" customFormat="1" x14ac:dyDescent="0.25">
      <c r="A2338" s="20">
        <v>42031</v>
      </c>
      <c r="B2338" s="21">
        <v>10245</v>
      </c>
      <c r="C2338" s="14" t="s">
        <v>165</v>
      </c>
      <c r="D2338" s="22">
        <v>723.2</v>
      </c>
      <c r="E2338" s="23">
        <v>42031</v>
      </c>
      <c r="F2338" s="24">
        <v>723.2</v>
      </c>
      <c r="G2338" s="31">
        <f t="shared" si="36"/>
        <v>0</v>
      </c>
      <c r="H2338" s="39" t="s">
        <v>17</v>
      </c>
    </row>
    <row r="2339" spans="1:8" s="3" customFormat="1" x14ac:dyDescent="0.25">
      <c r="A2339" s="20">
        <v>42031</v>
      </c>
      <c r="B2339" s="21">
        <v>10246</v>
      </c>
      <c r="C2339" s="14" t="s">
        <v>118</v>
      </c>
      <c r="D2339" s="22">
        <v>1131.2</v>
      </c>
      <c r="E2339" s="30">
        <v>42041</v>
      </c>
      <c r="F2339" s="96">
        <v>1131.2</v>
      </c>
      <c r="G2339" s="31">
        <f t="shared" si="36"/>
        <v>0</v>
      </c>
      <c r="H2339" s="39" t="s">
        <v>94</v>
      </c>
    </row>
    <row r="2340" spans="1:8" s="3" customFormat="1" x14ac:dyDescent="0.25">
      <c r="A2340" s="20">
        <v>42031</v>
      </c>
      <c r="B2340" s="21">
        <v>10247</v>
      </c>
      <c r="C2340" s="14" t="s">
        <v>130</v>
      </c>
      <c r="D2340" s="22">
        <v>3207.9</v>
      </c>
      <c r="E2340" s="23">
        <v>42031</v>
      </c>
      <c r="F2340" s="24">
        <v>3207.9</v>
      </c>
      <c r="G2340" s="31">
        <f t="shared" si="36"/>
        <v>0</v>
      </c>
      <c r="H2340" s="39" t="s">
        <v>94</v>
      </c>
    </row>
    <row r="2341" spans="1:8" s="3" customFormat="1" x14ac:dyDescent="0.25">
      <c r="A2341" s="20">
        <v>42031</v>
      </c>
      <c r="B2341" s="21">
        <v>10248</v>
      </c>
      <c r="C2341" s="14" t="s">
        <v>143</v>
      </c>
      <c r="D2341" s="22">
        <v>9137</v>
      </c>
      <c r="E2341" s="23">
        <v>42032</v>
      </c>
      <c r="F2341" s="24">
        <v>9137</v>
      </c>
      <c r="G2341" s="31">
        <f t="shared" si="36"/>
        <v>0</v>
      </c>
      <c r="H2341" s="39" t="s">
        <v>94</v>
      </c>
    </row>
    <row r="2342" spans="1:8" s="3" customFormat="1" x14ac:dyDescent="0.25">
      <c r="A2342" s="20">
        <v>42031</v>
      </c>
      <c r="B2342" s="21">
        <v>10249</v>
      </c>
      <c r="C2342" s="14" t="s">
        <v>45</v>
      </c>
      <c r="D2342" s="22">
        <v>7291.2</v>
      </c>
      <c r="E2342" s="23">
        <v>42035</v>
      </c>
      <c r="F2342" s="24">
        <v>7291.2</v>
      </c>
      <c r="G2342" s="31">
        <f t="shared" si="36"/>
        <v>0</v>
      </c>
      <c r="H2342" s="39" t="s">
        <v>94</v>
      </c>
    </row>
    <row r="2343" spans="1:8" s="3" customFormat="1" x14ac:dyDescent="0.25">
      <c r="A2343" s="20">
        <v>42031</v>
      </c>
      <c r="B2343" s="21">
        <v>10250</v>
      </c>
      <c r="C2343" s="14" t="s">
        <v>335</v>
      </c>
      <c r="D2343" s="22">
        <v>353.8</v>
      </c>
      <c r="E2343" s="23">
        <v>42031</v>
      </c>
      <c r="F2343" s="24">
        <v>353.8</v>
      </c>
      <c r="G2343" s="31">
        <f t="shared" si="36"/>
        <v>0</v>
      </c>
      <c r="H2343" s="39" t="s">
        <v>9</v>
      </c>
    </row>
    <row r="2344" spans="1:8" s="3" customFormat="1" x14ac:dyDescent="0.25">
      <c r="A2344" s="20">
        <v>42031</v>
      </c>
      <c r="B2344" s="21">
        <v>10251</v>
      </c>
      <c r="C2344" s="14" t="s">
        <v>93</v>
      </c>
      <c r="D2344" s="22">
        <v>2312.4</v>
      </c>
      <c r="E2344" s="23">
        <v>42031</v>
      </c>
      <c r="F2344" s="24">
        <v>2312.4</v>
      </c>
      <c r="G2344" s="31">
        <f t="shared" si="36"/>
        <v>0</v>
      </c>
      <c r="H2344" s="39" t="s">
        <v>187</v>
      </c>
    </row>
    <row r="2345" spans="1:8" s="3" customFormat="1" x14ac:dyDescent="0.25">
      <c r="A2345" s="20">
        <v>42031</v>
      </c>
      <c r="B2345" s="21">
        <v>10252</v>
      </c>
      <c r="C2345" s="14" t="s">
        <v>95</v>
      </c>
      <c r="D2345" s="22">
        <v>2357.5</v>
      </c>
      <c r="E2345" s="23">
        <v>42031</v>
      </c>
      <c r="F2345" s="24">
        <v>2357.5</v>
      </c>
      <c r="G2345" s="31">
        <f t="shared" si="36"/>
        <v>0</v>
      </c>
      <c r="H2345" s="39" t="s">
        <v>187</v>
      </c>
    </row>
    <row r="2346" spans="1:8" s="3" customFormat="1" x14ac:dyDescent="0.25">
      <c r="A2346" s="20">
        <v>42031</v>
      </c>
      <c r="B2346" s="21">
        <v>10253</v>
      </c>
      <c r="C2346" s="14" t="s">
        <v>406</v>
      </c>
      <c r="D2346" s="22">
        <v>42064.3</v>
      </c>
      <c r="E2346" s="23">
        <v>42031</v>
      </c>
      <c r="F2346" s="24">
        <f>856+41208.3</f>
        <v>42064.3</v>
      </c>
      <c r="G2346" s="31">
        <f t="shared" si="36"/>
        <v>0</v>
      </c>
      <c r="H2346" s="39" t="s">
        <v>17</v>
      </c>
    </row>
    <row r="2347" spans="1:8" s="3" customFormat="1" x14ac:dyDescent="0.25">
      <c r="A2347" s="20">
        <v>42031</v>
      </c>
      <c r="B2347" s="21">
        <v>10254</v>
      </c>
      <c r="C2347" s="14" t="s">
        <v>98</v>
      </c>
      <c r="D2347" s="22">
        <v>1588</v>
      </c>
      <c r="E2347" s="23">
        <v>42031</v>
      </c>
      <c r="F2347" s="24">
        <v>1588</v>
      </c>
      <c r="G2347" s="31">
        <f t="shared" si="36"/>
        <v>0</v>
      </c>
      <c r="H2347" s="39" t="s">
        <v>187</v>
      </c>
    </row>
    <row r="2348" spans="1:8" s="3" customFormat="1" x14ac:dyDescent="0.25">
      <c r="A2348" s="20">
        <v>42031</v>
      </c>
      <c r="B2348" s="21">
        <v>10255</v>
      </c>
      <c r="C2348" s="14" t="s">
        <v>393</v>
      </c>
      <c r="D2348" s="22">
        <v>489.9</v>
      </c>
      <c r="E2348" s="23">
        <v>42031</v>
      </c>
      <c r="F2348" s="24">
        <v>489.9</v>
      </c>
      <c r="G2348" s="31">
        <f t="shared" si="36"/>
        <v>0</v>
      </c>
      <c r="H2348" s="39" t="s">
        <v>187</v>
      </c>
    </row>
    <row r="2349" spans="1:8" s="3" customFormat="1" x14ac:dyDescent="0.25">
      <c r="A2349" s="20">
        <v>42031</v>
      </c>
      <c r="B2349" s="21">
        <v>10256</v>
      </c>
      <c r="C2349" s="14" t="s">
        <v>454</v>
      </c>
      <c r="D2349" s="22">
        <v>5786.8</v>
      </c>
      <c r="E2349" s="23">
        <v>42031</v>
      </c>
      <c r="F2349" s="24">
        <v>5786.8</v>
      </c>
      <c r="G2349" s="31">
        <f t="shared" si="36"/>
        <v>0</v>
      </c>
      <c r="H2349" s="39" t="s">
        <v>187</v>
      </c>
    </row>
    <row r="2350" spans="1:8" s="3" customFormat="1" x14ac:dyDescent="0.25">
      <c r="A2350" s="20">
        <v>42031</v>
      </c>
      <c r="B2350" s="21">
        <v>10257</v>
      </c>
      <c r="C2350" s="14" t="s">
        <v>455</v>
      </c>
      <c r="D2350" s="22">
        <v>3382.4</v>
      </c>
      <c r="E2350" s="23">
        <v>42031</v>
      </c>
      <c r="F2350" s="24">
        <v>3382.4</v>
      </c>
      <c r="G2350" s="31">
        <f t="shared" si="36"/>
        <v>0</v>
      </c>
      <c r="H2350" s="39" t="s">
        <v>187</v>
      </c>
    </row>
    <row r="2351" spans="1:8" s="3" customFormat="1" x14ac:dyDescent="0.25">
      <c r="A2351" s="20">
        <v>42031</v>
      </c>
      <c r="B2351" s="21">
        <v>10258</v>
      </c>
      <c r="C2351" s="14" t="s">
        <v>136</v>
      </c>
      <c r="D2351" s="22">
        <v>40926.199999999997</v>
      </c>
      <c r="E2351" s="29" t="s">
        <v>456</v>
      </c>
      <c r="F2351" s="24">
        <f>2900+20300+17726.2</f>
        <v>40926.199999999997</v>
      </c>
      <c r="G2351" s="31">
        <f t="shared" si="36"/>
        <v>0</v>
      </c>
      <c r="H2351" s="39" t="s">
        <v>9</v>
      </c>
    </row>
    <row r="2352" spans="1:8" s="3" customFormat="1" x14ac:dyDescent="0.25">
      <c r="A2352" s="20">
        <v>42031</v>
      </c>
      <c r="B2352" s="21">
        <v>10259</v>
      </c>
      <c r="C2352" s="14" t="s">
        <v>64</v>
      </c>
      <c r="D2352" s="22">
        <v>2079.1999999999998</v>
      </c>
      <c r="E2352" s="23">
        <v>42031</v>
      </c>
      <c r="F2352" s="24">
        <v>2079.1999999999998</v>
      </c>
      <c r="G2352" s="31">
        <f t="shared" si="36"/>
        <v>0</v>
      </c>
      <c r="H2352" s="39" t="s">
        <v>9</v>
      </c>
    </row>
    <row r="2353" spans="1:8" s="3" customFormat="1" x14ac:dyDescent="0.25">
      <c r="A2353" s="20">
        <v>42031</v>
      </c>
      <c r="B2353" s="21">
        <v>10260</v>
      </c>
      <c r="C2353" s="14" t="s">
        <v>333</v>
      </c>
      <c r="D2353" s="22">
        <v>865</v>
      </c>
      <c r="E2353" s="23">
        <v>42031</v>
      </c>
      <c r="F2353" s="24">
        <v>865</v>
      </c>
      <c r="G2353" s="31">
        <f t="shared" si="36"/>
        <v>0</v>
      </c>
      <c r="H2353" s="39" t="s">
        <v>187</v>
      </c>
    </row>
    <row r="2354" spans="1:8" s="3" customFormat="1" x14ac:dyDescent="0.25">
      <c r="A2354" s="20">
        <v>42031</v>
      </c>
      <c r="B2354" s="21">
        <v>10261</v>
      </c>
      <c r="C2354" s="14" t="s">
        <v>55</v>
      </c>
      <c r="D2354" s="22">
        <v>520</v>
      </c>
      <c r="E2354" s="23">
        <v>42031</v>
      </c>
      <c r="F2354" s="24">
        <v>520</v>
      </c>
      <c r="G2354" s="31">
        <f t="shared" si="36"/>
        <v>0</v>
      </c>
      <c r="H2354" s="39" t="s">
        <v>9</v>
      </c>
    </row>
    <row r="2355" spans="1:8" s="3" customFormat="1" x14ac:dyDescent="0.25">
      <c r="A2355" s="20">
        <v>42031</v>
      </c>
      <c r="B2355" s="21">
        <v>10262</v>
      </c>
      <c r="C2355" s="14" t="s">
        <v>89</v>
      </c>
      <c r="D2355" s="22">
        <v>4660.8</v>
      </c>
      <c r="E2355" s="23">
        <v>42031</v>
      </c>
      <c r="F2355" s="24">
        <v>4660.8</v>
      </c>
      <c r="G2355" s="31">
        <f t="shared" si="36"/>
        <v>0</v>
      </c>
      <c r="H2355" s="39" t="s">
        <v>9</v>
      </c>
    </row>
    <row r="2356" spans="1:8" s="3" customFormat="1" x14ac:dyDescent="0.25">
      <c r="A2356" s="20">
        <v>42031</v>
      </c>
      <c r="B2356" s="21">
        <v>10263</v>
      </c>
      <c r="C2356" s="26" t="s">
        <v>218</v>
      </c>
      <c r="D2356" s="27">
        <v>0</v>
      </c>
      <c r="E2356" s="23"/>
      <c r="F2356" s="24"/>
      <c r="G2356" s="31">
        <f t="shared" si="36"/>
        <v>0</v>
      </c>
      <c r="H2356" s="39" t="s">
        <v>13</v>
      </c>
    </row>
    <row r="2357" spans="1:8" s="3" customFormat="1" x14ac:dyDescent="0.25">
      <c r="A2357" s="20">
        <v>42031</v>
      </c>
      <c r="B2357" s="21">
        <v>10264</v>
      </c>
      <c r="C2357" s="14" t="s">
        <v>305</v>
      </c>
      <c r="D2357" s="22">
        <v>2842</v>
      </c>
      <c r="E2357" s="23">
        <v>42031</v>
      </c>
      <c r="F2357" s="24">
        <v>2842</v>
      </c>
      <c r="G2357" s="31">
        <f t="shared" si="36"/>
        <v>0</v>
      </c>
      <c r="H2357" s="39" t="s">
        <v>9</v>
      </c>
    </row>
    <row r="2358" spans="1:8" s="3" customFormat="1" x14ac:dyDescent="0.25">
      <c r="A2358" s="20">
        <v>42031</v>
      </c>
      <c r="B2358" s="21">
        <v>10265</v>
      </c>
      <c r="C2358" s="14" t="s">
        <v>141</v>
      </c>
      <c r="D2358" s="22">
        <v>2484.1999999999998</v>
      </c>
      <c r="E2358" s="23">
        <v>42031</v>
      </c>
      <c r="F2358" s="24">
        <v>2484.1999999999998</v>
      </c>
      <c r="G2358" s="31">
        <f t="shared" si="36"/>
        <v>0</v>
      </c>
      <c r="H2358" s="39" t="s">
        <v>9</v>
      </c>
    </row>
    <row r="2359" spans="1:8" s="3" customFormat="1" x14ac:dyDescent="0.25">
      <c r="A2359" s="20">
        <v>42031</v>
      </c>
      <c r="B2359" s="21">
        <v>10266</v>
      </c>
      <c r="C2359" s="14" t="s">
        <v>185</v>
      </c>
      <c r="D2359" s="22">
        <v>128543.2</v>
      </c>
      <c r="E2359" s="23">
        <v>42038</v>
      </c>
      <c r="F2359" s="24">
        <v>128543.2</v>
      </c>
      <c r="G2359" s="31">
        <f t="shared" si="36"/>
        <v>0</v>
      </c>
      <c r="H2359" s="39" t="s">
        <v>62</v>
      </c>
    </row>
    <row r="2360" spans="1:8" s="3" customFormat="1" x14ac:dyDescent="0.25">
      <c r="A2360" s="20">
        <v>42031</v>
      </c>
      <c r="B2360" s="21">
        <v>10267</v>
      </c>
      <c r="C2360" s="14" t="s">
        <v>32</v>
      </c>
      <c r="D2360" s="22">
        <v>8550</v>
      </c>
      <c r="E2360" s="23">
        <v>42035</v>
      </c>
      <c r="F2360" s="24">
        <v>8550</v>
      </c>
      <c r="G2360" s="31">
        <f t="shared" si="36"/>
        <v>0</v>
      </c>
      <c r="H2360" s="39" t="s">
        <v>19</v>
      </c>
    </row>
    <row r="2361" spans="1:8" s="3" customFormat="1" x14ac:dyDescent="0.25">
      <c r="A2361" s="20">
        <v>42031</v>
      </c>
      <c r="B2361" s="21">
        <v>10268</v>
      </c>
      <c r="C2361" s="14" t="s">
        <v>256</v>
      </c>
      <c r="D2361" s="22">
        <v>24617.1</v>
      </c>
      <c r="E2361" s="23">
        <v>42032</v>
      </c>
      <c r="F2361" s="24">
        <v>24617.1</v>
      </c>
      <c r="G2361" s="31">
        <f t="shared" si="36"/>
        <v>0</v>
      </c>
      <c r="H2361" s="39" t="s">
        <v>36</v>
      </c>
    </row>
    <row r="2362" spans="1:8" s="3" customFormat="1" x14ac:dyDescent="0.25">
      <c r="A2362" s="20">
        <v>42031</v>
      </c>
      <c r="B2362" s="21">
        <v>10269</v>
      </c>
      <c r="C2362" s="14" t="s">
        <v>80</v>
      </c>
      <c r="D2362" s="22">
        <v>6256.8</v>
      </c>
      <c r="E2362" s="23">
        <v>42031</v>
      </c>
      <c r="F2362" s="24">
        <v>6256.8</v>
      </c>
      <c r="G2362" s="31">
        <f t="shared" si="36"/>
        <v>0</v>
      </c>
      <c r="H2362" s="39" t="s">
        <v>9</v>
      </c>
    </row>
    <row r="2363" spans="1:8" s="3" customFormat="1" x14ac:dyDescent="0.25">
      <c r="A2363" s="20">
        <v>42031</v>
      </c>
      <c r="B2363" s="21">
        <v>10270</v>
      </c>
      <c r="C2363" s="14" t="s">
        <v>235</v>
      </c>
      <c r="D2363" s="22">
        <v>2134.4</v>
      </c>
      <c r="E2363" s="23">
        <v>42032</v>
      </c>
      <c r="F2363" s="24">
        <v>2134.4</v>
      </c>
      <c r="G2363" s="31">
        <f t="shared" si="36"/>
        <v>0</v>
      </c>
      <c r="H2363" s="39" t="s">
        <v>17</v>
      </c>
    </row>
    <row r="2364" spans="1:8" s="3" customFormat="1" x14ac:dyDescent="0.25">
      <c r="A2364" s="20">
        <v>42031</v>
      </c>
      <c r="B2364" s="21">
        <v>10271</v>
      </c>
      <c r="C2364" s="14" t="s">
        <v>360</v>
      </c>
      <c r="D2364" s="22">
        <v>299.60000000000002</v>
      </c>
      <c r="E2364" s="23">
        <v>42031</v>
      </c>
      <c r="F2364" s="24">
        <v>299.60000000000002</v>
      </c>
      <c r="G2364" s="31">
        <f t="shared" si="36"/>
        <v>0</v>
      </c>
      <c r="H2364" s="39" t="s">
        <v>9</v>
      </c>
    </row>
    <row r="2365" spans="1:8" s="3" customFormat="1" x14ac:dyDescent="0.25">
      <c r="A2365" s="20">
        <v>42031</v>
      </c>
      <c r="B2365" s="21">
        <v>10272</v>
      </c>
      <c r="C2365" s="14" t="s">
        <v>24</v>
      </c>
      <c r="D2365" s="22">
        <v>150836.93</v>
      </c>
      <c r="E2365" s="30">
        <v>42039</v>
      </c>
      <c r="F2365" s="96">
        <v>150836.93</v>
      </c>
      <c r="G2365" s="31">
        <f t="shared" si="36"/>
        <v>0</v>
      </c>
      <c r="H2365" s="39" t="s">
        <v>46</v>
      </c>
    </row>
    <row r="2366" spans="1:8" s="3" customFormat="1" x14ac:dyDescent="0.25">
      <c r="A2366" s="20">
        <v>42031</v>
      </c>
      <c r="B2366" s="21">
        <v>10273</v>
      </c>
      <c r="C2366" s="14" t="s">
        <v>111</v>
      </c>
      <c r="D2366" s="22">
        <v>192222</v>
      </c>
      <c r="E2366" s="23">
        <v>42034</v>
      </c>
      <c r="F2366" s="24">
        <v>192222</v>
      </c>
      <c r="G2366" s="31">
        <f t="shared" si="36"/>
        <v>0</v>
      </c>
      <c r="H2366" s="39" t="s">
        <v>9</v>
      </c>
    </row>
    <row r="2367" spans="1:8" s="3" customFormat="1" x14ac:dyDescent="0.25">
      <c r="A2367" s="20">
        <v>42031</v>
      </c>
      <c r="B2367" s="21">
        <v>10274</v>
      </c>
      <c r="C2367" s="14" t="s">
        <v>237</v>
      </c>
      <c r="D2367" s="22">
        <v>325</v>
      </c>
      <c r="E2367" s="23">
        <v>42032</v>
      </c>
      <c r="F2367" s="24">
        <v>325</v>
      </c>
      <c r="G2367" s="31">
        <f t="shared" si="36"/>
        <v>0</v>
      </c>
      <c r="H2367" s="39" t="s">
        <v>9</v>
      </c>
    </row>
    <row r="2368" spans="1:8" s="3" customFormat="1" x14ac:dyDescent="0.25">
      <c r="A2368" s="20">
        <v>42032</v>
      </c>
      <c r="B2368" s="21">
        <v>10275</v>
      </c>
      <c r="C2368" s="14" t="s">
        <v>16</v>
      </c>
      <c r="D2368" s="22">
        <v>4035.6</v>
      </c>
      <c r="E2368" s="23">
        <v>42032</v>
      </c>
      <c r="F2368" s="24">
        <v>4035.6</v>
      </c>
      <c r="G2368" s="31">
        <f t="shared" si="36"/>
        <v>0</v>
      </c>
      <c r="H2368" s="39" t="s">
        <v>19</v>
      </c>
    </row>
    <row r="2369" spans="1:8" s="3" customFormat="1" x14ac:dyDescent="0.25">
      <c r="A2369" s="20">
        <v>42032</v>
      </c>
      <c r="B2369" s="21">
        <v>10276</v>
      </c>
      <c r="C2369" s="14" t="s">
        <v>24</v>
      </c>
      <c r="D2369" s="22">
        <v>45110.400000000001</v>
      </c>
      <c r="E2369" s="30">
        <v>42039</v>
      </c>
      <c r="F2369" s="96">
        <v>45110.400000000001</v>
      </c>
      <c r="G2369" s="31">
        <f t="shared" si="36"/>
        <v>0</v>
      </c>
      <c r="H2369" s="39" t="s">
        <v>187</v>
      </c>
    </row>
    <row r="2370" spans="1:8" s="3" customFormat="1" x14ac:dyDescent="0.25">
      <c r="A2370" s="20">
        <v>42032</v>
      </c>
      <c r="B2370" s="21">
        <v>10277</v>
      </c>
      <c r="C2370" s="14" t="s">
        <v>14</v>
      </c>
      <c r="D2370" s="22">
        <v>15062.4</v>
      </c>
      <c r="E2370" s="23">
        <v>42035</v>
      </c>
      <c r="F2370" s="24">
        <v>15062.4</v>
      </c>
      <c r="G2370" s="31">
        <f t="shared" si="36"/>
        <v>0</v>
      </c>
      <c r="H2370" s="39" t="s">
        <v>187</v>
      </c>
    </row>
    <row r="2371" spans="1:8" s="3" customFormat="1" x14ac:dyDescent="0.25">
      <c r="A2371" s="20">
        <v>42032</v>
      </c>
      <c r="B2371" s="21">
        <v>10278</v>
      </c>
      <c r="C2371" s="14" t="s">
        <v>78</v>
      </c>
      <c r="D2371" s="22">
        <v>10480.799999999999</v>
      </c>
      <c r="E2371" s="72">
        <v>42033</v>
      </c>
      <c r="F2371" s="24">
        <v>10480.799999999999</v>
      </c>
      <c r="G2371" s="31">
        <f t="shared" ref="G2371:G2434" si="37">D2371-F2371</f>
        <v>0</v>
      </c>
      <c r="H2371" s="39" t="s">
        <v>62</v>
      </c>
    </row>
    <row r="2372" spans="1:8" s="3" customFormat="1" x14ac:dyDescent="0.25">
      <c r="A2372" s="20">
        <v>42032</v>
      </c>
      <c r="B2372" s="21">
        <v>10279</v>
      </c>
      <c r="C2372" s="14" t="s">
        <v>67</v>
      </c>
      <c r="D2372" s="22">
        <v>2549.9</v>
      </c>
      <c r="E2372" s="23">
        <v>42033</v>
      </c>
      <c r="F2372" s="24">
        <v>2549.9</v>
      </c>
      <c r="G2372" s="31">
        <f t="shared" si="37"/>
        <v>0</v>
      </c>
      <c r="H2372" s="39" t="s">
        <v>62</v>
      </c>
    </row>
    <row r="2373" spans="1:8" s="3" customFormat="1" x14ac:dyDescent="0.25">
      <c r="A2373" s="20">
        <v>42032</v>
      </c>
      <c r="B2373" s="21">
        <v>10280</v>
      </c>
      <c r="C2373" s="14" t="s">
        <v>426</v>
      </c>
      <c r="D2373" s="22">
        <v>26248.01</v>
      </c>
      <c r="E2373" s="23">
        <v>42033</v>
      </c>
      <c r="F2373" s="24">
        <v>26248.01</v>
      </c>
      <c r="G2373" s="31">
        <f t="shared" si="37"/>
        <v>0</v>
      </c>
      <c r="H2373" s="39" t="s">
        <v>62</v>
      </c>
    </row>
    <row r="2374" spans="1:8" s="3" customFormat="1" x14ac:dyDescent="0.25">
      <c r="A2374" s="20">
        <v>42032</v>
      </c>
      <c r="B2374" s="21">
        <v>10281</v>
      </c>
      <c r="C2374" s="14" t="s">
        <v>178</v>
      </c>
      <c r="D2374" s="22">
        <v>8154.4</v>
      </c>
      <c r="E2374" s="23">
        <v>42006</v>
      </c>
      <c r="F2374" s="24">
        <v>8154.4</v>
      </c>
      <c r="G2374" s="31">
        <f t="shared" si="37"/>
        <v>0</v>
      </c>
      <c r="H2374" s="39" t="s">
        <v>62</v>
      </c>
    </row>
    <row r="2375" spans="1:8" s="3" customFormat="1" x14ac:dyDescent="0.25">
      <c r="A2375" s="20">
        <v>42032</v>
      </c>
      <c r="B2375" s="21">
        <v>10282</v>
      </c>
      <c r="C2375" s="14" t="s">
        <v>65</v>
      </c>
      <c r="D2375" s="22">
        <v>12574.8</v>
      </c>
      <c r="E2375" s="23">
        <v>42033</v>
      </c>
      <c r="F2375" s="24">
        <v>12574.8</v>
      </c>
      <c r="G2375" s="31">
        <f t="shared" si="37"/>
        <v>0</v>
      </c>
      <c r="H2375" s="39" t="s">
        <v>62</v>
      </c>
    </row>
    <row r="2376" spans="1:8" s="3" customFormat="1" x14ac:dyDescent="0.25">
      <c r="A2376" s="20">
        <v>42032</v>
      </c>
      <c r="B2376" s="21">
        <v>10283</v>
      </c>
      <c r="C2376" s="14" t="s">
        <v>331</v>
      </c>
      <c r="D2376" s="22">
        <v>2943</v>
      </c>
      <c r="E2376" s="23">
        <v>42033</v>
      </c>
      <c r="F2376" s="24">
        <v>2943</v>
      </c>
      <c r="G2376" s="31">
        <f t="shared" si="37"/>
        <v>0</v>
      </c>
      <c r="H2376" s="39" t="s">
        <v>62</v>
      </c>
    </row>
    <row r="2377" spans="1:8" s="3" customFormat="1" x14ac:dyDescent="0.25">
      <c r="A2377" s="20">
        <v>42032</v>
      </c>
      <c r="B2377" s="21">
        <v>10284</v>
      </c>
      <c r="C2377" s="14" t="s">
        <v>20</v>
      </c>
      <c r="D2377" s="22">
        <v>11761.2</v>
      </c>
      <c r="E2377" s="23">
        <v>42032</v>
      </c>
      <c r="F2377" s="24">
        <v>11761.2</v>
      </c>
      <c r="G2377" s="31">
        <f t="shared" si="37"/>
        <v>0</v>
      </c>
      <c r="H2377" s="39" t="s">
        <v>17</v>
      </c>
    </row>
    <row r="2378" spans="1:8" s="3" customFormat="1" x14ac:dyDescent="0.25">
      <c r="A2378" s="20">
        <v>42032</v>
      </c>
      <c r="B2378" s="21">
        <v>10285</v>
      </c>
      <c r="C2378" s="14" t="s">
        <v>75</v>
      </c>
      <c r="D2378" s="22">
        <v>15677.4</v>
      </c>
      <c r="E2378" s="23">
        <v>42033</v>
      </c>
      <c r="F2378" s="24">
        <v>15677.4</v>
      </c>
      <c r="G2378" s="31">
        <f t="shared" si="37"/>
        <v>0</v>
      </c>
      <c r="H2378" s="39" t="s">
        <v>62</v>
      </c>
    </row>
    <row r="2379" spans="1:8" s="3" customFormat="1" x14ac:dyDescent="0.25">
      <c r="A2379" s="20">
        <v>42032</v>
      </c>
      <c r="B2379" s="21">
        <v>10286</v>
      </c>
      <c r="C2379" s="14" t="s">
        <v>173</v>
      </c>
      <c r="D2379" s="22">
        <v>29432.799999999999</v>
      </c>
      <c r="E2379" s="30" t="s">
        <v>515</v>
      </c>
      <c r="F2379" s="96">
        <v>29432.799999999999</v>
      </c>
      <c r="G2379" s="31">
        <f t="shared" si="37"/>
        <v>0</v>
      </c>
      <c r="H2379" s="39" t="s">
        <v>62</v>
      </c>
    </row>
    <row r="2380" spans="1:8" s="3" customFormat="1" x14ac:dyDescent="0.25">
      <c r="A2380" s="20">
        <v>42032</v>
      </c>
      <c r="B2380" s="21">
        <v>10287</v>
      </c>
      <c r="C2380" s="14" t="s">
        <v>137</v>
      </c>
      <c r="D2380" s="22">
        <v>2757.6</v>
      </c>
      <c r="E2380" s="23">
        <v>42032</v>
      </c>
      <c r="F2380" s="24">
        <v>2757.6</v>
      </c>
      <c r="G2380" s="31">
        <f t="shared" si="37"/>
        <v>0</v>
      </c>
      <c r="H2380" s="39" t="s">
        <v>9</v>
      </c>
    </row>
    <row r="2381" spans="1:8" s="3" customFormat="1" x14ac:dyDescent="0.25">
      <c r="A2381" s="20">
        <v>42032</v>
      </c>
      <c r="B2381" s="21">
        <v>10288</v>
      </c>
      <c r="C2381" s="14" t="s">
        <v>121</v>
      </c>
      <c r="D2381" s="22">
        <v>1903.6</v>
      </c>
      <c r="E2381" s="23">
        <v>42032</v>
      </c>
      <c r="F2381" s="24">
        <v>1903.6</v>
      </c>
      <c r="G2381" s="31">
        <f t="shared" si="37"/>
        <v>0</v>
      </c>
      <c r="H2381" s="39" t="s">
        <v>9</v>
      </c>
    </row>
    <row r="2382" spans="1:8" s="3" customFormat="1" x14ac:dyDescent="0.25">
      <c r="A2382" s="20">
        <v>42032</v>
      </c>
      <c r="B2382" s="21">
        <v>10289</v>
      </c>
      <c r="C2382" s="14" t="s">
        <v>173</v>
      </c>
      <c r="D2382" s="22">
        <v>2880</v>
      </c>
      <c r="E2382" s="74" t="s">
        <v>516</v>
      </c>
      <c r="F2382" s="96">
        <v>2880</v>
      </c>
      <c r="G2382" s="31">
        <f t="shared" si="37"/>
        <v>0</v>
      </c>
      <c r="H2382" s="39" t="s">
        <v>62</v>
      </c>
    </row>
    <row r="2383" spans="1:8" s="3" customFormat="1" x14ac:dyDescent="0.25">
      <c r="A2383" s="20">
        <v>42032</v>
      </c>
      <c r="B2383" s="21">
        <v>10290</v>
      </c>
      <c r="C2383" s="14" t="s">
        <v>151</v>
      </c>
      <c r="D2383" s="22">
        <v>2152.9499999999998</v>
      </c>
      <c r="E2383" s="65">
        <v>42033</v>
      </c>
      <c r="F2383" s="24">
        <v>2152.9499999999998</v>
      </c>
      <c r="G2383" s="31">
        <f t="shared" si="37"/>
        <v>0</v>
      </c>
      <c r="H2383" s="39" t="s">
        <v>9</v>
      </c>
    </row>
    <row r="2384" spans="1:8" s="3" customFormat="1" x14ac:dyDescent="0.25">
      <c r="A2384" s="20">
        <v>42032</v>
      </c>
      <c r="B2384" s="21">
        <v>10291</v>
      </c>
      <c r="C2384" s="14" t="s">
        <v>148</v>
      </c>
      <c r="D2384" s="22">
        <v>3882.4</v>
      </c>
      <c r="E2384" s="65">
        <v>42033</v>
      </c>
      <c r="F2384" s="24">
        <v>3882.4</v>
      </c>
      <c r="G2384" s="31">
        <f t="shared" si="37"/>
        <v>0</v>
      </c>
      <c r="H2384" s="39" t="s">
        <v>9</v>
      </c>
    </row>
    <row r="2385" spans="1:8" s="3" customFormat="1" x14ac:dyDescent="0.25">
      <c r="A2385" s="20">
        <v>42032</v>
      </c>
      <c r="B2385" s="21">
        <v>10292</v>
      </c>
      <c r="C2385" s="14" t="s">
        <v>23</v>
      </c>
      <c r="D2385" s="22">
        <v>6396.6</v>
      </c>
      <c r="E2385" s="65">
        <v>42032</v>
      </c>
      <c r="F2385" s="24">
        <v>6396.6</v>
      </c>
      <c r="G2385" s="31">
        <f t="shared" si="37"/>
        <v>0</v>
      </c>
      <c r="H2385" s="39" t="s">
        <v>9</v>
      </c>
    </row>
    <row r="2386" spans="1:8" s="3" customFormat="1" x14ac:dyDescent="0.25">
      <c r="A2386" s="20">
        <v>42032</v>
      </c>
      <c r="B2386" s="21">
        <v>10293</v>
      </c>
      <c r="C2386" s="14" t="s">
        <v>26</v>
      </c>
      <c r="D2386" s="22">
        <v>1728</v>
      </c>
      <c r="E2386" s="65">
        <v>42032</v>
      </c>
      <c r="F2386" s="24">
        <v>1728</v>
      </c>
      <c r="G2386" s="31">
        <f t="shared" si="37"/>
        <v>0</v>
      </c>
      <c r="H2386" s="39" t="s">
        <v>27</v>
      </c>
    </row>
    <row r="2387" spans="1:8" s="3" customFormat="1" x14ac:dyDescent="0.25">
      <c r="A2387" s="20">
        <v>42032</v>
      </c>
      <c r="B2387" s="21">
        <v>10294</v>
      </c>
      <c r="C2387" s="14" t="s">
        <v>34</v>
      </c>
      <c r="D2387" s="22">
        <v>3597.3</v>
      </c>
      <c r="E2387" s="65">
        <v>42032</v>
      </c>
      <c r="F2387" s="24">
        <v>3597.3</v>
      </c>
      <c r="G2387" s="31">
        <f t="shared" si="37"/>
        <v>0</v>
      </c>
      <c r="H2387" s="39" t="s">
        <v>9</v>
      </c>
    </row>
    <row r="2388" spans="1:8" s="3" customFormat="1" x14ac:dyDescent="0.25">
      <c r="A2388" s="20">
        <v>42032</v>
      </c>
      <c r="B2388" s="21">
        <v>10295</v>
      </c>
      <c r="C2388" s="14" t="s">
        <v>55</v>
      </c>
      <c r="D2388" s="22">
        <v>27883.09</v>
      </c>
      <c r="E2388" s="65">
        <v>42032</v>
      </c>
      <c r="F2388" s="24">
        <v>27883.09</v>
      </c>
      <c r="G2388" s="31">
        <f t="shared" si="37"/>
        <v>0</v>
      </c>
      <c r="H2388" s="39" t="s">
        <v>36</v>
      </c>
    </row>
    <row r="2389" spans="1:8" s="3" customFormat="1" x14ac:dyDescent="0.25">
      <c r="A2389" s="20">
        <v>42032</v>
      </c>
      <c r="B2389" s="21">
        <v>10296</v>
      </c>
      <c r="C2389" s="14" t="s">
        <v>35</v>
      </c>
      <c r="D2389" s="22">
        <v>25081.17</v>
      </c>
      <c r="E2389" s="65">
        <v>42032</v>
      </c>
      <c r="F2389" s="24">
        <v>25081.17</v>
      </c>
      <c r="G2389" s="31">
        <f t="shared" si="37"/>
        <v>0</v>
      </c>
      <c r="H2389" s="39" t="s">
        <v>36</v>
      </c>
    </row>
    <row r="2390" spans="1:8" s="3" customFormat="1" x14ac:dyDescent="0.25">
      <c r="A2390" s="20">
        <v>42032</v>
      </c>
      <c r="B2390" s="21">
        <v>10297</v>
      </c>
      <c r="C2390" s="14" t="s">
        <v>249</v>
      </c>
      <c r="D2390" s="22">
        <v>4116</v>
      </c>
      <c r="E2390" s="65">
        <v>42032</v>
      </c>
      <c r="F2390" s="24">
        <v>4116</v>
      </c>
      <c r="G2390" s="31">
        <f t="shared" si="37"/>
        <v>0</v>
      </c>
      <c r="H2390" s="39" t="s">
        <v>94</v>
      </c>
    </row>
    <row r="2391" spans="1:8" s="3" customFormat="1" x14ac:dyDescent="0.25">
      <c r="A2391" s="20">
        <v>42032</v>
      </c>
      <c r="B2391" s="21">
        <v>10298</v>
      </c>
      <c r="C2391" s="14" t="s">
        <v>103</v>
      </c>
      <c r="D2391" s="22">
        <v>23970.44</v>
      </c>
      <c r="E2391" s="65">
        <v>42032</v>
      </c>
      <c r="F2391" s="24">
        <v>23970.44</v>
      </c>
      <c r="G2391" s="31">
        <f t="shared" si="37"/>
        <v>0</v>
      </c>
      <c r="H2391" s="39" t="s">
        <v>36</v>
      </c>
    </row>
    <row r="2392" spans="1:8" s="3" customFormat="1" x14ac:dyDescent="0.25">
      <c r="A2392" s="20">
        <v>42032</v>
      </c>
      <c r="B2392" s="21">
        <v>10299</v>
      </c>
      <c r="C2392" s="14" t="s">
        <v>334</v>
      </c>
      <c r="D2392" s="22">
        <v>3537.6</v>
      </c>
      <c r="E2392" s="65">
        <v>42032</v>
      </c>
      <c r="F2392" s="24">
        <v>3537.6</v>
      </c>
      <c r="G2392" s="31">
        <f t="shared" si="37"/>
        <v>0</v>
      </c>
      <c r="H2392" s="39" t="s">
        <v>94</v>
      </c>
    </row>
    <row r="2393" spans="1:8" s="3" customFormat="1" x14ac:dyDescent="0.25">
      <c r="A2393" s="20">
        <v>42032</v>
      </c>
      <c r="B2393" s="21">
        <v>10300</v>
      </c>
      <c r="C2393" s="14" t="s">
        <v>162</v>
      </c>
      <c r="D2393" s="22">
        <v>1306.4000000000001</v>
      </c>
      <c r="E2393" s="65">
        <v>42032</v>
      </c>
      <c r="F2393" s="24">
        <v>1306.4000000000001</v>
      </c>
      <c r="G2393" s="31">
        <f t="shared" si="37"/>
        <v>0</v>
      </c>
      <c r="H2393" s="39" t="s">
        <v>36</v>
      </c>
    </row>
    <row r="2394" spans="1:8" s="3" customFormat="1" x14ac:dyDescent="0.25">
      <c r="A2394" s="20">
        <v>42032</v>
      </c>
      <c r="B2394" s="21">
        <v>10301</v>
      </c>
      <c r="C2394" s="14" t="s">
        <v>157</v>
      </c>
      <c r="D2394" s="22">
        <v>4244.8</v>
      </c>
      <c r="E2394" s="65">
        <v>42032</v>
      </c>
      <c r="F2394" s="24">
        <v>4244.8</v>
      </c>
      <c r="G2394" s="31">
        <f t="shared" si="37"/>
        <v>0</v>
      </c>
      <c r="H2394" s="39" t="s">
        <v>9</v>
      </c>
    </row>
    <row r="2395" spans="1:8" s="3" customFormat="1" x14ac:dyDescent="0.25">
      <c r="A2395" s="20">
        <v>42032</v>
      </c>
      <c r="B2395" s="21">
        <v>10302</v>
      </c>
      <c r="C2395" s="14" t="s">
        <v>49</v>
      </c>
      <c r="D2395" s="22">
        <v>1880</v>
      </c>
      <c r="E2395" s="65">
        <v>42032</v>
      </c>
      <c r="F2395" s="24">
        <v>1880</v>
      </c>
      <c r="G2395" s="31">
        <f t="shared" si="37"/>
        <v>0</v>
      </c>
      <c r="H2395" s="39" t="s">
        <v>94</v>
      </c>
    </row>
    <row r="2396" spans="1:8" s="3" customFormat="1" x14ac:dyDescent="0.25">
      <c r="A2396" s="20">
        <v>42032</v>
      </c>
      <c r="B2396" s="21">
        <v>10303</v>
      </c>
      <c r="C2396" s="14" t="s">
        <v>87</v>
      </c>
      <c r="D2396" s="22">
        <v>2664.9</v>
      </c>
      <c r="E2396" s="65">
        <v>42032</v>
      </c>
      <c r="F2396" s="24">
        <v>2664.9</v>
      </c>
      <c r="G2396" s="31">
        <f t="shared" si="37"/>
        <v>0</v>
      </c>
      <c r="H2396" s="39" t="s">
        <v>94</v>
      </c>
    </row>
    <row r="2397" spans="1:8" s="3" customFormat="1" x14ac:dyDescent="0.25">
      <c r="A2397" s="20">
        <v>42032</v>
      </c>
      <c r="B2397" s="21">
        <v>10304</v>
      </c>
      <c r="C2397" s="14" t="s">
        <v>112</v>
      </c>
      <c r="D2397" s="22">
        <v>11973.2</v>
      </c>
      <c r="E2397" s="66" t="s">
        <v>457</v>
      </c>
      <c r="F2397" s="24">
        <f>7000+4973.2</f>
        <v>11973.2</v>
      </c>
      <c r="G2397" s="31">
        <f t="shared" si="37"/>
        <v>0</v>
      </c>
      <c r="H2397" s="39" t="s">
        <v>9</v>
      </c>
    </row>
    <row r="2398" spans="1:8" s="3" customFormat="1" x14ac:dyDescent="0.25">
      <c r="A2398" s="20">
        <v>42032</v>
      </c>
      <c r="B2398" s="21">
        <v>10305</v>
      </c>
      <c r="C2398" s="14" t="s">
        <v>110</v>
      </c>
      <c r="D2398" s="22">
        <v>16659.400000000001</v>
      </c>
      <c r="E2398" s="66" t="s">
        <v>458</v>
      </c>
      <c r="F2398" s="24">
        <f>5648.9+11010.5</f>
        <v>16659.400000000001</v>
      </c>
      <c r="G2398" s="31">
        <f t="shared" si="37"/>
        <v>0</v>
      </c>
      <c r="H2398" s="39" t="s">
        <v>187</v>
      </c>
    </row>
    <row r="2399" spans="1:8" s="3" customFormat="1" x14ac:dyDescent="0.25">
      <c r="A2399" s="20">
        <v>42032</v>
      </c>
      <c r="B2399" s="21">
        <v>10306</v>
      </c>
      <c r="C2399" s="14" t="s">
        <v>375</v>
      </c>
      <c r="D2399" s="22">
        <v>3203.7</v>
      </c>
      <c r="E2399" s="65">
        <v>42032</v>
      </c>
      <c r="F2399" s="24">
        <v>3203.7</v>
      </c>
      <c r="G2399" s="31">
        <f t="shared" si="37"/>
        <v>0</v>
      </c>
      <c r="H2399" s="39" t="s">
        <v>9</v>
      </c>
    </row>
    <row r="2400" spans="1:8" s="3" customFormat="1" x14ac:dyDescent="0.25">
      <c r="A2400" s="20">
        <v>42032</v>
      </c>
      <c r="B2400" s="21">
        <v>10307</v>
      </c>
      <c r="C2400" s="14" t="s">
        <v>319</v>
      </c>
      <c r="D2400" s="22">
        <v>698.4</v>
      </c>
      <c r="E2400" s="65">
        <v>42032</v>
      </c>
      <c r="F2400" s="24">
        <v>698.4</v>
      </c>
      <c r="G2400" s="31">
        <f t="shared" si="37"/>
        <v>0</v>
      </c>
      <c r="H2400" s="39" t="s">
        <v>9</v>
      </c>
    </row>
    <row r="2401" spans="1:8" s="3" customFormat="1" x14ac:dyDescent="0.25">
      <c r="A2401" s="20">
        <v>42032</v>
      </c>
      <c r="B2401" s="21">
        <v>10308</v>
      </c>
      <c r="C2401" s="14" t="s">
        <v>125</v>
      </c>
      <c r="D2401" s="22">
        <v>10076.4</v>
      </c>
      <c r="E2401" s="65">
        <v>42032</v>
      </c>
      <c r="F2401" s="24">
        <v>10076.4</v>
      </c>
      <c r="G2401" s="31">
        <f t="shared" si="37"/>
        <v>0</v>
      </c>
      <c r="H2401" s="39" t="s">
        <v>9</v>
      </c>
    </row>
    <row r="2402" spans="1:8" s="3" customFormat="1" x14ac:dyDescent="0.25">
      <c r="A2402" s="20">
        <v>42032</v>
      </c>
      <c r="B2402" s="21">
        <v>10309</v>
      </c>
      <c r="C2402" s="14" t="s">
        <v>50</v>
      </c>
      <c r="D2402" s="22">
        <v>5315.8</v>
      </c>
      <c r="E2402" s="65">
        <v>42032</v>
      </c>
      <c r="F2402" s="24">
        <v>5315.8</v>
      </c>
      <c r="G2402" s="31">
        <f t="shared" si="37"/>
        <v>0</v>
      </c>
      <c r="H2402" s="39" t="s">
        <v>94</v>
      </c>
    </row>
    <row r="2403" spans="1:8" s="3" customFormat="1" x14ac:dyDescent="0.25">
      <c r="A2403" s="20">
        <v>42032</v>
      </c>
      <c r="B2403" s="21">
        <v>10310</v>
      </c>
      <c r="C2403" s="14" t="s">
        <v>102</v>
      </c>
      <c r="D2403" s="22">
        <v>951.8</v>
      </c>
      <c r="E2403" s="65">
        <v>42032</v>
      </c>
      <c r="F2403" s="24">
        <v>951.8</v>
      </c>
      <c r="G2403" s="31">
        <f t="shared" si="37"/>
        <v>0</v>
      </c>
      <c r="H2403" s="39" t="s">
        <v>9</v>
      </c>
    </row>
    <row r="2404" spans="1:8" s="3" customFormat="1" x14ac:dyDescent="0.25">
      <c r="A2404" s="20">
        <v>42032</v>
      </c>
      <c r="B2404" s="21">
        <v>10311</v>
      </c>
      <c r="C2404" s="14" t="s">
        <v>93</v>
      </c>
      <c r="D2404" s="22">
        <v>1754.8</v>
      </c>
      <c r="E2404" s="65">
        <v>42032</v>
      </c>
      <c r="F2404" s="24">
        <v>1754.8</v>
      </c>
      <c r="G2404" s="31">
        <f t="shared" si="37"/>
        <v>0</v>
      </c>
      <c r="H2404" s="39" t="s">
        <v>94</v>
      </c>
    </row>
    <row r="2405" spans="1:8" s="3" customFormat="1" x14ac:dyDescent="0.25">
      <c r="A2405" s="20">
        <v>42032</v>
      </c>
      <c r="B2405" s="21">
        <v>10312</v>
      </c>
      <c r="C2405" s="14" t="s">
        <v>459</v>
      </c>
      <c r="D2405" s="22">
        <v>2062.3000000000002</v>
      </c>
      <c r="E2405" s="65">
        <v>42032</v>
      </c>
      <c r="F2405" s="24">
        <v>2062.3000000000002</v>
      </c>
      <c r="G2405" s="31">
        <f t="shared" si="37"/>
        <v>0</v>
      </c>
      <c r="H2405" s="39" t="s">
        <v>94</v>
      </c>
    </row>
    <row r="2406" spans="1:8" s="3" customFormat="1" x14ac:dyDescent="0.25">
      <c r="A2406" s="20">
        <v>42032</v>
      </c>
      <c r="B2406" s="21">
        <v>10313</v>
      </c>
      <c r="C2406" s="14" t="s">
        <v>99</v>
      </c>
      <c r="D2406" s="22">
        <v>154.80000000000001</v>
      </c>
      <c r="E2406" s="65">
        <v>42032</v>
      </c>
      <c r="F2406" s="24">
        <v>154.80000000000001</v>
      </c>
      <c r="G2406" s="31">
        <f t="shared" si="37"/>
        <v>0</v>
      </c>
      <c r="H2406" s="39" t="s">
        <v>94</v>
      </c>
    </row>
    <row r="2407" spans="1:8" s="3" customFormat="1" x14ac:dyDescent="0.25">
      <c r="A2407" s="20">
        <v>42032</v>
      </c>
      <c r="B2407" s="21">
        <v>10314</v>
      </c>
      <c r="C2407" s="14" t="s">
        <v>215</v>
      </c>
      <c r="D2407" s="22">
        <v>5628</v>
      </c>
      <c r="E2407" s="65">
        <v>42032</v>
      </c>
      <c r="F2407" s="24">
        <v>5628</v>
      </c>
      <c r="G2407" s="31">
        <f t="shared" si="37"/>
        <v>0</v>
      </c>
      <c r="H2407" s="39" t="s">
        <v>9</v>
      </c>
    </row>
    <row r="2408" spans="1:8" s="3" customFormat="1" x14ac:dyDescent="0.25">
      <c r="A2408" s="20">
        <v>42032</v>
      </c>
      <c r="B2408" s="21">
        <v>10315</v>
      </c>
      <c r="C2408" s="14" t="s">
        <v>130</v>
      </c>
      <c r="D2408" s="22">
        <v>5043.3999999999996</v>
      </c>
      <c r="E2408" s="65">
        <v>42034</v>
      </c>
      <c r="F2408" s="24">
        <v>5043.3999999999996</v>
      </c>
      <c r="G2408" s="31">
        <f t="shared" si="37"/>
        <v>0</v>
      </c>
      <c r="H2408" s="39" t="s">
        <v>17</v>
      </c>
    </row>
    <row r="2409" spans="1:8" s="3" customFormat="1" x14ac:dyDescent="0.25">
      <c r="A2409" s="20">
        <v>42032</v>
      </c>
      <c r="B2409" s="21">
        <v>10316</v>
      </c>
      <c r="C2409" s="14" t="s">
        <v>143</v>
      </c>
      <c r="D2409" s="22">
        <v>3368</v>
      </c>
      <c r="E2409" s="65">
        <v>42032</v>
      </c>
      <c r="F2409" s="24">
        <v>3368</v>
      </c>
      <c r="G2409" s="31">
        <f t="shared" si="37"/>
        <v>0</v>
      </c>
      <c r="H2409" s="39" t="s">
        <v>17</v>
      </c>
    </row>
    <row r="2410" spans="1:8" s="3" customFormat="1" x14ac:dyDescent="0.25">
      <c r="A2410" s="20">
        <v>42032</v>
      </c>
      <c r="B2410" s="21">
        <v>10317</v>
      </c>
      <c r="C2410" s="14" t="s">
        <v>128</v>
      </c>
      <c r="D2410" s="22">
        <v>5907.2</v>
      </c>
      <c r="E2410" s="65">
        <v>42032</v>
      </c>
      <c r="F2410" s="24">
        <v>5907.2</v>
      </c>
      <c r="G2410" s="31">
        <f t="shared" si="37"/>
        <v>0</v>
      </c>
      <c r="H2410" s="39" t="s">
        <v>17</v>
      </c>
    </row>
    <row r="2411" spans="1:8" s="3" customFormat="1" x14ac:dyDescent="0.25">
      <c r="A2411" s="20">
        <v>42032</v>
      </c>
      <c r="B2411" s="21">
        <v>10318</v>
      </c>
      <c r="C2411" s="14" t="s">
        <v>165</v>
      </c>
      <c r="D2411" s="22">
        <v>3186</v>
      </c>
      <c r="E2411" s="65">
        <v>42032</v>
      </c>
      <c r="F2411" s="24">
        <v>3186</v>
      </c>
      <c r="G2411" s="31">
        <f t="shared" si="37"/>
        <v>0</v>
      </c>
      <c r="H2411" s="39" t="s">
        <v>17</v>
      </c>
    </row>
    <row r="2412" spans="1:8" s="3" customFormat="1" x14ac:dyDescent="0.25">
      <c r="A2412" s="20">
        <v>42032</v>
      </c>
      <c r="B2412" s="21">
        <v>10319</v>
      </c>
      <c r="C2412" s="14" t="s">
        <v>66</v>
      </c>
      <c r="D2412" s="22">
        <v>154</v>
      </c>
      <c r="E2412" s="65">
        <v>42032</v>
      </c>
      <c r="F2412" s="24">
        <v>154</v>
      </c>
      <c r="G2412" s="31">
        <f t="shared" si="37"/>
        <v>0</v>
      </c>
      <c r="H2412" s="39" t="s">
        <v>9</v>
      </c>
    </row>
    <row r="2413" spans="1:8" s="3" customFormat="1" x14ac:dyDescent="0.25">
      <c r="A2413" s="20">
        <v>42032</v>
      </c>
      <c r="B2413" s="21">
        <v>10320</v>
      </c>
      <c r="C2413" s="14" t="s">
        <v>251</v>
      </c>
      <c r="D2413" s="22">
        <v>28728</v>
      </c>
      <c r="E2413" s="65">
        <v>42032</v>
      </c>
      <c r="F2413" s="24">
        <v>28728</v>
      </c>
      <c r="G2413" s="31">
        <f t="shared" si="37"/>
        <v>0</v>
      </c>
      <c r="H2413" s="39" t="s">
        <v>19</v>
      </c>
    </row>
    <row r="2414" spans="1:8" s="3" customFormat="1" x14ac:dyDescent="0.25">
      <c r="A2414" s="20">
        <v>42032</v>
      </c>
      <c r="B2414" s="21">
        <v>10321</v>
      </c>
      <c r="C2414" s="14" t="s">
        <v>24</v>
      </c>
      <c r="D2414" s="22">
        <v>62273.279999999999</v>
      </c>
      <c r="E2414" s="74">
        <v>42039</v>
      </c>
      <c r="F2414" s="96">
        <v>62273.279999999999</v>
      </c>
      <c r="G2414" s="31">
        <f t="shared" si="37"/>
        <v>0</v>
      </c>
      <c r="H2414" s="39" t="s">
        <v>183</v>
      </c>
    </row>
    <row r="2415" spans="1:8" s="3" customFormat="1" x14ac:dyDescent="0.25">
      <c r="A2415" s="20">
        <v>42032</v>
      </c>
      <c r="B2415" s="21">
        <v>10322</v>
      </c>
      <c r="C2415" s="14" t="s">
        <v>228</v>
      </c>
      <c r="D2415" s="22">
        <v>3261.6</v>
      </c>
      <c r="E2415" s="65">
        <v>42032</v>
      </c>
      <c r="F2415" s="24">
        <v>3261.6</v>
      </c>
      <c r="G2415" s="31">
        <f t="shared" si="37"/>
        <v>0</v>
      </c>
      <c r="H2415" s="39" t="s">
        <v>9</v>
      </c>
    </row>
    <row r="2416" spans="1:8" s="3" customFormat="1" x14ac:dyDescent="0.25">
      <c r="A2416" s="20">
        <v>42032</v>
      </c>
      <c r="B2416" s="21">
        <v>10323</v>
      </c>
      <c r="C2416" s="14" t="s">
        <v>47</v>
      </c>
      <c r="D2416" s="22">
        <v>26008.799999999999</v>
      </c>
      <c r="E2416" s="65">
        <v>42032</v>
      </c>
      <c r="F2416" s="24">
        <v>26008.799999999999</v>
      </c>
      <c r="G2416" s="31">
        <f t="shared" si="37"/>
        <v>0</v>
      </c>
      <c r="H2416" s="39" t="s">
        <v>9</v>
      </c>
    </row>
    <row r="2417" spans="1:8" s="3" customFormat="1" x14ac:dyDescent="0.25">
      <c r="A2417" s="20">
        <v>42032</v>
      </c>
      <c r="B2417" s="21">
        <v>10324</v>
      </c>
      <c r="C2417" s="14" t="s">
        <v>106</v>
      </c>
      <c r="D2417" s="22">
        <v>14713.6</v>
      </c>
      <c r="E2417" s="65">
        <v>42035</v>
      </c>
      <c r="F2417" s="24">
        <v>14713.6</v>
      </c>
      <c r="G2417" s="31">
        <f t="shared" si="37"/>
        <v>0</v>
      </c>
      <c r="H2417" s="39" t="s">
        <v>19</v>
      </c>
    </row>
    <row r="2418" spans="1:8" s="3" customFormat="1" x14ac:dyDescent="0.25">
      <c r="A2418" s="20">
        <v>42032</v>
      </c>
      <c r="B2418" s="21">
        <v>10325</v>
      </c>
      <c r="C2418" s="14" t="s">
        <v>192</v>
      </c>
      <c r="D2418" s="22">
        <v>4702.5</v>
      </c>
      <c r="E2418" s="74">
        <v>42055</v>
      </c>
      <c r="F2418" s="96">
        <v>4702.5</v>
      </c>
      <c r="G2418" s="31">
        <f t="shared" si="37"/>
        <v>0</v>
      </c>
      <c r="H2418" s="39" t="s">
        <v>17</v>
      </c>
    </row>
    <row r="2419" spans="1:8" s="3" customFormat="1" x14ac:dyDescent="0.25">
      <c r="A2419" s="20">
        <v>42032</v>
      </c>
      <c r="B2419" s="21">
        <v>10326</v>
      </c>
      <c r="C2419" s="14" t="s">
        <v>192</v>
      </c>
      <c r="D2419" s="22">
        <v>5715</v>
      </c>
      <c r="E2419" s="74">
        <v>42055</v>
      </c>
      <c r="F2419" s="96">
        <v>5715</v>
      </c>
      <c r="G2419" s="31">
        <f t="shared" si="37"/>
        <v>0</v>
      </c>
      <c r="H2419" s="39" t="s">
        <v>17</v>
      </c>
    </row>
    <row r="2420" spans="1:8" s="3" customFormat="1" x14ac:dyDescent="0.25">
      <c r="A2420" s="20">
        <v>42032</v>
      </c>
      <c r="B2420" s="21">
        <v>10327</v>
      </c>
      <c r="C2420" s="14" t="s">
        <v>53</v>
      </c>
      <c r="D2420" s="22">
        <v>1385.8</v>
      </c>
      <c r="E2420" s="65">
        <v>42033</v>
      </c>
      <c r="F2420" s="24">
        <v>1385.8</v>
      </c>
      <c r="G2420" s="31">
        <f t="shared" si="37"/>
        <v>0</v>
      </c>
      <c r="H2420" s="39" t="s">
        <v>187</v>
      </c>
    </row>
    <row r="2421" spans="1:8" s="3" customFormat="1" x14ac:dyDescent="0.25">
      <c r="A2421" s="20">
        <v>42032</v>
      </c>
      <c r="B2421" s="21">
        <v>10328</v>
      </c>
      <c r="C2421" s="14" t="s">
        <v>64</v>
      </c>
      <c r="D2421" s="22">
        <v>1959.6</v>
      </c>
      <c r="E2421" s="65">
        <v>42032</v>
      </c>
      <c r="F2421" s="24">
        <v>1959.6</v>
      </c>
      <c r="G2421" s="31">
        <f t="shared" si="37"/>
        <v>0</v>
      </c>
      <c r="H2421" s="39" t="s">
        <v>9</v>
      </c>
    </row>
    <row r="2422" spans="1:8" s="3" customFormat="1" x14ac:dyDescent="0.25">
      <c r="A2422" s="20">
        <v>42032</v>
      </c>
      <c r="B2422" s="21">
        <v>10329</v>
      </c>
      <c r="C2422" s="14" t="s">
        <v>152</v>
      </c>
      <c r="D2422" s="22">
        <v>10453.700000000001</v>
      </c>
      <c r="E2422" s="65">
        <v>42033</v>
      </c>
      <c r="F2422" s="24">
        <v>10453.700000000001</v>
      </c>
      <c r="G2422" s="31">
        <f t="shared" si="37"/>
        <v>0</v>
      </c>
      <c r="H2422" s="39" t="s">
        <v>187</v>
      </c>
    </row>
    <row r="2423" spans="1:8" s="3" customFormat="1" x14ac:dyDescent="0.25">
      <c r="A2423" s="20">
        <v>42032</v>
      </c>
      <c r="B2423" s="21">
        <v>10330</v>
      </c>
      <c r="C2423" s="14" t="s">
        <v>89</v>
      </c>
      <c r="D2423" s="22">
        <v>3160.8</v>
      </c>
      <c r="E2423" s="65">
        <v>42032</v>
      </c>
      <c r="F2423" s="24">
        <v>3160.8</v>
      </c>
      <c r="G2423" s="31">
        <f t="shared" si="37"/>
        <v>0</v>
      </c>
      <c r="H2423" s="39" t="s">
        <v>9</v>
      </c>
    </row>
    <row r="2424" spans="1:8" s="3" customFormat="1" x14ac:dyDescent="0.25">
      <c r="A2424" s="20">
        <v>42032</v>
      </c>
      <c r="B2424" s="21">
        <v>10331</v>
      </c>
      <c r="C2424" s="14" t="s">
        <v>292</v>
      </c>
      <c r="D2424" s="22">
        <v>3298.2</v>
      </c>
      <c r="E2424" s="65">
        <v>42033</v>
      </c>
      <c r="F2424" s="24">
        <v>3298.2</v>
      </c>
      <c r="G2424" s="31">
        <f t="shared" si="37"/>
        <v>0</v>
      </c>
      <c r="H2424" s="39" t="s">
        <v>187</v>
      </c>
    </row>
    <row r="2425" spans="1:8" s="3" customFormat="1" x14ac:dyDescent="0.25">
      <c r="A2425" s="20">
        <v>42032</v>
      </c>
      <c r="B2425" s="21">
        <v>10332</v>
      </c>
      <c r="C2425" s="14" t="s">
        <v>45</v>
      </c>
      <c r="D2425" s="22">
        <v>18449.400000000001</v>
      </c>
      <c r="E2425" s="65">
        <v>42038</v>
      </c>
      <c r="F2425" s="24">
        <v>18449.400000000001</v>
      </c>
      <c r="G2425" s="31">
        <f t="shared" si="37"/>
        <v>0</v>
      </c>
      <c r="H2425" s="39" t="s">
        <v>187</v>
      </c>
    </row>
    <row r="2426" spans="1:8" s="3" customFormat="1" x14ac:dyDescent="0.25">
      <c r="A2426" s="20">
        <v>42032</v>
      </c>
      <c r="B2426" s="21">
        <v>10333</v>
      </c>
      <c r="C2426" s="14" t="s">
        <v>81</v>
      </c>
      <c r="D2426" s="22">
        <v>1526.6</v>
      </c>
      <c r="E2426" s="65">
        <v>42033</v>
      </c>
      <c r="F2426" s="24">
        <v>1526.6</v>
      </c>
      <c r="G2426" s="31">
        <f t="shared" si="37"/>
        <v>0</v>
      </c>
      <c r="H2426" s="39" t="s">
        <v>187</v>
      </c>
    </row>
    <row r="2427" spans="1:8" s="3" customFormat="1" x14ac:dyDescent="0.25">
      <c r="A2427" s="20">
        <v>42032</v>
      </c>
      <c r="B2427" s="21">
        <v>10334</v>
      </c>
      <c r="C2427" s="14" t="s">
        <v>126</v>
      </c>
      <c r="D2427" s="22">
        <v>1426</v>
      </c>
      <c r="E2427" s="65">
        <v>42033</v>
      </c>
      <c r="F2427" s="24">
        <v>1426</v>
      </c>
      <c r="G2427" s="31">
        <f t="shared" si="37"/>
        <v>0</v>
      </c>
      <c r="H2427" s="39" t="s">
        <v>9</v>
      </c>
    </row>
    <row r="2428" spans="1:8" s="3" customFormat="1" x14ac:dyDescent="0.25">
      <c r="A2428" s="20">
        <v>42032</v>
      </c>
      <c r="B2428" s="21">
        <v>10335</v>
      </c>
      <c r="C2428" s="14" t="s">
        <v>238</v>
      </c>
      <c r="D2428" s="22">
        <v>352.8</v>
      </c>
      <c r="E2428" s="65">
        <v>42033</v>
      </c>
      <c r="F2428" s="24">
        <v>352.8</v>
      </c>
      <c r="G2428" s="31">
        <f t="shared" si="37"/>
        <v>0</v>
      </c>
      <c r="H2428" s="39" t="s">
        <v>187</v>
      </c>
    </row>
    <row r="2429" spans="1:8" s="3" customFormat="1" x14ac:dyDescent="0.25">
      <c r="A2429" s="20">
        <v>42032</v>
      </c>
      <c r="B2429" s="21">
        <v>10336</v>
      </c>
      <c r="C2429" s="14" t="s">
        <v>58</v>
      </c>
      <c r="D2429" s="22">
        <v>630</v>
      </c>
      <c r="E2429" s="65">
        <v>42033</v>
      </c>
      <c r="F2429" s="24">
        <v>630</v>
      </c>
      <c r="G2429" s="31">
        <f t="shared" si="37"/>
        <v>0</v>
      </c>
      <c r="H2429" s="39" t="s">
        <v>9</v>
      </c>
    </row>
    <row r="2430" spans="1:8" s="3" customFormat="1" x14ac:dyDescent="0.25">
      <c r="A2430" s="20">
        <v>42032</v>
      </c>
      <c r="B2430" s="21">
        <v>10337</v>
      </c>
      <c r="C2430" s="14" t="s">
        <v>118</v>
      </c>
      <c r="D2430" s="22">
        <v>8190</v>
      </c>
      <c r="E2430" s="67" t="s">
        <v>497</v>
      </c>
      <c r="F2430" s="96">
        <f>1238.4+6951.6</f>
        <v>8190</v>
      </c>
      <c r="G2430" s="31">
        <f t="shared" si="37"/>
        <v>0</v>
      </c>
      <c r="H2430" s="39" t="s">
        <v>187</v>
      </c>
    </row>
    <row r="2431" spans="1:8" s="3" customFormat="1" x14ac:dyDescent="0.25">
      <c r="A2431" s="20">
        <v>42032</v>
      </c>
      <c r="B2431" s="21">
        <v>10338</v>
      </c>
      <c r="C2431" s="14" t="s">
        <v>335</v>
      </c>
      <c r="D2431" s="22">
        <v>427</v>
      </c>
      <c r="E2431" s="65">
        <v>42032</v>
      </c>
      <c r="F2431" s="24">
        <v>427</v>
      </c>
      <c r="G2431" s="31">
        <f t="shared" si="37"/>
        <v>0</v>
      </c>
      <c r="H2431" s="39" t="s">
        <v>9</v>
      </c>
    </row>
    <row r="2432" spans="1:8" s="3" customFormat="1" x14ac:dyDescent="0.25">
      <c r="A2432" s="20">
        <v>42032</v>
      </c>
      <c r="B2432" s="21">
        <v>10339</v>
      </c>
      <c r="C2432" s="14" t="s">
        <v>168</v>
      </c>
      <c r="D2432" s="22">
        <v>8792</v>
      </c>
      <c r="E2432" s="65">
        <v>42033</v>
      </c>
      <c r="F2432" s="24">
        <v>8792</v>
      </c>
      <c r="G2432" s="31">
        <f t="shared" si="37"/>
        <v>0</v>
      </c>
      <c r="H2432" s="39" t="s">
        <v>187</v>
      </c>
    </row>
    <row r="2433" spans="1:8" s="3" customFormat="1" x14ac:dyDescent="0.25">
      <c r="A2433" s="20">
        <v>42032</v>
      </c>
      <c r="B2433" s="21">
        <v>10340</v>
      </c>
      <c r="C2433" s="14" t="s">
        <v>141</v>
      </c>
      <c r="D2433" s="22">
        <v>1265</v>
      </c>
      <c r="E2433" s="65">
        <v>42032</v>
      </c>
      <c r="F2433" s="24">
        <v>1265</v>
      </c>
      <c r="G2433" s="31">
        <f t="shared" si="37"/>
        <v>0</v>
      </c>
      <c r="H2433" s="39" t="s">
        <v>9</v>
      </c>
    </row>
    <row r="2434" spans="1:8" s="3" customFormat="1" x14ac:dyDescent="0.25">
      <c r="A2434" s="20">
        <v>42032</v>
      </c>
      <c r="B2434" s="21">
        <v>10341</v>
      </c>
      <c r="C2434" s="14" t="s">
        <v>305</v>
      </c>
      <c r="D2434" s="22">
        <v>2975.4</v>
      </c>
      <c r="E2434" s="65">
        <v>42032</v>
      </c>
      <c r="F2434" s="24">
        <v>2975.4</v>
      </c>
      <c r="G2434" s="31">
        <f t="shared" si="37"/>
        <v>0</v>
      </c>
      <c r="H2434" s="39" t="s">
        <v>9</v>
      </c>
    </row>
    <row r="2435" spans="1:8" s="3" customFormat="1" x14ac:dyDescent="0.25">
      <c r="A2435" s="20">
        <v>42032</v>
      </c>
      <c r="B2435" s="21">
        <v>10342</v>
      </c>
      <c r="C2435" s="14" t="s">
        <v>438</v>
      </c>
      <c r="D2435" s="22">
        <v>8096</v>
      </c>
      <c r="E2435" s="65">
        <v>42035</v>
      </c>
      <c r="F2435" s="24">
        <v>8096</v>
      </c>
      <c r="G2435" s="31">
        <f t="shared" ref="G2435:G2498" si="38">D2435-F2435</f>
        <v>0</v>
      </c>
      <c r="H2435" s="39" t="s">
        <v>9</v>
      </c>
    </row>
    <row r="2436" spans="1:8" s="3" customFormat="1" x14ac:dyDescent="0.25">
      <c r="A2436" s="20">
        <v>42032</v>
      </c>
      <c r="B2436" s="21">
        <v>10343</v>
      </c>
      <c r="C2436" s="14" t="s">
        <v>32</v>
      </c>
      <c r="D2436" s="22">
        <v>3110.4</v>
      </c>
      <c r="E2436" s="74">
        <v>42062</v>
      </c>
      <c r="F2436" s="96">
        <v>3110.4</v>
      </c>
      <c r="G2436" s="31">
        <f t="shared" si="38"/>
        <v>0</v>
      </c>
      <c r="H2436" s="39" t="s">
        <v>46</v>
      </c>
    </row>
    <row r="2437" spans="1:8" s="3" customFormat="1" x14ac:dyDescent="0.25">
      <c r="A2437" s="20">
        <v>42032</v>
      </c>
      <c r="B2437" s="21">
        <v>10344</v>
      </c>
      <c r="C2437" s="14" t="s">
        <v>97</v>
      </c>
      <c r="D2437" s="22">
        <v>6739.4</v>
      </c>
      <c r="E2437" s="65">
        <v>42032</v>
      </c>
      <c r="F2437" s="24">
        <v>6739.4</v>
      </c>
      <c r="G2437" s="31">
        <f t="shared" si="38"/>
        <v>0</v>
      </c>
      <c r="H2437" s="39" t="s">
        <v>9</v>
      </c>
    </row>
    <row r="2438" spans="1:8" s="3" customFormat="1" x14ac:dyDescent="0.25">
      <c r="A2438" s="20">
        <v>42032</v>
      </c>
      <c r="B2438" s="21">
        <v>10345</v>
      </c>
      <c r="C2438" s="14" t="s">
        <v>24</v>
      </c>
      <c r="D2438" s="22">
        <v>13706.4</v>
      </c>
      <c r="E2438" s="74">
        <v>42039</v>
      </c>
      <c r="F2438" s="96">
        <v>13706.4</v>
      </c>
      <c r="G2438" s="31">
        <f t="shared" si="38"/>
        <v>0</v>
      </c>
      <c r="H2438" s="39" t="s">
        <v>9</v>
      </c>
    </row>
    <row r="2439" spans="1:8" s="3" customFormat="1" x14ac:dyDescent="0.25">
      <c r="A2439" s="20">
        <v>42032</v>
      </c>
      <c r="B2439" s="21">
        <v>10346</v>
      </c>
      <c r="C2439" s="14" t="s">
        <v>74</v>
      </c>
      <c r="D2439" s="22">
        <v>1600.8</v>
      </c>
      <c r="E2439" s="65">
        <v>42032</v>
      </c>
      <c r="F2439" s="24">
        <v>1600.8</v>
      </c>
      <c r="G2439" s="31">
        <f t="shared" si="38"/>
        <v>0</v>
      </c>
      <c r="H2439" s="39" t="s">
        <v>9</v>
      </c>
    </row>
    <row r="2440" spans="1:8" s="3" customFormat="1" x14ac:dyDescent="0.25">
      <c r="A2440" s="20">
        <v>42032</v>
      </c>
      <c r="B2440" s="21">
        <v>10347</v>
      </c>
      <c r="C2440" s="14" t="s">
        <v>143</v>
      </c>
      <c r="D2440" s="22">
        <v>4700</v>
      </c>
      <c r="E2440" s="65">
        <v>42032</v>
      </c>
      <c r="F2440" s="24">
        <v>4700</v>
      </c>
      <c r="G2440" s="31">
        <f t="shared" si="38"/>
        <v>0</v>
      </c>
      <c r="H2440" s="39" t="s">
        <v>17</v>
      </c>
    </row>
    <row r="2441" spans="1:8" s="3" customFormat="1" x14ac:dyDescent="0.25">
      <c r="A2441" s="20">
        <v>42032</v>
      </c>
      <c r="B2441" s="21">
        <v>10348</v>
      </c>
      <c r="C2441" s="14" t="s">
        <v>140</v>
      </c>
      <c r="D2441" s="22">
        <v>8250.4</v>
      </c>
      <c r="E2441" s="65">
        <v>42032</v>
      </c>
      <c r="F2441" s="24">
        <v>8250.4</v>
      </c>
      <c r="G2441" s="31">
        <f t="shared" si="38"/>
        <v>0</v>
      </c>
      <c r="H2441" s="39" t="s">
        <v>19</v>
      </c>
    </row>
    <row r="2442" spans="1:8" s="3" customFormat="1" x14ac:dyDescent="0.25">
      <c r="A2442" s="20">
        <v>42032</v>
      </c>
      <c r="B2442" s="21">
        <v>10349</v>
      </c>
      <c r="C2442" s="14" t="s">
        <v>80</v>
      </c>
      <c r="D2442" s="22">
        <v>5770.8</v>
      </c>
      <c r="E2442" s="65">
        <v>42032</v>
      </c>
      <c r="F2442" s="24">
        <v>5770.8</v>
      </c>
      <c r="G2442" s="31">
        <f t="shared" si="38"/>
        <v>0</v>
      </c>
      <c r="H2442" s="39" t="s">
        <v>9</v>
      </c>
    </row>
    <row r="2443" spans="1:8" s="3" customFormat="1" x14ac:dyDescent="0.25">
      <c r="A2443" s="20">
        <v>42032</v>
      </c>
      <c r="B2443" s="21">
        <v>10350</v>
      </c>
      <c r="C2443" s="14" t="s">
        <v>419</v>
      </c>
      <c r="D2443" s="22">
        <v>930.4</v>
      </c>
      <c r="E2443" s="65">
        <v>42032</v>
      </c>
      <c r="F2443" s="24">
        <v>930.4</v>
      </c>
      <c r="G2443" s="31">
        <f t="shared" si="38"/>
        <v>0</v>
      </c>
      <c r="H2443" s="39" t="s">
        <v>9</v>
      </c>
    </row>
    <row r="2444" spans="1:8" s="3" customFormat="1" x14ac:dyDescent="0.25">
      <c r="A2444" s="20">
        <v>42032</v>
      </c>
      <c r="B2444" s="21">
        <v>10351</v>
      </c>
      <c r="C2444" s="14" t="s">
        <v>24</v>
      </c>
      <c r="D2444" s="22">
        <v>93849.4</v>
      </c>
      <c r="E2444" s="74">
        <v>42039</v>
      </c>
      <c r="F2444" s="96">
        <v>93849.4</v>
      </c>
      <c r="G2444" s="31">
        <f t="shared" si="38"/>
        <v>0</v>
      </c>
      <c r="H2444" s="39" t="s">
        <v>9</v>
      </c>
    </row>
    <row r="2445" spans="1:8" s="3" customFormat="1" x14ac:dyDescent="0.25">
      <c r="A2445" s="20">
        <v>42032</v>
      </c>
      <c r="B2445" s="21">
        <v>10352</v>
      </c>
      <c r="C2445" s="26" t="s">
        <v>339</v>
      </c>
      <c r="D2445" s="27">
        <v>0</v>
      </c>
      <c r="E2445" s="73" t="s">
        <v>460</v>
      </c>
      <c r="F2445" s="24"/>
      <c r="G2445" s="31">
        <f t="shared" si="38"/>
        <v>0</v>
      </c>
      <c r="H2445" s="39" t="s">
        <v>9</v>
      </c>
    </row>
    <row r="2446" spans="1:8" s="3" customFormat="1" x14ac:dyDescent="0.25">
      <c r="A2446" s="20">
        <v>42032</v>
      </c>
      <c r="B2446" s="21">
        <v>10353</v>
      </c>
      <c r="C2446" s="14" t="s">
        <v>344</v>
      </c>
      <c r="D2446" s="22">
        <v>459.6</v>
      </c>
      <c r="E2446" s="65">
        <v>42032</v>
      </c>
      <c r="F2446" s="24">
        <v>459.6</v>
      </c>
      <c r="G2446" s="31">
        <f t="shared" si="38"/>
        <v>0</v>
      </c>
      <c r="H2446" s="39" t="s">
        <v>9</v>
      </c>
    </row>
    <row r="2447" spans="1:8" s="3" customFormat="1" x14ac:dyDescent="0.25">
      <c r="A2447" s="20">
        <v>42032</v>
      </c>
      <c r="B2447" s="21">
        <v>10354</v>
      </c>
      <c r="C2447" s="14" t="s">
        <v>461</v>
      </c>
      <c r="D2447" s="22">
        <v>9724.2000000000007</v>
      </c>
      <c r="E2447" s="65">
        <v>42032</v>
      </c>
      <c r="F2447" s="24">
        <v>9724.2000000000007</v>
      </c>
      <c r="G2447" s="31">
        <f t="shared" si="38"/>
        <v>0</v>
      </c>
      <c r="H2447" s="39" t="s">
        <v>9</v>
      </c>
    </row>
    <row r="2448" spans="1:8" s="3" customFormat="1" x14ac:dyDescent="0.25">
      <c r="A2448" s="20">
        <v>42032</v>
      </c>
      <c r="B2448" s="21">
        <v>10355</v>
      </c>
      <c r="C2448" s="14" t="s">
        <v>320</v>
      </c>
      <c r="D2448" s="22">
        <v>292.8</v>
      </c>
      <c r="E2448" s="65">
        <v>42032</v>
      </c>
      <c r="F2448" s="24">
        <v>292.8</v>
      </c>
      <c r="G2448" s="31">
        <f t="shared" si="38"/>
        <v>0</v>
      </c>
      <c r="H2448" s="39" t="s">
        <v>9</v>
      </c>
    </row>
    <row r="2449" spans="1:8" s="3" customFormat="1" x14ac:dyDescent="0.25">
      <c r="A2449" s="20">
        <v>42032</v>
      </c>
      <c r="B2449" s="21">
        <v>10356</v>
      </c>
      <c r="C2449" s="14" t="s">
        <v>462</v>
      </c>
      <c r="D2449" s="22">
        <v>52</v>
      </c>
      <c r="E2449" s="65">
        <v>42032</v>
      </c>
      <c r="F2449" s="24">
        <v>52</v>
      </c>
      <c r="G2449" s="31">
        <f t="shared" si="38"/>
        <v>0</v>
      </c>
      <c r="H2449" s="39" t="s">
        <v>9</v>
      </c>
    </row>
    <row r="2450" spans="1:8" s="3" customFormat="1" x14ac:dyDescent="0.25">
      <c r="A2450" s="20">
        <v>42033</v>
      </c>
      <c r="B2450" s="21">
        <v>10357</v>
      </c>
      <c r="C2450" s="14" t="s">
        <v>211</v>
      </c>
      <c r="D2450" s="22">
        <v>72768.3</v>
      </c>
      <c r="E2450" s="74">
        <v>42039</v>
      </c>
      <c r="F2450" s="96">
        <v>72768.3</v>
      </c>
      <c r="G2450" s="31">
        <f t="shared" si="38"/>
        <v>0</v>
      </c>
      <c r="H2450" s="39" t="s">
        <v>9</v>
      </c>
    </row>
    <row r="2451" spans="1:8" s="3" customFormat="1" x14ac:dyDescent="0.25">
      <c r="A2451" s="20">
        <v>42033</v>
      </c>
      <c r="B2451" s="21">
        <v>10358</v>
      </c>
      <c r="C2451" s="14" t="s">
        <v>18</v>
      </c>
      <c r="D2451" s="22">
        <v>72100.5</v>
      </c>
      <c r="E2451" s="74">
        <v>42039</v>
      </c>
      <c r="F2451" s="96">
        <v>72100.5</v>
      </c>
      <c r="G2451" s="31">
        <f t="shared" si="38"/>
        <v>0</v>
      </c>
      <c r="H2451" s="39" t="s">
        <v>9</v>
      </c>
    </row>
    <row r="2452" spans="1:8" s="3" customFormat="1" x14ac:dyDescent="0.25">
      <c r="A2452" s="20">
        <v>42033</v>
      </c>
      <c r="B2452" s="21">
        <v>10359</v>
      </c>
      <c r="C2452" s="14" t="s">
        <v>14</v>
      </c>
      <c r="D2452" s="22">
        <v>18302.400000000001</v>
      </c>
      <c r="E2452" s="65">
        <v>42035</v>
      </c>
      <c r="F2452" s="24">
        <v>18302.400000000001</v>
      </c>
      <c r="G2452" s="31">
        <f t="shared" si="38"/>
        <v>0</v>
      </c>
      <c r="H2452" s="39" t="s">
        <v>187</v>
      </c>
    </row>
    <row r="2453" spans="1:8" s="3" customFormat="1" x14ac:dyDescent="0.25">
      <c r="A2453" s="20">
        <v>42033</v>
      </c>
      <c r="B2453" s="21">
        <v>10360</v>
      </c>
      <c r="C2453" s="14" t="s">
        <v>158</v>
      </c>
      <c r="D2453" s="22">
        <v>11800.8</v>
      </c>
      <c r="E2453" s="65">
        <v>42033</v>
      </c>
      <c r="F2453" s="24">
        <v>11800.8</v>
      </c>
      <c r="G2453" s="31">
        <f t="shared" si="38"/>
        <v>0</v>
      </c>
      <c r="H2453" s="39" t="s">
        <v>9</v>
      </c>
    </row>
    <row r="2454" spans="1:8" s="3" customFormat="1" x14ac:dyDescent="0.25">
      <c r="A2454" s="20">
        <v>42033</v>
      </c>
      <c r="B2454" s="21">
        <v>10361</v>
      </c>
      <c r="C2454" s="14" t="s">
        <v>121</v>
      </c>
      <c r="D2454" s="22">
        <v>3108</v>
      </c>
      <c r="E2454" s="65">
        <v>42033</v>
      </c>
      <c r="F2454" s="24">
        <v>3108</v>
      </c>
      <c r="G2454" s="31">
        <f t="shared" si="38"/>
        <v>0</v>
      </c>
      <c r="H2454" s="39" t="s">
        <v>9</v>
      </c>
    </row>
    <row r="2455" spans="1:8" s="3" customFormat="1" x14ac:dyDescent="0.25">
      <c r="A2455" s="20">
        <v>42033</v>
      </c>
      <c r="B2455" s="21">
        <v>10362</v>
      </c>
      <c r="C2455" s="14" t="s">
        <v>140</v>
      </c>
      <c r="D2455" s="22">
        <v>6374.2</v>
      </c>
      <c r="E2455" s="65">
        <v>42033</v>
      </c>
      <c r="F2455" s="24">
        <v>6374.2</v>
      </c>
      <c r="G2455" s="31">
        <f t="shared" si="38"/>
        <v>0</v>
      </c>
      <c r="H2455" s="39" t="s">
        <v>19</v>
      </c>
    </row>
    <row r="2456" spans="1:8" s="3" customFormat="1" x14ac:dyDescent="0.25">
      <c r="A2456" s="20">
        <v>42033</v>
      </c>
      <c r="B2456" s="21">
        <v>10363</v>
      </c>
      <c r="C2456" s="14" t="s">
        <v>122</v>
      </c>
      <c r="D2456" s="22">
        <v>7279.2</v>
      </c>
      <c r="E2456" s="65">
        <v>42033</v>
      </c>
      <c r="F2456" s="24">
        <v>7279.2</v>
      </c>
      <c r="G2456" s="31">
        <f t="shared" si="38"/>
        <v>0</v>
      </c>
      <c r="H2456" s="39" t="s">
        <v>9</v>
      </c>
    </row>
    <row r="2457" spans="1:8" s="3" customFormat="1" x14ac:dyDescent="0.25">
      <c r="A2457" s="20">
        <v>42033</v>
      </c>
      <c r="B2457" s="21">
        <v>10364</v>
      </c>
      <c r="C2457" s="14" t="s">
        <v>16</v>
      </c>
      <c r="D2457" s="22">
        <v>3906.4</v>
      </c>
      <c r="E2457" s="65">
        <v>42033</v>
      </c>
      <c r="F2457" s="24">
        <v>3906.4</v>
      </c>
      <c r="G2457" s="31">
        <f t="shared" si="38"/>
        <v>0</v>
      </c>
      <c r="H2457" s="39" t="s">
        <v>19</v>
      </c>
    </row>
    <row r="2458" spans="1:8" s="3" customFormat="1" x14ac:dyDescent="0.25">
      <c r="A2458" s="20">
        <v>42033</v>
      </c>
      <c r="B2458" s="21">
        <v>10365</v>
      </c>
      <c r="C2458" s="14" t="s">
        <v>148</v>
      </c>
      <c r="D2458" s="22">
        <v>3749</v>
      </c>
      <c r="E2458" s="65">
        <v>42033</v>
      </c>
      <c r="F2458" s="24">
        <v>3749</v>
      </c>
      <c r="G2458" s="31">
        <f t="shared" si="38"/>
        <v>0</v>
      </c>
      <c r="H2458" s="39" t="s">
        <v>9</v>
      </c>
    </row>
    <row r="2459" spans="1:8" s="3" customFormat="1" x14ac:dyDescent="0.25">
      <c r="A2459" s="20">
        <v>42033</v>
      </c>
      <c r="B2459" s="21">
        <v>10366</v>
      </c>
      <c r="C2459" s="14" t="s">
        <v>31</v>
      </c>
      <c r="D2459" s="22">
        <v>2710</v>
      </c>
      <c r="E2459" s="65">
        <v>42033</v>
      </c>
      <c r="F2459" s="24">
        <v>2710</v>
      </c>
      <c r="G2459" s="31">
        <f t="shared" si="38"/>
        <v>0</v>
      </c>
      <c r="H2459" s="39" t="s">
        <v>19</v>
      </c>
    </row>
    <row r="2460" spans="1:8" s="3" customFormat="1" x14ac:dyDescent="0.25">
      <c r="A2460" s="20">
        <v>42033</v>
      </c>
      <c r="B2460" s="21">
        <v>10367</v>
      </c>
      <c r="C2460" s="14" t="s">
        <v>267</v>
      </c>
      <c r="D2460" s="22">
        <v>1952.5</v>
      </c>
      <c r="E2460" s="65">
        <v>42033</v>
      </c>
      <c r="F2460" s="24">
        <v>1952.5</v>
      </c>
      <c r="G2460" s="31">
        <f t="shared" si="38"/>
        <v>0</v>
      </c>
      <c r="H2460" s="39" t="s">
        <v>19</v>
      </c>
    </row>
    <row r="2461" spans="1:8" s="3" customFormat="1" x14ac:dyDescent="0.25">
      <c r="A2461" s="20">
        <v>42033</v>
      </c>
      <c r="B2461" s="21">
        <v>10368</v>
      </c>
      <c r="C2461" s="14" t="s">
        <v>20</v>
      </c>
      <c r="D2461" s="22">
        <v>16477.2</v>
      </c>
      <c r="E2461" s="65">
        <v>42033</v>
      </c>
      <c r="F2461" s="24">
        <v>16477.2</v>
      </c>
      <c r="G2461" s="31">
        <f t="shared" si="38"/>
        <v>0</v>
      </c>
      <c r="H2461" s="39" t="s">
        <v>17</v>
      </c>
    </row>
    <row r="2462" spans="1:8" s="3" customFormat="1" x14ac:dyDescent="0.25">
      <c r="A2462" s="20">
        <v>42033</v>
      </c>
      <c r="B2462" s="21">
        <v>10369</v>
      </c>
      <c r="C2462" s="14" t="s">
        <v>103</v>
      </c>
      <c r="D2462" s="22">
        <v>51483</v>
      </c>
      <c r="E2462" s="65">
        <v>42034</v>
      </c>
      <c r="F2462" s="24">
        <v>51483</v>
      </c>
      <c r="G2462" s="31">
        <f t="shared" si="38"/>
        <v>0</v>
      </c>
      <c r="H2462" s="39" t="s">
        <v>94</v>
      </c>
    </row>
    <row r="2463" spans="1:8" s="3" customFormat="1" x14ac:dyDescent="0.25">
      <c r="A2463" s="20">
        <v>42033</v>
      </c>
      <c r="B2463" s="21">
        <v>10370</v>
      </c>
      <c r="C2463" s="14" t="s">
        <v>463</v>
      </c>
      <c r="D2463" s="22">
        <v>3401.8</v>
      </c>
      <c r="E2463" s="65">
        <v>42033</v>
      </c>
      <c r="F2463" s="24">
        <v>3401.8</v>
      </c>
      <c r="G2463" s="31">
        <f t="shared" si="38"/>
        <v>0</v>
      </c>
      <c r="H2463" s="39" t="s">
        <v>17</v>
      </c>
    </row>
    <row r="2464" spans="1:8" s="3" customFormat="1" x14ac:dyDescent="0.25">
      <c r="A2464" s="20">
        <v>42033</v>
      </c>
      <c r="B2464" s="21">
        <v>10371</v>
      </c>
      <c r="C2464" s="14" t="s">
        <v>114</v>
      </c>
      <c r="D2464" s="22">
        <v>3367.6</v>
      </c>
      <c r="E2464" s="65">
        <v>42033</v>
      </c>
      <c r="F2464" s="24">
        <v>3367.6</v>
      </c>
      <c r="G2464" s="31">
        <f t="shared" si="38"/>
        <v>0</v>
      </c>
      <c r="H2464" s="39" t="s">
        <v>9</v>
      </c>
    </row>
    <row r="2465" spans="1:8" s="3" customFormat="1" x14ac:dyDescent="0.25">
      <c r="A2465" s="20">
        <v>42033</v>
      </c>
      <c r="B2465" s="21">
        <v>10372</v>
      </c>
      <c r="C2465" s="14" t="s">
        <v>97</v>
      </c>
      <c r="D2465" s="22">
        <v>3351</v>
      </c>
      <c r="E2465" s="65">
        <v>42033</v>
      </c>
      <c r="F2465" s="24">
        <v>3351</v>
      </c>
      <c r="G2465" s="31">
        <f t="shared" si="38"/>
        <v>0</v>
      </c>
      <c r="H2465" s="39" t="s">
        <v>9</v>
      </c>
    </row>
    <row r="2466" spans="1:8" s="3" customFormat="1" x14ac:dyDescent="0.25">
      <c r="A2466" s="20">
        <v>42033</v>
      </c>
      <c r="B2466" s="21">
        <v>10373</v>
      </c>
      <c r="C2466" s="14" t="s">
        <v>157</v>
      </c>
      <c r="D2466" s="22">
        <v>1615.9</v>
      </c>
      <c r="E2466" s="65">
        <v>42033</v>
      </c>
      <c r="F2466" s="24">
        <v>1615.9</v>
      </c>
      <c r="G2466" s="31">
        <f t="shared" si="38"/>
        <v>0</v>
      </c>
      <c r="H2466" s="39" t="s">
        <v>9</v>
      </c>
    </row>
    <row r="2467" spans="1:8" s="3" customFormat="1" x14ac:dyDescent="0.25">
      <c r="A2467" s="20">
        <v>42033</v>
      </c>
      <c r="B2467" s="21">
        <v>10374</v>
      </c>
      <c r="C2467" s="14" t="s">
        <v>135</v>
      </c>
      <c r="D2467" s="22">
        <v>7448</v>
      </c>
      <c r="E2467" s="65">
        <v>42033</v>
      </c>
      <c r="F2467" s="24">
        <v>7448</v>
      </c>
      <c r="G2467" s="31">
        <f t="shared" si="38"/>
        <v>0</v>
      </c>
      <c r="H2467" s="39" t="s">
        <v>9</v>
      </c>
    </row>
    <row r="2468" spans="1:8" s="3" customFormat="1" x14ac:dyDescent="0.25">
      <c r="A2468" s="20">
        <v>42033</v>
      </c>
      <c r="B2468" s="21">
        <v>10375</v>
      </c>
      <c r="C2468" s="14" t="s">
        <v>167</v>
      </c>
      <c r="D2468" s="22">
        <v>669.6</v>
      </c>
      <c r="E2468" s="65">
        <v>42033</v>
      </c>
      <c r="F2468" s="24">
        <v>669.6</v>
      </c>
      <c r="G2468" s="31">
        <f t="shared" si="38"/>
        <v>0</v>
      </c>
      <c r="H2468" s="39" t="s">
        <v>59</v>
      </c>
    </row>
    <row r="2469" spans="1:8" s="3" customFormat="1" x14ac:dyDescent="0.25">
      <c r="A2469" s="20">
        <v>42033</v>
      </c>
      <c r="B2469" s="21">
        <v>10376</v>
      </c>
      <c r="C2469" s="14" t="s">
        <v>81</v>
      </c>
      <c r="D2469" s="22">
        <v>2797.8</v>
      </c>
      <c r="E2469" s="65">
        <v>42033</v>
      </c>
      <c r="F2469" s="24">
        <v>2797.8</v>
      </c>
      <c r="G2469" s="31">
        <f t="shared" si="38"/>
        <v>0</v>
      </c>
      <c r="H2469" s="39" t="s">
        <v>59</v>
      </c>
    </row>
    <row r="2470" spans="1:8" s="3" customFormat="1" x14ac:dyDescent="0.25">
      <c r="A2470" s="20">
        <v>42033</v>
      </c>
      <c r="B2470" s="21">
        <v>10377</v>
      </c>
      <c r="C2470" s="14" t="s">
        <v>83</v>
      </c>
      <c r="D2470" s="22">
        <v>8462.4</v>
      </c>
      <c r="E2470" s="65">
        <v>42033</v>
      </c>
      <c r="F2470" s="24">
        <v>8462.4</v>
      </c>
      <c r="G2470" s="31">
        <f t="shared" si="38"/>
        <v>0</v>
      </c>
      <c r="H2470" s="39" t="s">
        <v>59</v>
      </c>
    </row>
    <row r="2471" spans="1:8" s="3" customFormat="1" x14ac:dyDescent="0.25">
      <c r="A2471" s="20">
        <v>42033</v>
      </c>
      <c r="B2471" s="21">
        <v>10378</v>
      </c>
      <c r="C2471" s="14" t="s">
        <v>26</v>
      </c>
      <c r="D2471" s="22">
        <v>1152</v>
      </c>
      <c r="E2471" s="65">
        <v>42033</v>
      </c>
      <c r="F2471" s="24">
        <v>1152</v>
      </c>
      <c r="G2471" s="31">
        <f t="shared" si="38"/>
        <v>0</v>
      </c>
      <c r="H2471" s="39" t="s">
        <v>27</v>
      </c>
    </row>
    <row r="2472" spans="1:8" s="3" customFormat="1" x14ac:dyDescent="0.25">
      <c r="A2472" s="20">
        <v>42033</v>
      </c>
      <c r="B2472" s="21">
        <v>10379</v>
      </c>
      <c r="C2472" s="14" t="s">
        <v>53</v>
      </c>
      <c r="D2472" s="22">
        <v>824.1</v>
      </c>
      <c r="E2472" s="65">
        <v>42033</v>
      </c>
      <c r="F2472" s="24">
        <v>824.1</v>
      </c>
      <c r="G2472" s="31">
        <f t="shared" si="38"/>
        <v>0</v>
      </c>
      <c r="H2472" s="39" t="s">
        <v>59</v>
      </c>
    </row>
    <row r="2473" spans="1:8" s="3" customFormat="1" x14ac:dyDescent="0.25">
      <c r="A2473" s="20">
        <v>42033</v>
      </c>
      <c r="B2473" s="21">
        <v>10380</v>
      </c>
      <c r="C2473" s="14" t="s">
        <v>110</v>
      </c>
      <c r="D2473" s="22">
        <v>60509.27</v>
      </c>
      <c r="E2473" s="99" t="s">
        <v>495</v>
      </c>
      <c r="F2473" s="96">
        <f>21950+38559.27</f>
        <v>60509.27</v>
      </c>
      <c r="G2473" s="31">
        <f t="shared" si="38"/>
        <v>0</v>
      </c>
      <c r="H2473" s="39" t="s">
        <v>183</v>
      </c>
    </row>
    <row r="2474" spans="1:8" s="3" customFormat="1" x14ac:dyDescent="0.25">
      <c r="A2474" s="20">
        <v>42033</v>
      </c>
      <c r="B2474" s="21">
        <v>10381</v>
      </c>
      <c r="C2474" s="14" t="s">
        <v>151</v>
      </c>
      <c r="D2474" s="22">
        <v>2366.1999999999998</v>
      </c>
      <c r="E2474" s="65">
        <v>42034</v>
      </c>
      <c r="F2474" s="24">
        <v>2366.1999999999998</v>
      </c>
      <c r="G2474" s="31">
        <f t="shared" si="38"/>
        <v>0</v>
      </c>
      <c r="H2474" s="39" t="s">
        <v>9</v>
      </c>
    </row>
    <row r="2475" spans="1:8" s="3" customFormat="1" x14ac:dyDescent="0.25">
      <c r="A2475" s="20">
        <v>42033</v>
      </c>
      <c r="B2475" s="21">
        <v>10382</v>
      </c>
      <c r="C2475" s="14" t="s">
        <v>60</v>
      </c>
      <c r="D2475" s="22">
        <v>9158.7999999999993</v>
      </c>
      <c r="E2475" s="65">
        <v>42033</v>
      </c>
      <c r="F2475" s="24">
        <v>9158.7999999999993</v>
      </c>
      <c r="G2475" s="31">
        <f t="shared" si="38"/>
        <v>0</v>
      </c>
      <c r="H2475" s="39" t="s">
        <v>36</v>
      </c>
    </row>
    <row r="2476" spans="1:8" s="3" customFormat="1" x14ac:dyDescent="0.25">
      <c r="A2476" s="20">
        <v>42033</v>
      </c>
      <c r="B2476" s="21">
        <v>10383</v>
      </c>
      <c r="C2476" s="14" t="s">
        <v>82</v>
      </c>
      <c r="D2476" s="22">
        <v>9508</v>
      </c>
      <c r="E2476" s="65">
        <v>42033</v>
      </c>
      <c r="F2476" s="24">
        <v>9508</v>
      </c>
      <c r="G2476" s="31">
        <f t="shared" si="38"/>
        <v>0</v>
      </c>
      <c r="H2476" s="39" t="s">
        <v>59</v>
      </c>
    </row>
    <row r="2477" spans="1:8" s="3" customFormat="1" x14ac:dyDescent="0.25">
      <c r="A2477" s="20">
        <v>42033</v>
      </c>
      <c r="B2477" s="21">
        <v>10384</v>
      </c>
      <c r="C2477" s="14" t="s">
        <v>168</v>
      </c>
      <c r="D2477" s="22">
        <v>9033</v>
      </c>
      <c r="E2477" s="65">
        <v>42033</v>
      </c>
      <c r="F2477" s="24">
        <v>9033</v>
      </c>
      <c r="G2477" s="31">
        <f t="shared" si="38"/>
        <v>0</v>
      </c>
      <c r="H2477" s="39" t="s">
        <v>59</v>
      </c>
    </row>
    <row r="2478" spans="1:8" s="3" customFormat="1" x14ac:dyDescent="0.25">
      <c r="A2478" s="20">
        <v>42033</v>
      </c>
      <c r="B2478" s="21">
        <v>10385</v>
      </c>
      <c r="C2478" s="14" t="s">
        <v>464</v>
      </c>
      <c r="D2478" s="22">
        <v>2595.1999999999998</v>
      </c>
      <c r="E2478" s="65">
        <v>42033</v>
      </c>
      <c r="F2478" s="24">
        <v>2595.1999999999998</v>
      </c>
      <c r="G2478" s="31">
        <f t="shared" si="38"/>
        <v>0</v>
      </c>
      <c r="H2478" s="39" t="s">
        <v>9</v>
      </c>
    </row>
    <row r="2479" spans="1:8" s="3" customFormat="1" x14ac:dyDescent="0.25">
      <c r="A2479" s="20">
        <v>42033</v>
      </c>
      <c r="B2479" s="21">
        <v>10386</v>
      </c>
      <c r="C2479" s="14" t="s">
        <v>18</v>
      </c>
      <c r="D2479" s="22">
        <v>145306.07</v>
      </c>
      <c r="E2479" s="74">
        <v>42041</v>
      </c>
      <c r="F2479" s="96">
        <v>145306.07</v>
      </c>
      <c r="G2479" s="31">
        <f t="shared" si="38"/>
        <v>0</v>
      </c>
      <c r="H2479" s="39" t="s">
        <v>149</v>
      </c>
    </row>
    <row r="2480" spans="1:8" s="3" customFormat="1" x14ac:dyDescent="0.25">
      <c r="A2480" s="20">
        <v>42033</v>
      </c>
      <c r="B2480" s="21">
        <v>10387</v>
      </c>
      <c r="C2480" s="14" t="s">
        <v>137</v>
      </c>
      <c r="D2480" s="22">
        <v>276</v>
      </c>
      <c r="E2480" s="65">
        <v>42033</v>
      </c>
      <c r="F2480" s="24">
        <v>276</v>
      </c>
      <c r="G2480" s="31">
        <f t="shared" si="38"/>
        <v>0</v>
      </c>
      <c r="H2480" s="39" t="s">
        <v>9</v>
      </c>
    </row>
    <row r="2481" spans="1:8" s="3" customFormat="1" x14ac:dyDescent="0.25">
      <c r="A2481" s="20">
        <v>42033</v>
      </c>
      <c r="B2481" s="21">
        <v>10388</v>
      </c>
      <c r="C2481" s="14" t="s">
        <v>154</v>
      </c>
      <c r="D2481" s="22">
        <v>17291.599999999999</v>
      </c>
      <c r="E2481" s="65">
        <v>42033</v>
      </c>
      <c r="F2481" s="24">
        <v>17291.599999999999</v>
      </c>
      <c r="G2481" s="31">
        <f t="shared" si="38"/>
        <v>0</v>
      </c>
      <c r="H2481" s="39" t="s">
        <v>36</v>
      </c>
    </row>
    <row r="2482" spans="1:8" s="3" customFormat="1" x14ac:dyDescent="0.25">
      <c r="A2482" s="20">
        <v>42033</v>
      </c>
      <c r="B2482" s="21">
        <v>10389</v>
      </c>
      <c r="C2482" s="14" t="s">
        <v>54</v>
      </c>
      <c r="D2482" s="22">
        <v>800</v>
      </c>
      <c r="E2482" s="65">
        <v>42033</v>
      </c>
      <c r="F2482" s="24">
        <v>800</v>
      </c>
      <c r="G2482" s="31">
        <f t="shared" si="38"/>
        <v>0</v>
      </c>
      <c r="H2482" s="39" t="s">
        <v>59</v>
      </c>
    </row>
    <row r="2483" spans="1:8" s="3" customFormat="1" x14ac:dyDescent="0.25">
      <c r="A2483" s="20">
        <v>42033</v>
      </c>
      <c r="B2483" s="21">
        <v>10390</v>
      </c>
      <c r="C2483" s="14" t="s">
        <v>47</v>
      </c>
      <c r="D2483" s="22">
        <v>28527</v>
      </c>
      <c r="E2483" s="65">
        <v>42033</v>
      </c>
      <c r="F2483" s="24">
        <v>28527</v>
      </c>
      <c r="G2483" s="31">
        <f t="shared" si="38"/>
        <v>0</v>
      </c>
      <c r="H2483" s="39" t="s">
        <v>36</v>
      </c>
    </row>
    <row r="2484" spans="1:8" s="3" customFormat="1" x14ac:dyDescent="0.25">
      <c r="A2484" s="20">
        <v>42033</v>
      </c>
      <c r="B2484" s="21">
        <v>10391</v>
      </c>
      <c r="C2484" s="14" t="s">
        <v>56</v>
      </c>
      <c r="D2484" s="22">
        <v>18229.599999999999</v>
      </c>
      <c r="E2484" s="65">
        <v>42033</v>
      </c>
      <c r="F2484" s="24">
        <v>18229.599999999999</v>
      </c>
      <c r="G2484" s="31">
        <f t="shared" si="38"/>
        <v>0</v>
      </c>
      <c r="H2484" s="39" t="s">
        <v>36</v>
      </c>
    </row>
    <row r="2485" spans="1:8" s="3" customFormat="1" x14ac:dyDescent="0.25">
      <c r="A2485" s="20">
        <v>42033</v>
      </c>
      <c r="B2485" s="21">
        <v>10392</v>
      </c>
      <c r="C2485" s="14" t="s">
        <v>37</v>
      </c>
      <c r="D2485" s="22">
        <v>3204.2</v>
      </c>
      <c r="E2485" s="74">
        <v>42040</v>
      </c>
      <c r="F2485" s="96">
        <v>3204.2</v>
      </c>
      <c r="G2485" s="31">
        <f t="shared" si="38"/>
        <v>0</v>
      </c>
      <c r="H2485" s="39" t="s">
        <v>36</v>
      </c>
    </row>
    <row r="2486" spans="1:8" s="3" customFormat="1" x14ac:dyDescent="0.25">
      <c r="A2486" s="20">
        <v>42033</v>
      </c>
      <c r="B2486" s="21">
        <v>10393</v>
      </c>
      <c r="C2486" s="14" t="s">
        <v>24</v>
      </c>
      <c r="D2486" s="22">
        <v>1108.8</v>
      </c>
      <c r="E2486" s="74">
        <v>42055</v>
      </c>
      <c r="F2486" s="96">
        <v>1108.8</v>
      </c>
      <c r="G2486" s="31">
        <f t="shared" si="38"/>
        <v>0</v>
      </c>
      <c r="H2486" s="39" t="s">
        <v>36</v>
      </c>
    </row>
    <row r="2487" spans="1:8" s="3" customFormat="1" x14ac:dyDescent="0.25">
      <c r="A2487" s="20">
        <v>42033</v>
      </c>
      <c r="B2487" s="21">
        <v>10394</v>
      </c>
      <c r="C2487" s="14" t="s">
        <v>440</v>
      </c>
      <c r="D2487" s="22">
        <v>6471.6</v>
      </c>
      <c r="E2487" s="65">
        <v>42033</v>
      </c>
      <c r="F2487" s="24">
        <v>6471.6</v>
      </c>
      <c r="G2487" s="31">
        <f t="shared" si="38"/>
        <v>0</v>
      </c>
      <c r="H2487" s="39" t="s">
        <v>9</v>
      </c>
    </row>
    <row r="2488" spans="1:8" s="3" customFormat="1" x14ac:dyDescent="0.25">
      <c r="A2488" s="20">
        <v>42033</v>
      </c>
      <c r="B2488" s="21">
        <v>10395</v>
      </c>
      <c r="C2488" s="14" t="s">
        <v>465</v>
      </c>
      <c r="D2488" s="22">
        <v>13455.75</v>
      </c>
      <c r="E2488" s="65">
        <v>42033</v>
      </c>
      <c r="F2488" s="24">
        <v>13455.75</v>
      </c>
      <c r="G2488" s="31">
        <f t="shared" si="38"/>
        <v>0</v>
      </c>
      <c r="H2488" s="39" t="s">
        <v>9</v>
      </c>
    </row>
    <row r="2489" spans="1:8" s="3" customFormat="1" x14ac:dyDescent="0.25">
      <c r="A2489" s="20">
        <v>42033</v>
      </c>
      <c r="B2489" s="21">
        <v>10396</v>
      </c>
      <c r="C2489" s="14" t="s">
        <v>125</v>
      </c>
      <c r="D2489" s="22">
        <v>13590</v>
      </c>
      <c r="E2489" s="74">
        <v>42036</v>
      </c>
      <c r="F2489" s="96">
        <v>13590</v>
      </c>
      <c r="G2489" s="31">
        <f t="shared" si="38"/>
        <v>0</v>
      </c>
      <c r="H2489" s="39" t="s">
        <v>9</v>
      </c>
    </row>
    <row r="2490" spans="1:8" s="3" customFormat="1" x14ac:dyDescent="0.25">
      <c r="A2490" s="20">
        <v>42033</v>
      </c>
      <c r="B2490" s="21">
        <v>10397</v>
      </c>
      <c r="C2490" s="14" t="s">
        <v>34</v>
      </c>
      <c r="D2490" s="22">
        <v>2566.6</v>
      </c>
      <c r="E2490" s="65">
        <v>42033</v>
      </c>
      <c r="F2490" s="24">
        <v>2566.6</v>
      </c>
      <c r="G2490" s="31">
        <f t="shared" si="38"/>
        <v>0</v>
      </c>
      <c r="H2490" s="39" t="s">
        <v>9</v>
      </c>
    </row>
    <row r="2491" spans="1:8" s="3" customFormat="1" x14ac:dyDescent="0.25">
      <c r="A2491" s="20">
        <v>42033</v>
      </c>
      <c r="B2491" s="21">
        <v>10398</v>
      </c>
      <c r="C2491" s="14" t="s">
        <v>49</v>
      </c>
      <c r="D2491" s="22">
        <v>2040</v>
      </c>
      <c r="E2491" s="65">
        <v>42033</v>
      </c>
      <c r="F2491" s="24">
        <v>2040</v>
      </c>
      <c r="G2491" s="31">
        <f t="shared" si="38"/>
        <v>0</v>
      </c>
      <c r="H2491" s="39" t="s">
        <v>27</v>
      </c>
    </row>
    <row r="2492" spans="1:8" s="3" customFormat="1" x14ac:dyDescent="0.25">
      <c r="A2492" s="20">
        <v>42033</v>
      </c>
      <c r="B2492" s="21">
        <v>10399</v>
      </c>
      <c r="C2492" s="14" t="s">
        <v>38</v>
      </c>
      <c r="D2492" s="22">
        <v>38980.5</v>
      </c>
      <c r="E2492" s="74">
        <v>42037</v>
      </c>
      <c r="F2492" s="96">
        <v>38980.5</v>
      </c>
      <c r="G2492" s="31">
        <f t="shared" si="38"/>
        <v>0</v>
      </c>
      <c r="H2492" s="39" t="s">
        <v>62</v>
      </c>
    </row>
    <row r="2493" spans="1:8" s="3" customFormat="1" x14ac:dyDescent="0.25">
      <c r="A2493" s="20">
        <v>42033</v>
      </c>
      <c r="B2493" s="21">
        <v>10400</v>
      </c>
      <c r="C2493" s="14" t="s">
        <v>127</v>
      </c>
      <c r="D2493" s="22">
        <v>13173</v>
      </c>
      <c r="E2493" s="65">
        <v>42033</v>
      </c>
      <c r="F2493" s="24">
        <v>13173</v>
      </c>
      <c r="G2493" s="31">
        <f t="shared" si="38"/>
        <v>0</v>
      </c>
      <c r="H2493" s="39" t="s">
        <v>9</v>
      </c>
    </row>
    <row r="2494" spans="1:8" s="3" customFormat="1" x14ac:dyDescent="0.25">
      <c r="A2494" s="20">
        <v>42033</v>
      </c>
      <c r="B2494" s="21">
        <v>10401</v>
      </c>
      <c r="C2494" s="14" t="s">
        <v>215</v>
      </c>
      <c r="D2494" s="22">
        <v>15302.2</v>
      </c>
      <c r="E2494" s="65">
        <v>42033</v>
      </c>
      <c r="F2494" s="24">
        <v>15302.2</v>
      </c>
      <c r="G2494" s="31">
        <f t="shared" si="38"/>
        <v>0</v>
      </c>
      <c r="H2494" s="39" t="s">
        <v>9</v>
      </c>
    </row>
    <row r="2495" spans="1:8" s="3" customFormat="1" x14ac:dyDescent="0.25">
      <c r="A2495" s="20">
        <v>42033</v>
      </c>
      <c r="B2495" s="21">
        <v>10402</v>
      </c>
      <c r="C2495" s="14" t="s">
        <v>91</v>
      </c>
      <c r="D2495" s="22">
        <v>7447.9</v>
      </c>
      <c r="E2495" s="65">
        <v>42033</v>
      </c>
      <c r="F2495" s="24">
        <v>7447.9</v>
      </c>
      <c r="G2495" s="31">
        <f t="shared" si="38"/>
        <v>0</v>
      </c>
      <c r="H2495" s="39" t="s">
        <v>59</v>
      </c>
    </row>
    <row r="2496" spans="1:8" s="3" customFormat="1" x14ac:dyDescent="0.25">
      <c r="A2496" s="20">
        <v>42033</v>
      </c>
      <c r="B2496" s="21">
        <v>10403</v>
      </c>
      <c r="C2496" s="14" t="s">
        <v>45</v>
      </c>
      <c r="D2496" s="22">
        <v>10249.799999999999</v>
      </c>
      <c r="E2496" s="65">
        <v>42035</v>
      </c>
      <c r="F2496" s="24">
        <v>10249.799999999999</v>
      </c>
      <c r="G2496" s="31">
        <f t="shared" si="38"/>
        <v>0</v>
      </c>
      <c r="H2496" s="39" t="s">
        <v>59</v>
      </c>
    </row>
    <row r="2497" spans="1:8" s="3" customFormat="1" x14ac:dyDescent="0.25">
      <c r="A2497" s="20">
        <v>42033</v>
      </c>
      <c r="B2497" s="21">
        <v>10404</v>
      </c>
      <c r="C2497" s="14" t="s">
        <v>125</v>
      </c>
      <c r="D2497" s="22">
        <v>11140.8</v>
      </c>
      <c r="E2497" s="74">
        <v>42036</v>
      </c>
      <c r="F2497" s="96">
        <v>11140.8</v>
      </c>
      <c r="G2497" s="31">
        <f t="shared" si="38"/>
        <v>0</v>
      </c>
      <c r="H2497" s="39" t="s">
        <v>17</v>
      </c>
    </row>
    <row r="2498" spans="1:8" s="3" customFormat="1" x14ac:dyDescent="0.25">
      <c r="A2498" s="20">
        <v>42033</v>
      </c>
      <c r="B2498" s="21">
        <v>10405</v>
      </c>
      <c r="C2498" s="14" t="s">
        <v>131</v>
      </c>
      <c r="D2498" s="22">
        <v>1763.2</v>
      </c>
      <c r="E2498" s="65">
        <v>42033</v>
      </c>
      <c r="F2498" s="24">
        <v>1763.2</v>
      </c>
      <c r="G2498" s="31">
        <f t="shared" si="38"/>
        <v>0</v>
      </c>
      <c r="H2498" s="39" t="s">
        <v>17</v>
      </c>
    </row>
    <row r="2499" spans="1:8" s="3" customFormat="1" x14ac:dyDescent="0.25">
      <c r="A2499" s="20">
        <v>42033</v>
      </c>
      <c r="B2499" s="21">
        <v>10406</v>
      </c>
      <c r="C2499" s="14" t="s">
        <v>165</v>
      </c>
      <c r="D2499" s="22">
        <v>3737</v>
      </c>
      <c r="E2499" s="65">
        <v>42033</v>
      </c>
      <c r="F2499" s="24">
        <v>3737</v>
      </c>
      <c r="G2499" s="31">
        <f t="shared" ref="G2499:G2562" si="39">D2499-F2499</f>
        <v>0</v>
      </c>
      <c r="H2499" s="39" t="s">
        <v>17</v>
      </c>
    </row>
    <row r="2500" spans="1:8" s="3" customFormat="1" x14ac:dyDescent="0.25">
      <c r="A2500" s="20">
        <v>42033</v>
      </c>
      <c r="B2500" s="21">
        <v>10407</v>
      </c>
      <c r="C2500" s="14" t="s">
        <v>130</v>
      </c>
      <c r="D2500" s="22">
        <v>4788.2</v>
      </c>
      <c r="E2500" s="66" t="s">
        <v>466</v>
      </c>
      <c r="F2500" s="24">
        <f>3288.2+1500</f>
        <v>4788.2</v>
      </c>
      <c r="G2500" s="31">
        <f t="shared" si="39"/>
        <v>0</v>
      </c>
      <c r="H2500" s="39" t="s">
        <v>17</v>
      </c>
    </row>
    <row r="2501" spans="1:8" s="3" customFormat="1" x14ac:dyDescent="0.25">
      <c r="A2501" s="20">
        <v>42033</v>
      </c>
      <c r="B2501" s="21">
        <v>10408</v>
      </c>
      <c r="C2501" s="14" t="s">
        <v>228</v>
      </c>
      <c r="D2501" s="22">
        <v>3258</v>
      </c>
      <c r="E2501" s="65">
        <v>42033</v>
      </c>
      <c r="F2501" s="24">
        <v>3258</v>
      </c>
      <c r="G2501" s="31">
        <f t="shared" si="39"/>
        <v>0</v>
      </c>
      <c r="H2501" s="39" t="s">
        <v>9</v>
      </c>
    </row>
    <row r="2502" spans="1:8" s="3" customFormat="1" x14ac:dyDescent="0.25">
      <c r="A2502" s="20">
        <v>42033</v>
      </c>
      <c r="B2502" s="21">
        <v>10409</v>
      </c>
      <c r="C2502" s="14" t="s">
        <v>128</v>
      </c>
      <c r="D2502" s="22">
        <v>7144.8</v>
      </c>
      <c r="E2502" s="65">
        <v>42033</v>
      </c>
      <c r="F2502" s="24">
        <v>7144.8</v>
      </c>
      <c r="G2502" s="31">
        <f t="shared" si="39"/>
        <v>0</v>
      </c>
      <c r="H2502" s="39" t="s">
        <v>17</v>
      </c>
    </row>
    <row r="2503" spans="1:8" s="3" customFormat="1" x14ac:dyDescent="0.25">
      <c r="A2503" s="20">
        <v>42033</v>
      </c>
      <c r="B2503" s="21">
        <v>10410</v>
      </c>
      <c r="C2503" s="14" t="s">
        <v>229</v>
      </c>
      <c r="D2503" s="22">
        <v>4912.88</v>
      </c>
      <c r="E2503" s="65">
        <v>42033</v>
      </c>
      <c r="F2503" s="24">
        <v>4912.88</v>
      </c>
      <c r="G2503" s="31">
        <f t="shared" si="39"/>
        <v>0</v>
      </c>
      <c r="H2503" s="39" t="s">
        <v>9</v>
      </c>
    </row>
    <row r="2504" spans="1:8" s="3" customFormat="1" x14ac:dyDescent="0.25">
      <c r="A2504" s="20">
        <v>42033</v>
      </c>
      <c r="B2504" s="21">
        <v>10411</v>
      </c>
      <c r="C2504" s="14" t="s">
        <v>141</v>
      </c>
      <c r="D2504" s="22">
        <v>11536.8</v>
      </c>
      <c r="E2504" s="65">
        <v>42035</v>
      </c>
      <c r="F2504" s="24">
        <v>11536.8</v>
      </c>
      <c r="G2504" s="31">
        <f t="shared" si="39"/>
        <v>0</v>
      </c>
      <c r="H2504" s="39" t="s">
        <v>9</v>
      </c>
    </row>
    <row r="2505" spans="1:8" s="3" customFormat="1" x14ac:dyDescent="0.25">
      <c r="A2505" s="20">
        <v>42033</v>
      </c>
      <c r="B2505" s="21">
        <v>10412</v>
      </c>
      <c r="C2505" s="14" t="s">
        <v>32</v>
      </c>
      <c r="D2505" s="22">
        <v>14251.6</v>
      </c>
      <c r="E2505" s="74">
        <v>42062</v>
      </c>
      <c r="F2505" s="96">
        <v>14251.6</v>
      </c>
      <c r="G2505" s="31">
        <f t="shared" si="39"/>
        <v>0</v>
      </c>
      <c r="H2505" s="39" t="s">
        <v>9</v>
      </c>
    </row>
    <row r="2506" spans="1:8" s="3" customFormat="1" x14ac:dyDescent="0.25">
      <c r="A2506" s="20">
        <v>42033</v>
      </c>
      <c r="B2506" s="21">
        <v>10413</v>
      </c>
      <c r="C2506" s="14" t="s">
        <v>413</v>
      </c>
      <c r="D2506" s="22">
        <v>5227.6000000000004</v>
      </c>
      <c r="E2506" s="65">
        <v>42033</v>
      </c>
      <c r="F2506" s="24">
        <v>5227.6000000000004</v>
      </c>
      <c r="G2506" s="31">
        <f t="shared" si="39"/>
        <v>0</v>
      </c>
      <c r="H2506" s="39" t="s">
        <v>62</v>
      </c>
    </row>
    <row r="2507" spans="1:8" s="3" customFormat="1" x14ac:dyDescent="0.25">
      <c r="A2507" s="20">
        <v>42033</v>
      </c>
      <c r="B2507" s="21">
        <v>10414</v>
      </c>
      <c r="C2507" s="14" t="s">
        <v>74</v>
      </c>
      <c r="D2507" s="22">
        <v>2683.4</v>
      </c>
      <c r="E2507" s="65">
        <v>42033</v>
      </c>
      <c r="F2507" s="24">
        <v>2683.4</v>
      </c>
      <c r="G2507" s="31">
        <f t="shared" si="39"/>
        <v>0</v>
      </c>
      <c r="H2507" s="39" t="s">
        <v>9</v>
      </c>
    </row>
    <row r="2508" spans="1:8" s="3" customFormat="1" x14ac:dyDescent="0.25">
      <c r="A2508" s="20">
        <v>42033</v>
      </c>
      <c r="B2508" s="21">
        <v>10415</v>
      </c>
      <c r="C2508" s="14" t="s">
        <v>14</v>
      </c>
      <c r="D2508" s="22">
        <v>75538.94</v>
      </c>
      <c r="E2508" s="67" t="s">
        <v>524</v>
      </c>
      <c r="F2508" s="96">
        <f>35739+39799.94</f>
        <v>75538.94</v>
      </c>
      <c r="G2508" s="48">
        <f t="shared" si="39"/>
        <v>0</v>
      </c>
      <c r="H2508" s="39" t="s">
        <v>183</v>
      </c>
    </row>
    <row r="2509" spans="1:8" s="3" customFormat="1" x14ac:dyDescent="0.25">
      <c r="A2509" s="20">
        <v>42033</v>
      </c>
      <c r="B2509" s="21">
        <v>10416</v>
      </c>
      <c r="C2509" s="14" t="s">
        <v>250</v>
      </c>
      <c r="D2509" s="22">
        <v>3707.6</v>
      </c>
      <c r="E2509" s="65">
        <v>42034</v>
      </c>
      <c r="F2509" s="24">
        <v>3707.6</v>
      </c>
      <c r="G2509" s="31">
        <f t="shared" si="39"/>
        <v>0</v>
      </c>
      <c r="H2509" s="39" t="s">
        <v>19</v>
      </c>
    </row>
    <row r="2510" spans="1:8" s="3" customFormat="1" x14ac:dyDescent="0.25">
      <c r="A2510" s="20">
        <v>42033</v>
      </c>
      <c r="B2510" s="21">
        <v>10417</v>
      </c>
      <c r="C2510" s="14" t="s">
        <v>93</v>
      </c>
      <c r="D2510" s="22">
        <v>1812.2</v>
      </c>
      <c r="E2510" s="65">
        <v>42034</v>
      </c>
      <c r="F2510" s="24">
        <v>1812.2</v>
      </c>
      <c r="G2510" s="31">
        <f t="shared" si="39"/>
        <v>0</v>
      </c>
      <c r="H2510" s="39" t="s">
        <v>19</v>
      </c>
    </row>
    <row r="2511" spans="1:8" s="3" customFormat="1" x14ac:dyDescent="0.25">
      <c r="A2511" s="20">
        <v>42033</v>
      </c>
      <c r="B2511" s="21">
        <v>10418</v>
      </c>
      <c r="C2511" s="14" t="s">
        <v>95</v>
      </c>
      <c r="D2511" s="22">
        <v>2328.8000000000002</v>
      </c>
      <c r="E2511" s="65">
        <v>42034</v>
      </c>
      <c r="F2511" s="24">
        <v>2328.8000000000002</v>
      </c>
      <c r="G2511" s="31">
        <f t="shared" si="39"/>
        <v>0</v>
      </c>
      <c r="H2511" s="39" t="s">
        <v>19</v>
      </c>
    </row>
    <row r="2512" spans="1:8" s="3" customFormat="1" x14ac:dyDescent="0.25">
      <c r="A2512" s="20">
        <v>42033</v>
      </c>
      <c r="B2512" s="21">
        <v>10419</v>
      </c>
      <c r="C2512" s="14" t="s">
        <v>87</v>
      </c>
      <c r="D2512" s="22">
        <v>1632</v>
      </c>
      <c r="E2512" s="65">
        <v>42033</v>
      </c>
      <c r="F2512" s="24">
        <v>1632</v>
      </c>
      <c r="G2512" s="31">
        <f t="shared" si="39"/>
        <v>0</v>
      </c>
      <c r="H2512" s="39" t="s">
        <v>9</v>
      </c>
    </row>
    <row r="2513" spans="1:8" s="3" customFormat="1" x14ac:dyDescent="0.25">
      <c r="A2513" s="20">
        <v>42033</v>
      </c>
      <c r="B2513" s="21">
        <v>10420</v>
      </c>
      <c r="C2513" s="14" t="s">
        <v>104</v>
      </c>
      <c r="D2513" s="22">
        <v>6033.2</v>
      </c>
      <c r="E2513" s="65">
        <v>42034</v>
      </c>
      <c r="F2513" s="24">
        <v>6033.2</v>
      </c>
      <c r="G2513" s="31">
        <f t="shared" si="39"/>
        <v>0</v>
      </c>
      <c r="H2513" s="39" t="s">
        <v>19</v>
      </c>
    </row>
    <row r="2514" spans="1:8" s="3" customFormat="1" x14ac:dyDescent="0.25">
      <c r="A2514" s="20">
        <v>42033</v>
      </c>
      <c r="B2514" s="21">
        <v>10421</v>
      </c>
      <c r="C2514" s="14" t="s">
        <v>271</v>
      </c>
      <c r="D2514" s="22">
        <v>4179.2</v>
      </c>
      <c r="E2514" s="65">
        <v>42033</v>
      </c>
      <c r="F2514" s="24">
        <v>4179.2</v>
      </c>
      <c r="G2514" s="31">
        <f t="shared" si="39"/>
        <v>0</v>
      </c>
      <c r="H2514" s="39" t="s">
        <v>94</v>
      </c>
    </row>
    <row r="2515" spans="1:8" s="3" customFormat="1" x14ac:dyDescent="0.25">
      <c r="A2515" s="20">
        <v>42033</v>
      </c>
      <c r="B2515" s="21">
        <v>10422</v>
      </c>
      <c r="C2515" s="14" t="s">
        <v>247</v>
      </c>
      <c r="D2515" s="22">
        <v>6536</v>
      </c>
      <c r="E2515" s="65">
        <v>42033</v>
      </c>
      <c r="F2515" s="24">
        <v>6536</v>
      </c>
      <c r="G2515" s="31">
        <f t="shared" si="39"/>
        <v>0</v>
      </c>
      <c r="H2515" s="39" t="s">
        <v>94</v>
      </c>
    </row>
    <row r="2516" spans="1:8" s="3" customFormat="1" x14ac:dyDescent="0.25">
      <c r="A2516" s="20">
        <v>42033</v>
      </c>
      <c r="B2516" s="21">
        <v>10423</v>
      </c>
      <c r="C2516" s="14" t="s">
        <v>190</v>
      </c>
      <c r="D2516" s="22">
        <v>4700</v>
      </c>
      <c r="E2516" s="65">
        <v>42034</v>
      </c>
      <c r="F2516" s="24">
        <v>4700</v>
      </c>
      <c r="G2516" s="31">
        <f t="shared" si="39"/>
        <v>0</v>
      </c>
      <c r="H2516" s="39" t="s">
        <v>19</v>
      </c>
    </row>
    <row r="2517" spans="1:8" s="3" customFormat="1" x14ac:dyDescent="0.25">
      <c r="A2517" s="20">
        <v>42033</v>
      </c>
      <c r="B2517" s="21">
        <v>10424</v>
      </c>
      <c r="C2517" s="14" t="s">
        <v>361</v>
      </c>
      <c r="D2517" s="22">
        <v>741</v>
      </c>
      <c r="E2517" s="65">
        <v>42034</v>
      </c>
      <c r="F2517" s="24">
        <v>741</v>
      </c>
      <c r="G2517" s="31">
        <f t="shared" si="39"/>
        <v>0</v>
      </c>
      <c r="H2517" s="39" t="s">
        <v>9</v>
      </c>
    </row>
    <row r="2518" spans="1:8" s="3" customFormat="1" x14ac:dyDescent="0.25">
      <c r="A2518" s="20">
        <v>42033</v>
      </c>
      <c r="B2518" s="21">
        <v>10425</v>
      </c>
      <c r="C2518" s="14" t="s">
        <v>136</v>
      </c>
      <c r="D2518" s="22">
        <v>44911.4</v>
      </c>
      <c r="E2518" s="65">
        <v>42033</v>
      </c>
      <c r="F2518" s="24">
        <v>44911.4</v>
      </c>
      <c r="G2518" s="31">
        <f t="shared" si="39"/>
        <v>0</v>
      </c>
      <c r="H2518" s="39" t="s">
        <v>9</v>
      </c>
    </row>
    <row r="2519" spans="1:8" s="3" customFormat="1" x14ac:dyDescent="0.25">
      <c r="A2519" s="20">
        <v>42033</v>
      </c>
      <c r="B2519" s="21">
        <v>10426</v>
      </c>
      <c r="C2519" s="26" t="s">
        <v>218</v>
      </c>
      <c r="D2519" s="27">
        <v>0</v>
      </c>
      <c r="E2519" s="65"/>
      <c r="F2519" s="24"/>
      <c r="G2519" s="31">
        <f t="shared" si="39"/>
        <v>0</v>
      </c>
      <c r="H2519" s="39" t="s">
        <v>13</v>
      </c>
    </row>
    <row r="2520" spans="1:8" s="3" customFormat="1" x14ac:dyDescent="0.25">
      <c r="A2520" s="20">
        <v>42033</v>
      </c>
      <c r="B2520" s="21">
        <v>10427</v>
      </c>
      <c r="C2520" s="14" t="s">
        <v>48</v>
      </c>
      <c r="D2520" s="22">
        <v>3831.2</v>
      </c>
      <c r="E2520" s="65">
        <v>42033</v>
      </c>
      <c r="F2520" s="24">
        <v>3831.2</v>
      </c>
      <c r="G2520" s="31">
        <f t="shared" si="39"/>
        <v>0</v>
      </c>
      <c r="H2520" s="39" t="s">
        <v>94</v>
      </c>
    </row>
    <row r="2521" spans="1:8" s="3" customFormat="1" x14ac:dyDescent="0.25">
      <c r="A2521" s="20">
        <v>42033</v>
      </c>
      <c r="B2521" s="21">
        <v>10428</v>
      </c>
      <c r="C2521" s="14" t="s">
        <v>100</v>
      </c>
      <c r="D2521" s="22">
        <v>4239.8999999999996</v>
      </c>
      <c r="E2521" s="65">
        <v>42033</v>
      </c>
      <c r="F2521" s="24">
        <v>4239.8999999999996</v>
      </c>
      <c r="G2521" s="31">
        <f t="shared" si="39"/>
        <v>0</v>
      </c>
      <c r="H2521" s="39" t="s">
        <v>9</v>
      </c>
    </row>
    <row r="2522" spans="1:8" s="3" customFormat="1" x14ac:dyDescent="0.25">
      <c r="A2522" s="20">
        <v>42033</v>
      </c>
      <c r="B2522" s="21">
        <v>10429</v>
      </c>
      <c r="C2522" s="14" t="s">
        <v>89</v>
      </c>
      <c r="D2522" s="22">
        <v>4364.8</v>
      </c>
      <c r="E2522" s="65">
        <v>42033</v>
      </c>
      <c r="F2522" s="24">
        <v>4364.8</v>
      </c>
      <c r="G2522" s="31">
        <f t="shared" si="39"/>
        <v>0</v>
      </c>
      <c r="H2522" s="39" t="s">
        <v>9</v>
      </c>
    </row>
    <row r="2523" spans="1:8" s="3" customFormat="1" x14ac:dyDescent="0.25">
      <c r="A2523" s="20">
        <v>42033</v>
      </c>
      <c r="B2523" s="21">
        <v>10430</v>
      </c>
      <c r="C2523" s="14" t="s">
        <v>136</v>
      </c>
      <c r="D2523" s="22">
        <v>6192</v>
      </c>
      <c r="E2523" s="66" t="s">
        <v>467</v>
      </c>
      <c r="F2523" s="24">
        <f>3400+2792</f>
        <v>6192</v>
      </c>
      <c r="G2523" s="31">
        <f t="shared" si="39"/>
        <v>0</v>
      </c>
      <c r="H2523" s="39" t="s">
        <v>9</v>
      </c>
    </row>
    <row r="2524" spans="1:8" s="3" customFormat="1" x14ac:dyDescent="0.25">
      <c r="A2524" s="20">
        <v>42033</v>
      </c>
      <c r="B2524" s="21">
        <v>10431</v>
      </c>
      <c r="C2524" s="14" t="s">
        <v>252</v>
      </c>
      <c r="D2524" s="22">
        <v>6111</v>
      </c>
      <c r="E2524" s="65">
        <v>42033</v>
      </c>
      <c r="F2524" s="24">
        <v>6111</v>
      </c>
      <c r="G2524" s="31">
        <f t="shared" si="39"/>
        <v>0</v>
      </c>
      <c r="H2524" s="39" t="s">
        <v>9</v>
      </c>
    </row>
    <row r="2525" spans="1:8" s="3" customFormat="1" x14ac:dyDescent="0.25">
      <c r="A2525" s="20">
        <v>42033</v>
      </c>
      <c r="B2525" s="21">
        <v>10432</v>
      </c>
      <c r="C2525" s="14" t="s">
        <v>96</v>
      </c>
      <c r="D2525" s="22">
        <v>6787.7</v>
      </c>
      <c r="E2525" s="65">
        <v>42034</v>
      </c>
      <c r="F2525" s="24">
        <v>6787.7</v>
      </c>
      <c r="G2525" s="31">
        <f t="shared" si="39"/>
        <v>0</v>
      </c>
      <c r="H2525" s="39" t="s">
        <v>19</v>
      </c>
    </row>
    <row r="2526" spans="1:8" s="3" customFormat="1" x14ac:dyDescent="0.25">
      <c r="A2526" s="20">
        <v>42033</v>
      </c>
      <c r="B2526" s="21">
        <v>10433</v>
      </c>
      <c r="C2526" s="14" t="s">
        <v>24</v>
      </c>
      <c r="D2526" s="22">
        <v>119316.25</v>
      </c>
      <c r="E2526" s="74">
        <v>42039</v>
      </c>
      <c r="F2526" s="96">
        <v>119316.25</v>
      </c>
      <c r="G2526" s="31">
        <f t="shared" si="39"/>
        <v>0</v>
      </c>
      <c r="H2526" s="39" t="s">
        <v>183</v>
      </c>
    </row>
    <row r="2527" spans="1:8" s="3" customFormat="1" x14ac:dyDescent="0.25">
      <c r="A2527" s="20">
        <v>42033</v>
      </c>
      <c r="B2527" s="21">
        <v>10434</v>
      </c>
      <c r="C2527" s="14" t="s">
        <v>76</v>
      </c>
      <c r="D2527" s="22">
        <v>3439.7</v>
      </c>
      <c r="E2527" s="65">
        <v>42033</v>
      </c>
      <c r="F2527" s="24">
        <v>3439.7</v>
      </c>
      <c r="G2527" s="31">
        <f t="shared" si="39"/>
        <v>0</v>
      </c>
      <c r="H2527" s="39" t="s">
        <v>9</v>
      </c>
    </row>
    <row r="2528" spans="1:8" s="3" customFormat="1" x14ac:dyDescent="0.25">
      <c r="A2528" s="20">
        <v>42033</v>
      </c>
      <c r="B2528" s="21">
        <v>10435</v>
      </c>
      <c r="C2528" s="14" t="s">
        <v>112</v>
      </c>
      <c r="D2528" s="22">
        <v>1440</v>
      </c>
      <c r="E2528" s="65">
        <v>42033</v>
      </c>
      <c r="F2528" s="24">
        <v>1440</v>
      </c>
      <c r="G2528" s="31">
        <f t="shared" si="39"/>
        <v>0</v>
      </c>
      <c r="H2528" s="39" t="s">
        <v>9</v>
      </c>
    </row>
    <row r="2529" spans="1:8" s="3" customFormat="1" x14ac:dyDescent="0.25">
      <c r="A2529" s="20">
        <v>42033</v>
      </c>
      <c r="B2529" s="21">
        <v>10436</v>
      </c>
      <c r="C2529" s="14" t="s">
        <v>295</v>
      </c>
      <c r="D2529" s="22">
        <v>398</v>
      </c>
      <c r="E2529" s="65">
        <v>42033</v>
      </c>
      <c r="F2529" s="24">
        <v>398</v>
      </c>
      <c r="G2529" s="31">
        <f t="shared" si="39"/>
        <v>0</v>
      </c>
      <c r="H2529" s="39" t="s">
        <v>9</v>
      </c>
    </row>
    <row r="2530" spans="1:8" s="3" customFormat="1" x14ac:dyDescent="0.25">
      <c r="A2530" s="20">
        <v>42033</v>
      </c>
      <c r="B2530" s="21">
        <v>10437</v>
      </c>
      <c r="C2530" s="14" t="s">
        <v>195</v>
      </c>
      <c r="D2530" s="22">
        <v>139628.87</v>
      </c>
      <c r="E2530" s="74" t="s">
        <v>468</v>
      </c>
      <c r="F2530" s="24">
        <v>139628.87</v>
      </c>
      <c r="G2530" s="31">
        <f t="shared" si="39"/>
        <v>0</v>
      </c>
      <c r="H2530" s="39" t="s">
        <v>149</v>
      </c>
    </row>
    <row r="2531" spans="1:8" s="3" customFormat="1" x14ac:dyDescent="0.25">
      <c r="A2531" s="20">
        <v>42033</v>
      </c>
      <c r="B2531" s="21">
        <v>10438</v>
      </c>
      <c r="C2531" s="14" t="s">
        <v>24</v>
      </c>
      <c r="D2531" s="22">
        <v>840</v>
      </c>
      <c r="E2531" s="74">
        <v>42055</v>
      </c>
      <c r="F2531" s="96">
        <v>840</v>
      </c>
      <c r="G2531" s="31">
        <f t="shared" si="39"/>
        <v>0</v>
      </c>
      <c r="H2531" s="39" t="s">
        <v>9</v>
      </c>
    </row>
    <row r="2532" spans="1:8" s="3" customFormat="1" x14ac:dyDescent="0.25">
      <c r="A2532" s="20">
        <v>42033</v>
      </c>
      <c r="B2532" s="21">
        <v>10439</v>
      </c>
      <c r="C2532" s="14" t="s">
        <v>199</v>
      </c>
      <c r="D2532" s="22">
        <v>4276.3999999999996</v>
      </c>
      <c r="E2532" s="65">
        <v>42035</v>
      </c>
      <c r="F2532" s="24">
        <v>4276.3999999999996</v>
      </c>
      <c r="G2532" s="31">
        <f t="shared" si="39"/>
        <v>0</v>
      </c>
      <c r="H2532" s="39" t="s">
        <v>9</v>
      </c>
    </row>
    <row r="2533" spans="1:8" s="3" customFormat="1" x14ac:dyDescent="0.25">
      <c r="A2533" s="20">
        <v>42033</v>
      </c>
      <c r="B2533" s="21">
        <v>10440</v>
      </c>
      <c r="C2533" s="14" t="s">
        <v>469</v>
      </c>
      <c r="D2533" s="22">
        <v>2329</v>
      </c>
      <c r="E2533" s="65">
        <v>42035</v>
      </c>
      <c r="F2533" s="24">
        <v>2329</v>
      </c>
      <c r="G2533" s="31">
        <f t="shared" si="39"/>
        <v>0</v>
      </c>
      <c r="H2533" s="39" t="s">
        <v>149</v>
      </c>
    </row>
    <row r="2534" spans="1:8" s="3" customFormat="1" x14ac:dyDescent="0.25">
      <c r="A2534" s="20">
        <v>42033</v>
      </c>
      <c r="B2534" s="21">
        <v>10441</v>
      </c>
      <c r="C2534" s="14" t="s">
        <v>469</v>
      </c>
      <c r="D2534" s="22">
        <v>2379.6</v>
      </c>
      <c r="E2534" s="65">
        <v>42035</v>
      </c>
      <c r="F2534" s="24">
        <v>2379.6</v>
      </c>
      <c r="G2534" s="31">
        <f t="shared" si="39"/>
        <v>0</v>
      </c>
      <c r="H2534" s="39" t="s">
        <v>149</v>
      </c>
    </row>
    <row r="2535" spans="1:8" s="3" customFormat="1" x14ac:dyDescent="0.25">
      <c r="A2535" s="20">
        <v>42033</v>
      </c>
      <c r="B2535" s="21">
        <v>10442</v>
      </c>
      <c r="C2535" s="14" t="s">
        <v>470</v>
      </c>
      <c r="D2535" s="22">
        <v>10800</v>
      </c>
      <c r="E2535" s="74" t="s">
        <v>508</v>
      </c>
      <c r="F2535" s="96">
        <v>10800</v>
      </c>
      <c r="G2535" s="31">
        <f t="shared" si="39"/>
        <v>0</v>
      </c>
      <c r="H2535" s="39" t="s">
        <v>149</v>
      </c>
    </row>
    <row r="2536" spans="1:8" s="3" customFormat="1" x14ac:dyDescent="0.25">
      <c r="A2536" s="20">
        <v>42033</v>
      </c>
      <c r="B2536" s="21">
        <v>10443</v>
      </c>
      <c r="C2536" s="14" t="s">
        <v>370</v>
      </c>
      <c r="D2536" s="22">
        <v>3718.8</v>
      </c>
      <c r="E2536" s="65">
        <v>42033</v>
      </c>
      <c r="F2536" s="24">
        <v>3718.8</v>
      </c>
      <c r="G2536" s="31">
        <f t="shared" si="39"/>
        <v>0</v>
      </c>
      <c r="H2536" s="39" t="s">
        <v>9</v>
      </c>
    </row>
    <row r="2537" spans="1:8" s="3" customFormat="1" x14ac:dyDescent="0.25">
      <c r="A2537" s="20">
        <v>42033</v>
      </c>
      <c r="B2537" s="21">
        <v>10444</v>
      </c>
      <c r="C2537" s="14" t="s">
        <v>207</v>
      </c>
      <c r="D2537" s="22">
        <v>65705.23</v>
      </c>
      <c r="E2537" s="74">
        <v>42039</v>
      </c>
      <c r="F2537" s="96">
        <v>65705.23</v>
      </c>
      <c r="G2537" s="31">
        <f t="shared" si="39"/>
        <v>0</v>
      </c>
      <c r="H2537" s="39" t="s">
        <v>149</v>
      </c>
    </row>
    <row r="2538" spans="1:8" s="3" customFormat="1" x14ac:dyDescent="0.25">
      <c r="A2538" s="20">
        <v>42033</v>
      </c>
      <c r="B2538" s="21">
        <v>10445</v>
      </c>
      <c r="C2538" s="14" t="s">
        <v>471</v>
      </c>
      <c r="D2538" s="22">
        <v>2596.8000000000002</v>
      </c>
      <c r="E2538" s="65">
        <v>42035</v>
      </c>
      <c r="F2538" s="24">
        <v>2596.8000000000002</v>
      </c>
      <c r="G2538" s="31">
        <f t="shared" si="39"/>
        <v>0</v>
      </c>
      <c r="H2538" s="39" t="s">
        <v>149</v>
      </c>
    </row>
    <row r="2539" spans="1:8" s="3" customFormat="1" x14ac:dyDescent="0.25">
      <c r="A2539" s="20">
        <v>42033</v>
      </c>
      <c r="B2539" s="21">
        <v>10446</v>
      </c>
      <c r="C2539" s="14" t="s">
        <v>469</v>
      </c>
      <c r="D2539" s="22">
        <v>18370.45</v>
      </c>
      <c r="E2539" s="65">
        <v>42035</v>
      </c>
      <c r="F2539" s="24">
        <v>18370.45</v>
      </c>
      <c r="G2539" s="31">
        <f t="shared" si="39"/>
        <v>0</v>
      </c>
      <c r="H2539" s="39" t="s">
        <v>149</v>
      </c>
    </row>
    <row r="2540" spans="1:8" s="3" customFormat="1" x14ac:dyDescent="0.25">
      <c r="A2540" s="20">
        <v>42033</v>
      </c>
      <c r="B2540" s="21">
        <v>10447</v>
      </c>
      <c r="C2540" s="14" t="s">
        <v>68</v>
      </c>
      <c r="D2540" s="22">
        <v>2266.4</v>
      </c>
      <c r="E2540" s="65">
        <v>42035</v>
      </c>
      <c r="F2540" s="24">
        <v>2266.4</v>
      </c>
      <c r="G2540" s="31">
        <f t="shared" si="39"/>
        <v>0</v>
      </c>
      <c r="H2540" s="39" t="s">
        <v>149</v>
      </c>
    </row>
    <row r="2541" spans="1:8" s="3" customFormat="1" x14ac:dyDescent="0.25">
      <c r="A2541" s="20">
        <v>42033</v>
      </c>
      <c r="B2541" s="21">
        <v>10448</v>
      </c>
      <c r="C2541" s="14" t="s">
        <v>204</v>
      </c>
      <c r="D2541" s="22">
        <v>10987</v>
      </c>
      <c r="E2541" s="65">
        <v>42035</v>
      </c>
      <c r="F2541" s="24">
        <v>10987</v>
      </c>
      <c r="G2541" s="31">
        <f t="shared" si="39"/>
        <v>0</v>
      </c>
      <c r="H2541" s="39" t="s">
        <v>149</v>
      </c>
    </row>
    <row r="2542" spans="1:8" s="3" customFormat="1" x14ac:dyDescent="0.25">
      <c r="A2542" s="20">
        <v>42033</v>
      </c>
      <c r="B2542" s="21">
        <v>10449</v>
      </c>
      <c r="C2542" s="14" t="s">
        <v>349</v>
      </c>
      <c r="D2542" s="22">
        <v>10476</v>
      </c>
      <c r="E2542" s="65">
        <v>42035</v>
      </c>
      <c r="F2542" s="24">
        <v>10476</v>
      </c>
      <c r="G2542" s="31">
        <f t="shared" si="39"/>
        <v>0</v>
      </c>
      <c r="H2542" s="39" t="s">
        <v>149</v>
      </c>
    </row>
    <row r="2543" spans="1:8" s="3" customFormat="1" x14ac:dyDescent="0.25">
      <c r="A2543" s="20">
        <v>42033</v>
      </c>
      <c r="B2543" s="21">
        <v>10450</v>
      </c>
      <c r="C2543" s="14" t="s">
        <v>206</v>
      </c>
      <c r="D2543" s="22">
        <v>13272</v>
      </c>
      <c r="E2543" s="74">
        <v>42041</v>
      </c>
      <c r="F2543" s="96">
        <v>13272</v>
      </c>
      <c r="G2543" s="31">
        <f t="shared" si="39"/>
        <v>0</v>
      </c>
      <c r="H2543" s="39" t="s">
        <v>149</v>
      </c>
    </row>
    <row r="2544" spans="1:8" s="3" customFormat="1" x14ac:dyDescent="0.25">
      <c r="A2544" s="20">
        <v>42033</v>
      </c>
      <c r="B2544" s="21">
        <v>10451</v>
      </c>
      <c r="C2544" s="14" t="s">
        <v>64</v>
      </c>
      <c r="D2544" s="22">
        <v>3048</v>
      </c>
      <c r="E2544" s="65">
        <v>42033</v>
      </c>
      <c r="F2544" s="24">
        <v>3048</v>
      </c>
      <c r="G2544" s="31">
        <f t="shared" si="39"/>
        <v>0</v>
      </c>
      <c r="H2544" s="39" t="s">
        <v>149</v>
      </c>
    </row>
    <row r="2545" spans="1:8" s="3" customFormat="1" x14ac:dyDescent="0.25">
      <c r="A2545" s="20">
        <v>42033</v>
      </c>
      <c r="B2545" s="21">
        <v>10452</v>
      </c>
      <c r="C2545" s="14" t="s">
        <v>265</v>
      </c>
      <c r="D2545" s="22">
        <v>4031.6</v>
      </c>
      <c r="E2545" s="65">
        <v>42033</v>
      </c>
      <c r="F2545" s="24">
        <v>4031.6</v>
      </c>
      <c r="G2545" s="31">
        <f t="shared" si="39"/>
        <v>0</v>
      </c>
      <c r="H2545" s="39" t="s">
        <v>9</v>
      </c>
    </row>
    <row r="2546" spans="1:8" s="3" customFormat="1" x14ac:dyDescent="0.25">
      <c r="A2546" s="20">
        <v>42033</v>
      </c>
      <c r="B2546" s="21">
        <v>10453</v>
      </c>
      <c r="C2546" s="14" t="s">
        <v>262</v>
      </c>
      <c r="D2546" s="22">
        <v>36716.75</v>
      </c>
      <c r="E2546" s="65">
        <v>42035</v>
      </c>
      <c r="F2546" s="24">
        <v>36716.75</v>
      </c>
      <c r="G2546" s="31">
        <f t="shared" si="39"/>
        <v>0</v>
      </c>
      <c r="H2546" s="39" t="s">
        <v>149</v>
      </c>
    </row>
    <row r="2547" spans="1:8" s="3" customFormat="1" x14ac:dyDescent="0.25">
      <c r="A2547" s="20">
        <v>42033</v>
      </c>
      <c r="B2547" s="21">
        <v>10454</v>
      </c>
      <c r="C2547" s="14" t="s">
        <v>26</v>
      </c>
      <c r="D2547" s="22">
        <v>520</v>
      </c>
      <c r="E2547" s="65">
        <v>42033</v>
      </c>
      <c r="F2547" s="24">
        <v>520</v>
      </c>
      <c r="G2547" s="31">
        <f t="shared" si="39"/>
        <v>0</v>
      </c>
      <c r="H2547" s="39" t="s">
        <v>36</v>
      </c>
    </row>
    <row r="2548" spans="1:8" s="3" customFormat="1" x14ac:dyDescent="0.25">
      <c r="A2548" s="20">
        <v>42033</v>
      </c>
      <c r="B2548" s="21">
        <v>10455</v>
      </c>
      <c r="C2548" s="14" t="s">
        <v>208</v>
      </c>
      <c r="D2548" s="22">
        <v>20594.400000000001</v>
      </c>
      <c r="E2548" s="65">
        <v>42035</v>
      </c>
      <c r="F2548" s="24">
        <v>20594.400000000001</v>
      </c>
      <c r="G2548" s="31">
        <f t="shared" si="39"/>
        <v>0</v>
      </c>
      <c r="H2548" s="39" t="s">
        <v>149</v>
      </c>
    </row>
    <row r="2549" spans="1:8" s="3" customFormat="1" x14ac:dyDescent="0.25">
      <c r="A2549" s="20">
        <v>42033</v>
      </c>
      <c r="B2549" s="21">
        <v>10456</v>
      </c>
      <c r="C2549" s="14" t="s">
        <v>365</v>
      </c>
      <c r="D2549" s="22">
        <v>4087.6</v>
      </c>
      <c r="E2549" s="65">
        <v>42033</v>
      </c>
      <c r="F2549" s="24">
        <v>4087.6</v>
      </c>
      <c r="G2549" s="31">
        <f t="shared" si="39"/>
        <v>0</v>
      </c>
      <c r="H2549" s="39" t="s">
        <v>9</v>
      </c>
    </row>
    <row r="2550" spans="1:8" s="3" customFormat="1" x14ac:dyDescent="0.25">
      <c r="A2550" s="20">
        <v>42033</v>
      </c>
      <c r="B2550" s="21">
        <v>10457</v>
      </c>
      <c r="C2550" s="14" t="s">
        <v>207</v>
      </c>
      <c r="D2550" s="22">
        <v>10699.6</v>
      </c>
      <c r="E2550" s="65">
        <v>42035</v>
      </c>
      <c r="F2550" s="24">
        <v>10699.6</v>
      </c>
      <c r="G2550" s="31">
        <f t="shared" si="39"/>
        <v>0</v>
      </c>
      <c r="H2550" s="39" t="s">
        <v>149</v>
      </c>
    </row>
    <row r="2551" spans="1:8" s="3" customFormat="1" x14ac:dyDescent="0.25">
      <c r="A2551" s="20">
        <v>42033</v>
      </c>
      <c r="B2551" s="21">
        <v>10458</v>
      </c>
      <c r="C2551" s="14" t="s">
        <v>111</v>
      </c>
      <c r="D2551" s="22">
        <v>160894</v>
      </c>
      <c r="E2551" s="65">
        <v>42035</v>
      </c>
      <c r="F2551" s="24">
        <v>160894</v>
      </c>
      <c r="G2551" s="31">
        <f t="shared" si="39"/>
        <v>0</v>
      </c>
      <c r="H2551" s="39" t="s">
        <v>9</v>
      </c>
    </row>
    <row r="2552" spans="1:8" s="3" customFormat="1" x14ac:dyDescent="0.25">
      <c r="A2552" s="20">
        <v>42033</v>
      </c>
      <c r="B2552" s="21">
        <v>10459</v>
      </c>
      <c r="C2552" s="14" t="s">
        <v>111</v>
      </c>
      <c r="D2552" s="22">
        <v>171486</v>
      </c>
      <c r="E2552" s="65">
        <v>42034</v>
      </c>
      <c r="F2552" s="24">
        <v>171486</v>
      </c>
      <c r="G2552" s="31">
        <f t="shared" si="39"/>
        <v>0</v>
      </c>
      <c r="H2552" s="39" t="s">
        <v>9</v>
      </c>
    </row>
    <row r="2553" spans="1:8" s="3" customFormat="1" x14ac:dyDescent="0.25">
      <c r="A2553" s="20">
        <v>42033</v>
      </c>
      <c r="B2553" s="21">
        <v>10460</v>
      </c>
      <c r="C2553" s="14" t="s">
        <v>80</v>
      </c>
      <c r="D2553" s="22">
        <v>7689.6</v>
      </c>
      <c r="E2553" s="65">
        <v>42033</v>
      </c>
      <c r="F2553" s="24">
        <v>7689.6</v>
      </c>
      <c r="G2553" s="31">
        <f t="shared" si="39"/>
        <v>0</v>
      </c>
      <c r="H2553" s="39" t="s">
        <v>9</v>
      </c>
    </row>
    <row r="2554" spans="1:8" s="3" customFormat="1" x14ac:dyDescent="0.25">
      <c r="A2554" s="20">
        <v>42033</v>
      </c>
      <c r="B2554" s="21">
        <v>10461</v>
      </c>
      <c r="C2554" s="14" t="s">
        <v>406</v>
      </c>
      <c r="D2554" s="22">
        <v>4700</v>
      </c>
      <c r="E2554" s="65">
        <v>42033</v>
      </c>
      <c r="F2554" s="24">
        <v>4700</v>
      </c>
      <c r="G2554" s="31">
        <f t="shared" si="39"/>
        <v>0</v>
      </c>
      <c r="H2554" s="39" t="s">
        <v>9</v>
      </c>
    </row>
    <row r="2555" spans="1:8" s="3" customFormat="1" x14ac:dyDescent="0.25">
      <c r="A2555" s="20">
        <v>42033</v>
      </c>
      <c r="B2555" s="21">
        <v>10462</v>
      </c>
      <c r="C2555" s="14" t="s">
        <v>472</v>
      </c>
      <c r="D2555" s="22">
        <v>17360</v>
      </c>
      <c r="E2555" s="65">
        <v>42034</v>
      </c>
      <c r="F2555" s="24">
        <v>17360</v>
      </c>
      <c r="G2555" s="31">
        <f t="shared" si="39"/>
        <v>0</v>
      </c>
      <c r="H2555" s="39" t="s">
        <v>9</v>
      </c>
    </row>
    <row r="2556" spans="1:8" s="3" customFormat="1" x14ac:dyDescent="0.25">
      <c r="A2556" s="20">
        <v>42033</v>
      </c>
      <c r="B2556" s="21">
        <v>10463</v>
      </c>
      <c r="C2556" s="14" t="s">
        <v>473</v>
      </c>
      <c r="D2556" s="22">
        <v>55</v>
      </c>
      <c r="E2556" s="65">
        <v>42033</v>
      </c>
      <c r="F2556" s="24">
        <v>55</v>
      </c>
      <c r="G2556" s="31">
        <f t="shared" si="39"/>
        <v>0</v>
      </c>
      <c r="H2556" s="39" t="s">
        <v>9</v>
      </c>
    </row>
    <row r="2557" spans="1:8" s="3" customFormat="1" x14ac:dyDescent="0.25">
      <c r="A2557" s="20">
        <v>42033</v>
      </c>
      <c r="B2557" s="21">
        <v>10464</v>
      </c>
      <c r="C2557" s="14" t="s">
        <v>24</v>
      </c>
      <c r="D2557" s="22">
        <v>64743.5</v>
      </c>
      <c r="E2557" s="74">
        <v>42039</v>
      </c>
      <c r="F2557" s="96">
        <v>64743.5</v>
      </c>
      <c r="G2557" s="31">
        <f t="shared" si="39"/>
        <v>0</v>
      </c>
      <c r="H2557" s="39" t="s">
        <v>94</v>
      </c>
    </row>
    <row r="2558" spans="1:8" s="3" customFormat="1" x14ac:dyDescent="0.25">
      <c r="A2558" s="20">
        <v>42033</v>
      </c>
      <c r="B2558" s="21">
        <v>10465</v>
      </c>
      <c r="C2558" s="14" t="s">
        <v>203</v>
      </c>
      <c r="D2558" s="22">
        <v>22054.799999999999</v>
      </c>
      <c r="E2558" s="66" t="s">
        <v>509</v>
      </c>
      <c r="F2558" s="24">
        <f>3931.2+18123.6</f>
        <v>22054.799999999999</v>
      </c>
      <c r="G2558" s="31">
        <f t="shared" si="39"/>
        <v>0</v>
      </c>
      <c r="H2558" s="39" t="s">
        <v>149</v>
      </c>
    </row>
    <row r="2559" spans="1:8" s="3" customFormat="1" x14ac:dyDescent="0.25">
      <c r="A2559" s="20">
        <v>42033</v>
      </c>
      <c r="B2559" s="21">
        <v>10466</v>
      </c>
      <c r="C2559" s="14" t="s">
        <v>24</v>
      </c>
      <c r="D2559" s="22">
        <v>20336</v>
      </c>
      <c r="E2559" s="74">
        <v>42039</v>
      </c>
      <c r="F2559" s="96">
        <v>20336</v>
      </c>
      <c r="G2559" s="31">
        <f t="shared" si="39"/>
        <v>0</v>
      </c>
      <c r="H2559" s="39" t="s">
        <v>9</v>
      </c>
    </row>
    <row r="2560" spans="1:8" s="3" customFormat="1" x14ac:dyDescent="0.25">
      <c r="A2560" s="20">
        <v>42033</v>
      </c>
      <c r="B2560" s="21">
        <v>10467</v>
      </c>
      <c r="C2560" s="14" t="s">
        <v>198</v>
      </c>
      <c r="D2560" s="22">
        <v>15855.6</v>
      </c>
      <c r="E2560" s="65">
        <v>42035</v>
      </c>
      <c r="F2560" s="24">
        <v>15855.6</v>
      </c>
      <c r="G2560" s="31">
        <f t="shared" si="39"/>
        <v>0</v>
      </c>
      <c r="H2560" s="39" t="s">
        <v>149</v>
      </c>
    </row>
    <row r="2561" spans="1:8" s="3" customFormat="1" x14ac:dyDescent="0.25">
      <c r="A2561" s="20">
        <v>42034</v>
      </c>
      <c r="B2561" s="21">
        <v>10468</v>
      </c>
      <c r="C2561" s="14" t="s">
        <v>78</v>
      </c>
      <c r="D2561" s="22">
        <v>11170.4</v>
      </c>
      <c r="E2561" s="74">
        <v>42036</v>
      </c>
      <c r="F2561" s="96">
        <v>11170.4</v>
      </c>
      <c r="G2561" s="31">
        <f t="shared" si="39"/>
        <v>0</v>
      </c>
      <c r="H2561" s="39" t="s">
        <v>62</v>
      </c>
    </row>
    <row r="2562" spans="1:8" s="3" customFormat="1" x14ac:dyDescent="0.25">
      <c r="A2562" s="20">
        <v>42034</v>
      </c>
      <c r="B2562" s="21">
        <v>10469</v>
      </c>
      <c r="C2562" s="14" t="s">
        <v>67</v>
      </c>
      <c r="D2562" s="22">
        <v>5665.2</v>
      </c>
      <c r="E2562" s="74">
        <v>42036</v>
      </c>
      <c r="F2562" s="96">
        <v>5665.2</v>
      </c>
      <c r="G2562" s="31">
        <f t="shared" si="39"/>
        <v>0</v>
      </c>
      <c r="H2562" s="39" t="s">
        <v>62</v>
      </c>
    </row>
    <row r="2563" spans="1:8" s="3" customFormat="1" x14ac:dyDescent="0.25">
      <c r="A2563" s="20">
        <v>42034</v>
      </c>
      <c r="B2563" s="21">
        <v>10470</v>
      </c>
      <c r="C2563" s="14" t="s">
        <v>170</v>
      </c>
      <c r="D2563" s="22">
        <v>2679.6</v>
      </c>
      <c r="E2563" s="74">
        <v>42036</v>
      </c>
      <c r="F2563" s="96">
        <v>2679.6</v>
      </c>
      <c r="G2563" s="31">
        <f t="shared" ref="G2563:G2626" si="40">D2563-F2563</f>
        <v>0</v>
      </c>
      <c r="H2563" s="39" t="s">
        <v>62</v>
      </c>
    </row>
    <row r="2564" spans="1:8" s="3" customFormat="1" x14ac:dyDescent="0.25">
      <c r="A2564" s="20">
        <v>42034</v>
      </c>
      <c r="B2564" s="21">
        <v>10471</v>
      </c>
      <c r="C2564" s="26" t="s">
        <v>218</v>
      </c>
      <c r="D2564" s="27">
        <v>0</v>
      </c>
      <c r="E2564" s="65"/>
      <c r="F2564" s="24"/>
      <c r="G2564" s="31">
        <f t="shared" si="40"/>
        <v>0</v>
      </c>
      <c r="H2564" s="39" t="s">
        <v>13</v>
      </c>
    </row>
    <row r="2565" spans="1:8" s="3" customFormat="1" x14ac:dyDescent="0.25">
      <c r="A2565" s="20">
        <v>42034</v>
      </c>
      <c r="B2565" s="21">
        <v>10472</v>
      </c>
      <c r="C2565" s="14" t="s">
        <v>158</v>
      </c>
      <c r="D2565" s="22">
        <v>3819.6</v>
      </c>
      <c r="E2565" s="65">
        <v>42034</v>
      </c>
      <c r="F2565" s="24">
        <v>3819.6</v>
      </c>
      <c r="G2565" s="31">
        <f t="shared" si="40"/>
        <v>0</v>
      </c>
      <c r="H2565" s="39" t="s">
        <v>9</v>
      </c>
    </row>
    <row r="2566" spans="1:8" s="3" customFormat="1" x14ac:dyDescent="0.25">
      <c r="A2566" s="20">
        <v>42034</v>
      </c>
      <c r="B2566" s="21">
        <v>10473</v>
      </c>
      <c r="C2566" s="14" t="s">
        <v>215</v>
      </c>
      <c r="D2566" s="22">
        <v>32763.9</v>
      </c>
      <c r="E2566" s="65">
        <v>42034</v>
      </c>
      <c r="F2566" s="24">
        <v>32763.9</v>
      </c>
      <c r="G2566" s="31">
        <f t="shared" si="40"/>
        <v>0</v>
      </c>
      <c r="H2566" s="39" t="s">
        <v>9</v>
      </c>
    </row>
    <row r="2567" spans="1:8" s="3" customFormat="1" x14ac:dyDescent="0.25">
      <c r="A2567" s="20">
        <v>42034</v>
      </c>
      <c r="B2567" s="21">
        <v>10474</v>
      </c>
      <c r="C2567" s="14" t="s">
        <v>16</v>
      </c>
      <c r="D2567" s="22">
        <v>7850.6</v>
      </c>
      <c r="E2567" s="65">
        <v>42034</v>
      </c>
      <c r="F2567" s="24">
        <v>7850.6</v>
      </c>
      <c r="G2567" s="31">
        <f t="shared" si="40"/>
        <v>0</v>
      </c>
      <c r="H2567" s="39" t="s">
        <v>19</v>
      </c>
    </row>
    <row r="2568" spans="1:8" s="3" customFormat="1" x14ac:dyDescent="0.25">
      <c r="A2568" s="20">
        <v>42034</v>
      </c>
      <c r="B2568" s="21">
        <v>10475</v>
      </c>
      <c r="C2568" s="14" t="s">
        <v>25</v>
      </c>
      <c r="D2568" s="22">
        <v>1008</v>
      </c>
      <c r="E2568" s="65">
        <v>42034</v>
      </c>
      <c r="F2568" s="24">
        <v>1008</v>
      </c>
      <c r="G2568" s="31">
        <f t="shared" si="40"/>
        <v>0</v>
      </c>
      <c r="H2568" s="39" t="s">
        <v>9</v>
      </c>
    </row>
    <row r="2569" spans="1:8" s="3" customFormat="1" x14ac:dyDescent="0.25">
      <c r="A2569" s="20">
        <v>42034</v>
      </c>
      <c r="B2569" s="21">
        <v>10476</v>
      </c>
      <c r="C2569" s="14" t="s">
        <v>75</v>
      </c>
      <c r="D2569" s="22">
        <v>19197.2</v>
      </c>
      <c r="E2569" s="74">
        <v>42036</v>
      </c>
      <c r="F2569" s="96">
        <v>19197.2</v>
      </c>
      <c r="G2569" s="31">
        <f t="shared" si="40"/>
        <v>0</v>
      </c>
      <c r="H2569" s="39" t="s">
        <v>62</v>
      </c>
    </row>
    <row r="2570" spans="1:8" s="3" customFormat="1" x14ac:dyDescent="0.25">
      <c r="A2570" s="20">
        <v>42034</v>
      </c>
      <c r="B2570" s="21">
        <v>10477</v>
      </c>
      <c r="C2570" s="14" t="s">
        <v>86</v>
      </c>
      <c r="D2570" s="22">
        <v>450.8</v>
      </c>
      <c r="E2570" s="65">
        <v>42034</v>
      </c>
      <c r="F2570" s="24">
        <v>450.8</v>
      </c>
      <c r="G2570" s="31">
        <f t="shared" si="40"/>
        <v>0</v>
      </c>
      <c r="H2570" s="39" t="s">
        <v>9</v>
      </c>
    </row>
    <row r="2571" spans="1:8" s="3" customFormat="1" x14ac:dyDescent="0.25">
      <c r="A2571" s="20">
        <v>42034</v>
      </c>
      <c r="B2571" s="21">
        <v>10478</v>
      </c>
      <c r="C2571" s="14" t="s">
        <v>14</v>
      </c>
      <c r="D2571" s="22">
        <v>16807.599999999999</v>
      </c>
      <c r="E2571" s="74">
        <v>42039</v>
      </c>
      <c r="F2571" s="96">
        <v>16807.599999999999</v>
      </c>
      <c r="G2571" s="31">
        <f t="shared" si="40"/>
        <v>0</v>
      </c>
      <c r="H2571" s="39" t="s">
        <v>187</v>
      </c>
    </row>
    <row r="2572" spans="1:8" s="3" customFormat="1" x14ac:dyDescent="0.25">
      <c r="A2572" s="20">
        <v>42034</v>
      </c>
      <c r="B2572" s="21">
        <v>10479</v>
      </c>
      <c r="C2572" s="14" t="s">
        <v>65</v>
      </c>
      <c r="D2572" s="22">
        <v>4096.8</v>
      </c>
      <c r="E2572" s="74">
        <v>42036</v>
      </c>
      <c r="F2572" s="96">
        <v>4096.8</v>
      </c>
      <c r="G2572" s="31">
        <f t="shared" si="40"/>
        <v>0</v>
      </c>
      <c r="H2572" s="39" t="s">
        <v>62</v>
      </c>
    </row>
    <row r="2573" spans="1:8" s="3" customFormat="1" x14ac:dyDescent="0.25">
      <c r="A2573" s="20">
        <v>42034</v>
      </c>
      <c r="B2573" s="21">
        <v>10480</v>
      </c>
      <c r="C2573" s="14" t="s">
        <v>148</v>
      </c>
      <c r="D2573" s="22">
        <v>4448.2</v>
      </c>
      <c r="E2573" s="65">
        <v>42034</v>
      </c>
      <c r="F2573" s="24">
        <v>4448.2</v>
      </c>
      <c r="G2573" s="31">
        <f t="shared" si="40"/>
        <v>0</v>
      </c>
      <c r="H2573" s="39" t="s">
        <v>9</v>
      </c>
    </row>
    <row r="2574" spans="1:8" s="3" customFormat="1" x14ac:dyDescent="0.25">
      <c r="A2574" s="20">
        <v>42034</v>
      </c>
      <c r="B2574" s="21">
        <v>10481</v>
      </c>
      <c r="C2574" s="14" t="s">
        <v>267</v>
      </c>
      <c r="D2574" s="22">
        <v>2341.2600000000002</v>
      </c>
      <c r="E2574" s="65">
        <v>42034</v>
      </c>
      <c r="F2574" s="24">
        <v>2341.2600000000002</v>
      </c>
      <c r="G2574" s="31">
        <f t="shared" si="40"/>
        <v>0</v>
      </c>
      <c r="H2574" s="39" t="s">
        <v>19</v>
      </c>
    </row>
    <row r="2575" spans="1:8" s="3" customFormat="1" x14ac:dyDescent="0.25">
      <c r="A2575" s="20">
        <v>42034</v>
      </c>
      <c r="B2575" s="21">
        <v>10482</v>
      </c>
      <c r="C2575" s="14" t="s">
        <v>121</v>
      </c>
      <c r="D2575" s="22">
        <v>2494.8000000000002</v>
      </c>
      <c r="E2575" s="65">
        <v>42034</v>
      </c>
      <c r="F2575" s="24">
        <v>2494.8000000000002</v>
      </c>
      <c r="G2575" s="31">
        <f t="shared" si="40"/>
        <v>0</v>
      </c>
      <c r="H2575" s="39" t="s">
        <v>9</v>
      </c>
    </row>
    <row r="2576" spans="1:8" s="3" customFormat="1" x14ac:dyDescent="0.25">
      <c r="A2576" s="20">
        <v>42034</v>
      </c>
      <c r="B2576" s="21">
        <v>10483</v>
      </c>
      <c r="C2576" s="14" t="s">
        <v>178</v>
      </c>
      <c r="D2576" s="22">
        <v>720</v>
      </c>
      <c r="E2576" s="74">
        <v>42036</v>
      </c>
      <c r="F2576" s="96">
        <v>720</v>
      </c>
      <c r="G2576" s="31">
        <f t="shared" si="40"/>
        <v>0</v>
      </c>
      <c r="H2576" s="39" t="s">
        <v>62</v>
      </c>
    </row>
    <row r="2577" spans="1:8" s="3" customFormat="1" x14ac:dyDescent="0.25">
      <c r="A2577" s="20">
        <v>42034</v>
      </c>
      <c r="B2577" s="21">
        <v>10484</v>
      </c>
      <c r="C2577" s="14" t="s">
        <v>77</v>
      </c>
      <c r="D2577" s="22">
        <v>8786.4</v>
      </c>
      <c r="E2577" s="74">
        <v>42036</v>
      </c>
      <c r="F2577" s="96">
        <v>8786.4</v>
      </c>
      <c r="G2577" s="31">
        <f t="shared" si="40"/>
        <v>0</v>
      </c>
      <c r="H2577" s="39" t="s">
        <v>62</v>
      </c>
    </row>
    <row r="2578" spans="1:8" s="3" customFormat="1" x14ac:dyDescent="0.25">
      <c r="A2578" s="20">
        <v>42034</v>
      </c>
      <c r="B2578" s="21">
        <v>10485</v>
      </c>
      <c r="C2578" s="14" t="s">
        <v>61</v>
      </c>
      <c r="D2578" s="22">
        <v>8251.2000000000007</v>
      </c>
      <c r="E2578" s="74">
        <v>42036</v>
      </c>
      <c r="F2578" s="96">
        <v>8251.2000000000007</v>
      </c>
      <c r="G2578" s="31">
        <f t="shared" si="40"/>
        <v>0</v>
      </c>
      <c r="H2578" s="39" t="s">
        <v>62</v>
      </c>
    </row>
    <row r="2579" spans="1:8" s="3" customFormat="1" x14ac:dyDescent="0.25">
      <c r="A2579" s="20">
        <v>42034</v>
      </c>
      <c r="B2579" s="21">
        <v>10486</v>
      </c>
      <c r="C2579" s="14" t="s">
        <v>20</v>
      </c>
      <c r="D2579" s="22">
        <v>20678.400000000001</v>
      </c>
      <c r="E2579" s="65">
        <v>42034</v>
      </c>
      <c r="F2579" s="24">
        <v>20678.400000000001</v>
      </c>
      <c r="G2579" s="31">
        <f t="shared" si="40"/>
        <v>0</v>
      </c>
      <c r="H2579" s="39" t="s">
        <v>36</v>
      </c>
    </row>
    <row r="2580" spans="1:8" s="3" customFormat="1" x14ac:dyDescent="0.25">
      <c r="A2580" s="20">
        <v>42034</v>
      </c>
      <c r="B2580" s="21">
        <v>10487</v>
      </c>
      <c r="C2580" s="14" t="s">
        <v>103</v>
      </c>
      <c r="D2580" s="22">
        <v>11898.4</v>
      </c>
      <c r="E2580" s="65">
        <v>42034</v>
      </c>
      <c r="F2580" s="24">
        <v>11898.4</v>
      </c>
      <c r="G2580" s="31">
        <f t="shared" si="40"/>
        <v>0</v>
      </c>
      <c r="H2580" s="39" t="s">
        <v>9</v>
      </c>
    </row>
    <row r="2581" spans="1:8" s="3" customFormat="1" x14ac:dyDescent="0.25">
      <c r="A2581" s="20">
        <v>42034</v>
      </c>
      <c r="B2581" s="21">
        <v>10488</v>
      </c>
      <c r="C2581" s="14" t="s">
        <v>192</v>
      </c>
      <c r="D2581" s="22">
        <v>41978.8</v>
      </c>
      <c r="E2581" s="67" t="s">
        <v>1212</v>
      </c>
      <c r="F2581" s="192">
        <f>8345.44+10417.5+10380+374+1350</f>
        <v>30866.940000000002</v>
      </c>
      <c r="G2581" s="193">
        <f t="shared" si="40"/>
        <v>11111.86</v>
      </c>
      <c r="H2581" s="39" t="s">
        <v>17</v>
      </c>
    </row>
    <row r="2582" spans="1:8" s="3" customFormat="1" x14ac:dyDescent="0.25">
      <c r="A2582" s="20">
        <v>42034</v>
      </c>
      <c r="B2582" s="21">
        <v>10489</v>
      </c>
      <c r="C2582" s="14" t="s">
        <v>413</v>
      </c>
      <c r="D2582" s="22">
        <v>4927.8</v>
      </c>
      <c r="E2582" s="65">
        <v>42035</v>
      </c>
      <c r="F2582" s="24">
        <v>4927.8</v>
      </c>
      <c r="G2582" s="31">
        <f t="shared" si="40"/>
        <v>0</v>
      </c>
      <c r="H2582" s="39" t="s">
        <v>36</v>
      </c>
    </row>
    <row r="2583" spans="1:8" s="3" customFormat="1" x14ac:dyDescent="0.25">
      <c r="A2583" s="20">
        <v>42034</v>
      </c>
      <c r="B2583" s="21">
        <v>10490</v>
      </c>
      <c r="C2583" s="26" t="s">
        <v>218</v>
      </c>
      <c r="D2583" s="27">
        <v>0</v>
      </c>
      <c r="E2583" s="65"/>
      <c r="F2583" s="24"/>
      <c r="G2583" s="31">
        <f t="shared" si="40"/>
        <v>0</v>
      </c>
      <c r="H2583" s="39" t="s">
        <v>13</v>
      </c>
    </row>
    <row r="2584" spans="1:8" s="3" customFormat="1" x14ac:dyDescent="0.25">
      <c r="A2584" s="20">
        <v>42034</v>
      </c>
      <c r="B2584" s="21">
        <v>10491</v>
      </c>
      <c r="C2584" s="14" t="s">
        <v>114</v>
      </c>
      <c r="D2584" s="22">
        <v>27680.47</v>
      </c>
      <c r="E2584" s="65">
        <v>42034</v>
      </c>
      <c r="F2584" s="24">
        <v>27680.47</v>
      </c>
      <c r="G2584" s="31">
        <f t="shared" si="40"/>
        <v>0</v>
      </c>
      <c r="H2584" s="39" t="s">
        <v>9</v>
      </c>
    </row>
    <row r="2585" spans="1:8" s="3" customFormat="1" x14ac:dyDescent="0.25">
      <c r="A2585" s="20">
        <v>42034</v>
      </c>
      <c r="B2585" s="21">
        <v>10492</v>
      </c>
      <c r="C2585" s="14" t="s">
        <v>22</v>
      </c>
      <c r="D2585" s="22">
        <v>2904</v>
      </c>
      <c r="E2585" s="65">
        <v>42034</v>
      </c>
      <c r="F2585" s="24">
        <v>2904</v>
      </c>
      <c r="G2585" s="31">
        <f t="shared" si="40"/>
        <v>0</v>
      </c>
      <c r="H2585" s="39" t="s">
        <v>9</v>
      </c>
    </row>
    <row r="2586" spans="1:8" s="3" customFormat="1" x14ac:dyDescent="0.25">
      <c r="A2586" s="20">
        <v>42034</v>
      </c>
      <c r="B2586" s="21">
        <v>10493</v>
      </c>
      <c r="C2586" s="14" t="s">
        <v>43</v>
      </c>
      <c r="D2586" s="22">
        <v>7324.8</v>
      </c>
      <c r="E2586" s="65">
        <v>42034</v>
      </c>
      <c r="F2586" s="24">
        <v>7324.8</v>
      </c>
      <c r="G2586" s="31">
        <f t="shared" si="40"/>
        <v>0</v>
      </c>
      <c r="H2586" s="39" t="s">
        <v>9</v>
      </c>
    </row>
    <row r="2587" spans="1:8" s="3" customFormat="1" x14ac:dyDescent="0.25">
      <c r="A2587" s="20">
        <v>42034</v>
      </c>
      <c r="B2587" s="21">
        <v>10494</v>
      </c>
      <c r="C2587" s="14" t="s">
        <v>84</v>
      </c>
      <c r="D2587" s="22">
        <v>51374.8</v>
      </c>
      <c r="E2587" s="74" t="s">
        <v>517</v>
      </c>
      <c r="F2587" s="96">
        <v>51374.8</v>
      </c>
      <c r="G2587" s="31">
        <f t="shared" si="40"/>
        <v>0</v>
      </c>
      <c r="H2587" s="39" t="s">
        <v>62</v>
      </c>
    </row>
    <row r="2588" spans="1:8" s="3" customFormat="1" x14ac:dyDescent="0.25">
      <c r="A2588" s="20">
        <v>42034</v>
      </c>
      <c r="B2588" s="21">
        <v>10495</v>
      </c>
      <c r="C2588" s="14" t="s">
        <v>72</v>
      </c>
      <c r="D2588" s="22">
        <v>23877.200000000001</v>
      </c>
      <c r="E2588" s="74" t="s">
        <v>510</v>
      </c>
      <c r="F2588" s="96">
        <v>23877.200000000001</v>
      </c>
      <c r="G2588" s="31">
        <f t="shared" si="40"/>
        <v>0</v>
      </c>
      <c r="H2588" s="39" t="s">
        <v>62</v>
      </c>
    </row>
    <row r="2589" spans="1:8" s="3" customFormat="1" x14ac:dyDescent="0.25">
      <c r="A2589" s="20">
        <v>42034</v>
      </c>
      <c r="B2589" s="21">
        <v>10496</v>
      </c>
      <c r="C2589" s="14" t="s">
        <v>176</v>
      </c>
      <c r="D2589" s="22">
        <v>12588.32</v>
      </c>
      <c r="E2589" s="74" t="s">
        <v>518</v>
      </c>
      <c r="F2589" s="96">
        <v>12588.32</v>
      </c>
      <c r="G2589" s="31">
        <f t="shared" si="40"/>
        <v>0</v>
      </c>
      <c r="H2589" s="39" t="s">
        <v>62</v>
      </c>
    </row>
    <row r="2590" spans="1:8" s="3" customFormat="1" x14ac:dyDescent="0.25">
      <c r="A2590" s="20">
        <v>42034</v>
      </c>
      <c r="B2590" s="21">
        <v>10497</v>
      </c>
      <c r="C2590" s="14" t="s">
        <v>173</v>
      </c>
      <c r="D2590" s="22">
        <v>9464.4</v>
      </c>
      <c r="E2590" s="74" t="s">
        <v>519</v>
      </c>
      <c r="F2590" s="96">
        <v>9464.4</v>
      </c>
      <c r="G2590" s="31">
        <f t="shared" si="40"/>
        <v>0</v>
      </c>
      <c r="H2590" s="39" t="s">
        <v>62</v>
      </c>
    </row>
    <row r="2591" spans="1:8" s="3" customFormat="1" x14ac:dyDescent="0.25">
      <c r="A2591" s="20">
        <v>42034</v>
      </c>
      <c r="B2591" s="21">
        <v>10498</v>
      </c>
      <c r="C2591" s="14" t="s">
        <v>151</v>
      </c>
      <c r="D2591" s="22">
        <v>8612.5</v>
      </c>
      <c r="E2591" s="74">
        <v>42038</v>
      </c>
      <c r="F2591" s="96">
        <v>8612.5</v>
      </c>
      <c r="G2591" s="31">
        <f t="shared" si="40"/>
        <v>0</v>
      </c>
      <c r="H2591" s="39" t="s">
        <v>9</v>
      </c>
    </row>
    <row r="2592" spans="1:8" s="3" customFormat="1" x14ac:dyDescent="0.25">
      <c r="A2592" s="20">
        <v>42034</v>
      </c>
      <c r="B2592" s="21">
        <v>10499</v>
      </c>
      <c r="C2592" s="14" t="s">
        <v>474</v>
      </c>
      <c r="D2592" s="22">
        <v>3255.8</v>
      </c>
      <c r="E2592" s="65">
        <v>42034</v>
      </c>
      <c r="F2592" s="24">
        <v>3255.8</v>
      </c>
      <c r="G2592" s="31">
        <f t="shared" si="40"/>
        <v>0</v>
      </c>
      <c r="H2592" s="39" t="s">
        <v>9</v>
      </c>
    </row>
    <row r="2593" spans="1:8" s="3" customFormat="1" x14ac:dyDescent="0.25">
      <c r="A2593" s="20">
        <v>42034</v>
      </c>
      <c r="B2593" s="21">
        <v>10500</v>
      </c>
      <c r="C2593" s="14" t="s">
        <v>11</v>
      </c>
      <c r="D2593" s="22">
        <v>11212.3</v>
      </c>
      <c r="E2593" s="65">
        <v>42034</v>
      </c>
      <c r="F2593" s="24">
        <v>11212.3</v>
      </c>
      <c r="G2593" s="31">
        <f t="shared" si="40"/>
        <v>0</v>
      </c>
      <c r="H2593" s="39" t="s">
        <v>9</v>
      </c>
    </row>
    <row r="2594" spans="1:8" s="3" customFormat="1" x14ac:dyDescent="0.25">
      <c r="A2594" s="20">
        <v>42034</v>
      </c>
      <c r="B2594" s="21">
        <v>10501</v>
      </c>
      <c r="C2594" s="14" t="s">
        <v>45</v>
      </c>
      <c r="D2594" s="22">
        <v>92194.74</v>
      </c>
      <c r="E2594" s="67" t="s">
        <v>496</v>
      </c>
      <c r="F2594" s="96">
        <f>66266.07+25928.67</f>
        <v>92194.74</v>
      </c>
      <c r="G2594" s="31">
        <f t="shared" si="40"/>
        <v>0</v>
      </c>
      <c r="H2594" s="39" t="s">
        <v>183</v>
      </c>
    </row>
    <row r="2595" spans="1:8" s="3" customFormat="1" x14ac:dyDescent="0.25">
      <c r="A2595" s="20">
        <v>42034</v>
      </c>
      <c r="B2595" s="21">
        <v>10502</v>
      </c>
      <c r="C2595" s="14" t="s">
        <v>115</v>
      </c>
      <c r="D2595" s="22">
        <v>2172</v>
      </c>
      <c r="E2595" s="66" t="s">
        <v>475</v>
      </c>
      <c r="F2595" s="24">
        <v>2172</v>
      </c>
      <c r="G2595" s="31">
        <f t="shared" si="40"/>
        <v>0</v>
      </c>
      <c r="H2595" s="39" t="s">
        <v>9</v>
      </c>
    </row>
    <row r="2596" spans="1:8" s="3" customFormat="1" x14ac:dyDescent="0.25">
      <c r="A2596" s="20">
        <v>42034</v>
      </c>
      <c r="B2596" s="21">
        <v>10503</v>
      </c>
      <c r="C2596" s="14" t="s">
        <v>341</v>
      </c>
      <c r="D2596" s="22">
        <v>4167.6000000000004</v>
      </c>
      <c r="E2596" s="65">
        <v>42034</v>
      </c>
      <c r="F2596" s="24">
        <v>4167.6000000000004</v>
      </c>
      <c r="G2596" s="31">
        <f t="shared" si="40"/>
        <v>0</v>
      </c>
      <c r="H2596" s="39" t="s">
        <v>9</v>
      </c>
    </row>
    <row r="2597" spans="1:8" s="3" customFormat="1" x14ac:dyDescent="0.25">
      <c r="A2597" s="20">
        <v>42034</v>
      </c>
      <c r="B2597" s="21">
        <v>10504</v>
      </c>
      <c r="C2597" s="14" t="s">
        <v>145</v>
      </c>
      <c r="D2597" s="22">
        <v>6181.2</v>
      </c>
      <c r="E2597" s="65">
        <v>42034</v>
      </c>
      <c r="F2597" s="24">
        <v>6181.2</v>
      </c>
      <c r="G2597" s="31">
        <f t="shared" si="40"/>
        <v>0</v>
      </c>
      <c r="H2597" s="39" t="s">
        <v>9</v>
      </c>
    </row>
    <row r="2598" spans="1:8" s="3" customFormat="1" x14ac:dyDescent="0.25">
      <c r="A2598" s="20">
        <v>42034</v>
      </c>
      <c r="B2598" s="21">
        <v>10505</v>
      </c>
      <c r="C2598" s="14" t="s">
        <v>270</v>
      </c>
      <c r="D2598" s="22">
        <v>826.8</v>
      </c>
      <c r="E2598" s="65">
        <v>42034</v>
      </c>
      <c r="F2598" s="24">
        <v>826.8</v>
      </c>
      <c r="G2598" s="31">
        <f t="shared" si="40"/>
        <v>0</v>
      </c>
      <c r="H2598" s="39" t="s">
        <v>9</v>
      </c>
    </row>
    <row r="2599" spans="1:8" s="3" customFormat="1" x14ac:dyDescent="0.25">
      <c r="A2599" s="20">
        <v>42034</v>
      </c>
      <c r="B2599" s="21">
        <v>10506</v>
      </c>
      <c r="C2599" s="26" t="s">
        <v>218</v>
      </c>
      <c r="D2599" s="27">
        <v>0</v>
      </c>
      <c r="E2599" s="65"/>
      <c r="F2599" s="24"/>
      <c r="G2599" s="31">
        <f t="shared" si="40"/>
        <v>0</v>
      </c>
      <c r="H2599" s="39" t="s">
        <v>13</v>
      </c>
    </row>
    <row r="2600" spans="1:8" s="3" customFormat="1" x14ac:dyDescent="0.25">
      <c r="A2600" s="20">
        <v>42034</v>
      </c>
      <c r="B2600" s="21">
        <v>10507</v>
      </c>
      <c r="C2600" s="14" t="s">
        <v>125</v>
      </c>
      <c r="D2600" s="22">
        <v>21043.599999999999</v>
      </c>
      <c r="E2600" s="67" t="s">
        <v>489</v>
      </c>
      <c r="F2600" s="96">
        <f>17000+4043.6</f>
        <v>21043.599999999999</v>
      </c>
      <c r="G2600" s="31">
        <f t="shared" si="40"/>
        <v>0</v>
      </c>
      <c r="H2600" s="39" t="s">
        <v>9</v>
      </c>
    </row>
    <row r="2601" spans="1:8" s="3" customFormat="1" x14ac:dyDescent="0.25">
      <c r="A2601" s="20">
        <v>42034</v>
      </c>
      <c r="B2601" s="21">
        <v>10508</v>
      </c>
      <c r="C2601" s="14" t="s">
        <v>133</v>
      </c>
      <c r="D2601" s="22">
        <v>33788.5</v>
      </c>
      <c r="E2601" s="65">
        <v>42034</v>
      </c>
      <c r="F2601" s="24">
        <v>33788.5</v>
      </c>
      <c r="G2601" s="31">
        <f t="shared" si="40"/>
        <v>0</v>
      </c>
      <c r="H2601" s="39" t="s">
        <v>9</v>
      </c>
    </row>
    <row r="2602" spans="1:8" s="3" customFormat="1" x14ac:dyDescent="0.25">
      <c r="A2602" s="20">
        <v>42034</v>
      </c>
      <c r="B2602" s="21">
        <v>10509</v>
      </c>
      <c r="C2602" s="14" t="s">
        <v>26</v>
      </c>
      <c r="D2602" s="22">
        <v>4032</v>
      </c>
      <c r="E2602" s="65">
        <v>42034</v>
      </c>
      <c r="F2602" s="24">
        <v>4032</v>
      </c>
      <c r="G2602" s="31">
        <f t="shared" si="40"/>
        <v>0</v>
      </c>
      <c r="H2602" s="39" t="s">
        <v>27</v>
      </c>
    </row>
    <row r="2603" spans="1:8" s="3" customFormat="1" x14ac:dyDescent="0.25">
      <c r="A2603" s="20">
        <v>42034</v>
      </c>
      <c r="B2603" s="21">
        <v>10510</v>
      </c>
      <c r="C2603" s="14" t="s">
        <v>24</v>
      </c>
      <c r="D2603" s="22">
        <v>1959.84</v>
      </c>
      <c r="E2603" s="74">
        <v>42051</v>
      </c>
      <c r="F2603" s="96">
        <v>1959.84</v>
      </c>
      <c r="G2603" s="31">
        <f t="shared" si="40"/>
        <v>0</v>
      </c>
      <c r="H2603" s="39" t="s">
        <v>312</v>
      </c>
    </row>
    <row r="2604" spans="1:8" s="3" customFormat="1" x14ac:dyDescent="0.25">
      <c r="A2604" s="20">
        <v>42034</v>
      </c>
      <c r="B2604" s="21">
        <v>10511</v>
      </c>
      <c r="C2604" s="14" t="s">
        <v>57</v>
      </c>
      <c r="D2604" s="22">
        <v>1880</v>
      </c>
      <c r="E2604" s="65">
        <v>42034</v>
      </c>
      <c r="F2604" s="24">
        <v>1880</v>
      </c>
      <c r="G2604" s="31">
        <f t="shared" si="40"/>
        <v>0</v>
      </c>
      <c r="H2604" s="39" t="s">
        <v>59</v>
      </c>
    </row>
    <row r="2605" spans="1:8" s="3" customFormat="1" x14ac:dyDescent="0.25">
      <c r="A2605" s="20">
        <v>42034</v>
      </c>
      <c r="B2605" s="21">
        <v>10512</v>
      </c>
      <c r="C2605" s="14" t="s">
        <v>100</v>
      </c>
      <c r="D2605" s="22">
        <v>2789.8</v>
      </c>
      <c r="E2605" s="65">
        <v>42034</v>
      </c>
      <c r="F2605" s="24">
        <v>2789.8</v>
      </c>
      <c r="G2605" s="31">
        <f t="shared" si="40"/>
        <v>0</v>
      </c>
      <c r="H2605" s="39" t="s">
        <v>9</v>
      </c>
    </row>
    <row r="2606" spans="1:8" s="3" customFormat="1" x14ac:dyDescent="0.25">
      <c r="A2606" s="20">
        <v>42034</v>
      </c>
      <c r="B2606" s="21">
        <v>10513</v>
      </c>
      <c r="C2606" s="14" t="s">
        <v>118</v>
      </c>
      <c r="D2606" s="22">
        <v>7812</v>
      </c>
      <c r="E2606" s="74">
        <v>42041</v>
      </c>
      <c r="F2606" s="96">
        <v>7812</v>
      </c>
      <c r="G2606" s="31">
        <f t="shared" si="40"/>
        <v>0</v>
      </c>
      <c r="H2606" s="39" t="s">
        <v>59</v>
      </c>
    </row>
    <row r="2607" spans="1:8" s="3" customFormat="1" x14ac:dyDescent="0.25">
      <c r="A2607" s="20">
        <v>42034</v>
      </c>
      <c r="B2607" s="21">
        <v>10514</v>
      </c>
      <c r="C2607" s="14" t="s">
        <v>155</v>
      </c>
      <c r="D2607" s="22">
        <v>2103.6</v>
      </c>
      <c r="E2607" s="65">
        <v>42034</v>
      </c>
      <c r="F2607" s="24">
        <v>2103.6</v>
      </c>
      <c r="G2607" s="31">
        <f t="shared" si="40"/>
        <v>0</v>
      </c>
      <c r="H2607" s="39" t="s">
        <v>19</v>
      </c>
    </row>
    <row r="2608" spans="1:8" s="3" customFormat="1" x14ac:dyDescent="0.25">
      <c r="A2608" s="20">
        <v>42034</v>
      </c>
      <c r="B2608" s="21">
        <v>10515</v>
      </c>
      <c r="C2608" s="14" t="s">
        <v>34</v>
      </c>
      <c r="D2608" s="22">
        <v>4091.8</v>
      </c>
      <c r="E2608" s="65">
        <v>42034</v>
      </c>
      <c r="F2608" s="24">
        <v>4091.8</v>
      </c>
      <c r="G2608" s="31">
        <f t="shared" si="40"/>
        <v>0</v>
      </c>
      <c r="H2608" s="39" t="s">
        <v>9</v>
      </c>
    </row>
    <row r="2609" spans="1:8" s="3" customFormat="1" x14ac:dyDescent="0.25">
      <c r="A2609" s="20">
        <v>42034</v>
      </c>
      <c r="B2609" s="21">
        <v>10516</v>
      </c>
      <c r="C2609" s="14" t="s">
        <v>24</v>
      </c>
      <c r="D2609" s="22">
        <v>6696</v>
      </c>
      <c r="E2609" s="74">
        <v>42051</v>
      </c>
      <c r="F2609" s="96">
        <v>6696</v>
      </c>
      <c r="G2609" s="31">
        <f t="shared" si="40"/>
        <v>0</v>
      </c>
      <c r="H2609" s="39" t="s">
        <v>9</v>
      </c>
    </row>
    <row r="2610" spans="1:8" s="3" customFormat="1" x14ac:dyDescent="0.25">
      <c r="A2610" s="20">
        <v>42034</v>
      </c>
      <c r="B2610" s="21">
        <v>10517</v>
      </c>
      <c r="C2610" s="14" t="s">
        <v>217</v>
      </c>
      <c r="D2610" s="22">
        <v>4204.3999999999996</v>
      </c>
      <c r="E2610" s="65">
        <v>42034</v>
      </c>
      <c r="F2610" s="24">
        <v>4204.3999999999996</v>
      </c>
      <c r="G2610" s="31">
        <f t="shared" si="40"/>
        <v>0</v>
      </c>
      <c r="H2610" s="39" t="s">
        <v>59</v>
      </c>
    </row>
    <row r="2611" spans="1:8" s="3" customFormat="1" x14ac:dyDescent="0.25">
      <c r="A2611" s="20">
        <v>42034</v>
      </c>
      <c r="B2611" s="21">
        <v>10518</v>
      </c>
      <c r="C2611" s="14" t="s">
        <v>148</v>
      </c>
      <c r="D2611" s="22">
        <v>1104</v>
      </c>
      <c r="E2611" s="65">
        <v>42034</v>
      </c>
      <c r="F2611" s="24">
        <v>1104</v>
      </c>
      <c r="G2611" s="31">
        <f t="shared" si="40"/>
        <v>0</v>
      </c>
      <c r="H2611" s="39" t="s">
        <v>59</v>
      </c>
    </row>
    <row r="2612" spans="1:8" s="3" customFormat="1" x14ac:dyDescent="0.25">
      <c r="A2612" s="20">
        <v>42034</v>
      </c>
      <c r="B2612" s="21">
        <v>10519</v>
      </c>
      <c r="C2612" s="14" t="s">
        <v>83</v>
      </c>
      <c r="D2612" s="22">
        <v>1144</v>
      </c>
      <c r="E2612" s="65">
        <v>42034</v>
      </c>
      <c r="F2612" s="24">
        <v>1144</v>
      </c>
      <c r="G2612" s="31">
        <f t="shared" si="40"/>
        <v>0</v>
      </c>
      <c r="H2612" s="39" t="s">
        <v>59</v>
      </c>
    </row>
    <row r="2613" spans="1:8" s="3" customFormat="1" x14ac:dyDescent="0.25">
      <c r="A2613" s="20">
        <v>42034</v>
      </c>
      <c r="B2613" s="21">
        <v>10520</v>
      </c>
      <c r="C2613" s="14" t="s">
        <v>292</v>
      </c>
      <c r="D2613" s="22">
        <v>4903.1000000000004</v>
      </c>
      <c r="E2613" s="65">
        <v>42034</v>
      </c>
      <c r="F2613" s="24">
        <v>4903.1000000000004</v>
      </c>
      <c r="G2613" s="31">
        <f t="shared" si="40"/>
        <v>0</v>
      </c>
      <c r="H2613" s="39" t="s">
        <v>59</v>
      </c>
    </row>
    <row r="2614" spans="1:8" s="3" customFormat="1" x14ac:dyDescent="0.25">
      <c r="A2614" s="20">
        <v>42034</v>
      </c>
      <c r="B2614" s="21">
        <v>10521</v>
      </c>
      <c r="C2614" s="14" t="s">
        <v>71</v>
      </c>
      <c r="D2614" s="22">
        <v>6835.04</v>
      </c>
      <c r="E2614" s="65">
        <v>42034</v>
      </c>
      <c r="F2614" s="24">
        <v>6835.04</v>
      </c>
      <c r="G2614" s="31">
        <f t="shared" si="40"/>
        <v>0</v>
      </c>
      <c r="H2614" s="39" t="s">
        <v>9</v>
      </c>
    </row>
    <row r="2615" spans="1:8" s="3" customFormat="1" x14ac:dyDescent="0.25">
      <c r="A2615" s="20">
        <v>42034</v>
      </c>
      <c r="B2615" s="21">
        <v>10522</v>
      </c>
      <c r="C2615" s="14" t="s">
        <v>118</v>
      </c>
      <c r="D2615" s="22">
        <v>2179</v>
      </c>
      <c r="E2615" s="65">
        <v>42034</v>
      </c>
      <c r="F2615" s="24">
        <v>2179</v>
      </c>
      <c r="G2615" s="31">
        <f t="shared" si="40"/>
        <v>0</v>
      </c>
      <c r="H2615" s="39" t="s">
        <v>17</v>
      </c>
    </row>
    <row r="2616" spans="1:8" s="3" customFormat="1" x14ac:dyDescent="0.25">
      <c r="A2616" s="20">
        <v>42034</v>
      </c>
      <c r="B2616" s="21">
        <v>10523</v>
      </c>
      <c r="C2616" s="14" t="s">
        <v>82</v>
      </c>
      <c r="D2616" s="22">
        <v>8413.2000000000007</v>
      </c>
      <c r="E2616" s="65">
        <v>42034</v>
      </c>
      <c r="F2616" s="24">
        <v>8413.2000000000007</v>
      </c>
      <c r="G2616" s="31">
        <f t="shared" si="40"/>
        <v>0</v>
      </c>
      <c r="H2616" s="39" t="s">
        <v>59</v>
      </c>
    </row>
    <row r="2617" spans="1:8" s="3" customFormat="1" x14ac:dyDescent="0.25">
      <c r="A2617" s="20">
        <v>42034</v>
      </c>
      <c r="B2617" s="21">
        <v>10524</v>
      </c>
      <c r="C2617" s="14" t="s">
        <v>53</v>
      </c>
      <c r="D2617" s="22">
        <v>1119.3</v>
      </c>
      <c r="E2617" s="65">
        <v>42034</v>
      </c>
      <c r="F2617" s="24">
        <v>1119.3</v>
      </c>
      <c r="G2617" s="31">
        <f t="shared" si="40"/>
        <v>0</v>
      </c>
      <c r="H2617" s="39" t="s">
        <v>59</v>
      </c>
    </row>
    <row r="2618" spans="1:8" s="3" customFormat="1" x14ac:dyDescent="0.25">
      <c r="A2618" s="20">
        <v>42034</v>
      </c>
      <c r="B2618" s="21">
        <v>10525</v>
      </c>
      <c r="C2618" s="14" t="s">
        <v>58</v>
      </c>
      <c r="D2618" s="22">
        <v>404</v>
      </c>
      <c r="E2618" s="65">
        <v>42034</v>
      </c>
      <c r="F2618" s="24">
        <v>404</v>
      </c>
      <c r="G2618" s="31">
        <f t="shared" si="40"/>
        <v>0</v>
      </c>
      <c r="H2618" s="39" t="s">
        <v>59</v>
      </c>
    </row>
    <row r="2619" spans="1:8" s="3" customFormat="1" x14ac:dyDescent="0.25">
      <c r="A2619" s="20">
        <v>42034</v>
      </c>
      <c r="B2619" s="21">
        <v>10526</v>
      </c>
      <c r="C2619" s="14" t="s">
        <v>531</v>
      </c>
      <c r="D2619" s="22">
        <v>0</v>
      </c>
      <c r="E2619" s="74"/>
      <c r="F2619" s="96"/>
      <c r="G2619" s="31">
        <f t="shared" si="40"/>
        <v>0</v>
      </c>
      <c r="H2619" s="39" t="s">
        <v>59</v>
      </c>
    </row>
    <row r="2620" spans="1:8" s="3" customFormat="1" x14ac:dyDescent="0.25">
      <c r="A2620" s="20">
        <v>42034</v>
      </c>
      <c r="B2620" s="21">
        <v>10527</v>
      </c>
      <c r="C2620" s="14" t="s">
        <v>81</v>
      </c>
      <c r="D2620" s="22">
        <v>2756.6</v>
      </c>
      <c r="E2620" s="65">
        <v>42034</v>
      </c>
      <c r="F2620" s="24">
        <v>2756.6</v>
      </c>
      <c r="G2620" s="31">
        <f t="shared" si="40"/>
        <v>0</v>
      </c>
      <c r="H2620" s="39" t="s">
        <v>59</v>
      </c>
    </row>
    <row r="2621" spans="1:8" s="3" customFormat="1" x14ac:dyDescent="0.25">
      <c r="A2621" s="20">
        <v>42034</v>
      </c>
      <c r="B2621" s="21">
        <v>10528</v>
      </c>
      <c r="C2621" s="14" t="s">
        <v>299</v>
      </c>
      <c r="D2621" s="22">
        <v>3056.2</v>
      </c>
      <c r="E2621" s="65">
        <v>42034</v>
      </c>
      <c r="F2621" s="24">
        <v>3056.2</v>
      </c>
      <c r="G2621" s="31">
        <f t="shared" si="40"/>
        <v>0</v>
      </c>
      <c r="H2621" s="39" t="s">
        <v>17</v>
      </c>
    </row>
    <row r="2622" spans="1:8" s="3" customFormat="1" x14ac:dyDescent="0.25">
      <c r="A2622" s="20">
        <v>42034</v>
      </c>
      <c r="B2622" s="21">
        <v>10529</v>
      </c>
      <c r="C2622" s="14" t="s">
        <v>128</v>
      </c>
      <c r="D2622" s="22">
        <v>5241.6000000000004</v>
      </c>
      <c r="E2622" s="65">
        <v>42034</v>
      </c>
      <c r="F2622" s="24">
        <v>5241.6000000000004</v>
      </c>
      <c r="G2622" s="31">
        <f t="shared" si="40"/>
        <v>0</v>
      </c>
      <c r="H2622" s="39" t="s">
        <v>17</v>
      </c>
    </row>
    <row r="2623" spans="1:8" s="3" customFormat="1" x14ac:dyDescent="0.25">
      <c r="A2623" s="20">
        <v>42034</v>
      </c>
      <c r="B2623" s="21">
        <v>10530</v>
      </c>
      <c r="C2623" s="14" t="s">
        <v>130</v>
      </c>
      <c r="D2623" s="22">
        <v>11242.6</v>
      </c>
      <c r="E2623" s="65">
        <v>42035</v>
      </c>
      <c r="F2623" s="24">
        <v>11242.6</v>
      </c>
      <c r="G2623" s="31">
        <f t="shared" si="40"/>
        <v>0</v>
      </c>
      <c r="H2623" s="39" t="s">
        <v>17</v>
      </c>
    </row>
    <row r="2624" spans="1:8" s="3" customFormat="1" x14ac:dyDescent="0.25">
      <c r="A2624" s="20">
        <v>42034</v>
      </c>
      <c r="B2624" s="21">
        <v>10531</v>
      </c>
      <c r="C2624" s="14" t="s">
        <v>131</v>
      </c>
      <c r="D2624" s="22">
        <v>10682.6</v>
      </c>
      <c r="E2624" s="74">
        <v>42036</v>
      </c>
      <c r="F2624" s="96">
        <v>10682.6</v>
      </c>
      <c r="G2624" s="31">
        <f t="shared" si="40"/>
        <v>0</v>
      </c>
      <c r="H2624" s="39" t="s">
        <v>17</v>
      </c>
    </row>
    <row r="2625" spans="1:8" s="3" customFormat="1" x14ac:dyDescent="0.25">
      <c r="A2625" s="20">
        <v>42034</v>
      </c>
      <c r="B2625" s="21">
        <v>10532</v>
      </c>
      <c r="C2625" s="14" t="s">
        <v>55</v>
      </c>
      <c r="D2625" s="22">
        <v>28910.6</v>
      </c>
      <c r="E2625" s="65">
        <v>42035</v>
      </c>
      <c r="F2625" s="24">
        <v>28910.6</v>
      </c>
      <c r="G2625" s="31">
        <f t="shared" si="40"/>
        <v>0</v>
      </c>
      <c r="H2625" s="39" t="s">
        <v>36</v>
      </c>
    </row>
    <row r="2626" spans="1:8" s="3" customFormat="1" x14ac:dyDescent="0.25">
      <c r="A2626" s="20">
        <v>42034</v>
      </c>
      <c r="B2626" s="21">
        <v>10533</v>
      </c>
      <c r="C2626" s="14" t="s">
        <v>406</v>
      </c>
      <c r="D2626" s="22">
        <v>16695.2</v>
      </c>
      <c r="E2626" s="65">
        <v>42035</v>
      </c>
      <c r="F2626" s="24">
        <v>16695.2</v>
      </c>
      <c r="G2626" s="31">
        <f t="shared" si="40"/>
        <v>0</v>
      </c>
      <c r="H2626" s="39" t="s">
        <v>36</v>
      </c>
    </row>
    <row r="2627" spans="1:8" s="3" customFormat="1" x14ac:dyDescent="0.25">
      <c r="A2627" s="20">
        <v>42034</v>
      </c>
      <c r="B2627" s="21">
        <v>10534</v>
      </c>
      <c r="C2627" s="14" t="s">
        <v>32</v>
      </c>
      <c r="D2627" s="22">
        <v>304649.2</v>
      </c>
      <c r="E2627" s="74">
        <v>42062</v>
      </c>
      <c r="F2627" s="96">
        <v>304649.2</v>
      </c>
      <c r="G2627" s="31">
        <f t="shared" ref="G2627:G2690" si="41">D2627-F2627</f>
        <v>0</v>
      </c>
      <c r="H2627" s="39" t="s">
        <v>46</v>
      </c>
    </row>
    <row r="2628" spans="1:8" s="3" customFormat="1" x14ac:dyDescent="0.25">
      <c r="A2628" s="20">
        <v>42034</v>
      </c>
      <c r="B2628" s="21">
        <v>10535</v>
      </c>
      <c r="C2628" s="14" t="s">
        <v>47</v>
      </c>
      <c r="D2628" s="22">
        <v>25769</v>
      </c>
      <c r="E2628" s="65">
        <v>42035</v>
      </c>
      <c r="F2628" s="24">
        <v>25769</v>
      </c>
      <c r="G2628" s="31">
        <f t="shared" si="41"/>
        <v>0</v>
      </c>
      <c r="H2628" s="39" t="s">
        <v>36</v>
      </c>
    </row>
    <row r="2629" spans="1:8" s="3" customFormat="1" x14ac:dyDescent="0.25">
      <c r="A2629" s="20">
        <v>42034</v>
      </c>
      <c r="B2629" s="21">
        <v>10536</v>
      </c>
      <c r="C2629" s="14" t="s">
        <v>60</v>
      </c>
      <c r="D2629" s="22">
        <v>10624</v>
      </c>
      <c r="E2629" s="65">
        <v>42035</v>
      </c>
      <c r="F2629" s="24">
        <v>10624</v>
      </c>
      <c r="G2629" s="31">
        <f t="shared" si="41"/>
        <v>0</v>
      </c>
      <c r="H2629" s="39" t="s">
        <v>36</v>
      </c>
    </row>
    <row r="2630" spans="1:8" s="3" customFormat="1" x14ac:dyDescent="0.25">
      <c r="A2630" s="20">
        <v>42034</v>
      </c>
      <c r="B2630" s="21">
        <v>10537</v>
      </c>
      <c r="C2630" s="14" t="s">
        <v>37</v>
      </c>
      <c r="D2630" s="22">
        <v>34771.199999999997</v>
      </c>
      <c r="E2630" s="74">
        <v>42040</v>
      </c>
      <c r="F2630" s="96">
        <v>34771.199999999997</v>
      </c>
      <c r="G2630" s="31">
        <f t="shared" si="41"/>
        <v>0</v>
      </c>
      <c r="H2630" s="39" t="s">
        <v>36</v>
      </c>
    </row>
    <row r="2631" spans="1:8" s="3" customFormat="1" x14ac:dyDescent="0.25">
      <c r="A2631" s="20">
        <v>42034</v>
      </c>
      <c r="B2631" s="21">
        <v>10538</v>
      </c>
      <c r="C2631" s="26" t="s">
        <v>218</v>
      </c>
      <c r="D2631" s="27">
        <v>0</v>
      </c>
      <c r="E2631" s="65"/>
      <c r="F2631" s="24"/>
      <c r="G2631" s="31">
        <f t="shared" si="41"/>
        <v>0</v>
      </c>
      <c r="H2631" s="39" t="s">
        <v>13</v>
      </c>
    </row>
    <row r="2632" spans="1:8" s="3" customFormat="1" x14ac:dyDescent="0.25">
      <c r="A2632" s="20">
        <v>42034</v>
      </c>
      <c r="B2632" s="21">
        <v>10539</v>
      </c>
      <c r="C2632" s="14" t="s">
        <v>35</v>
      </c>
      <c r="D2632" s="22">
        <v>29004.799999999999</v>
      </c>
      <c r="E2632" s="65">
        <v>42035</v>
      </c>
      <c r="F2632" s="24">
        <v>29004.799999999999</v>
      </c>
      <c r="G2632" s="31">
        <f t="shared" si="41"/>
        <v>0</v>
      </c>
      <c r="H2632" s="39" t="s">
        <v>36</v>
      </c>
    </row>
    <row r="2633" spans="1:8" s="3" customFormat="1" x14ac:dyDescent="0.25">
      <c r="A2633" s="20">
        <v>42034</v>
      </c>
      <c r="B2633" s="21">
        <v>10540</v>
      </c>
      <c r="C2633" s="14" t="s">
        <v>168</v>
      </c>
      <c r="D2633" s="22">
        <v>14324.7</v>
      </c>
      <c r="E2633" s="65">
        <v>42034</v>
      </c>
      <c r="F2633" s="24">
        <v>14324.7</v>
      </c>
      <c r="G2633" s="31">
        <f t="shared" si="41"/>
        <v>0</v>
      </c>
      <c r="H2633" s="39" t="s">
        <v>59</v>
      </c>
    </row>
    <row r="2634" spans="1:8" s="3" customFormat="1" x14ac:dyDescent="0.25">
      <c r="A2634" s="20">
        <v>42034</v>
      </c>
      <c r="B2634" s="21">
        <v>10541</v>
      </c>
      <c r="C2634" s="14" t="s">
        <v>335</v>
      </c>
      <c r="D2634" s="22">
        <v>217.6</v>
      </c>
      <c r="E2634" s="65">
        <v>42034</v>
      </c>
      <c r="F2634" s="24">
        <v>217.6</v>
      </c>
      <c r="G2634" s="31">
        <f t="shared" si="41"/>
        <v>0</v>
      </c>
      <c r="H2634" s="39" t="s">
        <v>9</v>
      </c>
    </row>
    <row r="2635" spans="1:8" s="3" customFormat="1" x14ac:dyDescent="0.25">
      <c r="A2635" s="20">
        <v>42034</v>
      </c>
      <c r="B2635" s="21">
        <v>10542</v>
      </c>
      <c r="C2635" s="14" t="s">
        <v>56</v>
      </c>
      <c r="D2635" s="22">
        <v>17200.8</v>
      </c>
      <c r="E2635" s="65">
        <v>42035</v>
      </c>
      <c r="F2635" s="24">
        <v>17200.8</v>
      </c>
      <c r="G2635" s="31">
        <f t="shared" si="41"/>
        <v>0</v>
      </c>
      <c r="H2635" s="39" t="s">
        <v>36</v>
      </c>
    </row>
    <row r="2636" spans="1:8" s="3" customFormat="1" x14ac:dyDescent="0.25">
      <c r="A2636" s="20">
        <v>42034</v>
      </c>
      <c r="B2636" s="21">
        <v>10543</v>
      </c>
      <c r="C2636" s="14" t="s">
        <v>135</v>
      </c>
      <c r="D2636" s="22">
        <v>11239.2</v>
      </c>
      <c r="E2636" s="65">
        <v>42034</v>
      </c>
      <c r="F2636" s="24">
        <v>11239.2</v>
      </c>
      <c r="G2636" s="31">
        <f t="shared" si="41"/>
        <v>0</v>
      </c>
      <c r="H2636" s="39" t="s">
        <v>9</v>
      </c>
    </row>
    <row r="2637" spans="1:8" s="3" customFormat="1" x14ac:dyDescent="0.25">
      <c r="A2637" s="20">
        <v>42034</v>
      </c>
      <c r="B2637" s="21">
        <v>10544</v>
      </c>
      <c r="C2637" s="14" t="s">
        <v>90</v>
      </c>
      <c r="D2637" s="22">
        <v>2291.4</v>
      </c>
      <c r="E2637" s="65">
        <v>42034</v>
      </c>
      <c r="F2637" s="24">
        <v>2291.4</v>
      </c>
      <c r="G2637" s="31">
        <f t="shared" si="41"/>
        <v>0</v>
      </c>
      <c r="H2637" s="39" t="s">
        <v>9</v>
      </c>
    </row>
    <row r="2638" spans="1:8" s="3" customFormat="1" x14ac:dyDescent="0.25">
      <c r="A2638" s="20">
        <v>42034</v>
      </c>
      <c r="B2638" s="21">
        <v>10545</v>
      </c>
      <c r="C2638" s="14" t="s">
        <v>213</v>
      </c>
      <c r="D2638" s="22">
        <v>42587.8</v>
      </c>
      <c r="E2638" s="66" t="s">
        <v>476</v>
      </c>
      <c r="F2638" s="24">
        <f>7000+35587.8</f>
        <v>42587.8</v>
      </c>
      <c r="G2638" s="31">
        <f t="shared" si="41"/>
        <v>0</v>
      </c>
      <c r="H2638" s="39" t="s">
        <v>94</v>
      </c>
    </row>
    <row r="2639" spans="1:8" s="3" customFormat="1" x14ac:dyDescent="0.25">
      <c r="A2639" s="20">
        <v>42034</v>
      </c>
      <c r="B2639" s="21">
        <v>10546</v>
      </c>
      <c r="C2639" s="14" t="s">
        <v>111</v>
      </c>
      <c r="D2639" s="22">
        <v>31272.04</v>
      </c>
      <c r="E2639" s="74">
        <v>42042</v>
      </c>
      <c r="F2639" s="96">
        <v>31272.04</v>
      </c>
      <c r="G2639" s="31">
        <f t="shared" si="41"/>
        <v>0</v>
      </c>
      <c r="H2639" s="39" t="s">
        <v>94</v>
      </c>
    </row>
    <row r="2640" spans="1:8" s="3" customFormat="1" x14ac:dyDescent="0.25">
      <c r="A2640" s="20">
        <v>42034</v>
      </c>
      <c r="B2640" s="21">
        <v>10547</v>
      </c>
      <c r="C2640" s="14" t="s">
        <v>24</v>
      </c>
      <c r="D2640" s="22">
        <v>3886</v>
      </c>
      <c r="E2640" s="74">
        <v>42051</v>
      </c>
      <c r="F2640" s="96">
        <v>3886</v>
      </c>
      <c r="G2640" s="31">
        <f t="shared" si="41"/>
        <v>0</v>
      </c>
      <c r="H2640" s="39" t="s">
        <v>9</v>
      </c>
    </row>
    <row r="2641" spans="1:8" s="3" customFormat="1" x14ac:dyDescent="0.25">
      <c r="A2641" s="20">
        <v>42034</v>
      </c>
      <c r="B2641" s="21">
        <v>10548</v>
      </c>
      <c r="C2641" s="14" t="s">
        <v>136</v>
      </c>
      <c r="D2641" s="22">
        <v>30203</v>
      </c>
      <c r="E2641" s="67" t="s">
        <v>490</v>
      </c>
      <c r="F2641" s="96">
        <f>2000+20500+7703</f>
        <v>30203</v>
      </c>
      <c r="G2641" s="31">
        <f t="shared" si="41"/>
        <v>0</v>
      </c>
      <c r="H2641" s="39" t="s">
        <v>9</v>
      </c>
    </row>
    <row r="2642" spans="1:8" s="3" customFormat="1" x14ac:dyDescent="0.25">
      <c r="A2642" s="20">
        <v>42034</v>
      </c>
      <c r="B2642" s="21">
        <v>10549</v>
      </c>
      <c r="C2642" s="14" t="s">
        <v>89</v>
      </c>
      <c r="D2642" s="22">
        <v>2148</v>
      </c>
      <c r="E2642" s="65">
        <v>42034</v>
      </c>
      <c r="F2642" s="24">
        <v>2148</v>
      </c>
      <c r="G2642" s="31">
        <f t="shared" si="41"/>
        <v>0</v>
      </c>
      <c r="H2642" s="39" t="s">
        <v>9</v>
      </c>
    </row>
    <row r="2643" spans="1:8" s="3" customFormat="1" x14ac:dyDescent="0.25">
      <c r="A2643" s="20">
        <v>42034</v>
      </c>
      <c r="B2643" s="21">
        <v>10550</v>
      </c>
      <c r="C2643" s="14" t="s">
        <v>223</v>
      </c>
      <c r="D2643" s="22">
        <v>1098</v>
      </c>
      <c r="E2643" s="65">
        <v>42035</v>
      </c>
      <c r="F2643" s="24">
        <v>1098</v>
      </c>
      <c r="G2643" s="31">
        <f t="shared" si="41"/>
        <v>0</v>
      </c>
      <c r="H2643" s="39" t="s">
        <v>19</v>
      </c>
    </row>
    <row r="2644" spans="1:8" s="3" customFormat="1" x14ac:dyDescent="0.25">
      <c r="A2644" s="20">
        <v>42034</v>
      </c>
      <c r="B2644" s="21">
        <v>10551</v>
      </c>
      <c r="C2644" s="14" t="s">
        <v>102</v>
      </c>
      <c r="D2644" s="22">
        <v>2923.2</v>
      </c>
      <c r="E2644" s="65">
        <v>42034</v>
      </c>
      <c r="F2644" s="24">
        <v>2923.2</v>
      </c>
      <c r="G2644" s="31">
        <f t="shared" si="41"/>
        <v>0</v>
      </c>
      <c r="H2644" s="39" t="s">
        <v>9</v>
      </c>
    </row>
    <row r="2645" spans="1:8" s="3" customFormat="1" x14ac:dyDescent="0.25">
      <c r="A2645" s="20">
        <v>42034</v>
      </c>
      <c r="B2645" s="21">
        <v>10552</v>
      </c>
      <c r="C2645" s="14" t="s">
        <v>361</v>
      </c>
      <c r="D2645" s="22">
        <v>19064.599999999999</v>
      </c>
      <c r="E2645" s="67" t="s">
        <v>532</v>
      </c>
      <c r="F2645" s="96">
        <f>11000+8064.6</f>
        <v>19064.599999999999</v>
      </c>
      <c r="G2645" s="31">
        <f t="shared" si="41"/>
        <v>0</v>
      </c>
      <c r="H2645" s="39" t="s">
        <v>19</v>
      </c>
    </row>
    <row r="2646" spans="1:8" s="3" customFormat="1" x14ac:dyDescent="0.25">
      <c r="A2646" s="20">
        <v>42034</v>
      </c>
      <c r="B2646" s="21">
        <v>10553</v>
      </c>
      <c r="C2646" s="14" t="s">
        <v>98</v>
      </c>
      <c r="D2646" s="22">
        <v>3501.4</v>
      </c>
      <c r="E2646" s="65">
        <v>42035</v>
      </c>
      <c r="F2646" s="24">
        <v>3501.4</v>
      </c>
      <c r="G2646" s="31">
        <f t="shared" si="41"/>
        <v>0</v>
      </c>
      <c r="H2646" s="39" t="s">
        <v>19</v>
      </c>
    </row>
    <row r="2647" spans="1:8" s="3" customFormat="1" x14ac:dyDescent="0.25">
      <c r="A2647" s="20">
        <v>42034</v>
      </c>
      <c r="B2647" s="21">
        <v>10554</v>
      </c>
      <c r="C2647" s="14" t="s">
        <v>93</v>
      </c>
      <c r="D2647" s="22">
        <v>1726.1</v>
      </c>
      <c r="E2647" s="65">
        <v>42035</v>
      </c>
      <c r="F2647" s="24">
        <v>1726.1</v>
      </c>
      <c r="G2647" s="31">
        <f t="shared" si="41"/>
        <v>0</v>
      </c>
      <c r="H2647" s="39" t="s">
        <v>9</v>
      </c>
    </row>
    <row r="2648" spans="1:8" s="3" customFormat="1" x14ac:dyDescent="0.25">
      <c r="A2648" s="20">
        <v>42034</v>
      </c>
      <c r="B2648" s="21">
        <v>10555</v>
      </c>
      <c r="C2648" s="14" t="s">
        <v>135</v>
      </c>
      <c r="D2648" s="22">
        <v>1664.6</v>
      </c>
      <c r="E2648" s="65">
        <v>42034</v>
      </c>
      <c r="F2648" s="24">
        <v>1664.6</v>
      </c>
      <c r="G2648" s="31">
        <f t="shared" si="41"/>
        <v>0</v>
      </c>
      <c r="H2648" s="39" t="s">
        <v>9</v>
      </c>
    </row>
    <row r="2649" spans="1:8" s="3" customFormat="1" x14ac:dyDescent="0.25">
      <c r="A2649" s="20">
        <v>42034</v>
      </c>
      <c r="B2649" s="21">
        <v>10556</v>
      </c>
      <c r="C2649" s="14" t="s">
        <v>360</v>
      </c>
      <c r="D2649" s="22">
        <v>82.8</v>
      </c>
      <c r="E2649" s="65">
        <v>42034</v>
      </c>
      <c r="F2649" s="24">
        <v>82.8</v>
      </c>
      <c r="G2649" s="31">
        <f t="shared" si="41"/>
        <v>0</v>
      </c>
      <c r="H2649" s="39" t="s">
        <v>9</v>
      </c>
    </row>
    <row r="2650" spans="1:8" s="3" customFormat="1" x14ac:dyDescent="0.25">
      <c r="A2650" s="20">
        <v>42034</v>
      </c>
      <c r="B2650" s="21">
        <v>10557</v>
      </c>
      <c r="C2650" s="14" t="s">
        <v>95</v>
      </c>
      <c r="D2650" s="22">
        <v>2423.1</v>
      </c>
      <c r="E2650" s="65">
        <v>42035</v>
      </c>
      <c r="F2650" s="24">
        <v>2423.1</v>
      </c>
      <c r="G2650" s="31">
        <f t="shared" si="41"/>
        <v>0</v>
      </c>
      <c r="H2650" s="39" t="s">
        <v>19</v>
      </c>
    </row>
    <row r="2651" spans="1:8" s="3" customFormat="1" x14ac:dyDescent="0.25">
      <c r="A2651" s="20">
        <v>42034</v>
      </c>
      <c r="B2651" s="21">
        <v>10558</v>
      </c>
      <c r="C2651" s="14" t="s">
        <v>48</v>
      </c>
      <c r="D2651" s="22">
        <v>7371.5</v>
      </c>
      <c r="E2651" s="65">
        <v>42035</v>
      </c>
      <c r="F2651" s="24">
        <v>7371.5</v>
      </c>
      <c r="G2651" s="31">
        <f t="shared" si="41"/>
        <v>0</v>
      </c>
      <c r="H2651" s="39" t="s">
        <v>19</v>
      </c>
    </row>
    <row r="2652" spans="1:8" s="3" customFormat="1" x14ac:dyDescent="0.25">
      <c r="A2652" s="20">
        <v>42034</v>
      </c>
      <c r="B2652" s="21">
        <v>10559</v>
      </c>
      <c r="C2652" s="14" t="s">
        <v>50</v>
      </c>
      <c r="D2652" s="22">
        <v>2805.6</v>
      </c>
      <c r="E2652" s="65">
        <v>42035</v>
      </c>
      <c r="F2652" s="24">
        <v>2805.6</v>
      </c>
      <c r="G2652" s="31">
        <f t="shared" si="41"/>
        <v>0</v>
      </c>
      <c r="H2652" s="39" t="s">
        <v>19</v>
      </c>
    </row>
    <row r="2653" spans="1:8" s="3" customFormat="1" x14ac:dyDescent="0.25">
      <c r="A2653" s="20">
        <v>42034</v>
      </c>
      <c r="B2653" s="21">
        <v>10560</v>
      </c>
      <c r="C2653" s="14" t="s">
        <v>24</v>
      </c>
      <c r="D2653" s="22">
        <v>496</v>
      </c>
      <c r="E2653" s="67" t="s">
        <v>525</v>
      </c>
      <c r="F2653" s="96">
        <f>263.72+232.28</f>
        <v>496</v>
      </c>
      <c r="G2653" s="31">
        <f t="shared" si="41"/>
        <v>0</v>
      </c>
      <c r="H2653" s="39" t="s">
        <v>9</v>
      </c>
    </row>
    <row r="2654" spans="1:8" s="3" customFormat="1" x14ac:dyDescent="0.25">
      <c r="A2654" s="20">
        <v>42034</v>
      </c>
      <c r="B2654" s="21">
        <v>10561</v>
      </c>
      <c r="C2654" s="14" t="s">
        <v>87</v>
      </c>
      <c r="D2654" s="22">
        <v>2350</v>
      </c>
      <c r="E2654" s="65">
        <v>42035</v>
      </c>
      <c r="F2654" s="24">
        <v>2350</v>
      </c>
      <c r="G2654" s="31">
        <f t="shared" si="41"/>
        <v>0</v>
      </c>
      <c r="H2654" s="39" t="s">
        <v>19</v>
      </c>
    </row>
    <row r="2655" spans="1:8" s="3" customFormat="1" x14ac:dyDescent="0.25">
      <c r="A2655" s="20">
        <v>42034</v>
      </c>
      <c r="B2655" s="21">
        <v>10562</v>
      </c>
      <c r="C2655" s="14" t="s">
        <v>71</v>
      </c>
      <c r="D2655" s="22">
        <v>1734.96</v>
      </c>
      <c r="E2655" s="65">
        <v>42034</v>
      </c>
      <c r="F2655" s="24">
        <v>1734.96</v>
      </c>
      <c r="G2655" s="31">
        <f t="shared" si="41"/>
        <v>0</v>
      </c>
      <c r="H2655" s="39" t="s">
        <v>9</v>
      </c>
    </row>
    <row r="2656" spans="1:8" s="3" customFormat="1" x14ac:dyDescent="0.25">
      <c r="A2656" s="20">
        <v>42034</v>
      </c>
      <c r="B2656" s="21">
        <v>10563</v>
      </c>
      <c r="C2656" s="14" t="s">
        <v>99</v>
      </c>
      <c r="D2656" s="22">
        <v>360</v>
      </c>
      <c r="E2656" s="65">
        <v>42034</v>
      </c>
      <c r="F2656" s="24">
        <v>360</v>
      </c>
      <c r="G2656" s="31">
        <f t="shared" si="41"/>
        <v>0</v>
      </c>
      <c r="H2656" s="39" t="s">
        <v>94</v>
      </c>
    </row>
    <row r="2657" spans="1:8" s="3" customFormat="1" x14ac:dyDescent="0.25">
      <c r="A2657" s="20">
        <v>42034</v>
      </c>
      <c r="B2657" s="21">
        <v>10564</v>
      </c>
      <c r="C2657" s="14" t="s">
        <v>141</v>
      </c>
      <c r="D2657" s="22">
        <v>8980.7999999999993</v>
      </c>
      <c r="E2657" s="65">
        <v>42034</v>
      </c>
      <c r="F2657" s="24">
        <v>8980.7999999999993</v>
      </c>
      <c r="G2657" s="31">
        <f t="shared" si="41"/>
        <v>0</v>
      </c>
      <c r="H2657" s="39" t="s">
        <v>94</v>
      </c>
    </row>
    <row r="2658" spans="1:8" s="3" customFormat="1" x14ac:dyDescent="0.25">
      <c r="A2658" s="20">
        <v>42034</v>
      </c>
      <c r="B2658" s="21">
        <v>10565</v>
      </c>
      <c r="C2658" s="14" t="s">
        <v>24</v>
      </c>
      <c r="D2658" s="22">
        <v>5174.3999999999996</v>
      </c>
      <c r="E2658" s="74">
        <v>42051</v>
      </c>
      <c r="F2658" s="96">
        <v>5174.3999999999996</v>
      </c>
      <c r="G2658" s="31">
        <f t="shared" si="41"/>
        <v>0</v>
      </c>
      <c r="H2658" s="39" t="s">
        <v>94</v>
      </c>
    </row>
    <row r="2659" spans="1:8" s="3" customFormat="1" x14ac:dyDescent="0.25">
      <c r="A2659" s="20">
        <v>42034</v>
      </c>
      <c r="B2659" s="21">
        <v>10566</v>
      </c>
      <c r="C2659" s="14" t="s">
        <v>14</v>
      </c>
      <c r="D2659" s="22">
        <v>79686.12</v>
      </c>
      <c r="E2659" s="74">
        <v>42039</v>
      </c>
      <c r="F2659" s="96">
        <v>79686.12</v>
      </c>
      <c r="G2659" s="31">
        <f t="shared" si="41"/>
        <v>0</v>
      </c>
      <c r="H2659" s="39" t="s">
        <v>9</v>
      </c>
    </row>
    <row r="2660" spans="1:8" s="3" customFormat="1" x14ac:dyDescent="0.25">
      <c r="A2660" s="20">
        <v>42034</v>
      </c>
      <c r="B2660" s="21">
        <v>10567</v>
      </c>
      <c r="C2660" s="14" t="s">
        <v>24</v>
      </c>
      <c r="D2660" s="22">
        <v>3372.52</v>
      </c>
      <c r="E2660" s="74">
        <v>42039</v>
      </c>
      <c r="F2660" s="96">
        <v>3372.52</v>
      </c>
      <c r="G2660" s="31">
        <f t="shared" si="41"/>
        <v>0</v>
      </c>
      <c r="H2660" s="39" t="s">
        <v>9</v>
      </c>
    </row>
    <row r="2661" spans="1:8" s="3" customFormat="1" x14ac:dyDescent="0.25">
      <c r="A2661" s="20">
        <v>42034</v>
      </c>
      <c r="B2661" s="21">
        <v>10568</v>
      </c>
      <c r="C2661" s="14" t="s">
        <v>64</v>
      </c>
      <c r="D2661" s="22">
        <v>3114.2</v>
      </c>
      <c r="E2661" s="65">
        <v>42034</v>
      </c>
      <c r="F2661" s="24">
        <v>3114.2</v>
      </c>
      <c r="G2661" s="31">
        <f t="shared" si="41"/>
        <v>0</v>
      </c>
      <c r="H2661" s="39" t="s">
        <v>9</v>
      </c>
    </row>
    <row r="2662" spans="1:8" s="3" customFormat="1" x14ac:dyDescent="0.25">
      <c r="A2662" s="20">
        <v>42034</v>
      </c>
      <c r="B2662" s="21">
        <v>10569</v>
      </c>
      <c r="C2662" s="14" t="s">
        <v>90</v>
      </c>
      <c r="D2662" s="22">
        <v>556.79999999999995</v>
      </c>
      <c r="E2662" s="65">
        <v>42034</v>
      </c>
      <c r="F2662" s="24">
        <v>556.79999999999995</v>
      </c>
      <c r="G2662" s="31">
        <f t="shared" si="41"/>
        <v>0</v>
      </c>
      <c r="H2662" s="39" t="s">
        <v>9</v>
      </c>
    </row>
    <row r="2663" spans="1:8" s="3" customFormat="1" x14ac:dyDescent="0.25">
      <c r="A2663" s="20">
        <v>42034</v>
      </c>
      <c r="B2663" s="21">
        <v>10570</v>
      </c>
      <c r="C2663" s="14" t="s">
        <v>112</v>
      </c>
      <c r="D2663" s="22">
        <v>27531.5</v>
      </c>
      <c r="E2663" s="67" t="s">
        <v>493</v>
      </c>
      <c r="F2663" s="96">
        <f>23000+4531.5</f>
        <v>27531.5</v>
      </c>
      <c r="G2663" s="31">
        <f t="shared" si="41"/>
        <v>0</v>
      </c>
      <c r="H2663" s="39" t="s">
        <v>9</v>
      </c>
    </row>
    <row r="2664" spans="1:8" s="3" customFormat="1" x14ac:dyDescent="0.25">
      <c r="A2664" s="20">
        <v>42034</v>
      </c>
      <c r="B2664" s="21">
        <v>10571</v>
      </c>
      <c r="C2664" s="14" t="s">
        <v>391</v>
      </c>
      <c r="D2664" s="22">
        <v>4811.6000000000004</v>
      </c>
      <c r="E2664" s="65">
        <v>42034</v>
      </c>
      <c r="F2664" s="24">
        <v>4811.6000000000004</v>
      </c>
      <c r="G2664" s="31">
        <f t="shared" si="41"/>
        <v>0</v>
      </c>
      <c r="H2664" s="39" t="s">
        <v>9</v>
      </c>
    </row>
    <row r="2665" spans="1:8" s="3" customFormat="1" x14ac:dyDescent="0.25">
      <c r="A2665" s="20">
        <v>42034</v>
      </c>
      <c r="B2665" s="21">
        <v>10572</v>
      </c>
      <c r="C2665" s="14" t="s">
        <v>111</v>
      </c>
      <c r="D2665" s="22">
        <v>139900</v>
      </c>
      <c r="E2665" s="74">
        <v>42037</v>
      </c>
      <c r="F2665" s="96">
        <v>139900</v>
      </c>
      <c r="G2665" s="31">
        <f t="shared" si="41"/>
        <v>0</v>
      </c>
      <c r="H2665" s="39" t="s">
        <v>9</v>
      </c>
    </row>
    <row r="2666" spans="1:8" s="3" customFormat="1" x14ac:dyDescent="0.25">
      <c r="A2666" s="20">
        <v>42034</v>
      </c>
      <c r="B2666" s="21">
        <v>10573</v>
      </c>
      <c r="C2666" s="14" t="s">
        <v>38</v>
      </c>
      <c r="D2666" s="22">
        <v>39226.199999999997</v>
      </c>
      <c r="E2666" s="74">
        <v>42037</v>
      </c>
      <c r="F2666" s="96">
        <v>39226.199999999997</v>
      </c>
      <c r="G2666" s="31">
        <f t="shared" si="41"/>
        <v>0</v>
      </c>
      <c r="H2666" s="39" t="s">
        <v>17</v>
      </c>
    </row>
    <row r="2667" spans="1:8" s="3" customFormat="1" x14ac:dyDescent="0.25">
      <c r="A2667" s="20">
        <v>42034</v>
      </c>
      <c r="B2667" s="21">
        <v>10574</v>
      </c>
      <c r="C2667" s="14" t="s">
        <v>105</v>
      </c>
      <c r="D2667" s="22">
        <v>844.8</v>
      </c>
      <c r="E2667" s="65">
        <v>42034</v>
      </c>
      <c r="F2667" s="24">
        <v>844.8</v>
      </c>
      <c r="G2667" s="31">
        <f t="shared" si="41"/>
        <v>0</v>
      </c>
      <c r="H2667" s="39" t="s">
        <v>9</v>
      </c>
    </row>
    <row r="2668" spans="1:8" s="3" customFormat="1" x14ac:dyDescent="0.25">
      <c r="A2668" s="20">
        <v>42034</v>
      </c>
      <c r="B2668" s="21">
        <v>10575</v>
      </c>
      <c r="C2668" s="14" t="s">
        <v>24</v>
      </c>
      <c r="D2668" s="22">
        <v>105990.86</v>
      </c>
      <c r="E2668" s="74">
        <v>42051</v>
      </c>
      <c r="F2668" s="96">
        <v>105990.86</v>
      </c>
      <c r="G2668" s="31">
        <f t="shared" si="41"/>
        <v>0</v>
      </c>
      <c r="H2668" s="39" t="s">
        <v>183</v>
      </c>
    </row>
    <row r="2669" spans="1:8" s="3" customFormat="1" x14ac:dyDescent="0.25">
      <c r="A2669" s="20">
        <v>42034</v>
      </c>
      <c r="B2669" s="21">
        <v>10576</v>
      </c>
      <c r="C2669" s="14" t="s">
        <v>141</v>
      </c>
      <c r="D2669" s="22">
        <v>1764</v>
      </c>
      <c r="E2669" s="65">
        <v>42034</v>
      </c>
      <c r="F2669" s="24">
        <v>1764</v>
      </c>
      <c r="G2669" s="31">
        <f t="shared" si="41"/>
        <v>0</v>
      </c>
      <c r="H2669" s="39" t="s">
        <v>9</v>
      </c>
    </row>
    <row r="2670" spans="1:8" s="3" customFormat="1" x14ac:dyDescent="0.25">
      <c r="A2670" s="20">
        <v>42034</v>
      </c>
      <c r="B2670" s="21">
        <v>10577</v>
      </c>
      <c r="C2670" s="14" t="s">
        <v>110</v>
      </c>
      <c r="D2670" s="22">
        <v>62948.86</v>
      </c>
      <c r="E2670" s="67" t="s">
        <v>526</v>
      </c>
      <c r="F2670" s="96">
        <f>19020+43928.86</f>
        <v>62948.86</v>
      </c>
      <c r="G2670" s="31">
        <f t="shared" si="41"/>
        <v>0</v>
      </c>
      <c r="H2670" s="39" t="s">
        <v>183</v>
      </c>
    </row>
    <row r="2671" spans="1:8" s="3" customFormat="1" x14ac:dyDescent="0.25">
      <c r="A2671" s="20">
        <v>42034</v>
      </c>
      <c r="B2671" s="21">
        <v>10578</v>
      </c>
      <c r="C2671" s="14" t="s">
        <v>14</v>
      </c>
      <c r="D2671" s="22">
        <v>26449.599999999999</v>
      </c>
      <c r="E2671" s="74">
        <v>42039</v>
      </c>
      <c r="F2671" s="96">
        <v>26449.599999999999</v>
      </c>
      <c r="G2671" s="31">
        <f t="shared" si="41"/>
        <v>0</v>
      </c>
      <c r="H2671" s="39" t="s">
        <v>15</v>
      </c>
    </row>
    <row r="2672" spans="1:8" s="3" customFormat="1" x14ac:dyDescent="0.25">
      <c r="A2672" s="20">
        <v>42034</v>
      </c>
      <c r="B2672" s="21">
        <v>10579</v>
      </c>
      <c r="C2672" s="14" t="s">
        <v>24</v>
      </c>
      <c r="D2672" s="22">
        <v>263084.26</v>
      </c>
      <c r="E2672" s="74">
        <v>42051</v>
      </c>
      <c r="F2672" s="96">
        <v>263084.26</v>
      </c>
      <c r="G2672" s="31">
        <f t="shared" si="41"/>
        <v>0</v>
      </c>
      <c r="H2672" s="39" t="s">
        <v>46</v>
      </c>
    </row>
    <row r="2673" spans="1:8" s="3" customFormat="1" x14ac:dyDescent="0.25">
      <c r="A2673" s="20">
        <v>42034</v>
      </c>
      <c r="B2673" s="21">
        <v>10580</v>
      </c>
      <c r="C2673" s="14" t="s">
        <v>80</v>
      </c>
      <c r="D2673" s="22">
        <v>7048.8</v>
      </c>
      <c r="E2673" s="65">
        <v>42034</v>
      </c>
      <c r="F2673" s="24">
        <v>7048.8</v>
      </c>
      <c r="G2673" s="31">
        <f t="shared" si="41"/>
        <v>0</v>
      </c>
      <c r="H2673" s="39" t="s">
        <v>9</v>
      </c>
    </row>
    <row r="2674" spans="1:8" s="3" customFormat="1" x14ac:dyDescent="0.25">
      <c r="A2674" s="20">
        <v>42034</v>
      </c>
      <c r="B2674" s="21">
        <v>10581</v>
      </c>
      <c r="C2674" s="14" t="s">
        <v>24</v>
      </c>
      <c r="D2674" s="22">
        <v>5056.3999999999996</v>
      </c>
      <c r="E2674" s="74">
        <v>42051</v>
      </c>
      <c r="F2674" s="96">
        <v>5056.3999999999996</v>
      </c>
      <c r="G2674" s="31">
        <f t="shared" si="41"/>
        <v>0</v>
      </c>
      <c r="H2674" s="39" t="s">
        <v>94</v>
      </c>
    </row>
    <row r="2675" spans="1:8" s="3" customFormat="1" x14ac:dyDescent="0.25">
      <c r="A2675" s="20">
        <v>42034</v>
      </c>
      <c r="B2675" s="21">
        <v>10582</v>
      </c>
      <c r="C2675" s="14" t="s">
        <v>267</v>
      </c>
      <c r="D2675" s="22">
        <v>5199.8</v>
      </c>
      <c r="E2675" s="65">
        <v>42035</v>
      </c>
      <c r="F2675" s="24">
        <v>5199.8</v>
      </c>
      <c r="G2675" s="31">
        <f t="shared" si="41"/>
        <v>0</v>
      </c>
      <c r="H2675" s="39" t="s">
        <v>9</v>
      </c>
    </row>
    <row r="2676" spans="1:8" s="3" customFormat="1" x14ac:dyDescent="0.25">
      <c r="A2676" s="20">
        <v>42034</v>
      </c>
      <c r="B2676" s="21">
        <v>10583</v>
      </c>
      <c r="C2676" s="14" t="s">
        <v>367</v>
      </c>
      <c r="D2676" s="22">
        <v>209059.65</v>
      </c>
      <c r="E2676" s="74">
        <v>42045</v>
      </c>
      <c r="F2676" s="96">
        <v>209059.65</v>
      </c>
      <c r="G2676" s="31">
        <f t="shared" si="41"/>
        <v>0</v>
      </c>
      <c r="H2676" s="39" t="s">
        <v>9</v>
      </c>
    </row>
    <row r="2677" spans="1:8" s="3" customFormat="1" x14ac:dyDescent="0.25">
      <c r="A2677" s="20">
        <v>42034</v>
      </c>
      <c r="B2677" s="21">
        <v>10584</v>
      </c>
      <c r="C2677" s="14" t="s">
        <v>24</v>
      </c>
      <c r="D2677" s="22">
        <v>130856</v>
      </c>
      <c r="E2677" s="74">
        <v>42051</v>
      </c>
      <c r="F2677" s="96">
        <v>130856</v>
      </c>
      <c r="G2677" s="31">
        <f t="shared" si="41"/>
        <v>0</v>
      </c>
      <c r="H2677" s="39" t="s">
        <v>94</v>
      </c>
    </row>
    <row r="2678" spans="1:8" s="3" customFormat="1" x14ac:dyDescent="0.25">
      <c r="A2678" s="20">
        <v>42035</v>
      </c>
      <c r="B2678" s="21">
        <v>10585</v>
      </c>
      <c r="C2678" s="14" t="s">
        <v>18</v>
      </c>
      <c r="D2678" s="22">
        <v>56470.75</v>
      </c>
      <c r="E2678" s="74">
        <v>42039</v>
      </c>
      <c r="F2678" s="96">
        <v>56470.75</v>
      </c>
      <c r="G2678" s="31">
        <f t="shared" si="41"/>
        <v>0</v>
      </c>
      <c r="H2678" s="39" t="s">
        <v>9</v>
      </c>
    </row>
    <row r="2679" spans="1:8" s="3" customFormat="1" x14ac:dyDescent="0.25">
      <c r="A2679" s="20">
        <v>42035</v>
      </c>
      <c r="B2679" s="21">
        <v>10586</v>
      </c>
      <c r="C2679" s="14" t="s">
        <v>192</v>
      </c>
      <c r="D2679" s="22">
        <v>1507.5</v>
      </c>
      <c r="E2679" s="74">
        <v>42055</v>
      </c>
      <c r="F2679" s="96">
        <v>1507.5</v>
      </c>
      <c r="G2679" s="31">
        <f t="shared" si="41"/>
        <v>0</v>
      </c>
      <c r="H2679" s="39" t="s">
        <v>9</v>
      </c>
    </row>
    <row r="2680" spans="1:8" s="3" customFormat="1" x14ac:dyDescent="0.25">
      <c r="A2680" s="20">
        <v>42035</v>
      </c>
      <c r="B2680" s="21">
        <v>10587</v>
      </c>
      <c r="C2680" s="14" t="s">
        <v>211</v>
      </c>
      <c r="D2680" s="22">
        <v>64538</v>
      </c>
      <c r="E2680" s="74">
        <v>42039</v>
      </c>
      <c r="F2680" s="96">
        <v>64538</v>
      </c>
      <c r="G2680" s="31">
        <f t="shared" si="41"/>
        <v>0</v>
      </c>
      <c r="H2680" s="39" t="s">
        <v>9</v>
      </c>
    </row>
    <row r="2681" spans="1:8" s="3" customFormat="1" x14ac:dyDescent="0.25">
      <c r="A2681" s="20">
        <v>42035</v>
      </c>
      <c r="B2681" s="21">
        <v>10588</v>
      </c>
      <c r="C2681" s="14" t="s">
        <v>26</v>
      </c>
      <c r="D2681" s="22">
        <v>2880</v>
      </c>
      <c r="E2681" s="65">
        <v>42035</v>
      </c>
      <c r="F2681" s="24">
        <v>2880</v>
      </c>
      <c r="G2681" s="31">
        <f t="shared" si="41"/>
        <v>0</v>
      </c>
      <c r="H2681" s="39" t="s">
        <v>27</v>
      </c>
    </row>
    <row r="2682" spans="1:8" s="3" customFormat="1" x14ac:dyDescent="0.25">
      <c r="A2682" s="20">
        <v>42035</v>
      </c>
      <c r="B2682" s="21">
        <v>10589</v>
      </c>
      <c r="C2682" s="14" t="s">
        <v>21</v>
      </c>
      <c r="D2682" s="22">
        <v>7183.2</v>
      </c>
      <c r="E2682" s="65">
        <v>42035</v>
      </c>
      <c r="F2682" s="24">
        <v>7183.2</v>
      </c>
      <c r="G2682" s="31">
        <f t="shared" si="41"/>
        <v>0</v>
      </c>
      <c r="H2682" s="39" t="s">
        <v>9</v>
      </c>
    </row>
    <row r="2683" spans="1:8" s="3" customFormat="1" x14ac:dyDescent="0.25">
      <c r="A2683" s="20">
        <v>42035</v>
      </c>
      <c r="B2683" s="21">
        <v>10590</v>
      </c>
      <c r="C2683" s="14" t="s">
        <v>375</v>
      </c>
      <c r="D2683" s="22">
        <v>3190.85</v>
      </c>
      <c r="E2683" s="65">
        <v>42035</v>
      </c>
      <c r="F2683" s="24">
        <v>3190.85</v>
      </c>
      <c r="G2683" s="31">
        <f t="shared" si="41"/>
        <v>0</v>
      </c>
      <c r="H2683" s="39" t="s">
        <v>9</v>
      </c>
    </row>
    <row r="2684" spans="1:8" s="3" customFormat="1" x14ac:dyDescent="0.25">
      <c r="A2684" s="20">
        <v>42035</v>
      </c>
      <c r="B2684" s="21">
        <v>10591</v>
      </c>
      <c r="C2684" s="14" t="s">
        <v>11</v>
      </c>
      <c r="D2684" s="22">
        <v>16919.3</v>
      </c>
      <c r="E2684" s="65">
        <v>42035</v>
      </c>
      <c r="F2684" s="24">
        <v>16919.3</v>
      </c>
      <c r="G2684" s="31">
        <f t="shared" si="41"/>
        <v>0</v>
      </c>
      <c r="H2684" s="39" t="s">
        <v>9</v>
      </c>
    </row>
    <row r="2685" spans="1:8" s="3" customFormat="1" x14ac:dyDescent="0.25">
      <c r="A2685" s="20">
        <v>42035</v>
      </c>
      <c r="B2685" s="21">
        <v>10592</v>
      </c>
      <c r="C2685" s="14" t="s">
        <v>20</v>
      </c>
      <c r="D2685" s="22">
        <v>34005.800000000003</v>
      </c>
      <c r="E2685" s="65">
        <v>42035</v>
      </c>
      <c r="F2685" s="24">
        <v>34005.800000000003</v>
      </c>
      <c r="G2685" s="31">
        <f t="shared" si="41"/>
        <v>0</v>
      </c>
      <c r="H2685" s="39" t="s">
        <v>9</v>
      </c>
    </row>
    <row r="2686" spans="1:8" s="3" customFormat="1" x14ac:dyDescent="0.25">
      <c r="A2686" s="20">
        <v>42035</v>
      </c>
      <c r="B2686" s="21">
        <v>10593</v>
      </c>
      <c r="C2686" s="14" t="s">
        <v>121</v>
      </c>
      <c r="D2686" s="22">
        <v>1290.4000000000001</v>
      </c>
      <c r="E2686" s="65">
        <v>42035</v>
      </c>
      <c r="F2686" s="24">
        <v>1290.4000000000001</v>
      </c>
      <c r="G2686" s="31">
        <f t="shared" si="41"/>
        <v>0</v>
      </c>
      <c r="H2686" s="39" t="s">
        <v>9</v>
      </c>
    </row>
    <row r="2687" spans="1:8" s="3" customFormat="1" x14ac:dyDescent="0.25">
      <c r="A2687" s="20">
        <v>42035</v>
      </c>
      <c r="B2687" s="21">
        <v>10594</v>
      </c>
      <c r="C2687" s="14" t="s">
        <v>252</v>
      </c>
      <c r="D2687" s="22">
        <v>5623.2</v>
      </c>
      <c r="E2687" s="65">
        <v>42035</v>
      </c>
      <c r="F2687" s="24">
        <v>5623.2</v>
      </c>
      <c r="G2687" s="31">
        <f t="shared" si="41"/>
        <v>0</v>
      </c>
      <c r="H2687" s="39" t="s">
        <v>9</v>
      </c>
    </row>
    <row r="2688" spans="1:8" s="3" customFormat="1" x14ac:dyDescent="0.25">
      <c r="A2688" s="20">
        <v>42035</v>
      </c>
      <c r="B2688" s="21">
        <v>10595</v>
      </c>
      <c r="C2688" s="14" t="s">
        <v>148</v>
      </c>
      <c r="D2688" s="22">
        <v>5175</v>
      </c>
      <c r="E2688" s="65">
        <v>42035</v>
      </c>
      <c r="F2688" s="24">
        <v>5175</v>
      </c>
      <c r="G2688" s="31">
        <f t="shared" si="41"/>
        <v>0</v>
      </c>
      <c r="H2688" s="39" t="s">
        <v>9</v>
      </c>
    </row>
    <row r="2689" spans="1:8" s="3" customFormat="1" x14ac:dyDescent="0.25">
      <c r="A2689" s="20">
        <v>42035</v>
      </c>
      <c r="B2689" s="21">
        <v>10596</v>
      </c>
      <c r="C2689" s="14" t="s">
        <v>103</v>
      </c>
      <c r="D2689" s="22">
        <v>27678</v>
      </c>
      <c r="E2689" s="74">
        <v>42039</v>
      </c>
      <c r="F2689" s="96">
        <v>27678</v>
      </c>
      <c r="G2689" s="31">
        <f t="shared" si="41"/>
        <v>0</v>
      </c>
      <c r="H2689" s="39" t="s">
        <v>19</v>
      </c>
    </row>
    <row r="2690" spans="1:8" s="3" customFormat="1" x14ac:dyDescent="0.25">
      <c r="A2690" s="20">
        <v>42035</v>
      </c>
      <c r="B2690" s="21">
        <v>10597</v>
      </c>
      <c r="C2690" s="14" t="s">
        <v>24</v>
      </c>
      <c r="D2690" s="22">
        <v>727.6</v>
      </c>
      <c r="E2690" s="74">
        <v>42051</v>
      </c>
      <c r="F2690" s="96">
        <v>727.6</v>
      </c>
      <c r="G2690" s="31">
        <f t="shared" si="41"/>
        <v>0</v>
      </c>
      <c r="H2690" s="39" t="s">
        <v>59</v>
      </c>
    </row>
    <row r="2691" spans="1:8" s="3" customFormat="1" x14ac:dyDescent="0.25">
      <c r="A2691" s="20">
        <v>42035</v>
      </c>
      <c r="B2691" s="21">
        <v>10598</v>
      </c>
      <c r="C2691" s="14" t="s">
        <v>43</v>
      </c>
      <c r="D2691" s="22">
        <v>17123.349999999999</v>
      </c>
      <c r="E2691" s="65">
        <v>42035</v>
      </c>
      <c r="F2691" s="24">
        <v>17123.349999999999</v>
      </c>
      <c r="G2691" s="31">
        <f t="shared" ref="G2691:G2754" si="42">D2691-F2691</f>
        <v>0</v>
      </c>
      <c r="H2691" s="39" t="s">
        <v>9</v>
      </c>
    </row>
    <row r="2692" spans="1:8" s="3" customFormat="1" x14ac:dyDescent="0.25">
      <c r="A2692" s="20">
        <v>42035</v>
      </c>
      <c r="B2692" s="21">
        <v>10599</v>
      </c>
      <c r="C2692" s="14" t="s">
        <v>16</v>
      </c>
      <c r="D2692" s="22">
        <v>6587.2</v>
      </c>
      <c r="E2692" s="65">
        <v>42035</v>
      </c>
      <c r="F2692" s="24">
        <v>6587.2</v>
      </c>
      <c r="G2692" s="31">
        <f t="shared" si="42"/>
        <v>0</v>
      </c>
      <c r="H2692" s="39" t="s">
        <v>17</v>
      </c>
    </row>
    <row r="2693" spans="1:8" s="3" customFormat="1" x14ac:dyDescent="0.25">
      <c r="A2693" s="20">
        <v>42035</v>
      </c>
      <c r="B2693" s="21">
        <v>10600</v>
      </c>
      <c r="C2693" s="14" t="s">
        <v>151</v>
      </c>
      <c r="D2693" s="22">
        <v>2723.3</v>
      </c>
      <c r="E2693" s="65">
        <v>42035</v>
      </c>
      <c r="F2693" s="24">
        <v>2723.3</v>
      </c>
      <c r="G2693" s="31">
        <f t="shared" si="42"/>
        <v>0</v>
      </c>
      <c r="H2693" s="39" t="s">
        <v>9</v>
      </c>
    </row>
    <row r="2694" spans="1:8" s="3" customFormat="1" x14ac:dyDescent="0.25">
      <c r="A2694" s="20">
        <v>42035</v>
      </c>
      <c r="B2694" s="21">
        <v>10601</v>
      </c>
      <c r="C2694" s="14" t="s">
        <v>215</v>
      </c>
      <c r="D2694" s="22">
        <v>16602</v>
      </c>
      <c r="E2694" s="65">
        <v>42035</v>
      </c>
      <c r="F2694" s="24">
        <v>16602</v>
      </c>
      <c r="G2694" s="31">
        <f t="shared" si="42"/>
        <v>0</v>
      </c>
      <c r="H2694" s="39" t="s">
        <v>9</v>
      </c>
    </row>
    <row r="2695" spans="1:8" s="3" customFormat="1" x14ac:dyDescent="0.25">
      <c r="A2695" s="20">
        <v>42035</v>
      </c>
      <c r="B2695" s="21">
        <v>10602</v>
      </c>
      <c r="C2695" s="14" t="s">
        <v>477</v>
      </c>
      <c r="D2695" s="22">
        <v>340</v>
      </c>
      <c r="E2695" s="65">
        <v>42035</v>
      </c>
      <c r="F2695" s="24">
        <v>340</v>
      </c>
      <c r="G2695" s="31">
        <f t="shared" si="42"/>
        <v>0</v>
      </c>
      <c r="H2695" s="39" t="s">
        <v>9</v>
      </c>
    </row>
    <row r="2696" spans="1:8" s="3" customFormat="1" x14ac:dyDescent="0.25">
      <c r="A2696" s="20">
        <v>42035</v>
      </c>
      <c r="B2696" s="21">
        <v>10603</v>
      </c>
      <c r="C2696" s="14" t="s">
        <v>88</v>
      </c>
      <c r="D2696" s="22">
        <v>1814.7</v>
      </c>
      <c r="E2696" s="65">
        <v>42035</v>
      </c>
      <c r="F2696" s="24">
        <v>1814.7</v>
      </c>
      <c r="G2696" s="31">
        <f t="shared" si="42"/>
        <v>0</v>
      </c>
      <c r="H2696" s="39" t="s">
        <v>9</v>
      </c>
    </row>
    <row r="2697" spans="1:8" s="3" customFormat="1" x14ac:dyDescent="0.25">
      <c r="A2697" s="20">
        <v>42035</v>
      </c>
      <c r="B2697" s="21">
        <v>10604</v>
      </c>
      <c r="C2697" s="14" t="s">
        <v>116</v>
      </c>
      <c r="D2697" s="22">
        <v>9924.4</v>
      </c>
      <c r="E2697" s="65">
        <v>42035</v>
      </c>
      <c r="F2697" s="24">
        <v>9924.4</v>
      </c>
      <c r="G2697" s="31">
        <f t="shared" si="42"/>
        <v>0</v>
      </c>
      <c r="H2697" s="39" t="s">
        <v>9</v>
      </c>
    </row>
    <row r="2698" spans="1:8" s="3" customFormat="1" x14ac:dyDescent="0.25">
      <c r="A2698" s="20">
        <v>42035</v>
      </c>
      <c r="B2698" s="21">
        <v>10605</v>
      </c>
      <c r="C2698" s="14" t="s">
        <v>463</v>
      </c>
      <c r="D2698" s="22">
        <v>2788.6</v>
      </c>
      <c r="E2698" s="65">
        <v>42035</v>
      </c>
      <c r="F2698" s="24">
        <v>2788.6</v>
      </c>
      <c r="G2698" s="31">
        <f t="shared" si="42"/>
        <v>0</v>
      </c>
      <c r="H2698" s="39" t="s">
        <v>19</v>
      </c>
    </row>
    <row r="2699" spans="1:8" s="3" customFormat="1" x14ac:dyDescent="0.25">
      <c r="A2699" s="20">
        <v>42035</v>
      </c>
      <c r="B2699" s="21">
        <v>10606</v>
      </c>
      <c r="C2699" s="14" t="s">
        <v>225</v>
      </c>
      <c r="D2699" s="22">
        <v>3275.2</v>
      </c>
      <c r="E2699" s="65">
        <v>42035</v>
      </c>
      <c r="F2699" s="24">
        <v>3275.2</v>
      </c>
      <c r="G2699" s="31">
        <f t="shared" si="42"/>
        <v>0</v>
      </c>
      <c r="H2699" s="39" t="s">
        <v>9</v>
      </c>
    </row>
    <row r="2700" spans="1:8" s="3" customFormat="1" x14ac:dyDescent="0.25">
      <c r="A2700" s="20">
        <v>42035</v>
      </c>
      <c r="B2700" s="21">
        <v>10607</v>
      </c>
      <c r="C2700" s="14" t="s">
        <v>137</v>
      </c>
      <c r="D2700" s="22">
        <v>2895</v>
      </c>
      <c r="E2700" s="65">
        <v>42035</v>
      </c>
      <c r="F2700" s="24">
        <v>2895</v>
      </c>
      <c r="G2700" s="31">
        <f t="shared" si="42"/>
        <v>0</v>
      </c>
      <c r="H2700" s="39" t="s">
        <v>9</v>
      </c>
    </row>
    <row r="2701" spans="1:8" s="3" customFormat="1" x14ac:dyDescent="0.25">
      <c r="A2701" s="20">
        <v>42035</v>
      </c>
      <c r="B2701" s="21">
        <v>10608</v>
      </c>
      <c r="C2701" s="14" t="s">
        <v>296</v>
      </c>
      <c r="D2701" s="22">
        <v>1179.2</v>
      </c>
      <c r="E2701" s="65">
        <v>42035</v>
      </c>
      <c r="F2701" s="24">
        <v>1179.2</v>
      </c>
      <c r="G2701" s="31">
        <f t="shared" si="42"/>
        <v>0</v>
      </c>
      <c r="H2701" s="39" t="s">
        <v>9</v>
      </c>
    </row>
    <row r="2702" spans="1:8" s="3" customFormat="1" x14ac:dyDescent="0.25">
      <c r="A2702" s="20">
        <v>42035</v>
      </c>
      <c r="B2702" s="21">
        <v>10609</v>
      </c>
      <c r="C2702" s="14" t="s">
        <v>125</v>
      </c>
      <c r="D2702" s="22">
        <v>43584</v>
      </c>
      <c r="E2702" s="67" t="s">
        <v>533</v>
      </c>
      <c r="F2702" s="96">
        <f>8387+10000+13000+12197</f>
        <v>43584</v>
      </c>
      <c r="G2702" s="31">
        <f t="shared" si="42"/>
        <v>0</v>
      </c>
      <c r="H2702" s="39" t="s">
        <v>9</v>
      </c>
    </row>
    <row r="2703" spans="1:8" s="3" customFormat="1" x14ac:dyDescent="0.25">
      <c r="A2703" s="20">
        <v>42035</v>
      </c>
      <c r="B2703" s="21">
        <v>10610</v>
      </c>
      <c r="C2703" s="14" t="s">
        <v>14</v>
      </c>
      <c r="D2703" s="22">
        <v>173890.69</v>
      </c>
      <c r="E2703" s="74">
        <v>42039</v>
      </c>
      <c r="F2703" s="96">
        <v>173890.69</v>
      </c>
      <c r="G2703" s="31">
        <f t="shared" si="42"/>
        <v>0</v>
      </c>
      <c r="H2703" s="39" t="s">
        <v>9</v>
      </c>
    </row>
    <row r="2704" spans="1:8" s="3" customFormat="1" x14ac:dyDescent="0.25">
      <c r="A2704" s="20">
        <v>42035</v>
      </c>
      <c r="B2704" s="21">
        <v>10611</v>
      </c>
      <c r="C2704" s="14" t="s">
        <v>213</v>
      </c>
      <c r="D2704" s="22">
        <v>14000</v>
      </c>
      <c r="E2704" s="65">
        <v>42035</v>
      </c>
      <c r="F2704" s="24">
        <v>14000</v>
      </c>
      <c r="G2704" s="31">
        <f t="shared" si="42"/>
        <v>0</v>
      </c>
      <c r="H2704" s="39" t="s">
        <v>183</v>
      </c>
    </row>
    <row r="2705" spans="1:8" s="3" customFormat="1" x14ac:dyDescent="0.25">
      <c r="A2705" s="20">
        <v>42035</v>
      </c>
      <c r="B2705" s="21">
        <v>10612</v>
      </c>
      <c r="C2705" s="14" t="s">
        <v>83</v>
      </c>
      <c r="D2705" s="22">
        <v>7790</v>
      </c>
      <c r="E2705" s="65">
        <v>42035</v>
      </c>
      <c r="F2705" s="24">
        <v>7790</v>
      </c>
      <c r="G2705" s="31">
        <f t="shared" si="42"/>
        <v>0</v>
      </c>
      <c r="H2705" s="39" t="s">
        <v>59</v>
      </c>
    </row>
    <row r="2706" spans="1:8" s="3" customFormat="1" x14ac:dyDescent="0.25">
      <c r="A2706" s="20">
        <v>42035</v>
      </c>
      <c r="B2706" s="21">
        <v>10613</v>
      </c>
      <c r="C2706" s="14" t="s">
        <v>57</v>
      </c>
      <c r="D2706" s="22">
        <v>2000</v>
      </c>
      <c r="E2706" s="65">
        <v>42035</v>
      </c>
      <c r="F2706" s="24">
        <v>2000</v>
      </c>
      <c r="G2706" s="31">
        <f t="shared" si="42"/>
        <v>0</v>
      </c>
      <c r="H2706" s="39" t="s">
        <v>59</v>
      </c>
    </row>
    <row r="2707" spans="1:8" s="3" customFormat="1" x14ac:dyDescent="0.25">
      <c r="A2707" s="20">
        <v>42035</v>
      </c>
      <c r="B2707" s="21">
        <v>10614</v>
      </c>
      <c r="C2707" s="14" t="s">
        <v>58</v>
      </c>
      <c r="D2707" s="22">
        <v>600</v>
      </c>
      <c r="E2707" s="65">
        <v>42035</v>
      </c>
      <c r="F2707" s="24">
        <v>600</v>
      </c>
      <c r="G2707" s="31">
        <f t="shared" si="42"/>
        <v>0</v>
      </c>
      <c r="H2707" s="39" t="s">
        <v>59</v>
      </c>
    </row>
    <row r="2708" spans="1:8" s="3" customFormat="1" x14ac:dyDescent="0.25">
      <c r="A2708" s="20">
        <v>42035</v>
      </c>
      <c r="B2708" s="21">
        <v>10615</v>
      </c>
      <c r="C2708" s="14" t="s">
        <v>54</v>
      </c>
      <c r="D2708" s="22">
        <v>1640</v>
      </c>
      <c r="E2708" s="65">
        <v>42035</v>
      </c>
      <c r="F2708" s="24">
        <v>1640</v>
      </c>
      <c r="G2708" s="31">
        <f t="shared" si="42"/>
        <v>0</v>
      </c>
      <c r="H2708" s="39" t="s">
        <v>59</v>
      </c>
    </row>
    <row r="2709" spans="1:8" s="3" customFormat="1" x14ac:dyDescent="0.25">
      <c r="A2709" s="20">
        <v>42035</v>
      </c>
      <c r="B2709" s="21">
        <v>10616</v>
      </c>
      <c r="C2709" s="14" t="s">
        <v>34</v>
      </c>
      <c r="D2709" s="22">
        <v>4220</v>
      </c>
      <c r="E2709" s="65">
        <v>42035</v>
      </c>
      <c r="F2709" s="24">
        <v>4220</v>
      </c>
      <c r="G2709" s="31">
        <f t="shared" si="42"/>
        <v>0</v>
      </c>
      <c r="H2709" s="39" t="s">
        <v>9</v>
      </c>
    </row>
    <row r="2710" spans="1:8" s="3" customFormat="1" x14ac:dyDescent="0.25">
      <c r="A2710" s="20">
        <v>42035</v>
      </c>
      <c r="B2710" s="21">
        <v>10617</v>
      </c>
      <c r="C2710" s="14" t="s">
        <v>400</v>
      </c>
      <c r="D2710" s="22">
        <v>4701.2</v>
      </c>
      <c r="E2710" s="65">
        <v>42035</v>
      </c>
      <c r="F2710" s="24">
        <v>4701.2</v>
      </c>
      <c r="G2710" s="31">
        <f t="shared" si="42"/>
        <v>0</v>
      </c>
      <c r="H2710" s="39" t="s">
        <v>9</v>
      </c>
    </row>
    <row r="2711" spans="1:8" s="3" customFormat="1" x14ac:dyDescent="0.25">
      <c r="A2711" s="20">
        <v>42035</v>
      </c>
      <c r="B2711" s="21">
        <v>10618</v>
      </c>
      <c r="C2711" s="14" t="s">
        <v>18</v>
      </c>
      <c r="D2711" s="22">
        <v>161748</v>
      </c>
      <c r="E2711" s="74">
        <v>42047</v>
      </c>
      <c r="F2711" s="96">
        <v>161748</v>
      </c>
      <c r="G2711" s="31">
        <f t="shared" si="42"/>
        <v>0</v>
      </c>
      <c r="H2711" s="39" t="s">
        <v>36</v>
      </c>
    </row>
    <row r="2712" spans="1:8" s="3" customFormat="1" x14ac:dyDescent="0.25">
      <c r="A2712" s="20">
        <v>42035</v>
      </c>
      <c r="B2712" s="21">
        <v>10619</v>
      </c>
      <c r="C2712" s="14" t="s">
        <v>118</v>
      </c>
      <c r="D2712" s="22">
        <v>7608</v>
      </c>
      <c r="E2712" s="74">
        <v>42041</v>
      </c>
      <c r="F2712" s="96">
        <v>7608</v>
      </c>
      <c r="G2712" s="31">
        <f t="shared" si="42"/>
        <v>0</v>
      </c>
      <c r="H2712" s="39" t="s">
        <v>59</v>
      </c>
    </row>
    <row r="2713" spans="1:8" s="3" customFormat="1" x14ac:dyDescent="0.25">
      <c r="A2713" s="20">
        <v>42035</v>
      </c>
      <c r="B2713" s="21">
        <v>10620</v>
      </c>
      <c r="C2713" s="14" t="s">
        <v>82</v>
      </c>
      <c r="D2713" s="22">
        <v>4547.2</v>
      </c>
      <c r="E2713" s="65">
        <v>42035</v>
      </c>
      <c r="F2713" s="24">
        <v>4547.2</v>
      </c>
      <c r="G2713" s="31">
        <f t="shared" si="42"/>
        <v>0</v>
      </c>
      <c r="H2713" s="39" t="s">
        <v>59</v>
      </c>
    </row>
    <row r="2714" spans="1:8" s="3" customFormat="1" x14ac:dyDescent="0.25">
      <c r="A2714" s="20">
        <v>42035</v>
      </c>
      <c r="B2714" s="21">
        <v>10621</v>
      </c>
      <c r="C2714" s="14" t="s">
        <v>81</v>
      </c>
      <c r="D2714" s="22">
        <v>3592.8</v>
      </c>
      <c r="E2714" s="65">
        <v>42035</v>
      </c>
      <c r="F2714" s="24">
        <v>3592.8</v>
      </c>
      <c r="G2714" s="31">
        <f t="shared" si="42"/>
        <v>0</v>
      </c>
      <c r="H2714" s="39" t="s">
        <v>59</v>
      </c>
    </row>
    <row r="2715" spans="1:8" s="3" customFormat="1" x14ac:dyDescent="0.25">
      <c r="A2715" s="20">
        <v>42035</v>
      </c>
      <c r="B2715" s="21">
        <v>10622</v>
      </c>
      <c r="C2715" s="14" t="s">
        <v>238</v>
      </c>
      <c r="D2715" s="22">
        <v>444</v>
      </c>
      <c r="E2715" s="65">
        <v>42035</v>
      </c>
      <c r="F2715" s="24">
        <v>444</v>
      </c>
      <c r="G2715" s="31">
        <f t="shared" si="42"/>
        <v>0</v>
      </c>
      <c r="H2715" s="39" t="s">
        <v>59</v>
      </c>
    </row>
    <row r="2716" spans="1:8" s="3" customFormat="1" x14ac:dyDescent="0.25">
      <c r="A2716" s="20">
        <v>42035</v>
      </c>
      <c r="B2716" s="21">
        <v>10623</v>
      </c>
      <c r="C2716" s="14" t="s">
        <v>167</v>
      </c>
      <c r="D2716" s="22">
        <v>458.4</v>
      </c>
      <c r="E2716" s="65">
        <v>42035</v>
      </c>
      <c r="F2716" s="24">
        <v>458.4</v>
      </c>
      <c r="G2716" s="31">
        <f t="shared" si="42"/>
        <v>0</v>
      </c>
      <c r="H2716" s="39" t="s">
        <v>59</v>
      </c>
    </row>
    <row r="2717" spans="1:8" s="3" customFormat="1" x14ac:dyDescent="0.25">
      <c r="A2717" s="20">
        <v>42035</v>
      </c>
      <c r="B2717" s="21">
        <v>10624</v>
      </c>
      <c r="C2717" s="14" t="s">
        <v>115</v>
      </c>
      <c r="D2717" s="22">
        <v>977.6</v>
      </c>
      <c r="E2717" s="74">
        <v>42036</v>
      </c>
      <c r="F2717" s="96">
        <v>977.6</v>
      </c>
      <c r="G2717" s="31">
        <f t="shared" si="42"/>
        <v>0</v>
      </c>
      <c r="H2717" s="39" t="s">
        <v>9</v>
      </c>
    </row>
    <row r="2718" spans="1:8" s="3" customFormat="1" x14ac:dyDescent="0.25">
      <c r="A2718" s="20">
        <v>42035</v>
      </c>
      <c r="B2718" s="21">
        <v>10625</v>
      </c>
      <c r="C2718" s="14" t="s">
        <v>126</v>
      </c>
      <c r="D2718" s="22">
        <v>720</v>
      </c>
      <c r="E2718" s="65">
        <v>42035</v>
      </c>
      <c r="F2718" s="24">
        <v>720</v>
      </c>
      <c r="G2718" s="31">
        <f t="shared" si="42"/>
        <v>0</v>
      </c>
      <c r="H2718" s="39" t="s">
        <v>9</v>
      </c>
    </row>
    <row r="2719" spans="1:8" s="3" customFormat="1" x14ac:dyDescent="0.25">
      <c r="A2719" s="20">
        <v>42035</v>
      </c>
      <c r="B2719" s="21">
        <v>10626</v>
      </c>
      <c r="C2719" s="14" t="s">
        <v>120</v>
      </c>
      <c r="D2719" s="22">
        <v>2474.8000000000002</v>
      </c>
      <c r="E2719" s="65">
        <v>42035</v>
      </c>
      <c r="F2719" s="24">
        <v>2474.8000000000002</v>
      </c>
      <c r="G2719" s="31">
        <f t="shared" si="42"/>
        <v>0</v>
      </c>
      <c r="H2719" s="39" t="s">
        <v>59</v>
      </c>
    </row>
    <row r="2720" spans="1:8" s="3" customFormat="1" x14ac:dyDescent="0.25">
      <c r="A2720" s="20">
        <v>42035</v>
      </c>
      <c r="B2720" s="21">
        <v>10627</v>
      </c>
      <c r="C2720" s="14" t="s">
        <v>30</v>
      </c>
      <c r="D2720" s="22">
        <v>6481.3</v>
      </c>
      <c r="E2720" s="65">
        <v>42035</v>
      </c>
      <c r="F2720" s="24">
        <v>6481.3</v>
      </c>
      <c r="G2720" s="31">
        <f t="shared" si="42"/>
        <v>0</v>
      </c>
      <c r="H2720" s="39" t="s">
        <v>9</v>
      </c>
    </row>
    <row r="2721" spans="1:8" s="3" customFormat="1" x14ac:dyDescent="0.25">
      <c r="A2721" s="20">
        <v>42035</v>
      </c>
      <c r="B2721" s="21">
        <v>10628</v>
      </c>
      <c r="C2721" s="14" t="s">
        <v>53</v>
      </c>
      <c r="D2721" s="22">
        <v>2939.7</v>
      </c>
      <c r="E2721" s="65">
        <v>42035</v>
      </c>
      <c r="F2721" s="24">
        <v>2939.7</v>
      </c>
      <c r="G2721" s="31">
        <f t="shared" si="42"/>
        <v>0</v>
      </c>
      <c r="H2721" s="39" t="s">
        <v>59</v>
      </c>
    </row>
    <row r="2722" spans="1:8" s="3" customFormat="1" x14ac:dyDescent="0.25">
      <c r="A2722" s="20">
        <v>42035</v>
      </c>
      <c r="B2722" s="21">
        <v>10629</v>
      </c>
      <c r="C2722" s="14" t="s">
        <v>292</v>
      </c>
      <c r="D2722" s="22">
        <v>3284.4</v>
      </c>
      <c r="E2722" s="65">
        <v>42035</v>
      </c>
      <c r="F2722" s="24">
        <v>3284.4</v>
      </c>
      <c r="G2722" s="31">
        <f t="shared" si="42"/>
        <v>0</v>
      </c>
      <c r="H2722" s="39" t="s">
        <v>59</v>
      </c>
    </row>
    <row r="2723" spans="1:8" s="3" customFormat="1" x14ac:dyDescent="0.25">
      <c r="A2723" s="20">
        <v>42035</v>
      </c>
      <c r="B2723" s="21">
        <v>10630</v>
      </c>
      <c r="C2723" s="14" t="s">
        <v>269</v>
      </c>
      <c r="D2723" s="22">
        <v>1744</v>
      </c>
      <c r="E2723" s="65">
        <v>42035</v>
      </c>
      <c r="F2723" s="24">
        <v>1744</v>
      </c>
      <c r="G2723" s="31">
        <f t="shared" si="42"/>
        <v>0</v>
      </c>
      <c r="H2723" s="39" t="s">
        <v>9</v>
      </c>
    </row>
    <row r="2724" spans="1:8" s="3" customFormat="1" x14ac:dyDescent="0.25">
      <c r="A2724" s="20">
        <v>42035</v>
      </c>
      <c r="B2724" s="21">
        <v>10631</v>
      </c>
      <c r="C2724" s="14" t="s">
        <v>269</v>
      </c>
      <c r="D2724" s="22">
        <v>408.8</v>
      </c>
      <c r="E2724" s="65">
        <v>42035</v>
      </c>
      <c r="F2724" s="24">
        <v>408.8</v>
      </c>
      <c r="G2724" s="31">
        <f t="shared" si="42"/>
        <v>0</v>
      </c>
      <c r="H2724" s="39" t="s">
        <v>9</v>
      </c>
    </row>
    <row r="2725" spans="1:8" s="3" customFormat="1" x14ac:dyDescent="0.25">
      <c r="A2725" s="20">
        <v>42035</v>
      </c>
      <c r="B2725" s="21">
        <v>10632</v>
      </c>
      <c r="C2725" s="14" t="s">
        <v>24</v>
      </c>
      <c r="D2725" s="22">
        <v>2748</v>
      </c>
      <c r="E2725" s="74">
        <v>42051</v>
      </c>
      <c r="F2725" s="96">
        <v>2748</v>
      </c>
      <c r="G2725" s="31">
        <f t="shared" si="42"/>
        <v>0</v>
      </c>
      <c r="H2725" s="39" t="s">
        <v>9</v>
      </c>
    </row>
    <row r="2726" spans="1:8" s="3" customFormat="1" x14ac:dyDescent="0.25">
      <c r="A2726" s="20">
        <v>42035</v>
      </c>
      <c r="B2726" s="21">
        <v>10633</v>
      </c>
      <c r="C2726" s="14" t="s">
        <v>24</v>
      </c>
      <c r="D2726" s="22">
        <v>268021.65999999997</v>
      </c>
      <c r="E2726" s="74">
        <v>42051</v>
      </c>
      <c r="F2726" s="96">
        <v>268021.65999999997</v>
      </c>
      <c r="G2726" s="31">
        <f t="shared" si="42"/>
        <v>0</v>
      </c>
      <c r="H2726" s="39" t="s">
        <v>46</v>
      </c>
    </row>
    <row r="2727" spans="1:8" s="3" customFormat="1" x14ac:dyDescent="0.25">
      <c r="A2727" s="20">
        <v>42035</v>
      </c>
      <c r="B2727" s="21">
        <v>10634</v>
      </c>
      <c r="C2727" s="14" t="s">
        <v>135</v>
      </c>
      <c r="D2727" s="22">
        <v>10196.6</v>
      </c>
      <c r="E2727" s="65">
        <v>42035</v>
      </c>
      <c r="F2727" s="24">
        <v>10196.6</v>
      </c>
      <c r="G2727" s="31">
        <f t="shared" si="42"/>
        <v>0</v>
      </c>
      <c r="H2727" s="39" t="s">
        <v>9</v>
      </c>
    </row>
    <row r="2728" spans="1:8" s="3" customFormat="1" x14ac:dyDescent="0.25">
      <c r="A2728" s="20">
        <v>42035</v>
      </c>
      <c r="B2728" s="21">
        <v>10635</v>
      </c>
      <c r="C2728" s="14" t="s">
        <v>135</v>
      </c>
      <c r="D2728" s="22">
        <v>270</v>
      </c>
      <c r="E2728" s="65">
        <v>42035</v>
      </c>
      <c r="F2728" s="24">
        <v>270</v>
      </c>
      <c r="G2728" s="31">
        <f t="shared" si="42"/>
        <v>0</v>
      </c>
      <c r="H2728" s="39" t="s">
        <v>9</v>
      </c>
    </row>
    <row r="2729" spans="1:8" s="3" customFormat="1" x14ac:dyDescent="0.25">
      <c r="A2729" s="20">
        <v>42035</v>
      </c>
      <c r="B2729" s="21">
        <v>10636</v>
      </c>
      <c r="C2729" s="14" t="s">
        <v>168</v>
      </c>
      <c r="D2729" s="22">
        <v>8995.7999999999993</v>
      </c>
      <c r="E2729" s="65">
        <v>42035</v>
      </c>
      <c r="F2729" s="24">
        <v>8995.7999999999993</v>
      </c>
      <c r="G2729" s="31">
        <f t="shared" si="42"/>
        <v>0</v>
      </c>
      <c r="H2729" s="39" t="s">
        <v>59</v>
      </c>
    </row>
    <row r="2730" spans="1:8" s="3" customFormat="1" x14ac:dyDescent="0.25">
      <c r="A2730" s="20">
        <v>42035</v>
      </c>
      <c r="B2730" s="21">
        <v>10637</v>
      </c>
      <c r="C2730" s="14" t="s">
        <v>465</v>
      </c>
      <c r="D2730" s="22">
        <v>4164.6000000000004</v>
      </c>
      <c r="E2730" s="65">
        <v>42035</v>
      </c>
      <c r="F2730" s="24">
        <v>4164.6000000000004</v>
      </c>
      <c r="G2730" s="31">
        <f t="shared" si="42"/>
        <v>0</v>
      </c>
      <c r="H2730" s="39" t="s">
        <v>9</v>
      </c>
    </row>
    <row r="2731" spans="1:8" s="3" customFormat="1" x14ac:dyDescent="0.25">
      <c r="A2731" s="20">
        <v>42035</v>
      </c>
      <c r="B2731" s="21">
        <v>10638</v>
      </c>
      <c r="C2731" s="14" t="s">
        <v>130</v>
      </c>
      <c r="D2731" s="22">
        <v>10390.6</v>
      </c>
      <c r="E2731" s="74">
        <v>42036</v>
      </c>
      <c r="F2731" s="96">
        <v>10390.6</v>
      </c>
      <c r="G2731" s="31">
        <f t="shared" si="42"/>
        <v>0</v>
      </c>
      <c r="H2731" s="39" t="s">
        <v>17</v>
      </c>
    </row>
    <row r="2732" spans="1:8" s="3" customFormat="1" x14ac:dyDescent="0.25">
      <c r="A2732" s="20">
        <v>42035</v>
      </c>
      <c r="B2732" s="21">
        <v>10639</v>
      </c>
      <c r="C2732" s="14" t="s">
        <v>221</v>
      </c>
      <c r="D2732" s="22">
        <v>1728</v>
      </c>
      <c r="E2732" s="65">
        <v>42035</v>
      </c>
      <c r="F2732" s="24">
        <v>1728</v>
      </c>
      <c r="G2732" s="31">
        <f t="shared" si="42"/>
        <v>0</v>
      </c>
      <c r="H2732" s="39" t="s">
        <v>59</v>
      </c>
    </row>
    <row r="2733" spans="1:8" s="3" customFormat="1" x14ac:dyDescent="0.25">
      <c r="A2733" s="20">
        <v>42035</v>
      </c>
      <c r="B2733" s="21">
        <v>10640</v>
      </c>
      <c r="C2733" s="14" t="s">
        <v>132</v>
      </c>
      <c r="D2733" s="22">
        <v>853.4</v>
      </c>
      <c r="E2733" s="65">
        <v>42035</v>
      </c>
      <c r="F2733" s="24">
        <v>853.4</v>
      </c>
      <c r="G2733" s="31">
        <f t="shared" si="42"/>
        <v>0</v>
      </c>
      <c r="H2733" s="39" t="s">
        <v>17</v>
      </c>
    </row>
    <row r="2734" spans="1:8" s="3" customFormat="1" x14ac:dyDescent="0.25">
      <c r="A2734" s="20">
        <v>42035</v>
      </c>
      <c r="B2734" s="21">
        <v>10641</v>
      </c>
      <c r="C2734" s="14" t="s">
        <v>128</v>
      </c>
      <c r="D2734" s="22">
        <v>6770.4</v>
      </c>
      <c r="E2734" s="65">
        <v>42035</v>
      </c>
      <c r="F2734" s="24">
        <v>6770.4</v>
      </c>
      <c r="G2734" s="31">
        <f t="shared" si="42"/>
        <v>0</v>
      </c>
      <c r="H2734" s="39" t="s">
        <v>17</v>
      </c>
    </row>
    <row r="2735" spans="1:8" s="3" customFormat="1" x14ac:dyDescent="0.25">
      <c r="A2735" s="20">
        <v>42035</v>
      </c>
      <c r="B2735" s="21">
        <v>10642</v>
      </c>
      <c r="C2735" s="14" t="s">
        <v>100</v>
      </c>
      <c r="D2735" s="22">
        <v>3012.5</v>
      </c>
      <c r="E2735" s="65">
        <v>42035</v>
      </c>
      <c r="F2735" s="24">
        <v>3012.5</v>
      </c>
      <c r="G2735" s="31">
        <f t="shared" si="42"/>
        <v>0</v>
      </c>
      <c r="H2735" s="39" t="s">
        <v>9</v>
      </c>
    </row>
    <row r="2736" spans="1:8" s="3" customFormat="1" x14ac:dyDescent="0.25">
      <c r="A2736" s="20">
        <v>42035</v>
      </c>
      <c r="B2736" s="21">
        <v>10643</v>
      </c>
      <c r="C2736" s="14" t="s">
        <v>131</v>
      </c>
      <c r="D2736" s="22">
        <v>2519.6</v>
      </c>
      <c r="E2736" s="65">
        <v>42035</v>
      </c>
      <c r="F2736" s="24">
        <v>2519.6</v>
      </c>
      <c r="G2736" s="31">
        <f t="shared" si="42"/>
        <v>0</v>
      </c>
      <c r="H2736" s="39" t="s">
        <v>17</v>
      </c>
    </row>
    <row r="2737" spans="1:8" s="3" customFormat="1" x14ac:dyDescent="0.25">
      <c r="A2737" s="20">
        <v>42035</v>
      </c>
      <c r="B2737" s="21">
        <v>10644</v>
      </c>
      <c r="C2737" s="14" t="s">
        <v>42</v>
      </c>
      <c r="D2737" s="22">
        <v>391</v>
      </c>
      <c r="E2737" s="65">
        <v>42035</v>
      </c>
      <c r="F2737" s="24">
        <v>391</v>
      </c>
      <c r="G2737" s="31">
        <f t="shared" si="42"/>
        <v>0</v>
      </c>
      <c r="H2737" s="39" t="s">
        <v>9</v>
      </c>
    </row>
    <row r="2738" spans="1:8" s="3" customFormat="1" x14ac:dyDescent="0.25">
      <c r="A2738" s="20">
        <v>42035</v>
      </c>
      <c r="B2738" s="21">
        <v>10645</v>
      </c>
      <c r="C2738" s="14" t="s">
        <v>299</v>
      </c>
      <c r="D2738" s="22">
        <v>3478</v>
      </c>
      <c r="E2738" s="65">
        <v>42035</v>
      </c>
      <c r="F2738" s="24">
        <v>3478</v>
      </c>
      <c r="G2738" s="31">
        <f t="shared" si="42"/>
        <v>0</v>
      </c>
      <c r="H2738" s="39" t="s">
        <v>17</v>
      </c>
    </row>
    <row r="2739" spans="1:8" s="3" customFormat="1" x14ac:dyDescent="0.25">
      <c r="A2739" s="20">
        <v>42035</v>
      </c>
      <c r="B2739" s="21">
        <v>10646</v>
      </c>
      <c r="C2739" s="14" t="s">
        <v>232</v>
      </c>
      <c r="D2739" s="22">
        <v>7246.8</v>
      </c>
      <c r="E2739" s="65">
        <v>42035</v>
      </c>
      <c r="F2739" s="24">
        <v>7246.8</v>
      </c>
      <c r="G2739" s="31">
        <f t="shared" si="42"/>
        <v>0</v>
      </c>
      <c r="H2739" s="39" t="s">
        <v>17</v>
      </c>
    </row>
    <row r="2740" spans="1:8" s="3" customFormat="1" x14ac:dyDescent="0.25">
      <c r="A2740" s="20">
        <v>42035</v>
      </c>
      <c r="B2740" s="21">
        <v>10647</v>
      </c>
      <c r="C2740" s="14" t="s">
        <v>435</v>
      </c>
      <c r="D2740" s="22">
        <v>991.3</v>
      </c>
      <c r="E2740" s="65">
        <v>42035</v>
      </c>
      <c r="F2740" s="24">
        <v>991.3</v>
      </c>
      <c r="G2740" s="31">
        <f t="shared" si="42"/>
        <v>0</v>
      </c>
      <c r="H2740" s="39" t="s">
        <v>9</v>
      </c>
    </row>
    <row r="2741" spans="1:8" s="3" customFormat="1" x14ac:dyDescent="0.25">
      <c r="A2741" s="20">
        <v>42035</v>
      </c>
      <c r="B2741" s="21">
        <v>10648</v>
      </c>
      <c r="C2741" s="14" t="s">
        <v>140</v>
      </c>
      <c r="D2741" s="22">
        <v>10792.2</v>
      </c>
      <c r="E2741" s="65">
        <v>42035</v>
      </c>
      <c r="F2741" s="24">
        <v>10792.2</v>
      </c>
      <c r="G2741" s="31">
        <f t="shared" si="42"/>
        <v>0</v>
      </c>
      <c r="H2741" s="39" t="s">
        <v>94</v>
      </c>
    </row>
    <row r="2742" spans="1:8" s="3" customFormat="1" x14ac:dyDescent="0.25">
      <c r="A2742" s="20">
        <v>42035</v>
      </c>
      <c r="B2742" s="21">
        <v>10649</v>
      </c>
      <c r="C2742" s="14" t="s">
        <v>49</v>
      </c>
      <c r="D2742" s="22">
        <v>2217.6</v>
      </c>
      <c r="E2742" s="65">
        <v>42035</v>
      </c>
      <c r="F2742" s="24">
        <v>2217.6</v>
      </c>
      <c r="G2742" s="31">
        <f t="shared" si="42"/>
        <v>0</v>
      </c>
      <c r="H2742" s="39" t="s">
        <v>94</v>
      </c>
    </row>
    <row r="2743" spans="1:8" s="3" customFormat="1" x14ac:dyDescent="0.25">
      <c r="A2743" s="20">
        <v>42035</v>
      </c>
      <c r="B2743" s="21">
        <v>10650</v>
      </c>
      <c r="C2743" s="14" t="s">
        <v>413</v>
      </c>
      <c r="D2743" s="22">
        <v>6864.15</v>
      </c>
      <c r="E2743" s="65">
        <v>42035</v>
      </c>
      <c r="F2743" s="24">
        <v>6864.15</v>
      </c>
      <c r="G2743" s="31">
        <f t="shared" si="42"/>
        <v>0</v>
      </c>
      <c r="H2743" s="39" t="s">
        <v>9</v>
      </c>
    </row>
    <row r="2744" spans="1:8" s="3" customFormat="1" x14ac:dyDescent="0.25">
      <c r="A2744" s="20">
        <v>42035</v>
      </c>
      <c r="B2744" s="21">
        <v>10651</v>
      </c>
      <c r="C2744" s="14" t="s">
        <v>50</v>
      </c>
      <c r="D2744" s="22">
        <v>6053.6</v>
      </c>
      <c r="E2744" s="65">
        <v>42035</v>
      </c>
      <c r="F2744" s="24">
        <v>6053.6</v>
      </c>
      <c r="G2744" s="31">
        <f t="shared" si="42"/>
        <v>0</v>
      </c>
      <c r="H2744" s="39" t="s">
        <v>94</v>
      </c>
    </row>
    <row r="2745" spans="1:8" s="3" customFormat="1" x14ac:dyDescent="0.25">
      <c r="A2745" s="20">
        <v>42035</v>
      </c>
      <c r="B2745" s="21">
        <v>10652</v>
      </c>
      <c r="C2745" s="14" t="s">
        <v>89</v>
      </c>
      <c r="D2745" s="22">
        <v>7735</v>
      </c>
      <c r="E2745" s="65">
        <v>42035</v>
      </c>
      <c r="F2745" s="24">
        <v>7735</v>
      </c>
      <c r="G2745" s="31">
        <f t="shared" si="42"/>
        <v>0</v>
      </c>
      <c r="H2745" s="39" t="s">
        <v>9</v>
      </c>
    </row>
    <row r="2746" spans="1:8" s="3" customFormat="1" x14ac:dyDescent="0.25">
      <c r="A2746" s="20">
        <v>42035</v>
      </c>
      <c r="B2746" s="21">
        <v>10653</v>
      </c>
      <c r="C2746" s="14" t="s">
        <v>136</v>
      </c>
      <c r="D2746" s="22">
        <v>18919.599999999999</v>
      </c>
      <c r="E2746" s="74">
        <v>42036</v>
      </c>
      <c r="F2746" s="96">
        <v>18919.599999999999</v>
      </c>
      <c r="G2746" s="31">
        <f t="shared" si="42"/>
        <v>0</v>
      </c>
      <c r="H2746" s="39" t="s">
        <v>9</v>
      </c>
    </row>
    <row r="2747" spans="1:8" s="3" customFormat="1" x14ac:dyDescent="0.25">
      <c r="A2747" s="20">
        <v>42035</v>
      </c>
      <c r="B2747" s="21">
        <v>10654</v>
      </c>
      <c r="C2747" s="14" t="s">
        <v>45</v>
      </c>
      <c r="D2747" s="22">
        <v>536.4</v>
      </c>
      <c r="E2747" s="74">
        <v>42038</v>
      </c>
      <c r="F2747" s="96">
        <v>536.4</v>
      </c>
      <c r="G2747" s="31">
        <f t="shared" si="42"/>
        <v>0</v>
      </c>
      <c r="H2747" s="39" t="s">
        <v>94</v>
      </c>
    </row>
    <row r="2748" spans="1:8" s="3" customFormat="1" x14ac:dyDescent="0.25">
      <c r="A2748" s="20">
        <v>42035</v>
      </c>
      <c r="B2748" s="21">
        <v>10655</v>
      </c>
      <c r="C2748" s="14" t="s">
        <v>110</v>
      </c>
      <c r="D2748" s="22">
        <v>8689.7000000000007</v>
      </c>
      <c r="E2748" s="74">
        <v>42039</v>
      </c>
      <c r="F2748" s="96">
        <v>8689.7000000000007</v>
      </c>
      <c r="G2748" s="31">
        <f t="shared" si="42"/>
        <v>0</v>
      </c>
      <c r="H2748" s="39" t="s">
        <v>19</v>
      </c>
    </row>
    <row r="2749" spans="1:8" s="3" customFormat="1" x14ac:dyDescent="0.25">
      <c r="A2749" s="20">
        <v>42035</v>
      </c>
      <c r="B2749" s="21">
        <v>10656</v>
      </c>
      <c r="C2749" s="14" t="s">
        <v>66</v>
      </c>
      <c r="D2749" s="22">
        <v>2963.7</v>
      </c>
      <c r="E2749" s="66" t="s">
        <v>478</v>
      </c>
      <c r="F2749" s="24">
        <v>2963.7</v>
      </c>
      <c r="G2749" s="31">
        <f t="shared" si="42"/>
        <v>0</v>
      </c>
      <c r="H2749" s="39" t="s">
        <v>9</v>
      </c>
    </row>
    <row r="2750" spans="1:8" s="3" customFormat="1" x14ac:dyDescent="0.25">
      <c r="A2750" s="20"/>
      <c r="B2750" s="75" t="s">
        <v>479</v>
      </c>
      <c r="C2750" s="76" t="s">
        <v>480</v>
      </c>
      <c r="D2750" s="22">
        <v>0</v>
      </c>
      <c r="E2750" s="66"/>
      <c r="F2750" s="24"/>
      <c r="G2750" s="31">
        <f t="shared" si="42"/>
        <v>0</v>
      </c>
      <c r="H2750" s="39">
        <v>0</v>
      </c>
    </row>
    <row r="2751" spans="1:8" s="3" customFormat="1" x14ac:dyDescent="0.25">
      <c r="A2751" s="20">
        <v>42035</v>
      </c>
      <c r="B2751" s="21">
        <v>10657</v>
      </c>
      <c r="C2751" s="14" t="s">
        <v>141</v>
      </c>
      <c r="D2751" s="22">
        <v>16591.599999999999</v>
      </c>
      <c r="E2751" s="67" t="s">
        <v>513</v>
      </c>
      <c r="F2751" s="96">
        <f>9000+7591.6</f>
        <v>16591.599999999999</v>
      </c>
      <c r="G2751" s="31">
        <f t="shared" si="42"/>
        <v>0</v>
      </c>
      <c r="H2751" s="39" t="s">
        <v>9</v>
      </c>
    </row>
    <row r="2752" spans="1:8" s="3" customFormat="1" x14ac:dyDescent="0.25">
      <c r="A2752" s="20">
        <v>42035</v>
      </c>
      <c r="B2752" s="21">
        <v>10658</v>
      </c>
      <c r="C2752" s="14" t="s">
        <v>481</v>
      </c>
      <c r="D2752" s="22">
        <v>3146.4</v>
      </c>
      <c r="E2752" s="74">
        <v>42036</v>
      </c>
      <c r="F2752" s="96">
        <v>3146.4</v>
      </c>
      <c r="G2752" s="31">
        <f t="shared" si="42"/>
        <v>0</v>
      </c>
      <c r="H2752" s="39" t="s">
        <v>9</v>
      </c>
    </row>
    <row r="2753" spans="1:8" s="3" customFormat="1" x14ac:dyDescent="0.25">
      <c r="A2753" s="20">
        <v>42035</v>
      </c>
      <c r="B2753" s="21">
        <v>10659</v>
      </c>
      <c r="C2753" s="14" t="s">
        <v>228</v>
      </c>
      <c r="D2753" s="22">
        <v>3438</v>
      </c>
      <c r="E2753" s="65">
        <v>42035</v>
      </c>
      <c r="F2753" s="24">
        <v>3438</v>
      </c>
      <c r="G2753" s="31">
        <f t="shared" si="42"/>
        <v>0</v>
      </c>
      <c r="H2753" s="39" t="s">
        <v>9</v>
      </c>
    </row>
    <row r="2754" spans="1:8" s="3" customFormat="1" x14ac:dyDescent="0.25">
      <c r="A2754" s="20">
        <v>42035</v>
      </c>
      <c r="B2754" s="21">
        <v>10660</v>
      </c>
      <c r="C2754" s="14" t="s">
        <v>141</v>
      </c>
      <c r="D2754" s="22">
        <v>483.8</v>
      </c>
      <c r="E2754" s="65">
        <v>42035</v>
      </c>
      <c r="F2754" s="24">
        <v>483.8</v>
      </c>
      <c r="G2754" s="31">
        <f t="shared" si="42"/>
        <v>0</v>
      </c>
      <c r="H2754" s="39" t="s">
        <v>9</v>
      </c>
    </row>
    <row r="2755" spans="1:8" s="3" customFormat="1" x14ac:dyDescent="0.25">
      <c r="A2755" s="20">
        <v>42035</v>
      </c>
      <c r="B2755" s="21">
        <v>10661</v>
      </c>
      <c r="C2755" s="14" t="s">
        <v>192</v>
      </c>
      <c r="D2755" s="22">
        <v>18000</v>
      </c>
      <c r="E2755" s="74">
        <v>42055</v>
      </c>
      <c r="F2755" s="96">
        <v>18000</v>
      </c>
      <c r="G2755" s="31">
        <f t="shared" ref="G2755:G2799" si="43">D2755-F2755</f>
        <v>0</v>
      </c>
      <c r="H2755" s="39" t="s">
        <v>36</v>
      </c>
    </row>
    <row r="2756" spans="1:8" s="3" customFormat="1" x14ac:dyDescent="0.25">
      <c r="A2756" s="20">
        <v>42035</v>
      </c>
      <c r="B2756" s="21">
        <v>10662</v>
      </c>
      <c r="C2756" s="14" t="s">
        <v>14</v>
      </c>
      <c r="D2756" s="22">
        <v>156551.79999999999</v>
      </c>
      <c r="E2756" s="67" t="s">
        <v>527</v>
      </c>
      <c r="F2756" s="96">
        <f>141470.15+15081.65</f>
        <v>156551.79999999999</v>
      </c>
      <c r="G2756" s="31">
        <f t="shared" si="43"/>
        <v>0</v>
      </c>
      <c r="H2756" s="39" t="s">
        <v>183</v>
      </c>
    </row>
    <row r="2757" spans="1:8" s="3" customFormat="1" x14ac:dyDescent="0.25">
      <c r="A2757" s="20">
        <v>42035</v>
      </c>
      <c r="B2757" s="21">
        <v>10663</v>
      </c>
      <c r="C2757" s="14" t="s">
        <v>391</v>
      </c>
      <c r="D2757" s="22">
        <v>1614.6</v>
      </c>
      <c r="E2757" s="65">
        <v>42035</v>
      </c>
      <c r="F2757" s="24">
        <v>1614.6</v>
      </c>
      <c r="G2757" s="31">
        <f t="shared" si="43"/>
        <v>0</v>
      </c>
      <c r="H2757" s="39" t="s">
        <v>9</v>
      </c>
    </row>
    <row r="2758" spans="1:8" s="3" customFormat="1" x14ac:dyDescent="0.25">
      <c r="A2758" s="20">
        <v>42035</v>
      </c>
      <c r="B2758" s="21">
        <v>10664</v>
      </c>
      <c r="C2758" s="14" t="s">
        <v>101</v>
      </c>
      <c r="D2758" s="22">
        <v>1102</v>
      </c>
      <c r="E2758" s="65">
        <v>42035</v>
      </c>
      <c r="F2758" s="24">
        <v>1102</v>
      </c>
      <c r="G2758" s="31">
        <f t="shared" si="43"/>
        <v>0</v>
      </c>
      <c r="H2758" s="39" t="s">
        <v>19</v>
      </c>
    </row>
    <row r="2759" spans="1:8" s="3" customFormat="1" x14ac:dyDescent="0.25">
      <c r="A2759" s="20">
        <v>42035</v>
      </c>
      <c r="B2759" s="21">
        <v>10665</v>
      </c>
      <c r="C2759" s="14" t="s">
        <v>393</v>
      </c>
      <c r="D2759" s="22">
        <v>449.2</v>
      </c>
      <c r="E2759" s="65">
        <v>42035</v>
      </c>
      <c r="F2759" s="24">
        <v>449.2</v>
      </c>
      <c r="G2759" s="31">
        <f t="shared" si="43"/>
        <v>0</v>
      </c>
      <c r="H2759" s="39" t="s">
        <v>19</v>
      </c>
    </row>
    <row r="2760" spans="1:8" s="3" customFormat="1" x14ac:dyDescent="0.25">
      <c r="A2760" s="20">
        <v>42035</v>
      </c>
      <c r="B2760" s="21">
        <v>10666</v>
      </c>
      <c r="C2760" s="14" t="s">
        <v>11</v>
      </c>
      <c r="D2760" s="22">
        <v>1333.2</v>
      </c>
      <c r="E2760" s="65">
        <v>42035</v>
      </c>
      <c r="F2760" s="24">
        <v>1333.2</v>
      </c>
      <c r="G2760" s="31">
        <f t="shared" si="43"/>
        <v>0</v>
      </c>
      <c r="H2760" s="39" t="s">
        <v>19</v>
      </c>
    </row>
    <row r="2761" spans="1:8" s="3" customFormat="1" x14ac:dyDescent="0.25">
      <c r="A2761" s="20">
        <v>42035</v>
      </c>
      <c r="B2761" s="21">
        <v>10667</v>
      </c>
      <c r="C2761" s="14" t="s">
        <v>98</v>
      </c>
      <c r="D2761" s="22">
        <v>2242.8000000000002</v>
      </c>
      <c r="E2761" s="65">
        <v>42035</v>
      </c>
      <c r="F2761" s="24">
        <v>2242.8000000000002</v>
      </c>
      <c r="G2761" s="31">
        <f t="shared" si="43"/>
        <v>0</v>
      </c>
      <c r="H2761" s="39" t="s">
        <v>19</v>
      </c>
    </row>
    <row r="2762" spans="1:8" s="3" customFormat="1" x14ac:dyDescent="0.25">
      <c r="A2762" s="20">
        <v>42035</v>
      </c>
      <c r="B2762" s="21">
        <v>10668</v>
      </c>
      <c r="C2762" s="14" t="s">
        <v>93</v>
      </c>
      <c r="D2762" s="22">
        <v>2086.9</v>
      </c>
      <c r="E2762" s="65">
        <v>42035</v>
      </c>
      <c r="F2762" s="24">
        <v>2086.9</v>
      </c>
      <c r="G2762" s="31">
        <f t="shared" si="43"/>
        <v>0</v>
      </c>
      <c r="H2762" s="39" t="s">
        <v>19</v>
      </c>
    </row>
    <row r="2763" spans="1:8" s="3" customFormat="1" x14ac:dyDescent="0.25">
      <c r="A2763" s="20">
        <v>42035</v>
      </c>
      <c r="B2763" s="21">
        <v>10669</v>
      </c>
      <c r="C2763" s="14" t="s">
        <v>106</v>
      </c>
      <c r="D2763" s="22">
        <v>3220.8</v>
      </c>
      <c r="E2763" s="65">
        <v>42035</v>
      </c>
      <c r="F2763" s="24">
        <v>3220.8</v>
      </c>
      <c r="G2763" s="31">
        <f t="shared" si="43"/>
        <v>0</v>
      </c>
      <c r="H2763" s="39" t="s">
        <v>19</v>
      </c>
    </row>
    <row r="2764" spans="1:8" s="3" customFormat="1" x14ac:dyDescent="0.25">
      <c r="A2764" s="20">
        <v>42035</v>
      </c>
      <c r="B2764" s="21">
        <v>10670</v>
      </c>
      <c r="C2764" s="14" t="s">
        <v>95</v>
      </c>
      <c r="D2764" s="22">
        <v>6207.4</v>
      </c>
      <c r="E2764" s="65">
        <v>42035</v>
      </c>
      <c r="F2764" s="24">
        <v>6207.4</v>
      </c>
      <c r="G2764" s="31">
        <f t="shared" si="43"/>
        <v>0</v>
      </c>
      <c r="H2764" s="39" t="s">
        <v>19</v>
      </c>
    </row>
    <row r="2765" spans="1:8" s="3" customFormat="1" x14ac:dyDescent="0.25">
      <c r="A2765" s="20">
        <v>42035</v>
      </c>
      <c r="B2765" s="21">
        <v>10671</v>
      </c>
      <c r="C2765" s="14" t="s">
        <v>24</v>
      </c>
      <c r="D2765" s="22">
        <v>409.4</v>
      </c>
      <c r="E2765" s="74">
        <v>42051</v>
      </c>
      <c r="F2765" s="96">
        <v>409.4</v>
      </c>
      <c r="G2765" s="31">
        <f t="shared" si="43"/>
        <v>0</v>
      </c>
      <c r="H2765" s="39" t="s">
        <v>9</v>
      </c>
    </row>
    <row r="2766" spans="1:8" s="3" customFormat="1" x14ac:dyDescent="0.25">
      <c r="A2766" s="20">
        <v>42035</v>
      </c>
      <c r="B2766" s="21">
        <v>10672</v>
      </c>
      <c r="C2766" s="14" t="s">
        <v>47</v>
      </c>
      <c r="D2766" s="22">
        <v>29476</v>
      </c>
      <c r="E2766" s="74">
        <v>42036</v>
      </c>
      <c r="F2766" s="96">
        <v>29476</v>
      </c>
      <c r="G2766" s="31">
        <f t="shared" si="43"/>
        <v>0</v>
      </c>
      <c r="H2766" s="39" t="s">
        <v>36</v>
      </c>
    </row>
    <row r="2767" spans="1:8" s="3" customFormat="1" x14ac:dyDescent="0.25">
      <c r="A2767" s="20">
        <v>42035</v>
      </c>
      <c r="B2767" s="21">
        <v>10673</v>
      </c>
      <c r="C2767" s="14" t="s">
        <v>60</v>
      </c>
      <c r="D2767" s="22">
        <v>8349.6</v>
      </c>
      <c r="E2767" s="74">
        <v>42036</v>
      </c>
      <c r="F2767" s="96">
        <v>8349.6</v>
      </c>
      <c r="G2767" s="31">
        <f t="shared" si="43"/>
        <v>0</v>
      </c>
      <c r="H2767" s="39" t="s">
        <v>36</v>
      </c>
    </row>
    <row r="2768" spans="1:8" s="3" customFormat="1" x14ac:dyDescent="0.25">
      <c r="A2768" s="20">
        <v>42035</v>
      </c>
      <c r="B2768" s="21">
        <v>10674</v>
      </c>
      <c r="C2768" s="14" t="s">
        <v>256</v>
      </c>
      <c r="D2768" s="22">
        <v>6426</v>
      </c>
      <c r="E2768" s="74">
        <v>42036</v>
      </c>
      <c r="F2768" s="96">
        <v>6426</v>
      </c>
      <c r="G2768" s="31">
        <f t="shared" si="43"/>
        <v>0</v>
      </c>
      <c r="H2768" s="39" t="s">
        <v>36</v>
      </c>
    </row>
    <row r="2769" spans="1:8" s="3" customFormat="1" x14ac:dyDescent="0.25">
      <c r="A2769" s="20">
        <v>42035</v>
      </c>
      <c r="B2769" s="21">
        <v>10675</v>
      </c>
      <c r="C2769" s="14" t="s">
        <v>123</v>
      </c>
      <c r="D2769" s="22">
        <v>4320</v>
      </c>
      <c r="E2769" s="74">
        <v>42036</v>
      </c>
      <c r="F2769" s="96">
        <v>4320</v>
      </c>
      <c r="G2769" s="31">
        <f t="shared" si="43"/>
        <v>0</v>
      </c>
      <c r="H2769" s="39" t="s">
        <v>36</v>
      </c>
    </row>
    <row r="2770" spans="1:8" s="3" customFormat="1" x14ac:dyDescent="0.25">
      <c r="A2770" s="20">
        <v>42035</v>
      </c>
      <c r="B2770" s="21">
        <v>10676</v>
      </c>
      <c r="C2770" s="14" t="s">
        <v>35</v>
      </c>
      <c r="D2770" s="22">
        <v>29248.5</v>
      </c>
      <c r="E2770" s="74">
        <v>42036</v>
      </c>
      <c r="F2770" s="96">
        <v>29248.5</v>
      </c>
      <c r="G2770" s="31">
        <f t="shared" si="43"/>
        <v>0</v>
      </c>
      <c r="H2770" s="39" t="s">
        <v>36</v>
      </c>
    </row>
    <row r="2771" spans="1:8" s="3" customFormat="1" x14ac:dyDescent="0.25">
      <c r="A2771" s="20">
        <v>42035</v>
      </c>
      <c r="B2771" s="21">
        <v>10677</v>
      </c>
      <c r="C2771" s="14" t="s">
        <v>37</v>
      </c>
      <c r="D2771" s="22">
        <v>28361.95</v>
      </c>
      <c r="E2771" s="74">
        <v>42040</v>
      </c>
      <c r="F2771" s="96">
        <v>28361.95</v>
      </c>
      <c r="G2771" s="31">
        <f t="shared" si="43"/>
        <v>0</v>
      </c>
      <c r="H2771" s="39" t="s">
        <v>36</v>
      </c>
    </row>
    <row r="2772" spans="1:8" s="3" customFormat="1" x14ac:dyDescent="0.25">
      <c r="A2772" s="20">
        <v>42035</v>
      </c>
      <c r="B2772" s="21">
        <v>10678</v>
      </c>
      <c r="C2772" s="14" t="s">
        <v>24</v>
      </c>
      <c r="D2772" s="22">
        <v>126251.8</v>
      </c>
      <c r="E2772" s="74">
        <v>42062</v>
      </c>
      <c r="F2772" s="96">
        <v>126251.8</v>
      </c>
      <c r="G2772" s="31">
        <f t="shared" si="43"/>
        <v>0</v>
      </c>
      <c r="H2772" s="39" t="s">
        <v>46</v>
      </c>
    </row>
    <row r="2773" spans="1:8" s="3" customFormat="1" x14ac:dyDescent="0.25">
      <c r="A2773" s="20">
        <v>42035</v>
      </c>
      <c r="B2773" s="21">
        <v>10679</v>
      </c>
      <c r="C2773" s="14" t="s">
        <v>102</v>
      </c>
      <c r="D2773" s="22">
        <v>2928</v>
      </c>
      <c r="E2773" s="65">
        <v>42035</v>
      </c>
      <c r="F2773" s="24">
        <v>2928</v>
      </c>
      <c r="G2773" s="31">
        <f t="shared" si="43"/>
        <v>0</v>
      </c>
      <c r="H2773" s="39" t="s">
        <v>9</v>
      </c>
    </row>
    <row r="2774" spans="1:8" s="3" customFormat="1" x14ac:dyDescent="0.25">
      <c r="A2774" s="20">
        <v>42035</v>
      </c>
      <c r="B2774" s="21">
        <v>10680</v>
      </c>
      <c r="C2774" s="14" t="s">
        <v>482</v>
      </c>
      <c r="D2774" s="22">
        <v>324</v>
      </c>
      <c r="E2774" s="65">
        <v>42035</v>
      </c>
      <c r="F2774" s="24">
        <v>324</v>
      </c>
      <c r="G2774" s="31">
        <f t="shared" si="43"/>
        <v>0</v>
      </c>
      <c r="H2774" s="39" t="s">
        <v>9</v>
      </c>
    </row>
    <row r="2775" spans="1:8" s="3" customFormat="1" x14ac:dyDescent="0.25">
      <c r="A2775" s="20">
        <v>42035</v>
      </c>
      <c r="B2775" s="21">
        <v>10681</v>
      </c>
      <c r="C2775" s="14" t="s">
        <v>483</v>
      </c>
      <c r="D2775" s="22">
        <v>1212</v>
      </c>
      <c r="E2775" s="65">
        <v>42035</v>
      </c>
      <c r="F2775" s="24">
        <v>1212</v>
      </c>
      <c r="G2775" s="31">
        <f t="shared" si="43"/>
        <v>0</v>
      </c>
      <c r="H2775" s="39" t="s">
        <v>9</v>
      </c>
    </row>
    <row r="2776" spans="1:8" s="3" customFormat="1" x14ac:dyDescent="0.25">
      <c r="A2776" s="20">
        <v>42035</v>
      </c>
      <c r="B2776" s="21">
        <v>10682</v>
      </c>
      <c r="C2776" s="26" t="s">
        <v>218</v>
      </c>
      <c r="D2776" s="27">
        <v>0</v>
      </c>
      <c r="E2776" s="65"/>
      <c r="F2776" s="24"/>
      <c r="G2776" s="31">
        <f t="shared" si="43"/>
        <v>0</v>
      </c>
      <c r="H2776" s="39" t="s">
        <v>13</v>
      </c>
    </row>
    <row r="2777" spans="1:8" s="3" customFormat="1" x14ac:dyDescent="0.25">
      <c r="A2777" s="20">
        <v>42035</v>
      </c>
      <c r="B2777" s="21">
        <v>10683</v>
      </c>
      <c r="C2777" s="14" t="s">
        <v>484</v>
      </c>
      <c r="D2777" s="22">
        <v>21714.6</v>
      </c>
      <c r="E2777" s="74">
        <v>42042</v>
      </c>
      <c r="F2777" s="96">
        <v>21714.6</v>
      </c>
      <c r="G2777" s="31">
        <f t="shared" si="43"/>
        <v>0</v>
      </c>
      <c r="H2777" s="39" t="s">
        <v>9</v>
      </c>
    </row>
    <row r="2778" spans="1:8" s="3" customFormat="1" x14ac:dyDescent="0.25">
      <c r="A2778" s="20">
        <v>42035</v>
      </c>
      <c r="B2778" s="21">
        <v>10684</v>
      </c>
      <c r="C2778" s="14" t="s">
        <v>108</v>
      </c>
      <c r="D2778" s="22">
        <v>17434</v>
      </c>
      <c r="E2778" s="65">
        <v>42040</v>
      </c>
      <c r="F2778" s="24">
        <v>17434</v>
      </c>
      <c r="G2778" s="31">
        <f t="shared" si="43"/>
        <v>0</v>
      </c>
      <c r="H2778" s="39" t="s">
        <v>41</v>
      </c>
    </row>
    <row r="2779" spans="1:8" s="3" customFormat="1" x14ac:dyDescent="0.25">
      <c r="A2779" s="20">
        <v>42035</v>
      </c>
      <c r="B2779" s="21">
        <v>10685</v>
      </c>
      <c r="C2779" s="14" t="s">
        <v>64</v>
      </c>
      <c r="D2779" s="22">
        <v>2554.1999999999998</v>
      </c>
      <c r="E2779" s="65">
        <v>42035</v>
      </c>
      <c r="F2779" s="24">
        <v>2554.1999999999998</v>
      </c>
      <c r="G2779" s="31">
        <f t="shared" si="43"/>
        <v>0</v>
      </c>
      <c r="H2779" s="39" t="s">
        <v>9</v>
      </c>
    </row>
    <row r="2780" spans="1:8" s="3" customFormat="1" x14ac:dyDescent="0.25">
      <c r="A2780" s="20">
        <v>42035</v>
      </c>
      <c r="B2780" s="21">
        <v>10686</v>
      </c>
      <c r="C2780" s="14" t="s">
        <v>232</v>
      </c>
      <c r="D2780" s="22">
        <v>9936</v>
      </c>
      <c r="E2780" s="65">
        <v>42035</v>
      </c>
      <c r="F2780" s="24">
        <v>9936</v>
      </c>
      <c r="G2780" s="31">
        <f t="shared" si="43"/>
        <v>0</v>
      </c>
      <c r="H2780" s="39" t="s">
        <v>9</v>
      </c>
    </row>
    <row r="2781" spans="1:8" s="3" customFormat="1" x14ac:dyDescent="0.25">
      <c r="A2781" s="20">
        <v>42035</v>
      </c>
      <c r="B2781" s="21">
        <v>10687</v>
      </c>
      <c r="C2781" s="14" t="s">
        <v>411</v>
      </c>
      <c r="D2781" s="22">
        <v>2392</v>
      </c>
      <c r="E2781" s="65">
        <v>42035</v>
      </c>
      <c r="F2781" s="24">
        <v>2392</v>
      </c>
      <c r="G2781" s="31">
        <f t="shared" si="43"/>
        <v>0</v>
      </c>
      <c r="H2781" s="39" t="s">
        <v>9</v>
      </c>
    </row>
    <row r="2782" spans="1:8" s="3" customFormat="1" x14ac:dyDescent="0.25">
      <c r="A2782" s="20">
        <v>42035</v>
      </c>
      <c r="B2782" s="21">
        <v>10688</v>
      </c>
      <c r="C2782" s="14" t="s">
        <v>141</v>
      </c>
      <c r="D2782" s="22">
        <v>230</v>
      </c>
      <c r="E2782" s="65">
        <v>42035</v>
      </c>
      <c r="F2782" s="24">
        <v>230</v>
      </c>
      <c r="G2782" s="31">
        <f t="shared" si="43"/>
        <v>0</v>
      </c>
      <c r="H2782" s="39" t="s">
        <v>9</v>
      </c>
    </row>
    <row r="2783" spans="1:8" s="3" customFormat="1" x14ac:dyDescent="0.25">
      <c r="A2783" s="20">
        <v>42035</v>
      </c>
      <c r="B2783" s="21">
        <v>10689</v>
      </c>
      <c r="C2783" s="14" t="s">
        <v>235</v>
      </c>
      <c r="D2783" s="22">
        <v>2051.6</v>
      </c>
      <c r="E2783" s="65">
        <v>42035</v>
      </c>
      <c r="F2783" s="24">
        <v>2051.6</v>
      </c>
      <c r="G2783" s="31">
        <f t="shared" si="43"/>
        <v>0</v>
      </c>
      <c r="H2783" s="39" t="s">
        <v>17</v>
      </c>
    </row>
    <row r="2784" spans="1:8" s="3" customFormat="1" x14ac:dyDescent="0.25">
      <c r="A2784" s="20">
        <v>42035</v>
      </c>
      <c r="B2784" s="21">
        <v>10690</v>
      </c>
      <c r="C2784" s="14" t="s">
        <v>110</v>
      </c>
      <c r="D2784" s="22">
        <v>96350.9</v>
      </c>
      <c r="E2784" s="67" t="s">
        <v>528</v>
      </c>
      <c r="F2784" s="96">
        <f>89205.94+7144.96</f>
        <v>96350.900000000009</v>
      </c>
      <c r="G2784" s="31">
        <f t="shared" si="43"/>
        <v>0</v>
      </c>
      <c r="H2784" s="39" t="s">
        <v>183</v>
      </c>
    </row>
    <row r="2785" spans="1:8" s="3" customFormat="1" x14ac:dyDescent="0.25">
      <c r="A2785" s="20">
        <v>42035</v>
      </c>
      <c r="B2785" s="21">
        <v>10691</v>
      </c>
      <c r="C2785" s="14" t="s">
        <v>45</v>
      </c>
      <c r="D2785" s="22">
        <v>62418.6</v>
      </c>
      <c r="E2785" s="74">
        <v>42038</v>
      </c>
      <c r="F2785" s="96">
        <f>21124.46+41294.14</f>
        <v>62418.6</v>
      </c>
      <c r="G2785" s="31">
        <f t="shared" si="43"/>
        <v>0</v>
      </c>
      <c r="H2785" s="39" t="s">
        <v>183</v>
      </c>
    </row>
    <row r="2786" spans="1:8" s="3" customFormat="1" x14ac:dyDescent="0.25">
      <c r="A2786" s="20">
        <v>42035</v>
      </c>
      <c r="B2786" s="21">
        <v>10692</v>
      </c>
      <c r="C2786" s="14" t="s">
        <v>140</v>
      </c>
      <c r="D2786" s="22">
        <v>3577.4</v>
      </c>
      <c r="E2786" s="65">
        <v>42035</v>
      </c>
      <c r="F2786" s="24">
        <v>3577.4</v>
      </c>
      <c r="G2786" s="31">
        <f t="shared" si="43"/>
        <v>0</v>
      </c>
      <c r="H2786" s="39" t="s">
        <v>9</v>
      </c>
    </row>
    <row r="2787" spans="1:8" s="3" customFormat="1" x14ac:dyDescent="0.25">
      <c r="A2787" s="20">
        <v>42035</v>
      </c>
      <c r="B2787" s="21">
        <v>10693</v>
      </c>
      <c r="C2787" s="14" t="s">
        <v>111</v>
      </c>
      <c r="D2787" s="22">
        <v>431320</v>
      </c>
      <c r="E2787" s="74">
        <v>42038</v>
      </c>
      <c r="F2787" s="96">
        <v>431320</v>
      </c>
      <c r="G2787" s="31">
        <f t="shared" si="43"/>
        <v>0</v>
      </c>
      <c r="H2787" s="39" t="s">
        <v>9</v>
      </c>
    </row>
    <row r="2788" spans="1:8" s="3" customFormat="1" x14ac:dyDescent="0.25">
      <c r="A2788" s="20">
        <v>42035</v>
      </c>
      <c r="B2788" s="21">
        <v>10694</v>
      </c>
      <c r="C2788" s="14" t="s">
        <v>14</v>
      </c>
      <c r="D2788" s="22">
        <v>31563</v>
      </c>
      <c r="E2788" s="74">
        <v>42048</v>
      </c>
      <c r="F2788" s="96">
        <v>31563</v>
      </c>
      <c r="G2788" s="31">
        <f t="shared" si="43"/>
        <v>0</v>
      </c>
      <c r="H2788" s="39" t="s">
        <v>15</v>
      </c>
    </row>
    <row r="2789" spans="1:8" s="3" customFormat="1" x14ac:dyDescent="0.25">
      <c r="A2789" s="20">
        <v>42035</v>
      </c>
      <c r="B2789" s="21">
        <v>10695</v>
      </c>
      <c r="C2789" s="14" t="s">
        <v>14</v>
      </c>
      <c r="D2789" s="22">
        <v>12723.9</v>
      </c>
      <c r="E2789" s="74">
        <v>42048</v>
      </c>
      <c r="F2789" s="96">
        <v>12723.9</v>
      </c>
      <c r="G2789" s="31">
        <f t="shared" si="43"/>
        <v>0</v>
      </c>
      <c r="H2789" s="39" t="s">
        <v>94</v>
      </c>
    </row>
    <row r="2790" spans="1:8" s="3" customFormat="1" x14ac:dyDescent="0.25">
      <c r="A2790" s="20">
        <v>42035</v>
      </c>
      <c r="B2790" s="21">
        <v>10696</v>
      </c>
      <c r="C2790" s="14" t="s">
        <v>267</v>
      </c>
      <c r="D2790" s="22">
        <v>5989.96</v>
      </c>
      <c r="E2790" s="65">
        <v>42035</v>
      </c>
      <c r="F2790" s="24">
        <v>5989.96</v>
      </c>
      <c r="G2790" s="31">
        <f t="shared" si="43"/>
        <v>0</v>
      </c>
      <c r="H2790" s="39" t="s">
        <v>17</v>
      </c>
    </row>
    <row r="2791" spans="1:8" s="3" customFormat="1" x14ac:dyDescent="0.25">
      <c r="A2791" s="20">
        <v>42035</v>
      </c>
      <c r="B2791" s="21">
        <v>10697</v>
      </c>
      <c r="C2791" s="14" t="s">
        <v>33</v>
      </c>
      <c r="D2791" s="22">
        <v>3981.6</v>
      </c>
      <c r="E2791" s="65">
        <v>42035</v>
      </c>
      <c r="F2791" s="24">
        <v>3981.6</v>
      </c>
      <c r="G2791" s="31">
        <f t="shared" si="43"/>
        <v>0</v>
      </c>
      <c r="H2791" s="39" t="s">
        <v>9</v>
      </c>
    </row>
    <row r="2792" spans="1:8" s="3" customFormat="1" x14ac:dyDescent="0.25">
      <c r="A2792" s="20">
        <v>42035</v>
      </c>
      <c r="B2792" s="21">
        <v>10698</v>
      </c>
      <c r="C2792" s="14" t="s">
        <v>145</v>
      </c>
      <c r="D2792" s="22">
        <v>2745</v>
      </c>
      <c r="E2792" s="65">
        <v>42035</v>
      </c>
      <c r="F2792" s="24">
        <v>2745</v>
      </c>
      <c r="G2792" s="31">
        <f t="shared" si="43"/>
        <v>0</v>
      </c>
      <c r="H2792" s="39" t="s">
        <v>9</v>
      </c>
    </row>
    <row r="2793" spans="1:8" s="3" customFormat="1" x14ac:dyDescent="0.25">
      <c r="A2793" s="20">
        <v>42035</v>
      </c>
      <c r="B2793" s="21">
        <v>10699</v>
      </c>
      <c r="C2793" s="14" t="s">
        <v>473</v>
      </c>
      <c r="D2793" s="22">
        <v>154.80000000000001</v>
      </c>
      <c r="E2793" s="65">
        <v>42035</v>
      </c>
      <c r="F2793" s="24">
        <v>154.80000000000001</v>
      </c>
      <c r="G2793" s="31">
        <f t="shared" si="43"/>
        <v>0</v>
      </c>
      <c r="H2793" s="39" t="s">
        <v>9</v>
      </c>
    </row>
    <row r="2794" spans="1:8" s="3" customFormat="1" x14ac:dyDescent="0.25">
      <c r="A2794" s="20"/>
      <c r="B2794" s="21"/>
      <c r="C2794" s="14"/>
      <c r="D2794" s="22"/>
      <c r="E2794" s="65"/>
      <c r="F2794" s="24"/>
      <c r="G2794" s="31">
        <f t="shared" si="43"/>
        <v>0</v>
      </c>
      <c r="H2794" s="39"/>
    </row>
    <row r="2795" spans="1:8" s="3" customFormat="1" x14ac:dyDescent="0.25">
      <c r="A2795" s="20"/>
      <c r="B2795" s="21"/>
      <c r="C2795" s="14"/>
      <c r="D2795" s="22"/>
      <c r="E2795" s="23"/>
      <c r="F2795" s="24"/>
      <c r="G2795" s="31">
        <f t="shared" si="43"/>
        <v>0</v>
      </c>
      <c r="H2795" s="39"/>
    </row>
    <row r="2796" spans="1:8" s="3" customFormat="1" x14ac:dyDescent="0.25">
      <c r="A2796" s="20"/>
      <c r="B2796" s="21"/>
      <c r="C2796" s="14"/>
      <c r="D2796" s="22"/>
      <c r="E2796" s="23"/>
      <c r="F2796" s="24"/>
      <c r="G2796" s="31">
        <f t="shared" si="43"/>
        <v>0</v>
      </c>
      <c r="H2796" s="39"/>
    </row>
    <row r="2797" spans="1:8" s="3" customFormat="1" x14ac:dyDescent="0.25">
      <c r="A2797" s="20"/>
      <c r="B2797" s="77"/>
      <c r="C2797" s="28" t="s">
        <v>485</v>
      </c>
      <c r="D2797" s="78"/>
      <c r="E2797" s="65"/>
      <c r="F2797" s="46"/>
      <c r="G2797" s="31">
        <f t="shared" si="43"/>
        <v>0</v>
      </c>
      <c r="H2797" s="4"/>
    </row>
    <row r="2798" spans="1:8" s="3" customFormat="1" ht="15.75" x14ac:dyDescent="0.25">
      <c r="A2798" s="20"/>
      <c r="B2798" s="77"/>
      <c r="C2798" s="79" t="s">
        <v>485</v>
      </c>
      <c r="D2798" s="80"/>
      <c r="E2798" s="81"/>
      <c r="F2798" s="68"/>
      <c r="G2798" s="25">
        <f t="shared" si="43"/>
        <v>0</v>
      </c>
    </row>
    <row r="2799" spans="1:8" s="3" customFormat="1" ht="16.5" thickBot="1" x14ac:dyDescent="0.3">
      <c r="A2799" s="20"/>
      <c r="B2799" s="77"/>
      <c r="C2799" s="79" t="s">
        <v>485</v>
      </c>
      <c r="D2799" s="80"/>
      <c r="E2799" s="81"/>
      <c r="F2799" s="68"/>
      <c r="G2799" s="25">
        <f t="shared" si="43"/>
        <v>0</v>
      </c>
    </row>
    <row r="2800" spans="1:8" s="3" customFormat="1" x14ac:dyDescent="0.25">
      <c r="A2800" s="82"/>
      <c r="B2800" s="83"/>
      <c r="C2800" s="84"/>
      <c r="D2800" s="85">
        <f>SUM(D4:D2799)</f>
        <v>47589468.449999891</v>
      </c>
      <c r="E2800" s="86"/>
      <c r="F2800" s="85">
        <f>SUM(F4:F2799)</f>
        <v>47476096.281999901</v>
      </c>
      <c r="G2800" s="87"/>
    </row>
    <row r="2801" spans="1:7" s="3" customFormat="1" ht="15.75" thickBot="1" x14ac:dyDescent="0.3">
      <c r="A2801" s="82"/>
      <c r="B2801" s="83"/>
      <c r="C2801" s="84"/>
      <c r="D2801" s="88"/>
      <c r="E2801" s="86"/>
      <c r="F2801" s="88"/>
      <c r="G2801" s="87"/>
    </row>
    <row r="2802" spans="1:7" s="3" customFormat="1" x14ac:dyDescent="0.25">
      <c r="A2802" s="82"/>
      <c r="B2802" s="83"/>
      <c r="C2802" s="84"/>
      <c r="D2802" s="89"/>
      <c r="E2802" s="86"/>
      <c r="F2802" s="89"/>
      <c r="G2802" s="87"/>
    </row>
    <row r="2803" spans="1:7" s="3" customFormat="1" ht="31.5" x14ac:dyDescent="0.25">
      <c r="A2803" s="82"/>
      <c r="B2803" s="83"/>
      <c r="C2803" s="4"/>
      <c r="D2803" s="90" t="s">
        <v>486</v>
      </c>
      <c r="E2803" s="86"/>
      <c r="F2803" s="91" t="s">
        <v>487</v>
      </c>
      <c r="G2803" s="87"/>
    </row>
    <row r="2804" spans="1:7" s="3" customFormat="1" ht="15.75" thickBot="1" x14ac:dyDescent="0.3">
      <c r="A2804" s="82"/>
      <c r="B2804" s="83"/>
      <c r="C2804" s="84"/>
      <c r="D2804" s="89"/>
      <c r="E2804" s="86"/>
      <c r="F2804" s="89"/>
      <c r="G2804" s="87"/>
    </row>
    <row r="2805" spans="1:7" s="3" customFormat="1" ht="16.5" thickBot="1" x14ac:dyDescent="0.3">
      <c r="A2805" s="82"/>
      <c r="B2805" s="83"/>
      <c r="C2805" s="159" t="s">
        <v>949</v>
      </c>
      <c r="D2805" s="89"/>
      <c r="E2805" s="86"/>
      <c r="F2805" s="89"/>
      <c r="G2805" s="87"/>
    </row>
    <row r="2806" spans="1:7" s="3" customFormat="1" x14ac:dyDescent="0.25">
      <c r="A2806" s="82"/>
      <c r="B2806" s="83"/>
      <c r="C2806" s="84"/>
      <c r="D2806" s="89"/>
      <c r="E2806" s="86"/>
      <c r="F2806" s="89"/>
      <c r="G2806" s="87"/>
    </row>
    <row r="2807" spans="1:7" s="3" customFormat="1" ht="21" x14ac:dyDescent="0.35">
      <c r="A2807" s="82"/>
      <c r="B2807" s="83"/>
      <c r="C2807" s="158"/>
      <c r="D2807" s="217">
        <f>D2800-F2800</f>
        <v>113372.16799999028</v>
      </c>
      <c r="E2807" s="218"/>
      <c r="F2807" s="218"/>
      <c r="G2807" s="87"/>
    </row>
    <row r="2808" spans="1:7" s="3" customFormat="1" x14ac:dyDescent="0.25">
      <c r="A2808" s="82"/>
      <c r="B2808" s="83"/>
      <c r="C2808" s="84"/>
      <c r="D2808" s="89"/>
      <c r="E2808" s="86"/>
      <c r="F2808" s="89"/>
      <c r="G2808" s="87"/>
    </row>
    <row r="2809" spans="1:7" s="3" customFormat="1" ht="18.75" x14ac:dyDescent="0.3">
      <c r="A2809" s="82"/>
      <c r="B2809" s="83"/>
      <c r="C2809" s="84"/>
      <c r="D2809" s="219" t="s">
        <v>488</v>
      </c>
      <c r="E2809" s="219"/>
      <c r="F2809" s="219"/>
      <c r="G2809" s="87"/>
    </row>
    <row r="2810" spans="1:7" s="3" customFormat="1" x14ac:dyDescent="0.25">
      <c r="A2810" s="82"/>
      <c r="B2810" s="83"/>
      <c r="C2810" s="84"/>
      <c r="D2810" s="89"/>
      <c r="E2810" s="86"/>
      <c r="F2810" s="89"/>
      <c r="G2810" s="87"/>
    </row>
    <row r="2811" spans="1:7" s="3" customFormat="1" x14ac:dyDescent="0.25">
      <c r="A2811" s="82"/>
      <c r="B2811" s="83"/>
      <c r="C2811" s="84"/>
      <c r="D2811" s="89"/>
      <c r="E2811" s="86"/>
      <c r="F2811" s="89"/>
      <c r="G2811" s="87"/>
    </row>
    <row r="2812" spans="1:7" s="3" customFormat="1" x14ac:dyDescent="0.25">
      <c r="A2812" s="82"/>
      <c r="B2812" s="83"/>
      <c r="C2812" s="84"/>
      <c r="D2812" s="89"/>
      <c r="E2812" s="86"/>
      <c r="F2812" s="89"/>
      <c r="G2812" s="87"/>
    </row>
  </sheetData>
  <mergeCells count="3">
    <mergeCell ref="A1:E1"/>
    <mergeCell ref="D2807:F2807"/>
    <mergeCell ref="D2809:F2809"/>
  </mergeCells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V2836"/>
  <sheetViews>
    <sheetView topLeftCell="G2808" workbookViewId="0">
      <selection activeCell="Q2821" sqref="Q2821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2" width="11.42578125" style="3"/>
    <col min="15" max="15" width="25.140625" bestFit="1" customWidth="1"/>
    <col min="16" max="16" width="12.5703125" bestFit="1" customWidth="1"/>
    <col min="23" max="16384" width="11.42578125" style="3"/>
  </cols>
  <sheetData>
    <row r="1" spans="1:22" ht="18.75" x14ac:dyDescent="0.3">
      <c r="A1" s="216" t="s">
        <v>534</v>
      </c>
      <c r="B1" s="216"/>
      <c r="C1" s="216"/>
      <c r="D1" s="216"/>
      <c r="E1" s="216"/>
      <c r="F1" s="100"/>
      <c r="G1" s="2"/>
      <c r="K1" s="3"/>
      <c r="M1" s="3"/>
      <c r="N1" s="3"/>
      <c r="O1" s="3"/>
      <c r="P1" s="3"/>
      <c r="Q1" s="3"/>
      <c r="R1" s="3"/>
      <c r="S1" s="3"/>
      <c r="T1" s="3"/>
      <c r="U1" s="3"/>
      <c r="V1" s="3"/>
    </row>
    <row r="2" spans="1:22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K2" s="3"/>
      <c r="M2" s="3"/>
      <c r="N2" s="3"/>
      <c r="O2" s="3"/>
      <c r="P2" s="3"/>
      <c r="Q2" s="3"/>
      <c r="R2" s="3"/>
      <c r="S2" s="3"/>
      <c r="T2" s="3"/>
      <c r="U2" s="3"/>
      <c r="V2" s="3"/>
    </row>
    <row r="3" spans="1:22" ht="15.75" thickTop="1" x14ac:dyDescent="0.25">
      <c r="A3" s="12">
        <v>42036</v>
      </c>
      <c r="B3" s="13">
        <v>10700</v>
      </c>
      <c r="C3" s="14" t="s">
        <v>21</v>
      </c>
      <c r="D3" s="103">
        <v>8868.7999999999993</v>
      </c>
      <c r="E3" s="16">
        <v>42036</v>
      </c>
      <c r="F3" s="104">
        <v>8868.7999999999993</v>
      </c>
      <c r="G3" s="18">
        <f t="shared" ref="G3:G66" si="0">D3-F3</f>
        <v>0</v>
      </c>
      <c r="H3" s="19" t="s">
        <v>9</v>
      </c>
      <c r="K3" s="3"/>
      <c r="M3" s="3"/>
      <c r="N3" s="3"/>
      <c r="O3" s="3"/>
      <c r="P3" s="3"/>
      <c r="Q3" s="3"/>
      <c r="R3" s="3"/>
      <c r="S3" s="3"/>
      <c r="T3" s="3"/>
      <c r="U3" s="3"/>
      <c r="V3" s="3"/>
    </row>
    <row r="4" spans="1:22" x14ac:dyDescent="0.25">
      <c r="A4" s="20">
        <v>42036</v>
      </c>
      <c r="B4" s="21">
        <v>10701</v>
      </c>
      <c r="C4" s="14" t="s">
        <v>31</v>
      </c>
      <c r="D4" s="105">
        <v>3609.6</v>
      </c>
      <c r="E4" s="23">
        <v>42036</v>
      </c>
      <c r="F4" s="106">
        <v>3609.6</v>
      </c>
      <c r="G4" s="25">
        <f t="shared" si="0"/>
        <v>0</v>
      </c>
      <c r="H4" s="19" t="s">
        <v>17</v>
      </c>
      <c r="K4" s="3"/>
      <c r="M4" s="3"/>
      <c r="N4" s="3"/>
      <c r="O4" s="3"/>
      <c r="P4" s="3"/>
      <c r="Q4" s="3"/>
      <c r="R4" s="3"/>
      <c r="S4" s="3"/>
      <c r="T4" s="3"/>
      <c r="U4" s="3"/>
      <c r="V4" s="3"/>
    </row>
    <row r="5" spans="1:22" x14ac:dyDescent="0.25">
      <c r="A5" s="12">
        <v>42036</v>
      </c>
      <c r="B5" s="21">
        <v>10702</v>
      </c>
      <c r="C5" s="14" t="s">
        <v>148</v>
      </c>
      <c r="D5" s="105">
        <v>5400.4</v>
      </c>
      <c r="E5" s="23">
        <v>42037</v>
      </c>
      <c r="F5" s="106">
        <v>5400.4</v>
      </c>
      <c r="G5" s="25">
        <f t="shared" si="0"/>
        <v>0</v>
      </c>
      <c r="H5" s="19" t="s">
        <v>9</v>
      </c>
      <c r="K5" s="3"/>
      <c r="M5" s="3"/>
      <c r="N5" s="3"/>
      <c r="O5" s="3"/>
      <c r="P5" s="3"/>
      <c r="Q5" s="3"/>
      <c r="R5" s="3"/>
      <c r="S5" s="3"/>
      <c r="T5" s="3"/>
      <c r="U5" s="3"/>
      <c r="V5" s="3"/>
    </row>
    <row r="6" spans="1:22" x14ac:dyDescent="0.25">
      <c r="A6" s="20">
        <v>42036</v>
      </c>
      <c r="B6" s="21">
        <v>10703</v>
      </c>
      <c r="C6" s="14" t="s">
        <v>16</v>
      </c>
      <c r="D6" s="105">
        <v>8390.4</v>
      </c>
      <c r="E6" s="23">
        <v>42036</v>
      </c>
      <c r="F6" s="106">
        <v>8390.4</v>
      </c>
      <c r="G6" s="25">
        <f t="shared" si="0"/>
        <v>0</v>
      </c>
      <c r="H6" s="19" t="s">
        <v>17</v>
      </c>
      <c r="K6" s="3"/>
      <c r="M6" s="3"/>
      <c r="N6" s="3"/>
      <c r="O6" s="3"/>
      <c r="P6" s="3"/>
      <c r="Q6" s="3"/>
      <c r="R6" s="3"/>
      <c r="S6" s="3"/>
      <c r="T6" s="3"/>
      <c r="U6" s="3"/>
      <c r="V6" s="3"/>
    </row>
    <row r="7" spans="1:22" x14ac:dyDescent="0.25">
      <c r="A7" s="12">
        <v>42036</v>
      </c>
      <c r="B7" s="21">
        <v>10704</v>
      </c>
      <c r="C7" s="14" t="s">
        <v>33</v>
      </c>
      <c r="D7" s="105">
        <v>14546.7</v>
      </c>
      <c r="E7" s="23">
        <v>42036</v>
      </c>
      <c r="F7" s="106">
        <v>14546.7</v>
      </c>
      <c r="G7" s="25">
        <f t="shared" si="0"/>
        <v>0</v>
      </c>
      <c r="H7" s="19" t="s">
        <v>9</v>
      </c>
      <c r="K7" s="3"/>
      <c r="M7" s="3"/>
      <c r="N7" s="3"/>
      <c r="O7" s="3"/>
      <c r="P7" s="3"/>
      <c r="Q7" s="3"/>
      <c r="R7" s="3"/>
      <c r="S7" s="3"/>
      <c r="T7" s="3"/>
      <c r="U7" s="3"/>
      <c r="V7" s="3"/>
    </row>
    <row r="8" spans="1:22" x14ac:dyDescent="0.25">
      <c r="A8" s="20">
        <v>42036</v>
      </c>
      <c r="B8" s="21">
        <v>10705</v>
      </c>
      <c r="C8" s="14" t="s">
        <v>23</v>
      </c>
      <c r="D8" s="105">
        <v>2981.52</v>
      </c>
      <c r="E8" s="23">
        <v>42036</v>
      </c>
      <c r="F8" s="106">
        <v>2981.52</v>
      </c>
      <c r="G8" s="25">
        <f t="shared" si="0"/>
        <v>0</v>
      </c>
      <c r="H8" s="19" t="s">
        <v>9</v>
      </c>
      <c r="K8" s="3"/>
      <c r="M8" s="3"/>
      <c r="N8" s="3"/>
      <c r="O8" s="3"/>
      <c r="P8" s="3"/>
      <c r="Q8" s="3"/>
      <c r="R8" s="3"/>
      <c r="S8" s="3"/>
      <c r="T8" s="3"/>
      <c r="U8" s="3"/>
      <c r="V8" s="3"/>
    </row>
    <row r="9" spans="1:22" x14ac:dyDescent="0.25">
      <c r="A9" s="12">
        <v>42036</v>
      </c>
      <c r="B9" s="21">
        <v>10706</v>
      </c>
      <c r="C9" s="14" t="s">
        <v>535</v>
      </c>
      <c r="D9" s="105">
        <v>2291.1999999999998</v>
      </c>
      <c r="E9" s="23">
        <v>42036</v>
      </c>
      <c r="F9" s="106">
        <v>2291.1999999999998</v>
      </c>
      <c r="G9" s="25">
        <f t="shared" si="0"/>
        <v>0</v>
      </c>
      <c r="H9" s="19" t="s">
        <v>9</v>
      </c>
      <c r="K9" s="3"/>
      <c r="M9" s="3"/>
      <c r="N9" s="3"/>
      <c r="O9" s="3"/>
      <c r="P9" s="3"/>
      <c r="Q9" s="3"/>
      <c r="R9" s="3"/>
      <c r="S9" s="3"/>
      <c r="T9" s="3"/>
      <c r="U9" s="3"/>
      <c r="V9" s="3"/>
    </row>
    <row r="10" spans="1:22" x14ac:dyDescent="0.25">
      <c r="A10" s="20">
        <v>42036</v>
      </c>
      <c r="B10" s="21">
        <v>10707</v>
      </c>
      <c r="C10" s="14" t="s">
        <v>375</v>
      </c>
      <c r="D10" s="105">
        <v>2565.1999999999998</v>
      </c>
      <c r="E10" s="23">
        <v>42036</v>
      </c>
      <c r="F10" s="106">
        <v>2565.1999999999998</v>
      </c>
      <c r="G10" s="25">
        <f t="shared" si="0"/>
        <v>0</v>
      </c>
      <c r="H10" s="19" t="s">
        <v>9</v>
      </c>
      <c r="K10" s="3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 spans="1:22" x14ac:dyDescent="0.25">
      <c r="A11" s="12">
        <v>42036</v>
      </c>
      <c r="B11" s="21">
        <v>10708</v>
      </c>
      <c r="C11" s="14" t="s">
        <v>127</v>
      </c>
      <c r="D11" s="105">
        <v>8491.2000000000007</v>
      </c>
      <c r="E11" s="23">
        <v>42036</v>
      </c>
      <c r="F11" s="106">
        <v>8491.2000000000007</v>
      </c>
      <c r="G11" s="25">
        <f t="shared" si="0"/>
        <v>0</v>
      </c>
      <c r="H11" s="19" t="s">
        <v>9</v>
      </c>
      <c r="K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spans="1:22" x14ac:dyDescent="0.25">
      <c r="A12" s="20">
        <v>42036</v>
      </c>
      <c r="B12" s="21">
        <v>10709</v>
      </c>
      <c r="C12" s="14" t="s">
        <v>477</v>
      </c>
      <c r="D12" s="105">
        <v>750.4</v>
      </c>
      <c r="E12" s="23">
        <v>42036</v>
      </c>
      <c r="F12" s="106">
        <v>750.4</v>
      </c>
      <c r="G12" s="25">
        <f t="shared" si="0"/>
        <v>0</v>
      </c>
      <c r="H12" s="19" t="s">
        <v>9</v>
      </c>
      <c r="K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spans="1:22" x14ac:dyDescent="0.25">
      <c r="A13" s="12">
        <v>42036</v>
      </c>
      <c r="B13" s="21">
        <v>10710</v>
      </c>
      <c r="C13" s="14" t="s">
        <v>24</v>
      </c>
      <c r="D13" s="105">
        <v>45779.6</v>
      </c>
      <c r="E13" s="23">
        <v>42062</v>
      </c>
      <c r="F13" s="106">
        <v>45779.6</v>
      </c>
      <c r="G13" s="25">
        <f t="shared" si="0"/>
        <v>0</v>
      </c>
      <c r="H13" s="19" t="s">
        <v>9</v>
      </c>
      <c r="J13" s="107"/>
      <c r="K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spans="1:22" x14ac:dyDescent="0.25">
      <c r="A14" s="20">
        <v>42036</v>
      </c>
      <c r="B14" s="21">
        <v>10711</v>
      </c>
      <c r="C14" s="14" t="s">
        <v>399</v>
      </c>
      <c r="D14" s="105">
        <v>2862</v>
      </c>
      <c r="E14" s="23">
        <v>42036</v>
      </c>
      <c r="F14" s="106">
        <v>2862</v>
      </c>
      <c r="G14" s="25">
        <f t="shared" si="0"/>
        <v>0</v>
      </c>
      <c r="H14" s="19" t="s">
        <v>62</v>
      </c>
      <c r="K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spans="1:22" x14ac:dyDescent="0.25">
      <c r="A15" s="12">
        <v>42036</v>
      </c>
      <c r="B15" s="21">
        <v>10712</v>
      </c>
      <c r="C15" s="14" t="s">
        <v>214</v>
      </c>
      <c r="D15" s="105">
        <v>680</v>
      </c>
      <c r="E15" s="23">
        <v>42037</v>
      </c>
      <c r="F15" s="106">
        <v>680</v>
      </c>
      <c r="G15" s="25">
        <f t="shared" si="0"/>
        <v>0</v>
      </c>
      <c r="H15" s="19" t="s">
        <v>59</v>
      </c>
      <c r="K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spans="1:22" x14ac:dyDescent="0.25">
      <c r="A16" s="20">
        <v>42036</v>
      </c>
      <c r="B16" s="21">
        <v>10713</v>
      </c>
      <c r="C16" s="14" t="s">
        <v>413</v>
      </c>
      <c r="D16" s="105">
        <v>346.8</v>
      </c>
      <c r="E16" s="23">
        <v>42038</v>
      </c>
      <c r="F16" s="106">
        <v>346.8</v>
      </c>
      <c r="G16" s="25">
        <f t="shared" si="0"/>
        <v>0</v>
      </c>
      <c r="H16" s="19" t="s">
        <v>187</v>
      </c>
      <c r="K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spans="1:22" x14ac:dyDescent="0.25">
      <c r="A17" s="12">
        <v>42036</v>
      </c>
      <c r="B17" s="21">
        <v>10714</v>
      </c>
      <c r="C17" s="14" t="s">
        <v>214</v>
      </c>
      <c r="D17" s="105">
        <v>640</v>
      </c>
      <c r="E17" s="23">
        <v>42037</v>
      </c>
      <c r="F17" s="106">
        <v>640</v>
      </c>
      <c r="G17" s="25">
        <f t="shared" si="0"/>
        <v>0</v>
      </c>
      <c r="H17" s="19" t="s">
        <v>59</v>
      </c>
      <c r="K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spans="1:22" x14ac:dyDescent="0.25">
      <c r="A18" s="20">
        <v>42036</v>
      </c>
      <c r="B18" s="21">
        <v>10715</v>
      </c>
      <c r="C18" s="14" t="s">
        <v>482</v>
      </c>
      <c r="D18" s="105">
        <v>390.4</v>
      </c>
      <c r="E18" s="23">
        <v>42036</v>
      </c>
      <c r="F18" s="106">
        <v>390.4</v>
      </c>
      <c r="G18" s="25">
        <f t="shared" si="0"/>
        <v>0</v>
      </c>
      <c r="H18" s="19" t="s">
        <v>9</v>
      </c>
      <c r="K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spans="1:22" x14ac:dyDescent="0.25">
      <c r="A19" s="12">
        <v>42036</v>
      </c>
      <c r="B19" s="21">
        <v>10716</v>
      </c>
      <c r="C19" s="14" t="s">
        <v>58</v>
      </c>
      <c r="D19" s="105">
        <v>600</v>
      </c>
      <c r="E19" s="23">
        <v>42037</v>
      </c>
      <c r="F19" s="106">
        <v>600</v>
      </c>
      <c r="G19" s="25">
        <f t="shared" si="0"/>
        <v>0</v>
      </c>
      <c r="H19" s="19" t="s">
        <v>59</v>
      </c>
      <c r="K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spans="1:22" x14ac:dyDescent="0.25">
      <c r="A20" s="20">
        <v>42036</v>
      </c>
      <c r="B20" s="21">
        <v>10717</v>
      </c>
      <c r="C20" s="14" t="s">
        <v>20</v>
      </c>
      <c r="D20" s="105">
        <v>15141.6</v>
      </c>
      <c r="E20" s="23">
        <v>42036</v>
      </c>
      <c r="F20" s="106">
        <v>15141.6</v>
      </c>
      <c r="G20" s="25">
        <f t="shared" si="0"/>
        <v>0</v>
      </c>
      <c r="H20" s="19" t="s">
        <v>187</v>
      </c>
      <c r="K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spans="1:22" x14ac:dyDescent="0.25">
      <c r="A21" s="12">
        <v>42036</v>
      </c>
      <c r="B21" s="21">
        <v>10718</v>
      </c>
      <c r="C21" s="14" t="s">
        <v>57</v>
      </c>
      <c r="D21" s="105">
        <v>1600</v>
      </c>
      <c r="E21" s="23">
        <v>42037</v>
      </c>
      <c r="F21" s="106">
        <v>1600</v>
      </c>
      <c r="G21" s="25">
        <f t="shared" si="0"/>
        <v>0</v>
      </c>
      <c r="H21" s="19" t="s">
        <v>59</v>
      </c>
      <c r="K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spans="1:22" x14ac:dyDescent="0.25">
      <c r="A22" s="20">
        <v>42036</v>
      </c>
      <c r="B22" s="21">
        <v>10719</v>
      </c>
      <c r="C22" s="14" t="s">
        <v>26</v>
      </c>
      <c r="D22" s="105">
        <v>2304</v>
      </c>
      <c r="E22" s="23">
        <v>42036</v>
      </c>
      <c r="F22" s="106">
        <v>2304</v>
      </c>
      <c r="G22" s="25">
        <f t="shared" si="0"/>
        <v>0</v>
      </c>
      <c r="H22" s="19" t="s">
        <v>9</v>
      </c>
      <c r="K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spans="1:22" x14ac:dyDescent="0.25">
      <c r="A23" s="12">
        <v>42036</v>
      </c>
      <c r="B23" s="21">
        <v>10720</v>
      </c>
      <c r="C23" s="14" t="s">
        <v>121</v>
      </c>
      <c r="D23" s="105">
        <v>2881.2</v>
      </c>
      <c r="E23" s="23">
        <v>42036</v>
      </c>
      <c r="F23" s="106">
        <v>2881.2</v>
      </c>
      <c r="G23" s="25">
        <f t="shared" si="0"/>
        <v>0</v>
      </c>
      <c r="H23" s="19" t="s">
        <v>9</v>
      </c>
      <c r="K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spans="1:22" x14ac:dyDescent="0.25">
      <c r="A24" s="20">
        <v>42036</v>
      </c>
      <c r="B24" s="21">
        <v>10721</v>
      </c>
      <c r="C24" s="14" t="s">
        <v>158</v>
      </c>
      <c r="D24" s="105">
        <v>3050.8</v>
      </c>
      <c r="E24" s="23">
        <v>42036</v>
      </c>
      <c r="F24" s="106">
        <v>3050.8</v>
      </c>
      <c r="G24" s="25">
        <f t="shared" si="0"/>
        <v>0</v>
      </c>
      <c r="H24" s="19" t="s">
        <v>9</v>
      </c>
      <c r="K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spans="1:22" x14ac:dyDescent="0.25">
      <c r="A25" s="12">
        <v>42036</v>
      </c>
      <c r="B25" s="21">
        <v>10722</v>
      </c>
      <c r="C25" s="14" t="s">
        <v>215</v>
      </c>
      <c r="D25" s="105">
        <v>20702.099999999999</v>
      </c>
      <c r="E25" s="23">
        <v>42036</v>
      </c>
      <c r="F25" s="106">
        <v>20702.099999999999</v>
      </c>
      <c r="G25" s="25">
        <f t="shared" si="0"/>
        <v>0</v>
      </c>
      <c r="H25" s="19" t="s">
        <v>9</v>
      </c>
      <c r="K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spans="1:22" x14ac:dyDescent="0.25">
      <c r="A26" s="20">
        <v>42036</v>
      </c>
      <c r="B26" s="21">
        <v>10723</v>
      </c>
      <c r="C26" s="14" t="s">
        <v>55</v>
      </c>
      <c r="D26" s="105">
        <v>28799</v>
      </c>
      <c r="E26" s="23">
        <v>42037</v>
      </c>
      <c r="F26" s="106">
        <v>28799</v>
      </c>
      <c r="G26" s="25">
        <f t="shared" si="0"/>
        <v>0</v>
      </c>
      <c r="H26" s="19" t="s">
        <v>36</v>
      </c>
      <c r="K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spans="1:22" x14ac:dyDescent="0.25">
      <c r="A27" s="12">
        <v>42036</v>
      </c>
      <c r="B27" s="21">
        <v>10724</v>
      </c>
      <c r="C27" s="14" t="s">
        <v>30</v>
      </c>
      <c r="D27" s="105">
        <v>5623.2</v>
      </c>
      <c r="E27" s="23">
        <v>42036</v>
      </c>
      <c r="F27" s="106">
        <v>5623.2</v>
      </c>
      <c r="G27" s="25">
        <f t="shared" si="0"/>
        <v>0</v>
      </c>
      <c r="H27" s="19" t="s">
        <v>9</v>
      </c>
      <c r="K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spans="1:22" x14ac:dyDescent="0.25">
      <c r="A28" s="20">
        <v>42036</v>
      </c>
      <c r="B28" s="21">
        <v>10725</v>
      </c>
      <c r="C28" s="14" t="s">
        <v>37</v>
      </c>
      <c r="D28" s="105">
        <v>27978</v>
      </c>
      <c r="E28" s="23">
        <v>42040</v>
      </c>
      <c r="F28" s="106">
        <v>27978</v>
      </c>
      <c r="G28" s="25">
        <f t="shared" si="0"/>
        <v>0</v>
      </c>
      <c r="H28" s="19" t="s">
        <v>36</v>
      </c>
      <c r="K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spans="1:22" x14ac:dyDescent="0.25">
      <c r="A29" s="12">
        <v>42036</v>
      </c>
      <c r="B29" s="21">
        <v>10726</v>
      </c>
      <c r="C29" s="14" t="s">
        <v>35</v>
      </c>
      <c r="D29" s="105">
        <v>28140</v>
      </c>
      <c r="E29" s="23">
        <v>42037</v>
      </c>
      <c r="F29" s="106">
        <v>28140</v>
      </c>
      <c r="G29" s="25">
        <f t="shared" si="0"/>
        <v>0</v>
      </c>
      <c r="H29" s="19" t="s">
        <v>36</v>
      </c>
      <c r="K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spans="1:22" x14ac:dyDescent="0.25">
      <c r="A30" s="20">
        <v>42036</v>
      </c>
      <c r="B30" s="21">
        <v>10727</v>
      </c>
      <c r="C30" s="14" t="s">
        <v>56</v>
      </c>
      <c r="D30" s="105">
        <v>13300.4</v>
      </c>
      <c r="E30" s="23">
        <v>42037</v>
      </c>
      <c r="F30" s="106">
        <v>13300.4</v>
      </c>
      <c r="G30" s="25">
        <f t="shared" si="0"/>
        <v>0</v>
      </c>
      <c r="H30" s="19" t="s">
        <v>36</v>
      </c>
      <c r="K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spans="1:22" x14ac:dyDescent="0.25">
      <c r="A31" s="12">
        <v>42036</v>
      </c>
      <c r="B31" s="21">
        <v>10728</v>
      </c>
      <c r="C31" s="14" t="s">
        <v>86</v>
      </c>
      <c r="D31" s="105">
        <v>526.79999999999995</v>
      </c>
      <c r="E31" s="23">
        <v>42036</v>
      </c>
      <c r="F31" s="106">
        <v>526.79999999999995</v>
      </c>
      <c r="G31" s="25">
        <f t="shared" si="0"/>
        <v>0</v>
      </c>
      <c r="H31" s="19" t="s">
        <v>9</v>
      </c>
      <c r="J31" s="107"/>
      <c r="K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spans="1:22" x14ac:dyDescent="0.25">
      <c r="A32" s="20">
        <v>42036</v>
      </c>
      <c r="B32" s="21">
        <v>10729</v>
      </c>
      <c r="C32" s="14" t="s">
        <v>60</v>
      </c>
      <c r="D32" s="105">
        <v>2736</v>
      </c>
      <c r="E32" s="23">
        <v>42037</v>
      </c>
      <c r="F32" s="106">
        <v>2736</v>
      </c>
      <c r="G32" s="25">
        <f t="shared" si="0"/>
        <v>0</v>
      </c>
      <c r="H32" s="19" t="s">
        <v>36</v>
      </c>
      <c r="K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spans="1:22" x14ac:dyDescent="0.25">
      <c r="A33" s="12">
        <v>42036</v>
      </c>
      <c r="B33" s="21">
        <v>10730</v>
      </c>
      <c r="C33" s="14" t="s">
        <v>102</v>
      </c>
      <c r="D33" s="105">
        <v>3471.2</v>
      </c>
      <c r="E33" s="23">
        <v>42036</v>
      </c>
      <c r="F33" s="106">
        <v>3471.2</v>
      </c>
      <c r="G33" s="25">
        <f t="shared" si="0"/>
        <v>0</v>
      </c>
      <c r="H33" s="19" t="s">
        <v>9</v>
      </c>
      <c r="K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spans="1:22" x14ac:dyDescent="0.25">
      <c r="A34" s="20">
        <v>42036</v>
      </c>
      <c r="B34" s="21">
        <v>10731</v>
      </c>
      <c r="C34" s="14" t="s">
        <v>134</v>
      </c>
      <c r="D34" s="105">
        <v>9266</v>
      </c>
      <c r="E34" s="23">
        <v>42037</v>
      </c>
      <c r="F34" s="106">
        <v>9266</v>
      </c>
      <c r="G34" s="25">
        <f t="shared" si="0"/>
        <v>0</v>
      </c>
      <c r="H34" s="19" t="s">
        <v>36</v>
      </c>
      <c r="K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spans="1:22" x14ac:dyDescent="0.25">
      <c r="A35" s="12">
        <v>42036</v>
      </c>
      <c r="B35" s="21">
        <v>10732</v>
      </c>
      <c r="C35" s="14" t="s">
        <v>256</v>
      </c>
      <c r="D35" s="105">
        <v>6982.4</v>
      </c>
      <c r="E35" s="23">
        <v>42037</v>
      </c>
      <c r="F35" s="106">
        <v>6982.4</v>
      </c>
      <c r="G35" s="25">
        <f t="shared" si="0"/>
        <v>0</v>
      </c>
      <c r="H35" s="19" t="s">
        <v>36</v>
      </c>
      <c r="K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spans="1:22" x14ac:dyDescent="0.25">
      <c r="A36" s="20">
        <v>42036</v>
      </c>
      <c r="B36" s="21">
        <v>10733</v>
      </c>
      <c r="C36" s="14" t="s">
        <v>536</v>
      </c>
      <c r="D36" s="105">
        <v>770</v>
      </c>
      <c r="E36" s="23">
        <v>42036</v>
      </c>
      <c r="F36" s="106">
        <v>770</v>
      </c>
      <c r="G36" s="25">
        <f t="shared" si="0"/>
        <v>0</v>
      </c>
      <c r="H36" s="19" t="s">
        <v>9</v>
      </c>
      <c r="K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spans="1:22" x14ac:dyDescent="0.25">
      <c r="A37" s="12">
        <v>42036</v>
      </c>
      <c r="B37" s="21">
        <v>10734</v>
      </c>
      <c r="C37" s="14" t="s">
        <v>125</v>
      </c>
      <c r="D37" s="105">
        <v>15212.3</v>
      </c>
      <c r="E37" s="29" t="s">
        <v>537</v>
      </c>
      <c r="F37" s="106">
        <f>13700+1512.3</f>
        <v>15212.3</v>
      </c>
      <c r="G37" s="25">
        <f t="shared" si="0"/>
        <v>0</v>
      </c>
      <c r="H37" s="19" t="s">
        <v>9</v>
      </c>
      <c r="K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spans="1:22" x14ac:dyDescent="0.25">
      <c r="A38" s="20">
        <v>42036</v>
      </c>
      <c r="B38" s="21">
        <v>10735</v>
      </c>
      <c r="C38" s="14" t="s">
        <v>124</v>
      </c>
      <c r="D38" s="105">
        <v>1619.2</v>
      </c>
      <c r="E38" s="23">
        <v>42036</v>
      </c>
      <c r="F38" s="106">
        <v>1619.2</v>
      </c>
      <c r="G38" s="25">
        <f t="shared" si="0"/>
        <v>0</v>
      </c>
      <c r="H38" s="19" t="s">
        <v>9</v>
      </c>
      <c r="J38" s="107"/>
      <c r="K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spans="1:22" x14ac:dyDescent="0.25">
      <c r="A39" s="12">
        <v>42036</v>
      </c>
      <c r="B39" s="21">
        <v>10736</v>
      </c>
      <c r="C39" s="14" t="s">
        <v>167</v>
      </c>
      <c r="D39" s="105">
        <v>496.8</v>
      </c>
      <c r="E39" s="23">
        <v>42037</v>
      </c>
      <c r="F39" s="106">
        <v>496.8</v>
      </c>
      <c r="G39" s="25">
        <f t="shared" si="0"/>
        <v>0</v>
      </c>
      <c r="H39" s="19" t="s">
        <v>59</v>
      </c>
      <c r="K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spans="1:22" x14ac:dyDescent="0.25">
      <c r="A40" s="20">
        <v>42036</v>
      </c>
      <c r="B40" s="21">
        <v>10737</v>
      </c>
      <c r="C40" s="14" t="s">
        <v>126</v>
      </c>
      <c r="D40" s="105">
        <v>3920.4</v>
      </c>
      <c r="E40" s="23">
        <v>42037</v>
      </c>
      <c r="F40" s="106">
        <v>3920.4</v>
      </c>
      <c r="G40" s="25">
        <f t="shared" si="0"/>
        <v>0</v>
      </c>
      <c r="H40" s="19" t="s">
        <v>59</v>
      </c>
      <c r="K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spans="1:22" x14ac:dyDescent="0.25">
      <c r="A41" s="12">
        <v>42036</v>
      </c>
      <c r="B41" s="21">
        <v>10738</v>
      </c>
      <c r="C41" s="14" t="s">
        <v>152</v>
      </c>
      <c r="D41" s="105">
        <v>11920.4</v>
      </c>
      <c r="E41" s="23">
        <v>42037</v>
      </c>
      <c r="F41" s="106">
        <v>11920.4</v>
      </c>
      <c r="G41" s="25">
        <f t="shared" si="0"/>
        <v>0</v>
      </c>
      <c r="H41" s="19" t="s">
        <v>9</v>
      </c>
      <c r="K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spans="1:22" x14ac:dyDescent="0.25">
      <c r="A42" s="20">
        <v>42036</v>
      </c>
      <c r="B42" s="21">
        <v>10739</v>
      </c>
      <c r="C42" s="14" t="s">
        <v>82</v>
      </c>
      <c r="D42" s="105">
        <v>7573.4</v>
      </c>
      <c r="E42" s="23">
        <v>42037</v>
      </c>
      <c r="F42" s="106">
        <v>7573.4</v>
      </c>
      <c r="G42" s="25">
        <f t="shared" si="0"/>
        <v>0</v>
      </c>
      <c r="H42" s="19" t="s">
        <v>59</v>
      </c>
      <c r="K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spans="1:22" x14ac:dyDescent="0.25">
      <c r="A43" s="12">
        <v>42036</v>
      </c>
      <c r="B43" s="21">
        <v>10740</v>
      </c>
      <c r="C43" s="14" t="s">
        <v>168</v>
      </c>
      <c r="D43" s="105">
        <v>869.4</v>
      </c>
      <c r="E43" s="23">
        <v>42037</v>
      </c>
      <c r="F43" s="106">
        <v>869.4</v>
      </c>
      <c r="G43" s="25">
        <f t="shared" si="0"/>
        <v>0</v>
      </c>
      <c r="H43" s="19" t="s">
        <v>59</v>
      </c>
      <c r="K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spans="1:22" x14ac:dyDescent="0.25">
      <c r="A44" s="20">
        <v>42036</v>
      </c>
      <c r="B44" s="21">
        <v>10741</v>
      </c>
      <c r="C44" s="14" t="s">
        <v>120</v>
      </c>
      <c r="D44" s="105">
        <v>2433.4</v>
      </c>
      <c r="E44" s="23">
        <v>42037</v>
      </c>
      <c r="F44" s="106">
        <v>2433.4</v>
      </c>
      <c r="G44" s="25">
        <f t="shared" si="0"/>
        <v>0</v>
      </c>
      <c r="H44" s="19" t="s">
        <v>59</v>
      </c>
      <c r="K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spans="1:22" x14ac:dyDescent="0.25">
      <c r="A45" s="12">
        <v>42036</v>
      </c>
      <c r="B45" s="21">
        <v>10742</v>
      </c>
      <c r="C45" s="14" t="s">
        <v>292</v>
      </c>
      <c r="D45" s="105">
        <v>3404</v>
      </c>
      <c r="E45" s="23">
        <v>42037</v>
      </c>
      <c r="F45" s="106">
        <v>3404</v>
      </c>
      <c r="G45" s="25">
        <f t="shared" si="0"/>
        <v>0</v>
      </c>
      <c r="H45" s="19" t="s">
        <v>59</v>
      </c>
      <c r="K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spans="1:22" x14ac:dyDescent="0.25">
      <c r="A46" s="20">
        <v>42036</v>
      </c>
      <c r="B46" s="21">
        <v>10743</v>
      </c>
      <c r="C46" s="14" t="s">
        <v>53</v>
      </c>
      <c r="D46" s="105">
        <v>1722</v>
      </c>
      <c r="E46" s="23">
        <v>42037</v>
      </c>
      <c r="F46" s="106">
        <v>1722</v>
      </c>
      <c r="G46" s="25">
        <f t="shared" si="0"/>
        <v>0</v>
      </c>
      <c r="H46" s="19" t="s">
        <v>59</v>
      </c>
      <c r="K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spans="1:22" x14ac:dyDescent="0.25">
      <c r="A47" s="12">
        <v>42036</v>
      </c>
      <c r="B47" s="21">
        <v>10744</v>
      </c>
      <c r="C47" s="14" t="s">
        <v>57</v>
      </c>
      <c r="D47" s="105">
        <v>600</v>
      </c>
      <c r="E47" s="23">
        <v>42037</v>
      </c>
      <c r="F47" s="106">
        <v>600</v>
      </c>
      <c r="G47" s="25">
        <f t="shared" si="0"/>
        <v>0</v>
      </c>
      <c r="H47" s="19" t="s">
        <v>59</v>
      </c>
      <c r="K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spans="1:22" x14ac:dyDescent="0.25">
      <c r="A48" s="20">
        <v>42036</v>
      </c>
      <c r="B48" s="21">
        <v>10745</v>
      </c>
      <c r="C48" s="14" t="s">
        <v>214</v>
      </c>
      <c r="D48" s="105">
        <v>400</v>
      </c>
      <c r="E48" s="23">
        <v>42037</v>
      </c>
      <c r="F48" s="106">
        <v>400</v>
      </c>
      <c r="G48" s="25">
        <f t="shared" si="0"/>
        <v>0</v>
      </c>
      <c r="H48" s="19" t="s">
        <v>59</v>
      </c>
      <c r="K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22" x14ac:dyDescent="0.25">
      <c r="A49" s="12">
        <v>42036</v>
      </c>
      <c r="B49" s="21">
        <v>10746</v>
      </c>
      <c r="C49" s="14" t="s">
        <v>136</v>
      </c>
      <c r="D49" s="105">
        <v>3576</v>
      </c>
      <c r="E49" s="23">
        <v>42036</v>
      </c>
      <c r="F49" s="106">
        <v>3576</v>
      </c>
      <c r="G49" s="25">
        <f t="shared" si="0"/>
        <v>0</v>
      </c>
      <c r="H49" s="19" t="s">
        <v>9</v>
      </c>
      <c r="I49" s="3"/>
      <c r="J49" s="42"/>
      <c r="K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spans="1:22" x14ac:dyDescent="0.25">
      <c r="A50" s="20">
        <v>42036</v>
      </c>
      <c r="B50" s="21">
        <v>10747</v>
      </c>
      <c r="C50" s="14" t="s">
        <v>130</v>
      </c>
      <c r="D50" s="105">
        <v>10531.2</v>
      </c>
      <c r="E50" s="23">
        <v>42036</v>
      </c>
      <c r="F50" s="106">
        <v>10531.2</v>
      </c>
      <c r="G50" s="25">
        <f t="shared" si="0"/>
        <v>0</v>
      </c>
      <c r="H50" s="19" t="s">
        <v>17</v>
      </c>
      <c r="I50" s="3"/>
      <c r="J50" s="42"/>
      <c r="K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spans="1:22" x14ac:dyDescent="0.25">
      <c r="A51" s="12">
        <v>42036</v>
      </c>
      <c r="B51" s="21">
        <v>10748</v>
      </c>
      <c r="C51" s="14" t="s">
        <v>165</v>
      </c>
      <c r="D51" s="105">
        <v>4040.2</v>
      </c>
      <c r="E51" s="23">
        <v>42036</v>
      </c>
      <c r="F51" s="106">
        <v>4040.2</v>
      </c>
      <c r="G51" s="25">
        <f t="shared" si="0"/>
        <v>0</v>
      </c>
      <c r="H51" s="19" t="s">
        <v>17</v>
      </c>
      <c r="I51" s="3"/>
      <c r="J51" s="42"/>
      <c r="K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spans="1:22" x14ac:dyDescent="0.25">
      <c r="A52" s="20">
        <v>42036</v>
      </c>
      <c r="B52" s="21">
        <v>10749</v>
      </c>
      <c r="C52" s="14" t="s">
        <v>131</v>
      </c>
      <c r="D52" s="105">
        <v>4737.6000000000004</v>
      </c>
      <c r="E52" s="23">
        <v>42036</v>
      </c>
      <c r="F52" s="106">
        <v>4737.6000000000004</v>
      </c>
      <c r="G52" s="25">
        <f t="shared" si="0"/>
        <v>0</v>
      </c>
      <c r="H52" s="19" t="s">
        <v>17</v>
      </c>
      <c r="I52" s="3"/>
      <c r="J52" s="42"/>
      <c r="K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spans="1:22" x14ac:dyDescent="0.25">
      <c r="A53" s="12">
        <v>42036</v>
      </c>
      <c r="B53" s="21">
        <v>10750</v>
      </c>
      <c r="C53" s="14" t="s">
        <v>34</v>
      </c>
      <c r="D53" s="105">
        <v>3992</v>
      </c>
      <c r="E53" s="23">
        <v>42036</v>
      </c>
      <c r="F53" s="106">
        <v>3992</v>
      </c>
      <c r="G53" s="25">
        <f t="shared" si="0"/>
        <v>0</v>
      </c>
      <c r="H53" s="19" t="s">
        <v>9</v>
      </c>
      <c r="I53" s="3"/>
      <c r="J53" s="42"/>
      <c r="K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spans="1:22" x14ac:dyDescent="0.25">
      <c r="A54" s="20">
        <v>42036</v>
      </c>
      <c r="B54" s="21">
        <v>10751</v>
      </c>
      <c r="C54" s="14" t="s">
        <v>82</v>
      </c>
      <c r="D54" s="105">
        <v>1980</v>
      </c>
      <c r="E54" s="23">
        <v>42037</v>
      </c>
      <c r="F54" s="106">
        <v>1980</v>
      </c>
      <c r="G54" s="25">
        <f t="shared" si="0"/>
        <v>0</v>
      </c>
      <c r="H54" s="19" t="s">
        <v>59</v>
      </c>
      <c r="I54" s="3"/>
      <c r="J54" s="42"/>
      <c r="K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spans="1:22" x14ac:dyDescent="0.25">
      <c r="A55" s="12">
        <v>42036</v>
      </c>
      <c r="B55" s="21">
        <v>10752</v>
      </c>
      <c r="C55" s="14" t="s">
        <v>66</v>
      </c>
      <c r="D55" s="105">
        <v>508.2</v>
      </c>
      <c r="E55" s="23">
        <v>42036</v>
      </c>
      <c r="F55" s="106">
        <v>508.2</v>
      </c>
      <c r="G55" s="25">
        <f t="shared" si="0"/>
        <v>0</v>
      </c>
      <c r="H55" s="19" t="s">
        <v>9</v>
      </c>
      <c r="I55" s="3"/>
      <c r="J55" s="42"/>
      <c r="K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spans="1:22" x14ac:dyDescent="0.25">
      <c r="A56" s="20">
        <v>42036</v>
      </c>
      <c r="B56" s="21">
        <v>10753</v>
      </c>
      <c r="C56" s="14" t="s">
        <v>295</v>
      </c>
      <c r="D56" s="105">
        <v>422</v>
      </c>
      <c r="E56" s="23">
        <v>42036</v>
      </c>
      <c r="F56" s="106">
        <v>422</v>
      </c>
      <c r="G56" s="25">
        <f t="shared" si="0"/>
        <v>0</v>
      </c>
      <c r="H56" s="19" t="s">
        <v>9</v>
      </c>
      <c r="I56" s="3"/>
      <c r="J56" s="42"/>
      <c r="K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spans="1:22" x14ac:dyDescent="0.25">
      <c r="A57" s="12">
        <v>42036</v>
      </c>
      <c r="B57" s="21">
        <v>10754</v>
      </c>
      <c r="C57" s="26" t="s">
        <v>218</v>
      </c>
      <c r="D57" s="108">
        <v>0</v>
      </c>
      <c r="E57" s="23"/>
      <c r="F57" s="106"/>
      <c r="G57" s="25">
        <f t="shared" si="0"/>
        <v>0</v>
      </c>
      <c r="H57" s="19" t="s">
        <v>13</v>
      </c>
      <c r="I57" s="3"/>
      <c r="J57" s="42"/>
      <c r="K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spans="1:22" x14ac:dyDescent="0.25">
      <c r="A58" s="20">
        <v>42036</v>
      </c>
      <c r="B58" s="21">
        <v>10755</v>
      </c>
      <c r="C58" s="14" t="s">
        <v>136</v>
      </c>
      <c r="D58" s="105">
        <v>39936</v>
      </c>
      <c r="E58" s="29" t="s">
        <v>538</v>
      </c>
      <c r="F58" s="106">
        <f>27200+12736</f>
        <v>39936</v>
      </c>
      <c r="G58" s="25">
        <f t="shared" si="0"/>
        <v>0</v>
      </c>
      <c r="H58" s="19" t="s">
        <v>9</v>
      </c>
      <c r="I58" s="3"/>
      <c r="J58" s="42"/>
      <c r="K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spans="1:22" x14ac:dyDescent="0.25">
      <c r="A59" s="12">
        <v>42036</v>
      </c>
      <c r="B59" s="21">
        <v>10756</v>
      </c>
      <c r="C59" s="14" t="s">
        <v>229</v>
      </c>
      <c r="D59" s="105">
        <v>4212.3999999999996</v>
      </c>
      <c r="E59" s="23">
        <v>42036</v>
      </c>
      <c r="F59" s="106">
        <v>4212.3999999999996</v>
      </c>
      <c r="G59" s="25">
        <f t="shared" si="0"/>
        <v>0</v>
      </c>
      <c r="H59" s="19" t="s">
        <v>9</v>
      </c>
      <c r="I59" s="3"/>
      <c r="J59" s="42"/>
      <c r="K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spans="1:22" x14ac:dyDescent="0.25">
      <c r="A60" s="20">
        <v>42036</v>
      </c>
      <c r="B60" s="21">
        <v>10757</v>
      </c>
      <c r="C60" s="14" t="s">
        <v>232</v>
      </c>
      <c r="D60" s="105">
        <v>12952.8</v>
      </c>
      <c r="E60" s="23">
        <v>42036</v>
      </c>
      <c r="F60" s="106">
        <v>12952.8</v>
      </c>
      <c r="G60" s="25">
        <f t="shared" si="0"/>
        <v>0</v>
      </c>
      <c r="H60" s="19" t="s">
        <v>62</v>
      </c>
      <c r="I60" s="3"/>
      <c r="J60" s="42"/>
      <c r="K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spans="1:22" x14ac:dyDescent="0.25">
      <c r="A61" s="12">
        <v>42036</v>
      </c>
      <c r="B61" s="21">
        <v>10758</v>
      </c>
      <c r="C61" s="14" t="s">
        <v>229</v>
      </c>
      <c r="D61" s="105">
        <v>4308.08</v>
      </c>
      <c r="E61" s="23">
        <v>42036</v>
      </c>
      <c r="F61" s="106">
        <v>4308.08</v>
      </c>
      <c r="G61" s="25">
        <f t="shared" si="0"/>
        <v>0</v>
      </c>
      <c r="H61" s="19" t="s">
        <v>9</v>
      </c>
      <c r="I61" s="3"/>
      <c r="J61" s="42"/>
      <c r="K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spans="1:22" x14ac:dyDescent="0.25">
      <c r="A62" s="20">
        <v>42036</v>
      </c>
      <c r="B62" s="21">
        <v>10759</v>
      </c>
      <c r="C62" s="14" t="s">
        <v>325</v>
      </c>
      <c r="D62" s="105">
        <v>1150</v>
      </c>
      <c r="E62" s="23">
        <v>42036</v>
      </c>
      <c r="F62" s="106">
        <v>1150</v>
      </c>
      <c r="G62" s="25">
        <f t="shared" si="0"/>
        <v>0</v>
      </c>
      <c r="H62" s="19" t="s">
        <v>9</v>
      </c>
      <c r="I62" s="3"/>
      <c r="J62" s="42"/>
      <c r="K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spans="1:22" x14ac:dyDescent="0.25">
      <c r="A63" s="12">
        <v>42036</v>
      </c>
      <c r="B63" s="21">
        <v>10760</v>
      </c>
      <c r="C63" s="14" t="s">
        <v>191</v>
      </c>
      <c r="D63" s="105">
        <v>9079.9</v>
      </c>
      <c r="E63" s="23">
        <v>42036</v>
      </c>
      <c r="F63" s="106">
        <v>9079.7999999999993</v>
      </c>
      <c r="G63" s="25">
        <f t="shared" si="0"/>
        <v>0.1000000000003638</v>
      </c>
      <c r="H63" s="19" t="s">
        <v>9</v>
      </c>
      <c r="I63" s="3"/>
      <c r="J63" s="42"/>
      <c r="K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spans="1:22" x14ac:dyDescent="0.25">
      <c r="A64" s="20">
        <v>42036</v>
      </c>
      <c r="B64" s="21">
        <v>10761</v>
      </c>
      <c r="C64" s="14" t="s">
        <v>44</v>
      </c>
      <c r="D64" s="105">
        <v>1564.8</v>
      </c>
      <c r="E64" s="23">
        <v>42036</v>
      </c>
      <c r="F64" s="106">
        <v>1564.8</v>
      </c>
      <c r="G64" s="25">
        <f t="shared" si="0"/>
        <v>0</v>
      </c>
      <c r="H64" s="19" t="s">
        <v>9</v>
      </c>
      <c r="I64" s="3"/>
      <c r="J64" s="42"/>
      <c r="K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spans="1:22" x14ac:dyDescent="0.25">
      <c r="A65" s="12">
        <v>42036</v>
      </c>
      <c r="B65" s="21">
        <v>10762</v>
      </c>
      <c r="C65" s="14" t="s">
        <v>161</v>
      </c>
      <c r="D65" s="105">
        <v>2618</v>
      </c>
      <c r="E65" s="23">
        <v>42036</v>
      </c>
      <c r="F65" s="106">
        <v>2618</v>
      </c>
      <c r="G65" s="25">
        <f t="shared" si="0"/>
        <v>0</v>
      </c>
      <c r="H65" s="19" t="s">
        <v>9</v>
      </c>
      <c r="K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spans="1:22" x14ac:dyDescent="0.25">
      <c r="A66" s="20">
        <v>42036</v>
      </c>
      <c r="B66" s="21">
        <v>10763</v>
      </c>
      <c r="C66" s="14" t="s">
        <v>158</v>
      </c>
      <c r="D66" s="105">
        <v>7784</v>
      </c>
      <c r="E66" s="23">
        <v>42036</v>
      </c>
      <c r="F66" s="106">
        <v>7784</v>
      </c>
      <c r="G66" s="25">
        <f t="shared" si="0"/>
        <v>0</v>
      </c>
      <c r="H66" s="19" t="s">
        <v>9</v>
      </c>
      <c r="J66" s="107"/>
      <c r="K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spans="1:22" x14ac:dyDescent="0.25">
      <c r="A67" s="12">
        <v>42036</v>
      </c>
      <c r="B67" s="21">
        <v>10764</v>
      </c>
      <c r="C67" s="14" t="s">
        <v>71</v>
      </c>
      <c r="D67" s="105">
        <v>7039.48</v>
      </c>
      <c r="E67" s="23">
        <v>42036</v>
      </c>
      <c r="F67" s="106">
        <v>7039.48</v>
      </c>
      <c r="G67" s="31">
        <f t="shared" ref="G67:G130" si="1">D67-F67</f>
        <v>0</v>
      </c>
      <c r="H67" s="19" t="s">
        <v>9</v>
      </c>
      <c r="K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spans="1:22" x14ac:dyDescent="0.25">
      <c r="A68" s="20">
        <v>42036</v>
      </c>
      <c r="B68" s="21">
        <v>10765</v>
      </c>
      <c r="C68" s="14" t="s">
        <v>87</v>
      </c>
      <c r="D68" s="105">
        <v>1372.8</v>
      </c>
      <c r="E68" s="23">
        <v>42036</v>
      </c>
      <c r="F68" s="106">
        <v>1372.8</v>
      </c>
      <c r="G68" s="25">
        <f t="shared" si="1"/>
        <v>0</v>
      </c>
      <c r="H68" s="19" t="s">
        <v>9</v>
      </c>
      <c r="K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spans="1:22" x14ac:dyDescent="0.25">
      <c r="A69" s="12">
        <v>42036</v>
      </c>
      <c r="B69" s="21">
        <v>10766</v>
      </c>
      <c r="C69" s="14" t="s">
        <v>32</v>
      </c>
      <c r="D69" s="105">
        <v>21840.799999999999</v>
      </c>
      <c r="E69" s="23">
        <v>42062</v>
      </c>
      <c r="F69" s="106">
        <v>21840.799999999999</v>
      </c>
      <c r="G69" s="32">
        <f t="shared" si="1"/>
        <v>0</v>
      </c>
      <c r="H69" s="19" t="s">
        <v>9</v>
      </c>
      <c r="K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spans="1:22" x14ac:dyDescent="0.25">
      <c r="A70" s="20">
        <v>42036</v>
      </c>
      <c r="B70" s="21">
        <v>10767</v>
      </c>
      <c r="C70" s="14" t="s">
        <v>228</v>
      </c>
      <c r="D70" s="105">
        <v>2835</v>
      </c>
      <c r="E70" s="23">
        <v>42036</v>
      </c>
      <c r="F70" s="106">
        <v>2835</v>
      </c>
      <c r="G70" s="25">
        <f t="shared" si="1"/>
        <v>0</v>
      </c>
      <c r="H70" s="19" t="s">
        <v>9</v>
      </c>
      <c r="K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spans="1:22" x14ac:dyDescent="0.25">
      <c r="A71" s="12">
        <v>42036</v>
      </c>
      <c r="B71" s="21">
        <v>10768</v>
      </c>
      <c r="C71" s="14" t="s">
        <v>32</v>
      </c>
      <c r="D71" s="105">
        <v>1223.2</v>
      </c>
      <c r="E71" s="23">
        <v>42062</v>
      </c>
      <c r="F71" s="106">
        <v>1223.2</v>
      </c>
      <c r="G71" s="25">
        <f t="shared" si="1"/>
        <v>0</v>
      </c>
      <c r="H71" s="19" t="s">
        <v>9</v>
      </c>
      <c r="K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:22" x14ac:dyDescent="0.25">
      <c r="A72" s="20">
        <v>42036</v>
      </c>
      <c r="B72" s="21">
        <v>10769</v>
      </c>
      <c r="C72" s="14" t="s">
        <v>106</v>
      </c>
      <c r="D72" s="105">
        <v>2082.4</v>
      </c>
      <c r="E72" s="23">
        <v>42036</v>
      </c>
      <c r="F72" s="106">
        <v>2082.4</v>
      </c>
      <c r="G72" s="25">
        <f t="shared" si="1"/>
        <v>0</v>
      </c>
      <c r="H72" s="19" t="s">
        <v>17</v>
      </c>
      <c r="K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spans="1:22" x14ac:dyDescent="0.25">
      <c r="A73" s="12">
        <v>42036</v>
      </c>
      <c r="B73" s="21">
        <v>10770</v>
      </c>
      <c r="C73" s="14" t="s">
        <v>539</v>
      </c>
      <c r="D73" s="105">
        <v>17051</v>
      </c>
      <c r="E73" s="23">
        <v>42036</v>
      </c>
      <c r="F73" s="106">
        <v>17051</v>
      </c>
      <c r="G73" s="25">
        <f t="shared" si="1"/>
        <v>0</v>
      </c>
      <c r="H73" s="19" t="s">
        <v>9</v>
      </c>
      <c r="K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spans="1:22" x14ac:dyDescent="0.25">
      <c r="A74" s="20">
        <v>42036</v>
      </c>
      <c r="B74" s="21">
        <v>10771</v>
      </c>
      <c r="C74" s="14" t="s">
        <v>110</v>
      </c>
      <c r="D74" s="105">
        <v>10067.719999999999</v>
      </c>
      <c r="E74" s="23">
        <v>42048</v>
      </c>
      <c r="F74" s="106">
        <v>10067.719999999999</v>
      </c>
      <c r="G74" s="25">
        <f t="shared" si="1"/>
        <v>0</v>
      </c>
      <c r="H74" s="19" t="s">
        <v>62</v>
      </c>
      <c r="K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spans="1:22" x14ac:dyDescent="0.25">
      <c r="A75" s="12">
        <v>42036</v>
      </c>
      <c r="B75" s="21">
        <v>10772</v>
      </c>
      <c r="C75" s="14" t="s">
        <v>64</v>
      </c>
      <c r="D75" s="105">
        <v>2534</v>
      </c>
      <c r="E75" s="23">
        <v>42036</v>
      </c>
      <c r="F75" s="106">
        <v>2534</v>
      </c>
      <c r="G75" s="25">
        <f t="shared" si="1"/>
        <v>0</v>
      </c>
      <c r="H75" s="19" t="s">
        <v>9</v>
      </c>
      <c r="K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2" x14ac:dyDescent="0.25">
      <c r="A76" s="20">
        <v>42036</v>
      </c>
      <c r="B76" s="21">
        <v>10773</v>
      </c>
      <c r="C76" s="14" t="s">
        <v>80</v>
      </c>
      <c r="D76" s="105">
        <v>7173</v>
      </c>
      <c r="E76" s="23">
        <v>42036</v>
      </c>
      <c r="F76" s="106">
        <v>7173</v>
      </c>
      <c r="G76" s="25">
        <f t="shared" si="1"/>
        <v>0</v>
      </c>
      <c r="H76" s="19" t="s">
        <v>9</v>
      </c>
      <c r="K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spans="1:22" x14ac:dyDescent="0.25">
      <c r="A77" s="12">
        <v>42036</v>
      </c>
      <c r="B77" s="21">
        <v>10774</v>
      </c>
      <c r="C77" s="14" t="s">
        <v>110</v>
      </c>
      <c r="D77" s="105">
        <v>3650</v>
      </c>
      <c r="E77" s="23">
        <v>42048</v>
      </c>
      <c r="F77" s="106">
        <v>3650</v>
      </c>
      <c r="G77" s="25">
        <f t="shared" si="1"/>
        <v>0</v>
      </c>
      <c r="H77" s="19" t="s">
        <v>183</v>
      </c>
      <c r="K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spans="1:22" x14ac:dyDescent="0.25">
      <c r="A78" s="20">
        <v>42036</v>
      </c>
      <c r="B78" s="21">
        <v>10775</v>
      </c>
      <c r="C78" s="14" t="s">
        <v>74</v>
      </c>
      <c r="D78" s="105">
        <v>1476.6</v>
      </c>
      <c r="E78" s="23">
        <v>42036</v>
      </c>
      <c r="F78" s="106">
        <v>1476.6</v>
      </c>
      <c r="G78" s="25">
        <f t="shared" si="1"/>
        <v>0</v>
      </c>
      <c r="H78" s="19" t="s">
        <v>9</v>
      </c>
      <c r="K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spans="1:22" x14ac:dyDescent="0.25">
      <c r="A79" s="12">
        <v>42036</v>
      </c>
      <c r="B79" s="21">
        <v>10776</v>
      </c>
      <c r="C79" s="14" t="s">
        <v>32</v>
      </c>
      <c r="D79" s="105">
        <v>4721.6000000000004</v>
      </c>
      <c r="E79" s="23">
        <v>42062</v>
      </c>
      <c r="F79" s="106">
        <v>4721.6000000000004</v>
      </c>
      <c r="G79" s="25">
        <f t="shared" si="1"/>
        <v>0</v>
      </c>
      <c r="H79" s="19" t="s">
        <v>9</v>
      </c>
      <c r="K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spans="1:22" x14ac:dyDescent="0.25">
      <c r="A80" s="20">
        <v>42036</v>
      </c>
      <c r="B80" s="21">
        <v>10777</v>
      </c>
      <c r="C80" s="14" t="s">
        <v>14</v>
      </c>
      <c r="D80" s="105">
        <v>58300.75</v>
      </c>
      <c r="E80" s="23">
        <v>42048</v>
      </c>
      <c r="F80" s="106">
        <v>58300.75</v>
      </c>
      <c r="G80" s="25">
        <f t="shared" si="1"/>
        <v>0</v>
      </c>
      <c r="H80" s="19" t="s">
        <v>62</v>
      </c>
      <c r="K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spans="1:22" x14ac:dyDescent="0.25">
      <c r="A81" s="12">
        <v>42036</v>
      </c>
      <c r="B81" s="21">
        <v>10778</v>
      </c>
      <c r="C81" s="14" t="s">
        <v>159</v>
      </c>
      <c r="D81" s="105">
        <v>6930</v>
      </c>
      <c r="E81" s="23">
        <v>42036</v>
      </c>
      <c r="F81" s="106">
        <v>6930</v>
      </c>
      <c r="G81" s="25">
        <f t="shared" si="1"/>
        <v>0</v>
      </c>
      <c r="H81" s="19" t="s">
        <v>9</v>
      </c>
      <c r="K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spans="1:22" x14ac:dyDescent="0.25">
      <c r="A82" s="20">
        <v>42036</v>
      </c>
      <c r="B82" s="21">
        <v>10779</v>
      </c>
      <c r="C82" s="34" t="s">
        <v>24</v>
      </c>
      <c r="D82" s="37">
        <v>14788</v>
      </c>
      <c r="E82" s="23">
        <v>42062</v>
      </c>
      <c r="F82" s="109">
        <v>14788</v>
      </c>
      <c r="G82" s="25">
        <f t="shared" si="1"/>
        <v>0</v>
      </c>
      <c r="H82" s="19" t="s">
        <v>62</v>
      </c>
      <c r="K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spans="1:22" x14ac:dyDescent="0.25">
      <c r="A83" s="12">
        <v>42036</v>
      </c>
      <c r="B83" s="21">
        <v>10780</v>
      </c>
      <c r="C83" s="34" t="s">
        <v>233</v>
      </c>
      <c r="D83" s="37">
        <v>22105.599999999999</v>
      </c>
      <c r="E83" s="23">
        <v>42037</v>
      </c>
      <c r="F83" s="164">
        <v>22105.599999999999</v>
      </c>
      <c r="G83" s="25">
        <f t="shared" si="1"/>
        <v>0</v>
      </c>
      <c r="H83" s="19" t="s">
        <v>36</v>
      </c>
      <c r="K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spans="1:22" x14ac:dyDescent="0.25">
      <c r="A84" s="20">
        <v>42036</v>
      </c>
      <c r="B84" s="21">
        <v>10781</v>
      </c>
      <c r="C84" s="14" t="s">
        <v>141</v>
      </c>
      <c r="D84" s="105">
        <v>1619.2</v>
      </c>
      <c r="E84" s="23">
        <v>42036</v>
      </c>
      <c r="F84" s="106">
        <v>1619.2</v>
      </c>
      <c r="G84" s="25">
        <f t="shared" si="1"/>
        <v>0</v>
      </c>
      <c r="H84" s="39" t="s">
        <v>9</v>
      </c>
      <c r="K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spans="1:22" x14ac:dyDescent="0.25">
      <c r="A85" s="12">
        <v>42036</v>
      </c>
      <c r="B85" s="21">
        <v>10782</v>
      </c>
      <c r="C85" s="14" t="s">
        <v>214</v>
      </c>
      <c r="D85" s="105">
        <v>360</v>
      </c>
      <c r="E85" s="23">
        <v>42037</v>
      </c>
      <c r="F85" s="106">
        <v>360</v>
      </c>
      <c r="G85" s="25">
        <f t="shared" si="1"/>
        <v>0</v>
      </c>
      <c r="H85" s="39" t="s">
        <v>9</v>
      </c>
      <c r="K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spans="1:22" x14ac:dyDescent="0.25">
      <c r="A86" s="20">
        <v>42037</v>
      </c>
      <c r="B86" s="21">
        <v>10783</v>
      </c>
      <c r="C86" s="14" t="s">
        <v>16</v>
      </c>
      <c r="D86" s="105">
        <v>4716.8</v>
      </c>
      <c r="E86" s="23">
        <v>42037</v>
      </c>
      <c r="F86" s="106">
        <v>4716.8</v>
      </c>
      <c r="G86" s="25">
        <f t="shared" si="1"/>
        <v>0</v>
      </c>
      <c r="H86" s="39" t="s">
        <v>17</v>
      </c>
      <c r="K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spans="1:22" x14ac:dyDescent="0.25">
      <c r="A87" s="12">
        <v>42037</v>
      </c>
      <c r="B87" s="21">
        <v>10784</v>
      </c>
      <c r="C87" s="14" t="s">
        <v>540</v>
      </c>
      <c r="D87" s="105">
        <v>2450.5</v>
      </c>
      <c r="E87" s="23">
        <v>42037</v>
      </c>
      <c r="F87" s="106">
        <v>2450.5</v>
      </c>
      <c r="G87" s="25">
        <f t="shared" si="1"/>
        <v>0</v>
      </c>
      <c r="H87" s="39"/>
      <c r="K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spans="1:22" x14ac:dyDescent="0.25">
      <c r="A88" s="20">
        <v>42037</v>
      </c>
      <c r="B88" s="21">
        <v>10785</v>
      </c>
      <c r="C88" s="14" t="s">
        <v>14</v>
      </c>
      <c r="D88" s="105">
        <v>21360.6</v>
      </c>
      <c r="E88" s="23">
        <v>42048</v>
      </c>
      <c r="F88" s="106">
        <v>21360.6</v>
      </c>
      <c r="G88" s="25">
        <f t="shared" si="1"/>
        <v>0</v>
      </c>
      <c r="H88" s="39" t="s">
        <v>15</v>
      </c>
      <c r="K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spans="1:22" x14ac:dyDescent="0.25">
      <c r="A89" s="12">
        <v>42037</v>
      </c>
      <c r="B89" s="21">
        <v>10786</v>
      </c>
      <c r="C89" s="14" t="s">
        <v>21</v>
      </c>
      <c r="D89" s="105">
        <v>6875.2</v>
      </c>
      <c r="E89" s="23">
        <v>42037</v>
      </c>
      <c r="F89" s="106">
        <v>6875.2</v>
      </c>
      <c r="G89" s="25">
        <f t="shared" si="1"/>
        <v>0</v>
      </c>
      <c r="H89" s="39" t="s">
        <v>9</v>
      </c>
      <c r="J89" s="107"/>
      <c r="K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spans="1:22" x14ac:dyDescent="0.25">
      <c r="A90" s="20">
        <v>42037</v>
      </c>
      <c r="B90" s="21">
        <v>10787</v>
      </c>
      <c r="C90" s="14" t="s">
        <v>24</v>
      </c>
      <c r="D90" s="105">
        <v>65231.9</v>
      </c>
      <c r="E90" s="23">
        <v>42062</v>
      </c>
      <c r="F90" s="106">
        <v>65231.9</v>
      </c>
      <c r="G90" s="25">
        <f t="shared" si="1"/>
        <v>0</v>
      </c>
      <c r="H90" s="39" t="s">
        <v>36</v>
      </c>
      <c r="K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spans="1:22" x14ac:dyDescent="0.25">
      <c r="A91" s="12">
        <v>42037</v>
      </c>
      <c r="B91" s="21">
        <v>10788</v>
      </c>
      <c r="C91" s="14" t="s">
        <v>190</v>
      </c>
      <c r="D91" s="105">
        <v>15708.9</v>
      </c>
      <c r="E91" s="23">
        <v>42037</v>
      </c>
      <c r="F91" s="106">
        <v>15708.9</v>
      </c>
      <c r="G91" s="25">
        <f t="shared" si="1"/>
        <v>0</v>
      </c>
      <c r="H91" s="39" t="s">
        <v>9</v>
      </c>
      <c r="K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spans="1:22" x14ac:dyDescent="0.25">
      <c r="A92" s="20">
        <v>42037</v>
      </c>
      <c r="B92" s="21">
        <v>10789</v>
      </c>
      <c r="C92" s="14" t="s">
        <v>122</v>
      </c>
      <c r="D92" s="105">
        <v>21567.599999999999</v>
      </c>
      <c r="E92" s="23">
        <v>42037</v>
      </c>
      <c r="F92" s="106">
        <v>21567.599999999999</v>
      </c>
      <c r="G92" s="25">
        <f t="shared" si="1"/>
        <v>0</v>
      </c>
      <c r="H92" s="39" t="s">
        <v>9</v>
      </c>
      <c r="K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spans="1:22" x14ac:dyDescent="0.25">
      <c r="A93" s="12">
        <v>42037</v>
      </c>
      <c r="B93" s="21">
        <v>10790</v>
      </c>
      <c r="C93" s="14" t="s">
        <v>11</v>
      </c>
      <c r="D93" s="105">
        <v>7071.75</v>
      </c>
      <c r="E93" s="23">
        <v>42037</v>
      </c>
      <c r="F93" s="106">
        <v>7071.75</v>
      </c>
      <c r="G93" s="25">
        <f t="shared" si="1"/>
        <v>0</v>
      </c>
      <c r="H93" s="39" t="s">
        <v>9</v>
      </c>
      <c r="K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spans="1:22" x14ac:dyDescent="0.25">
      <c r="A94" s="20">
        <v>42037</v>
      </c>
      <c r="B94" s="21">
        <v>10791</v>
      </c>
      <c r="C94" s="14" t="s">
        <v>215</v>
      </c>
      <c r="D94" s="105">
        <v>32611.599999999999</v>
      </c>
      <c r="E94" s="23">
        <v>42037</v>
      </c>
      <c r="F94" s="106">
        <v>32611.599999999999</v>
      </c>
      <c r="G94" s="25">
        <f t="shared" si="1"/>
        <v>0</v>
      </c>
      <c r="H94" s="39" t="s">
        <v>94</v>
      </c>
      <c r="K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spans="1:22" x14ac:dyDescent="0.25">
      <c r="A95" s="12">
        <v>42037</v>
      </c>
      <c r="B95" s="21">
        <v>10792</v>
      </c>
      <c r="C95" s="14" t="s">
        <v>121</v>
      </c>
      <c r="D95" s="105">
        <v>980.4</v>
      </c>
      <c r="E95" s="23">
        <v>42037</v>
      </c>
      <c r="F95" s="106">
        <v>980.4</v>
      </c>
      <c r="G95" s="25">
        <f t="shared" si="1"/>
        <v>0</v>
      </c>
      <c r="H95" s="39" t="s">
        <v>9</v>
      </c>
      <c r="K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spans="1:22" x14ac:dyDescent="0.25">
      <c r="A96" s="20">
        <v>42037</v>
      </c>
      <c r="B96" s="21">
        <v>10793</v>
      </c>
      <c r="C96" s="14" t="s">
        <v>148</v>
      </c>
      <c r="D96" s="105">
        <v>3900.8</v>
      </c>
      <c r="E96" s="23">
        <v>42037</v>
      </c>
      <c r="F96" s="106">
        <v>3900.8</v>
      </c>
      <c r="G96" s="25">
        <f t="shared" si="1"/>
        <v>0</v>
      </c>
      <c r="H96" s="39" t="s">
        <v>9</v>
      </c>
      <c r="K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spans="1:22" x14ac:dyDescent="0.25">
      <c r="A97" s="12">
        <v>42037</v>
      </c>
      <c r="B97" s="21">
        <v>10794</v>
      </c>
      <c r="C97" s="14" t="s">
        <v>375</v>
      </c>
      <c r="D97" s="105">
        <v>2616</v>
      </c>
      <c r="E97" s="23">
        <v>42037</v>
      </c>
      <c r="F97" s="106">
        <v>2616</v>
      </c>
      <c r="G97" s="25">
        <f t="shared" si="1"/>
        <v>0</v>
      </c>
      <c r="H97" s="39" t="s">
        <v>9</v>
      </c>
      <c r="K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spans="1:22" x14ac:dyDescent="0.25">
      <c r="A98" s="20">
        <v>42037</v>
      </c>
      <c r="B98" s="21">
        <v>10795</v>
      </c>
      <c r="C98" s="14" t="s">
        <v>541</v>
      </c>
      <c r="D98" s="105">
        <v>696.9</v>
      </c>
      <c r="E98" s="23">
        <v>42037</v>
      </c>
      <c r="F98" s="106">
        <v>696.9</v>
      </c>
      <c r="G98" s="25">
        <f t="shared" si="1"/>
        <v>0</v>
      </c>
      <c r="H98" s="39" t="s">
        <v>9</v>
      </c>
      <c r="I98" s="3"/>
      <c r="J98" s="42"/>
      <c r="K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spans="1:22" x14ac:dyDescent="0.25">
      <c r="A99" s="12">
        <v>42037</v>
      </c>
      <c r="B99" s="21">
        <v>10796</v>
      </c>
      <c r="C99" s="14" t="s">
        <v>78</v>
      </c>
      <c r="D99" s="105">
        <v>7860</v>
      </c>
      <c r="E99" s="23">
        <v>42038</v>
      </c>
      <c r="F99" s="106">
        <v>7860</v>
      </c>
      <c r="G99" s="25">
        <f t="shared" si="1"/>
        <v>0</v>
      </c>
      <c r="H99" s="39" t="s">
        <v>62</v>
      </c>
      <c r="I99" s="3"/>
      <c r="J99" s="42"/>
      <c r="K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spans="1:22" x14ac:dyDescent="0.25">
      <c r="A100" s="20">
        <v>42037</v>
      </c>
      <c r="B100" s="21">
        <v>10797</v>
      </c>
      <c r="C100" s="14" t="s">
        <v>67</v>
      </c>
      <c r="D100" s="105">
        <v>3600</v>
      </c>
      <c r="E100" s="23">
        <v>42038</v>
      </c>
      <c r="F100" s="106">
        <v>3600</v>
      </c>
      <c r="G100" s="25">
        <f t="shared" si="1"/>
        <v>0</v>
      </c>
      <c r="H100" s="39" t="s">
        <v>62</v>
      </c>
      <c r="I100" s="3"/>
      <c r="J100" s="42"/>
      <c r="K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spans="1:22" x14ac:dyDescent="0.25">
      <c r="A101" s="12">
        <v>42037</v>
      </c>
      <c r="B101" s="21">
        <v>10798</v>
      </c>
      <c r="C101" s="14" t="s">
        <v>236</v>
      </c>
      <c r="D101" s="105">
        <v>32394</v>
      </c>
      <c r="E101" s="29" t="s">
        <v>542</v>
      </c>
      <c r="F101" s="106">
        <f>15816+16578</f>
        <v>32394</v>
      </c>
      <c r="G101" s="25">
        <f t="shared" si="1"/>
        <v>0</v>
      </c>
      <c r="H101" s="39" t="s">
        <v>19</v>
      </c>
      <c r="I101" s="3"/>
      <c r="J101" s="42"/>
      <c r="K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spans="1:22" x14ac:dyDescent="0.25">
      <c r="A102" s="20">
        <v>42037</v>
      </c>
      <c r="B102" s="21">
        <v>10799</v>
      </c>
      <c r="C102" s="14" t="s">
        <v>25</v>
      </c>
      <c r="D102" s="105">
        <v>939.6</v>
      </c>
      <c r="E102" s="23">
        <v>42037</v>
      </c>
      <c r="F102" s="106">
        <v>939.6</v>
      </c>
      <c r="G102" s="25">
        <f t="shared" si="1"/>
        <v>0</v>
      </c>
      <c r="H102" s="39" t="s">
        <v>9</v>
      </c>
      <c r="I102" s="3"/>
      <c r="J102" s="42"/>
      <c r="K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spans="1:22" x14ac:dyDescent="0.25">
      <c r="A103" s="12">
        <v>42037</v>
      </c>
      <c r="B103" s="21">
        <v>10800</v>
      </c>
      <c r="C103" s="14" t="s">
        <v>426</v>
      </c>
      <c r="D103" s="105">
        <v>31114.7</v>
      </c>
      <c r="E103" s="23">
        <v>42038</v>
      </c>
      <c r="F103" s="106">
        <v>31114.7</v>
      </c>
      <c r="G103" s="25">
        <f t="shared" si="1"/>
        <v>0</v>
      </c>
      <c r="H103" s="39" t="s">
        <v>62</v>
      </c>
      <c r="I103" s="3"/>
      <c r="J103" s="42"/>
      <c r="K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spans="1:22" x14ac:dyDescent="0.25">
      <c r="A104" s="20">
        <v>42037</v>
      </c>
      <c r="B104" s="21">
        <v>10801</v>
      </c>
      <c r="C104" s="14" t="s">
        <v>75</v>
      </c>
      <c r="D104" s="105">
        <v>18141</v>
      </c>
      <c r="E104" s="23">
        <v>42038</v>
      </c>
      <c r="F104" s="106">
        <v>18141</v>
      </c>
      <c r="G104" s="25">
        <f t="shared" si="1"/>
        <v>0</v>
      </c>
      <c r="H104" s="39" t="s">
        <v>62</v>
      </c>
      <c r="I104" s="3"/>
      <c r="J104" s="42"/>
      <c r="K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spans="1:22" x14ac:dyDescent="0.25">
      <c r="A105" s="12">
        <v>42037</v>
      </c>
      <c r="B105" s="21">
        <v>10802</v>
      </c>
      <c r="C105" s="14" t="s">
        <v>20</v>
      </c>
      <c r="D105" s="105">
        <v>14273</v>
      </c>
      <c r="E105" s="23">
        <v>42037</v>
      </c>
      <c r="F105" s="106">
        <v>14273</v>
      </c>
      <c r="G105" s="25">
        <f t="shared" si="1"/>
        <v>0</v>
      </c>
      <c r="H105" s="39" t="s">
        <v>36</v>
      </c>
      <c r="I105" s="3"/>
      <c r="J105" s="42"/>
      <c r="K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spans="1:22" x14ac:dyDescent="0.25">
      <c r="A106" s="20">
        <v>42037</v>
      </c>
      <c r="B106" s="21">
        <v>10803</v>
      </c>
      <c r="C106" s="14" t="s">
        <v>122</v>
      </c>
      <c r="D106" s="105">
        <v>3877.2</v>
      </c>
      <c r="E106" s="23">
        <v>42037</v>
      </c>
      <c r="F106" s="106">
        <v>3877.2</v>
      </c>
      <c r="G106" s="25">
        <f t="shared" si="1"/>
        <v>0</v>
      </c>
      <c r="H106" s="39" t="s">
        <v>9</v>
      </c>
      <c r="I106" s="3"/>
      <c r="J106" s="42"/>
      <c r="K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spans="1:22" x14ac:dyDescent="0.25">
      <c r="A107" s="12">
        <v>42037</v>
      </c>
      <c r="B107" s="21">
        <v>10804</v>
      </c>
      <c r="C107" s="14" t="s">
        <v>239</v>
      </c>
      <c r="D107" s="105">
        <v>2262.4</v>
      </c>
      <c r="E107" s="23">
        <v>42037</v>
      </c>
      <c r="F107" s="106">
        <v>2262.4</v>
      </c>
      <c r="G107" s="25">
        <f t="shared" si="1"/>
        <v>0</v>
      </c>
      <c r="H107" s="39" t="s">
        <v>9</v>
      </c>
      <c r="I107" s="3"/>
      <c r="J107" s="42"/>
      <c r="K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spans="1:22" x14ac:dyDescent="0.25">
      <c r="A108" s="20">
        <v>42037</v>
      </c>
      <c r="B108" s="21">
        <v>10805</v>
      </c>
      <c r="C108" s="14" t="s">
        <v>413</v>
      </c>
      <c r="D108" s="105">
        <v>4378.8999999999996</v>
      </c>
      <c r="E108" s="23">
        <v>42038</v>
      </c>
      <c r="F108" s="106">
        <v>4378.8999999999996</v>
      </c>
      <c r="G108" s="25">
        <f t="shared" si="1"/>
        <v>0</v>
      </c>
      <c r="H108" s="39" t="s">
        <v>36</v>
      </c>
      <c r="I108" s="3"/>
      <c r="J108" s="42"/>
      <c r="K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spans="1:22" x14ac:dyDescent="0.25">
      <c r="A109" s="12">
        <v>42037</v>
      </c>
      <c r="B109" s="21">
        <v>10806</v>
      </c>
      <c r="C109" s="14" t="s">
        <v>292</v>
      </c>
      <c r="D109" s="105">
        <v>3588</v>
      </c>
      <c r="E109" s="23">
        <v>42037</v>
      </c>
      <c r="F109" s="106">
        <v>3588</v>
      </c>
      <c r="G109" s="25">
        <f t="shared" si="1"/>
        <v>0</v>
      </c>
      <c r="H109" s="39" t="s">
        <v>59</v>
      </c>
      <c r="I109" s="3"/>
      <c r="J109" s="42"/>
      <c r="K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spans="1:22" x14ac:dyDescent="0.25">
      <c r="A110" s="20">
        <v>42037</v>
      </c>
      <c r="B110" s="21">
        <v>10807</v>
      </c>
      <c r="C110" s="14" t="s">
        <v>238</v>
      </c>
      <c r="D110" s="105">
        <v>720</v>
      </c>
      <c r="E110" s="23">
        <v>42037</v>
      </c>
      <c r="F110" s="106">
        <v>720</v>
      </c>
      <c r="G110" s="25">
        <f t="shared" si="1"/>
        <v>0</v>
      </c>
      <c r="H110" s="39" t="s">
        <v>59</v>
      </c>
      <c r="I110" s="3"/>
      <c r="J110" s="42"/>
      <c r="K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spans="1:22" x14ac:dyDescent="0.25">
      <c r="A111" s="12">
        <v>42037</v>
      </c>
      <c r="B111" s="21">
        <v>10808</v>
      </c>
      <c r="C111" s="14" t="s">
        <v>167</v>
      </c>
      <c r="D111" s="105">
        <v>468</v>
      </c>
      <c r="E111" s="23">
        <v>42037</v>
      </c>
      <c r="F111" s="106">
        <v>468</v>
      </c>
      <c r="G111" s="25">
        <f t="shared" si="1"/>
        <v>0</v>
      </c>
      <c r="H111" s="39" t="s">
        <v>59</v>
      </c>
      <c r="I111" s="3"/>
      <c r="J111" s="42"/>
      <c r="K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spans="1:22" x14ac:dyDescent="0.25">
      <c r="A112" s="20">
        <v>42037</v>
      </c>
      <c r="B112" s="21">
        <v>10809</v>
      </c>
      <c r="C112" s="14" t="s">
        <v>83</v>
      </c>
      <c r="D112" s="105">
        <v>7094.6</v>
      </c>
      <c r="E112" s="23">
        <v>42037</v>
      </c>
      <c r="F112" s="106">
        <v>7094.6</v>
      </c>
      <c r="G112" s="25">
        <f t="shared" si="1"/>
        <v>0</v>
      </c>
      <c r="H112" s="39" t="s">
        <v>59</v>
      </c>
      <c r="I112" s="3"/>
      <c r="J112" s="42"/>
      <c r="K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spans="1:22" x14ac:dyDescent="0.25">
      <c r="A113" s="12">
        <v>42037</v>
      </c>
      <c r="B113" s="21">
        <v>10810</v>
      </c>
      <c r="C113" s="14" t="s">
        <v>81</v>
      </c>
      <c r="D113" s="105">
        <v>2300.8000000000002</v>
      </c>
      <c r="E113" s="23">
        <v>42037</v>
      </c>
      <c r="F113" s="106">
        <v>2300.8000000000002</v>
      </c>
      <c r="G113" s="25">
        <f t="shared" si="1"/>
        <v>0</v>
      </c>
      <c r="H113" s="39" t="s">
        <v>59</v>
      </c>
      <c r="I113" s="3"/>
      <c r="J113" s="42"/>
      <c r="K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spans="1:22" x14ac:dyDescent="0.25">
      <c r="A114" s="20">
        <v>42037</v>
      </c>
      <c r="B114" s="21">
        <v>10811</v>
      </c>
      <c r="C114" s="14" t="s">
        <v>58</v>
      </c>
      <c r="D114" s="105">
        <v>400</v>
      </c>
      <c r="E114" s="23">
        <v>42037</v>
      </c>
      <c r="F114" s="106">
        <v>400</v>
      </c>
      <c r="G114" s="25">
        <f t="shared" si="1"/>
        <v>0</v>
      </c>
      <c r="H114" s="39" t="s">
        <v>59</v>
      </c>
      <c r="I114" s="3"/>
      <c r="J114" s="42"/>
      <c r="K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spans="1:22" x14ac:dyDescent="0.25">
      <c r="A115" s="12">
        <v>42037</v>
      </c>
      <c r="B115" s="21">
        <v>10812</v>
      </c>
      <c r="C115" s="14" t="s">
        <v>214</v>
      </c>
      <c r="D115" s="105">
        <v>1000</v>
      </c>
      <c r="E115" s="23">
        <v>42037</v>
      </c>
      <c r="F115" s="106">
        <v>1000</v>
      </c>
      <c r="G115" s="25">
        <f t="shared" si="1"/>
        <v>0</v>
      </c>
      <c r="H115" s="39" t="s">
        <v>59</v>
      </c>
      <c r="I115" s="3"/>
      <c r="J115" s="42"/>
      <c r="K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spans="1:22" x14ac:dyDescent="0.25">
      <c r="A116" s="20">
        <v>42037</v>
      </c>
      <c r="B116" s="21">
        <v>10813</v>
      </c>
      <c r="C116" s="110">
        <v>105</v>
      </c>
      <c r="D116" s="105">
        <v>800</v>
      </c>
      <c r="E116" s="23">
        <v>42037</v>
      </c>
      <c r="F116" s="106">
        <v>800</v>
      </c>
      <c r="G116" s="25">
        <f t="shared" si="1"/>
        <v>0</v>
      </c>
      <c r="H116" s="39" t="s">
        <v>59</v>
      </c>
      <c r="I116" s="3"/>
      <c r="J116" s="42"/>
      <c r="K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spans="1:22" x14ac:dyDescent="0.25">
      <c r="A117" s="12">
        <v>42037</v>
      </c>
      <c r="B117" s="21">
        <v>10814</v>
      </c>
      <c r="C117" s="14" t="s">
        <v>14</v>
      </c>
      <c r="D117" s="105">
        <v>128748.6</v>
      </c>
      <c r="E117" s="23">
        <v>42048</v>
      </c>
      <c r="F117" s="106">
        <v>128748.6</v>
      </c>
      <c r="G117" s="25">
        <f t="shared" si="1"/>
        <v>0</v>
      </c>
      <c r="H117" s="39" t="s">
        <v>46</v>
      </c>
      <c r="I117" s="3"/>
      <c r="J117" s="42"/>
      <c r="K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spans="1:22" x14ac:dyDescent="0.25">
      <c r="A118" s="20">
        <v>42037</v>
      </c>
      <c r="B118" s="21">
        <v>10815</v>
      </c>
      <c r="C118" s="14" t="s">
        <v>137</v>
      </c>
      <c r="D118" s="105">
        <v>3001</v>
      </c>
      <c r="E118" s="23">
        <v>42037</v>
      </c>
      <c r="F118" s="106">
        <v>3001</v>
      </c>
      <c r="G118" s="25">
        <f t="shared" si="1"/>
        <v>0</v>
      </c>
      <c r="H118" s="39" t="s">
        <v>9</v>
      </c>
      <c r="I118" s="3"/>
      <c r="J118" s="42"/>
      <c r="K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spans="1:22" x14ac:dyDescent="0.25">
      <c r="A119" s="12">
        <v>42037</v>
      </c>
      <c r="B119" s="21">
        <v>10816</v>
      </c>
      <c r="C119" s="14" t="s">
        <v>43</v>
      </c>
      <c r="D119" s="105">
        <v>27415.200000000001</v>
      </c>
      <c r="E119" s="23">
        <v>42037</v>
      </c>
      <c r="F119" s="106">
        <v>27415.200000000001</v>
      </c>
      <c r="G119" s="25">
        <f t="shared" si="1"/>
        <v>0</v>
      </c>
      <c r="H119" s="39" t="s">
        <v>9</v>
      </c>
      <c r="I119" s="3"/>
      <c r="J119" s="42"/>
      <c r="K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spans="1:22" x14ac:dyDescent="0.25">
      <c r="A120" s="20">
        <v>42037</v>
      </c>
      <c r="B120" s="21">
        <v>10817</v>
      </c>
      <c r="C120" s="14" t="s">
        <v>232</v>
      </c>
      <c r="D120" s="105">
        <v>21564</v>
      </c>
      <c r="E120" s="23">
        <v>42038</v>
      </c>
      <c r="F120" s="106">
        <v>21564</v>
      </c>
      <c r="G120" s="25">
        <f t="shared" si="1"/>
        <v>0</v>
      </c>
      <c r="H120" s="39" t="s">
        <v>9</v>
      </c>
      <c r="I120" s="3"/>
      <c r="J120" s="42"/>
      <c r="K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spans="1:22" x14ac:dyDescent="0.25">
      <c r="A121" s="12">
        <v>42037</v>
      </c>
      <c r="B121" s="21">
        <v>10818</v>
      </c>
      <c r="C121" s="14" t="s">
        <v>135</v>
      </c>
      <c r="D121" s="105">
        <v>1325</v>
      </c>
      <c r="E121" s="23">
        <v>42037</v>
      </c>
      <c r="F121" s="106">
        <v>1325</v>
      </c>
      <c r="G121" s="25">
        <f t="shared" si="1"/>
        <v>0</v>
      </c>
      <c r="H121" s="39" t="s">
        <v>9</v>
      </c>
      <c r="I121" s="3"/>
      <c r="J121" s="42"/>
      <c r="K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spans="1:22" x14ac:dyDescent="0.25">
      <c r="A122" s="20">
        <v>42037</v>
      </c>
      <c r="B122" s="21">
        <v>10819</v>
      </c>
      <c r="C122" s="14" t="s">
        <v>116</v>
      </c>
      <c r="D122" s="105">
        <v>6520.4</v>
      </c>
      <c r="E122" s="23">
        <v>42037</v>
      </c>
      <c r="F122" s="106">
        <v>6520.4</v>
      </c>
      <c r="G122" s="25">
        <f t="shared" si="1"/>
        <v>0</v>
      </c>
      <c r="H122" s="39" t="s">
        <v>59</v>
      </c>
      <c r="I122" s="3"/>
      <c r="J122" s="42"/>
      <c r="K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spans="1:22" x14ac:dyDescent="0.25">
      <c r="A123" s="12">
        <v>42037</v>
      </c>
      <c r="B123" s="21">
        <v>10820</v>
      </c>
      <c r="C123" s="40" t="s">
        <v>82</v>
      </c>
      <c r="D123" s="105">
        <v>3620.2</v>
      </c>
      <c r="E123" s="23">
        <v>42037</v>
      </c>
      <c r="F123" s="106">
        <v>3620.2</v>
      </c>
      <c r="G123" s="25">
        <f t="shared" si="1"/>
        <v>0</v>
      </c>
      <c r="H123" s="41" t="s">
        <v>59</v>
      </c>
      <c r="I123" s="3"/>
      <c r="J123" s="42"/>
      <c r="K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spans="1:22" x14ac:dyDescent="0.25">
      <c r="A124" s="20">
        <v>42037</v>
      </c>
      <c r="B124" s="21">
        <v>10821</v>
      </c>
      <c r="C124" s="40" t="s">
        <v>243</v>
      </c>
      <c r="D124" s="105">
        <v>2615.04</v>
      </c>
      <c r="E124" s="23">
        <v>42038</v>
      </c>
      <c r="F124" s="106">
        <v>2615.04</v>
      </c>
      <c r="G124" s="25">
        <f t="shared" si="1"/>
        <v>0</v>
      </c>
      <c r="H124" s="41" t="s">
        <v>62</v>
      </c>
      <c r="I124" s="3"/>
      <c r="J124" s="42"/>
      <c r="K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spans="1:22" x14ac:dyDescent="0.25">
      <c r="A125" s="12">
        <v>42037</v>
      </c>
      <c r="B125" s="21">
        <v>10822</v>
      </c>
      <c r="C125" s="40" t="s">
        <v>84</v>
      </c>
      <c r="D125" s="105">
        <v>51568.800000000003</v>
      </c>
      <c r="E125" s="30" t="s">
        <v>543</v>
      </c>
      <c r="F125" s="106">
        <v>51568.800000000003</v>
      </c>
      <c r="G125" s="25">
        <f t="shared" si="1"/>
        <v>0</v>
      </c>
      <c r="H125" s="41" t="s">
        <v>62</v>
      </c>
      <c r="I125" s="3"/>
      <c r="J125" s="42"/>
      <c r="K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spans="1:22" x14ac:dyDescent="0.25">
      <c r="A126" s="20">
        <v>42037</v>
      </c>
      <c r="B126" s="21">
        <v>10823</v>
      </c>
      <c r="C126" s="40" t="s">
        <v>72</v>
      </c>
      <c r="D126" s="105">
        <v>20508.599999999999</v>
      </c>
      <c r="E126" s="30" t="s">
        <v>544</v>
      </c>
      <c r="F126" s="106">
        <v>20508.599999999999</v>
      </c>
      <c r="G126" s="25">
        <f t="shared" si="1"/>
        <v>0</v>
      </c>
      <c r="H126" s="41" t="s">
        <v>62</v>
      </c>
      <c r="I126" s="3"/>
      <c r="J126" s="42"/>
      <c r="K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spans="1:22" x14ac:dyDescent="0.25">
      <c r="A127" s="12">
        <v>42037</v>
      </c>
      <c r="B127" s="21">
        <v>10824</v>
      </c>
      <c r="C127" s="40" t="s">
        <v>168</v>
      </c>
      <c r="D127" s="105">
        <v>7669.6</v>
      </c>
      <c r="E127" s="23">
        <v>42037</v>
      </c>
      <c r="F127" s="106">
        <v>7669.6</v>
      </c>
      <c r="G127" s="25">
        <f t="shared" si="1"/>
        <v>0</v>
      </c>
      <c r="H127" s="41" t="s">
        <v>59</v>
      </c>
      <c r="I127" s="3"/>
      <c r="J127" s="42"/>
      <c r="K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spans="1:22" x14ac:dyDescent="0.25">
      <c r="A128" s="20">
        <v>42037</v>
      </c>
      <c r="B128" s="21">
        <v>10825</v>
      </c>
      <c r="C128" s="40" t="s">
        <v>173</v>
      </c>
      <c r="D128" s="105">
        <v>43834.5</v>
      </c>
      <c r="E128" s="30" t="s">
        <v>545</v>
      </c>
      <c r="F128" s="106">
        <v>43834.5</v>
      </c>
      <c r="G128" s="25">
        <f t="shared" si="1"/>
        <v>0</v>
      </c>
      <c r="H128" s="41" t="s">
        <v>62</v>
      </c>
      <c r="I128" s="3"/>
      <c r="J128" s="42"/>
      <c r="K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spans="1:22" x14ac:dyDescent="0.25">
      <c r="A129" s="12">
        <v>42037</v>
      </c>
      <c r="B129" s="21">
        <v>10826</v>
      </c>
      <c r="C129" s="40" t="s">
        <v>328</v>
      </c>
      <c r="D129" s="105">
        <v>14940</v>
      </c>
      <c r="E129" s="23">
        <v>42038</v>
      </c>
      <c r="F129" s="106">
        <v>14940</v>
      </c>
      <c r="G129" s="25">
        <f t="shared" si="1"/>
        <v>0</v>
      </c>
      <c r="H129" s="41" t="s">
        <v>62</v>
      </c>
      <c r="I129" s="3"/>
      <c r="J129" s="42"/>
      <c r="K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spans="1:22" x14ac:dyDescent="0.25">
      <c r="A130" s="20">
        <v>42037</v>
      </c>
      <c r="B130" s="21">
        <v>10827</v>
      </c>
      <c r="C130" s="40" t="s">
        <v>176</v>
      </c>
      <c r="D130" s="105">
        <v>5844.8</v>
      </c>
      <c r="E130" s="30" t="s">
        <v>546</v>
      </c>
      <c r="F130" s="106">
        <v>5844.8</v>
      </c>
      <c r="G130" s="25">
        <f t="shared" si="1"/>
        <v>0</v>
      </c>
      <c r="H130" s="41" t="s">
        <v>62</v>
      </c>
      <c r="K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spans="1:22" x14ac:dyDescent="0.25">
      <c r="A131" s="12">
        <v>42037</v>
      </c>
      <c r="B131" s="21">
        <v>10828</v>
      </c>
      <c r="C131" s="40" t="s">
        <v>270</v>
      </c>
      <c r="D131" s="105">
        <v>132</v>
      </c>
      <c r="E131" s="23">
        <v>42037</v>
      </c>
      <c r="F131" s="106">
        <v>132</v>
      </c>
      <c r="G131" s="25">
        <f t="shared" ref="G131:G194" si="2">D131-F131</f>
        <v>0</v>
      </c>
      <c r="H131" s="41" t="s">
        <v>9</v>
      </c>
      <c r="J131" s="107"/>
      <c r="K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spans="1:22" x14ac:dyDescent="0.25">
      <c r="A132" s="20">
        <v>42037</v>
      </c>
      <c r="B132" s="21">
        <v>10829</v>
      </c>
      <c r="C132" s="40" t="s">
        <v>91</v>
      </c>
      <c r="D132" s="105">
        <v>6926.4</v>
      </c>
      <c r="E132" s="23">
        <v>42037</v>
      </c>
      <c r="F132" s="106">
        <v>6926.4</v>
      </c>
      <c r="G132" s="25">
        <f t="shared" si="2"/>
        <v>0</v>
      </c>
      <c r="H132" s="41" t="s">
        <v>59</v>
      </c>
      <c r="J132" s="107"/>
      <c r="K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spans="1:22" x14ac:dyDescent="0.25">
      <c r="A133" s="12">
        <v>42037</v>
      </c>
      <c r="B133" s="21">
        <v>10830</v>
      </c>
      <c r="C133" s="40" t="s">
        <v>91</v>
      </c>
      <c r="D133" s="105">
        <v>1099.5</v>
      </c>
      <c r="E133" s="23">
        <v>42037</v>
      </c>
      <c r="F133" s="106">
        <v>1099.5</v>
      </c>
      <c r="G133" s="32">
        <f t="shared" si="2"/>
        <v>0</v>
      </c>
      <c r="H133" s="41" t="s">
        <v>59</v>
      </c>
      <c r="K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spans="1:22" x14ac:dyDescent="0.25">
      <c r="A134" s="20">
        <v>42037</v>
      </c>
      <c r="B134" s="21">
        <v>10831</v>
      </c>
      <c r="C134" s="40" t="s">
        <v>66</v>
      </c>
      <c r="D134" s="105">
        <v>1489.3</v>
      </c>
      <c r="E134" s="23">
        <v>42037</v>
      </c>
      <c r="F134" s="106">
        <v>1489.3</v>
      </c>
      <c r="G134" s="25">
        <f t="shared" si="2"/>
        <v>0</v>
      </c>
      <c r="H134" s="41" t="s">
        <v>9</v>
      </c>
      <c r="K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spans="1:22" x14ac:dyDescent="0.25">
      <c r="A135" s="12">
        <v>42037</v>
      </c>
      <c r="B135" s="21">
        <v>10832</v>
      </c>
      <c r="C135" s="40" t="s">
        <v>49</v>
      </c>
      <c r="D135" s="105">
        <v>1603.2</v>
      </c>
      <c r="E135" s="23">
        <v>42037</v>
      </c>
      <c r="F135" s="106">
        <v>1603.2</v>
      </c>
      <c r="G135" s="25">
        <f t="shared" si="2"/>
        <v>0</v>
      </c>
      <c r="H135" s="41" t="s">
        <v>27</v>
      </c>
      <c r="K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spans="1:22" x14ac:dyDescent="0.25">
      <c r="A136" s="20">
        <v>42037</v>
      </c>
      <c r="B136" s="21">
        <v>10833</v>
      </c>
      <c r="C136" s="40" t="s">
        <v>26</v>
      </c>
      <c r="D136" s="105">
        <v>1152</v>
      </c>
      <c r="E136" s="23">
        <v>42037</v>
      </c>
      <c r="F136" s="106">
        <v>1152</v>
      </c>
      <c r="G136" s="25">
        <f t="shared" si="2"/>
        <v>0</v>
      </c>
      <c r="H136" s="41" t="s">
        <v>27</v>
      </c>
      <c r="K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spans="1:22" x14ac:dyDescent="0.25">
      <c r="A137" s="12">
        <v>42037</v>
      </c>
      <c r="B137" s="21">
        <v>10834</v>
      </c>
      <c r="C137" s="40" t="s">
        <v>14</v>
      </c>
      <c r="D137" s="105">
        <v>4888.8</v>
      </c>
      <c r="E137" s="23">
        <v>42048</v>
      </c>
      <c r="F137" s="106">
        <v>4888.8</v>
      </c>
      <c r="G137" s="25">
        <f t="shared" si="2"/>
        <v>0</v>
      </c>
      <c r="H137" s="41" t="s">
        <v>15</v>
      </c>
      <c r="K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spans="1:22" x14ac:dyDescent="0.25">
      <c r="A138" s="20">
        <v>42037</v>
      </c>
      <c r="B138" s="21">
        <v>10835</v>
      </c>
      <c r="C138" s="40" t="s">
        <v>61</v>
      </c>
      <c r="D138" s="105">
        <v>8918</v>
      </c>
      <c r="E138" s="23">
        <v>42038</v>
      </c>
      <c r="F138" s="106">
        <v>8918</v>
      </c>
      <c r="G138" s="25">
        <f t="shared" si="2"/>
        <v>0</v>
      </c>
      <c r="H138" s="41" t="s">
        <v>62</v>
      </c>
      <c r="K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spans="1:22" x14ac:dyDescent="0.25">
      <c r="A139" s="12">
        <v>42037</v>
      </c>
      <c r="B139" s="21">
        <v>10836</v>
      </c>
      <c r="C139" s="40" t="s">
        <v>118</v>
      </c>
      <c r="D139" s="105">
        <v>720</v>
      </c>
      <c r="E139" s="23">
        <v>42037</v>
      </c>
      <c r="F139" s="106">
        <v>720</v>
      </c>
      <c r="G139" s="25">
        <f t="shared" si="2"/>
        <v>0</v>
      </c>
      <c r="H139" s="41" t="s">
        <v>59</v>
      </c>
      <c r="K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spans="1:22" x14ac:dyDescent="0.25">
      <c r="A140" s="20">
        <v>42037</v>
      </c>
      <c r="B140" s="21">
        <v>10837</v>
      </c>
      <c r="C140" s="40" t="s">
        <v>118</v>
      </c>
      <c r="D140" s="105">
        <v>9640</v>
      </c>
      <c r="E140" s="23">
        <v>42041</v>
      </c>
      <c r="F140" s="106">
        <v>9640</v>
      </c>
      <c r="G140" s="25">
        <f t="shared" si="2"/>
        <v>0</v>
      </c>
      <c r="H140" s="41" t="s">
        <v>59</v>
      </c>
      <c r="K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spans="1:22" x14ac:dyDescent="0.25">
      <c r="A141" s="12">
        <v>42037</v>
      </c>
      <c r="B141" s="21">
        <v>10838</v>
      </c>
      <c r="C141" s="40" t="s">
        <v>399</v>
      </c>
      <c r="D141" s="105">
        <v>2527</v>
      </c>
      <c r="E141" s="23">
        <v>42037</v>
      </c>
      <c r="F141" s="106">
        <v>2527</v>
      </c>
      <c r="G141" s="25">
        <f t="shared" si="2"/>
        <v>0</v>
      </c>
      <c r="H141" s="41" t="s">
        <v>94</v>
      </c>
      <c r="K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spans="1:22" x14ac:dyDescent="0.25">
      <c r="A142" s="20">
        <v>42037</v>
      </c>
      <c r="B142" s="21">
        <v>10839</v>
      </c>
      <c r="C142" s="40" t="s">
        <v>110</v>
      </c>
      <c r="D142" s="105">
        <v>9370</v>
      </c>
      <c r="E142" s="23">
        <v>42048</v>
      </c>
      <c r="F142" s="106">
        <v>9370</v>
      </c>
      <c r="G142" s="25">
        <f t="shared" si="2"/>
        <v>0</v>
      </c>
      <c r="H142" s="41" t="s">
        <v>94</v>
      </c>
      <c r="K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spans="1:22" x14ac:dyDescent="0.25">
      <c r="A143" s="12">
        <v>42037</v>
      </c>
      <c r="B143" s="21">
        <v>10840</v>
      </c>
      <c r="C143" s="40" t="s">
        <v>34</v>
      </c>
      <c r="D143" s="105">
        <v>3216</v>
      </c>
      <c r="E143" s="23">
        <v>42037</v>
      </c>
      <c r="F143" s="106">
        <v>3216</v>
      </c>
      <c r="G143" s="25">
        <f t="shared" si="2"/>
        <v>0</v>
      </c>
      <c r="H143" s="41" t="s">
        <v>9</v>
      </c>
      <c r="K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spans="1:22" x14ac:dyDescent="0.25">
      <c r="A144" s="20">
        <v>42037</v>
      </c>
      <c r="B144" s="21">
        <v>10841</v>
      </c>
      <c r="C144" s="40" t="s">
        <v>24</v>
      </c>
      <c r="D144" s="105">
        <v>620</v>
      </c>
      <c r="E144" s="23">
        <v>42055</v>
      </c>
      <c r="F144" s="106">
        <v>620</v>
      </c>
      <c r="G144" s="25">
        <f t="shared" si="2"/>
        <v>0</v>
      </c>
      <c r="H144" s="41" t="s">
        <v>9</v>
      </c>
      <c r="K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spans="1:11" x14ac:dyDescent="0.25">
      <c r="A145" s="12">
        <v>42037</v>
      </c>
      <c r="B145" s="21">
        <v>10842</v>
      </c>
      <c r="C145" s="40" t="s">
        <v>256</v>
      </c>
      <c r="D145" s="105">
        <v>5865.32</v>
      </c>
      <c r="E145" s="23">
        <v>42037</v>
      </c>
      <c r="F145" s="106">
        <v>5865.2</v>
      </c>
      <c r="G145" s="25">
        <f t="shared" si="2"/>
        <v>0.11999999999989086</v>
      </c>
      <c r="H145" s="41" t="s">
        <v>36</v>
      </c>
    </row>
    <row r="146" spans="1:11" x14ac:dyDescent="0.25">
      <c r="A146" s="20">
        <v>42037</v>
      </c>
      <c r="B146" s="21">
        <v>10843</v>
      </c>
      <c r="C146" s="40" t="s">
        <v>61</v>
      </c>
      <c r="D146" s="105">
        <v>2012.8</v>
      </c>
      <c r="E146" s="23">
        <v>42038</v>
      </c>
      <c r="F146" s="106">
        <v>2012.8</v>
      </c>
      <c r="G146" s="25">
        <f t="shared" si="2"/>
        <v>0</v>
      </c>
      <c r="H146" s="41" t="s">
        <v>62</v>
      </c>
    </row>
    <row r="147" spans="1:11" x14ac:dyDescent="0.25">
      <c r="A147" s="12">
        <v>42037</v>
      </c>
      <c r="B147" s="21">
        <v>10844</v>
      </c>
      <c r="C147" s="40" t="s">
        <v>465</v>
      </c>
      <c r="D147" s="105">
        <v>7964.8</v>
      </c>
      <c r="E147" s="23">
        <v>42037</v>
      </c>
      <c r="F147" s="106">
        <v>7964.8</v>
      </c>
      <c r="G147" s="25">
        <f t="shared" si="2"/>
        <v>0</v>
      </c>
      <c r="H147" s="41" t="s">
        <v>9</v>
      </c>
    </row>
    <row r="148" spans="1:11" x14ac:dyDescent="0.25">
      <c r="A148" s="20">
        <v>42037</v>
      </c>
      <c r="B148" s="21">
        <v>10845</v>
      </c>
      <c r="C148" s="40" t="s">
        <v>64</v>
      </c>
      <c r="D148" s="105">
        <v>3027.2</v>
      </c>
      <c r="E148" s="23">
        <v>42037</v>
      </c>
      <c r="F148" s="106">
        <v>3027.2</v>
      </c>
      <c r="G148" s="25">
        <f t="shared" si="2"/>
        <v>0</v>
      </c>
      <c r="H148" s="41" t="s">
        <v>9</v>
      </c>
    </row>
    <row r="149" spans="1:11" x14ac:dyDescent="0.25">
      <c r="A149" s="12">
        <v>42037</v>
      </c>
      <c r="B149" s="21">
        <v>10846</v>
      </c>
      <c r="C149" s="40" t="s">
        <v>100</v>
      </c>
      <c r="D149" s="105">
        <v>2563.1999999999998</v>
      </c>
      <c r="E149" s="23">
        <v>42037</v>
      </c>
      <c r="F149" s="106">
        <v>2563.1999999999998</v>
      </c>
      <c r="G149" s="25">
        <f t="shared" si="2"/>
        <v>0</v>
      </c>
      <c r="H149" s="41" t="s">
        <v>9</v>
      </c>
    </row>
    <row r="150" spans="1:11" x14ac:dyDescent="0.25">
      <c r="A150" s="20">
        <v>42037</v>
      </c>
      <c r="B150" s="21">
        <v>10847</v>
      </c>
      <c r="C150" s="40" t="s">
        <v>33</v>
      </c>
      <c r="D150" s="105">
        <v>10072.799999999999</v>
      </c>
      <c r="E150" s="23">
        <v>42037</v>
      </c>
      <c r="F150" s="106">
        <v>10072.799999999999</v>
      </c>
      <c r="G150" s="25">
        <f t="shared" si="2"/>
        <v>0</v>
      </c>
      <c r="H150" s="41" t="s">
        <v>9</v>
      </c>
    </row>
    <row r="151" spans="1:11" x14ac:dyDescent="0.25">
      <c r="A151" s="12">
        <v>42037</v>
      </c>
      <c r="B151" s="21">
        <v>10848</v>
      </c>
      <c r="C151" s="40" t="s">
        <v>60</v>
      </c>
      <c r="D151" s="105">
        <v>3657.2</v>
      </c>
      <c r="E151" s="23">
        <v>42037</v>
      </c>
      <c r="F151" s="106">
        <v>3657.2</v>
      </c>
      <c r="G151" s="25">
        <f t="shared" si="2"/>
        <v>0</v>
      </c>
      <c r="H151" s="41" t="s">
        <v>36</v>
      </c>
    </row>
    <row r="152" spans="1:11" x14ac:dyDescent="0.25">
      <c r="A152" s="20">
        <v>42037</v>
      </c>
      <c r="B152" s="21">
        <v>10849</v>
      </c>
      <c r="C152" s="40" t="s">
        <v>55</v>
      </c>
      <c r="D152" s="105">
        <v>3689</v>
      </c>
      <c r="E152" s="23">
        <v>42037</v>
      </c>
      <c r="F152" s="106">
        <v>3689</v>
      </c>
      <c r="G152" s="25">
        <f t="shared" si="2"/>
        <v>0</v>
      </c>
      <c r="H152" s="41" t="s">
        <v>36</v>
      </c>
    </row>
    <row r="153" spans="1:11" x14ac:dyDescent="0.25">
      <c r="A153" s="12">
        <v>42037</v>
      </c>
      <c r="B153" s="21">
        <v>10850</v>
      </c>
      <c r="C153" s="40" t="s">
        <v>32</v>
      </c>
      <c r="D153" s="105">
        <v>20586.400000000001</v>
      </c>
      <c r="E153" s="23">
        <v>42062</v>
      </c>
      <c r="F153" s="106">
        <v>20586.400000000001</v>
      </c>
      <c r="G153" s="25">
        <f t="shared" si="2"/>
        <v>0</v>
      </c>
      <c r="H153" s="41" t="s">
        <v>19</v>
      </c>
    </row>
    <row r="154" spans="1:11" x14ac:dyDescent="0.25">
      <c r="A154" s="20">
        <v>42037</v>
      </c>
      <c r="B154" s="21">
        <v>10851</v>
      </c>
      <c r="C154" s="44" t="s">
        <v>218</v>
      </c>
      <c r="D154" s="108">
        <v>0</v>
      </c>
      <c r="E154" s="23"/>
      <c r="F154" s="106"/>
      <c r="G154" s="25">
        <f t="shared" si="2"/>
        <v>0</v>
      </c>
      <c r="H154" s="41" t="s">
        <v>13</v>
      </c>
    </row>
    <row r="155" spans="1:11" x14ac:dyDescent="0.25">
      <c r="A155" s="12">
        <v>42037</v>
      </c>
      <c r="B155" s="21">
        <v>10852</v>
      </c>
      <c r="C155" s="40" t="s">
        <v>165</v>
      </c>
      <c r="D155" s="105">
        <v>2968</v>
      </c>
      <c r="E155" s="52"/>
      <c r="F155" s="111"/>
      <c r="G155" s="25">
        <f t="shared" si="2"/>
        <v>2968</v>
      </c>
      <c r="H155" s="41" t="s">
        <v>17</v>
      </c>
    </row>
    <row r="156" spans="1:11" x14ac:dyDescent="0.25">
      <c r="A156" s="20">
        <v>42037</v>
      </c>
      <c r="B156" s="21">
        <v>10853</v>
      </c>
      <c r="C156" s="40" t="s">
        <v>131</v>
      </c>
      <c r="D156" s="105">
        <v>10688.5</v>
      </c>
      <c r="E156" s="23">
        <v>42038</v>
      </c>
      <c r="F156" s="106">
        <v>10688.5</v>
      </c>
      <c r="G156" s="25">
        <f t="shared" si="2"/>
        <v>0</v>
      </c>
      <c r="H156" s="41" t="s">
        <v>94</v>
      </c>
    </row>
    <row r="157" spans="1:11" s="4" customFormat="1" x14ac:dyDescent="0.25">
      <c r="A157" s="12">
        <v>42037</v>
      </c>
      <c r="B157" s="21">
        <v>10854</v>
      </c>
      <c r="C157" s="40" t="s">
        <v>130</v>
      </c>
      <c r="D157" s="105">
        <v>17827.8</v>
      </c>
      <c r="E157" s="29" t="s">
        <v>547</v>
      </c>
      <c r="F157" s="106">
        <f>10005+3500+4322.8</f>
        <v>17827.8</v>
      </c>
      <c r="G157" s="25">
        <f t="shared" si="2"/>
        <v>0</v>
      </c>
      <c r="H157" s="41" t="s">
        <v>17</v>
      </c>
      <c r="J157" s="43"/>
      <c r="K157" s="43"/>
    </row>
    <row r="158" spans="1:11" s="4" customFormat="1" x14ac:dyDescent="0.25">
      <c r="A158" s="20">
        <v>42037</v>
      </c>
      <c r="B158" s="21">
        <v>10855</v>
      </c>
      <c r="C158" s="40" t="s">
        <v>228</v>
      </c>
      <c r="D158" s="105">
        <v>3024</v>
      </c>
      <c r="E158" s="23">
        <v>42037</v>
      </c>
      <c r="F158" s="106">
        <v>3024</v>
      </c>
      <c r="G158" s="25">
        <f t="shared" si="2"/>
        <v>0</v>
      </c>
      <c r="H158" s="41" t="s">
        <v>9</v>
      </c>
      <c r="J158" s="107"/>
      <c r="K158" s="43"/>
    </row>
    <row r="159" spans="1:11" s="4" customFormat="1" x14ac:dyDescent="0.25">
      <c r="A159" s="12">
        <v>42037</v>
      </c>
      <c r="B159" s="21">
        <v>10856</v>
      </c>
      <c r="C159" s="44" t="s">
        <v>218</v>
      </c>
      <c r="D159" s="108">
        <v>0</v>
      </c>
      <c r="E159" s="23"/>
      <c r="F159" s="106"/>
      <c r="G159" s="25">
        <f t="shared" si="2"/>
        <v>0</v>
      </c>
      <c r="H159" s="41" t="s">
        <v>13</v>
      </c>
      <c r="J159" s="43"/>
      <c r="K159" s="43"/>
    </row>
    <row r="160" spans="1:11" s="4" customFormat="1" x14ac:dyDescent="0.25">
      <c r="A160" s="20">
        <v>42037</v>
      </c>
      <c r="B160" s="21">
        <v>10857</v>
      </c>
      <c r="C160" s="40" t="s">
        <v>24</v>
      </c>
      <c r="D160" s="105">
        <v>11566.7</v>
      </c>
      <c r="E160" s="23">
        <v>42037</v>
      </c>
      <c r="F160" s="106">
        <v>11566.7</v>
      </c>
      <c r="G160" s="25">
        <f t="shared" si="2"/>
        <v>0</v>
      </c>
      <c r="H160" s="41" t="s">
        <v>9</v>
      </c>
      <c r="J160" s="43"/>
      <c r="K160" s="43"/>
    </row>
    <row r="161" spans="1:11" s="4" customFormat="1" x14ac:dyDescent="0.25">
      <c r="A161" s="12">
        <v>42037</v>
      </c>
      <c r="B161" s="21">
        <v>10858</v>
      </c>
      <c r="C161" s="40" t="s">
        <v>264</v>
      </c>
      <c r="D161" s="105">
        <v>720</v>
      </c>
      <c r="E161" s="23">
        <v>42037</v>
      </c>
      <c r="F161" s="106">
        <v>720</v>
      </c>
      <c r="G161" s="25">
        <f t="shared" si="2"/>
        <v>0</v>
      </c>
      <c r="H161" s="41" t="s">
        <v>9</v>
      </c>
      <c r="J161" s="107"/>
      <c r="K161" s="43"/>
    </row>
    <row r="162" spans="1:11" s="4" customFormat="1" x14ac:dyDescent="0.25">
      <c r="A162" s="20">
        <v>42037</v>
      </c>
      <c r="B162" s="21">
        <v>10859</v>
      </c>
      <c r="C162" s="40" t="s">
        <v>224</v>
      </c>
      <c r="D162" s="105">
        <v>7108.52</v>
      </c>
      <c r="E162" s="23">
        <v>42037</v>
      </c>
      <c r="F162" s="106">
        <v>7108.52</v>
      </c>
      <c r="G162" s="25">
        <f t="shared" si="2"/>
        <v>0</v>
      </c>
      <c r="H162" s="41" t="s">
        <v>312</v>
      </c>
      <c r="J162" s="43"/>
      <c r="K162" s="43"/>
    </row>
    <row r="163" spans="1:11" s="4" customFormat="1" x14ac:dyDescent="0.25">
      <c r="A163" s="12">
        <v>42037</v>
      </c>
      <c r="B163" s="21">
        <v>10860</v>
      </c>
      <c r="C163" s="44" t="s">
        <v>218</v>
      </c>
      <c r="D163" s="108">
        <v>0</v>
      </c>
      <c r="E163" s="23"/>
      <c r="F163" s="106"/>
      <c r="G163" s="25">
        <f t="shared" si="2"/>
        <v>0</v>
      </c>
      <c r="H163" s="41" t="s">
        <v>13</v>
      </c>
      <c r="J163" s="43"/>
      <c r="K163" s="43"/>
    </row>
    <row r="164" spans="1:11" s="4" customFormat="1" x14ac:dyDescent="0.25">
      <c r="A164" s="20">
        <v>42037</v>
      </c>
      <c r="B164" s="21">
        <v>10861</v>
      </c>
      <c r="C164" s="44" t="s">
        <v>218</v>
      </c>
      <c r="D164" s="108">
        <v>0</v>
      </c>
      <c r="E164" s="23"/>
      <c r="F164" s="106"/>
      <c r="G164" s="25">
        <f t="shared" si="2"/>
        <v>0</v>
      </c>
      <c r="H164" s="41" t="s">
        <v>13</v>
      </c>
      <c r="J164" s="43"/>
      <c r="K164" s="43"/>
    </row>
    <row r="165" spans="1:11" s="4" customFormat="1" x14ac:dyDescent="0.25">
      <c r="A165" s="12">
        <v>42037</v>
      </c>
      <c r="B165" s="21">
        <v>10862</v>
      </c>
      <c r="C165" s="40" t="s">
        <v>232</v>
      </c>
      <c r="D165" s="105">
        <v>8812.7999999999993</v>
      </c>
      <c r="E165" s="23">
        <v>42038</v>
      </c>
      <c r="F165" s="106">
        <v>8812.7999999999993</v>
      </c>
      <c r="G165" s="25">
        <f t="shared" si="2"/>
        <v>0</v>
      </c>
      <c r="H165" s="41" t="s">
        <v>9</v>
      </c>
      <c r="J165" s="43"/>
      <c r="K165" s="43"/>
    </row>
    <row r="166" spans="1:11" s="4" customFormat="1" x14ac:dyDescent="0.25">
      <c r="A166" s="20">
        <v>42037</v>
      </c>
      <c r="B166" s="21">
        <v>10863</v>
      </c>
      <c r="C166" s="40" t="s">
        <v>140</v>
      </c>
      <c r="D166" s="105">
        <v>10610.8</v>
      </c>
      <c r="E166" s="23">
        <v>42037</v>
      </c>
      <c r="F166" s="106">
        <v>10610.8</v>
      </c>
      <c r="G166" s="25">
        <f t="shared" si="2"/>
        <v>0</v>
      </c>
      <c r="H166" s="41" t="s">
        <v>94</v>
      </c>
      <c r="J166" s="43"/>
      <c r="K166" s="43"/>
    </row>
    <row r="167" spans="1:11" s="4" customFormat="1" x14ac:dyDescent="0.25">
      <c r="A167" s="12">
        <v>42037</v>
      </c>
      <c r="B167" s="21">
        <v>10864</v>
      </c>
      <c r="C167" s="40" t="s">
        <v>454</v>
      </c>
      <c r="D167" s="105">
        <v>3772</v>
      </c>
      <c r="E167" s="23">
        <v>42037</v>
      </c>
      <c r="F167" s="106">
        <v>3772</v>
      </c>
      <c r="G167" s="25">
        <f t="shared" si="2"/>
        <v>0</v>
      </c>
      <c r="H167" s="41" t="s">
        <v>94</v>
      </c>
      <c r="J167" s="43"/>
      <c r="K167" s="43"/>
    </row>
    <row r="168" spans="1:11" x14ac:dyDescent="0.25">
      <c r="A168" s="20">
        <v>42037</v>
      </c>
      <c r="B168" s="21">
        <v>10865</v>
      </c>
      <c r="C168" s="40" t="s">
        <v>50</v>
      </c>
      <c r="D168" s="105">
        <v>576.79999999999995</v>
      </c>
      <c r="E168" s="23">
        <v>42037</v>
      </c>
      <c r="F168" s="106">
        <v>576.79999999999995</v>
      </c>
      <c r="G168" s="25">
        <f t="shared" si="2"/>
        <v>0</v>
      </c>
      <c r="H168" s="41" t="s">
        <v>94</v>
      </c>
      <c r="I168" s="3"/>
      <c r="J168" s="42"/>
    </row>
    <row r="169" spans="1:11" x14ac:dyDescent="0.25">
      <c r="A169" s="12">
        <v>42037</v>
      </c>
      <c r="B169" s="21">
        <v>10866</v>
      </c>
      <c r="C169" s="40" t="s">
        <v>125</v>
      </c>
      <c r="D169" s="105">
        <v>28371</v>
      </c>
      <c r="E169" s="23">
        <v>42044</v>
      </c>
      <c r="F169" s="106">
        <v>28371</v>
      </c>
      <c r="G169" s="25">
        <f t="shared" si="2"/>
        <v>0</v>
      </c>
      <c r="H169" s="41" t="s">
        <v>94</v>
      </c>
      <c r="I169" s="3"/>
      <c r="J169" s="42"/>
    </row>
    <row r="170" spans="1:11" x14ac:dyDescent="0.25">
      <c r="A170" s="20">
        <v>42037</v>
      </c>
      <c r="B170" s="21">
        <v>10867</v>
      </c>
      <c r="C170" s="40" t="s">
        <v>185</v>
      </c>
      <c r="D170" s="105">
        <v>56395.199999999997</v>
      </c>
      <c r="E170" s="23">
        <v>42037</v>
      </c>
      <c r="F170" s="106">
        <v>56395.199999999997</v>
      </c>
      <c r="G170" s="25">
        <f t="shared" si="2"/>
        <v>0</v>
      </c>
      <c r="H170" s="41" t="s">
        <v>46</v>
      </c>
      <c r="I170" s="3"/>
      <c r="J170" s="42"/>
    </row>
    <row r="171" spans="1:11" x14ac:dyDescent="0.25">
      <c r="A171" s="12">
        <v>42037</v>
      </c>
      <c r="B171" s="21">
        <v>10868</v>
      </c>
      <c r="C171" s="40" t="s">
        <v>416</v>
      </c>
      <c r="D171" s="105">
        <v>468</v>
      </c>
      <c r="E171" s="23">
        <v>42037</v>
      </c>
      <c r="F171" s="106">
        <v>468</v>
      </c>
      <c r="G171" s="25">
        <f t="shared" si="2"/>
        <v>0</v>
      </c>
      <c r="H171" s="41" t="s">
        <v>9</v>
      </c>
      <c r="I171" s="3"/>
      <c r="J171" s="42"/>
    </row>
    <row r="172" spans="1:11" x14ac:dyDescent="0.25">
      <c r="A172" s="20">
        <v>42037</v>
      </c>
      <c r="B172" s="21">
        <v>10869</v>
      </c>
      <c r="C172" s="40" t="s">
        <v>87</v>
      </c>
      <c r="D172" s="105">
        <v>1412.8</v>
      </c>
      <c r="E172" s="23">
        <v>42037</v>
      </c>
      <c r="F172" s="106">
        <v>1412.8</v>
      </c>
      <c r="G172" s="25">
        <f t="shared" si="2"/>
        <v>0</v>
      </c>
      <c r="H172" s="41" t="s">
        <v>9</v>
      </c>
      <c r="I172" s="3"/>
      <c r="J172" s="42"/>
    </row>
    <row r="173" spans="1:11" x14ac:dyDescent="0.25">
      <c r="A173" s="12">
        <v>42037</v>
      </c>
      <c r="B173" s="21">
        <v>10870</v>
      </c>
      <c r="C173" s="40" t="s">
        <v>180</v>
      </c>
      <c r="D173" s="105">
        <v>6023.6</v>
      </c>
      <c r="E173" s="23">
        <v>42037</v>
      </c>
      <c r="F173" s="106">
        <v>6023.6</v>
      </c>
      <c r="G173" s="25">
        <f t="shared" si="2"/>
        <v>0</v>
      </c>
      <c r="H173" s="41" t="s">
        <v>9</v>
      </c>
      <c r="I173" s="3"/>
      <c r="J173" s="42"/>
    </row>
    <row r="174" spans="1:11" x14ac:dyDescent="0.25">
      <c r="A174" s="20">
        <v>42037</v>
      </c>
      <c r="B174" s="21">
        <v>10871</v>
      </c>
      <c r="C174" s="40" t="s">
        <v>388</v>
      </c>
      <c r="D174" s="105">
        <v>341.6</v>
      </c>
      <c r="E174" s="23">
        <v>42037</v>
      </c>
      <c r="F174" s="106">
        <v>341.6</v>
      </c>
      <c r="G174" s="25">
        <f t="shared" si="2"/>
        <v>0</v>
      </c>
      <c r="H174" s="41" t="s">
        <v>9</v>
      </c>
      <c r="I174" s="3"/>
      <c r="J174" s="42"/>
    </row>
    <row r="175" spans="1:11" x14ac:dyDescent="0.25">
      <c r="A175" s="12">
        <v>42037</v>
      </c>
      <c r="B175" s="21">
        <v>10872</v>
      </c>
      <c r="C175" s="40" t="s">
        <v>32</v>
      </c>
      <c r="D175" s="105">
        <v>155642.4</v>
      </c>
      <c r="E175" s="23">
        <v>42062</v>
      </c>
      <c r="F175" s="106">
        <v>155642.4</v>
      </c>
      <c r="G175" s="25">
        <f t="shared" si="2"/>
        <v>0</v>
      </c>
      <c r="H175" s="41" t="s">
        <v>149</v>
      </c>
      <c r="I175" s="3"/>
      <c r="J175" s="42"/>
    </row>
    <row r="176" spans="1:11" x14ac:dyDescent="0.25">
      <c r="A176" s="20">
        <v>42037</v>
      </c>
      <c r="B176" s="21">
        <v>10873</v>
      </c>
      <c r="C176" s="40" t="s">
        <v>104</v>
      </c>
      <c r="D176" s="105">
        <v>27333.8</v>
      </c>
      <c r="E176" s="23">
        <v>42038</v>
      </c>
      <c r="F176" s="106">
        <v>27333.8</v>
      </c>
      <c r="G176" s="25">
        <f t="shared" si="2"/>
        <v>0</v>
      </c>
      <c r="H176" s="41" t="s">
        <v>19</v>
      </c>
      <c r="I176" s="3"/>
      <c r="J176" s="42"/>
    </row>
    <row r="177" spans="1:22" x14ac:dyDescent="0.25">
      <c r="A177" s="12">
        <v>42037</v>
      </c>
      <c r="B177" s="21">
        <v>10874</v>
      </c>
      <c r="C177" s="40" t="s">
        <v>93</v>
      </c>
      <c r="D177" s="105">
        <v>1795.8</v>
      </c>
      <c r="E177" s="23">
        <v>42038</v>
      </c>
      <c r="F177" s="106">
        <v>1795.8</v>
      </c>
      <c r="G177" s="25">
        <f t="shared" si="2"/>
        <v>0</v>
      </c>
      <c r="H177" s="41" t="s">
        <v>19</v>
      </c>
      <c r="I177" s="3"/>
      <c r="J177" s="42"/>
      <c r="K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spans="1:22" x14ac:dyDescent="0.25">
      <c r="A178" s="20">
        <v>42037</v>
      </c>
      <c r="B178" s="21">
        <v>10875</v>
      </c>
      <c r="C178" s="40" t="s">
        <v>95</v>
      </c>
      <c r="D178" s="105">
        <v>3337.4</v>
      </c>
      <c r="E178" s="23">
        <v>42038</v>
      </c>
      <c r="F178" s="106">
        <v>3337.4</v>
      </c>
      <c r="G178" s="25">
        <f t="shared" si="2"/>
        <v>0</v>
      </c>
      <c r="H178" s="41" t="s">
        <v>19</v>
      </c>
      <c r="I178" s="3"/>
      <c r="J178" s="42"/>
      <c r="K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spans="1:22" x14ac:dyDescent="0.25">
      <c r="A179" s="12">
        <v>42037</v>
      </c>
      <c r="B179" s="21">
        <v>10876</v>
      </c>
      <c r="C179" s="40" t="s">
        <v>96</v>
      </c>
      <c r="D179" s="105">
        <v>6427.3</v>
      </c>
      <c r="E179" s="23">
        <v>42038</v>
      </c>
      <c r="F179" s="106">
        <v>6427.3</v>
      </c>
      <c r="G179" s="25">
        <f t="shared" si="2"/>
        <v>0</v>
      </c>
      <c r="H179" s="41" t="s">
        <v>19</v>
      </c>
      <c r="I179" s="3"/>
      <c r="J179" s="42"/>
      <c r="K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spans="1:22" x14ac:dyDescent="0.25">
      <c r="A180" s="20">
        <v>42037</v>
      </c>
      <c r="B180" s="21">
        <v>10877</v>
      </c>
      <c r="C180" s="40" t="s">
        <v>136</v>
      </c>
      <c r="D180" s="105">
        <v>42146.6</v>
      </c>
      <c r="E180" s="29" t="s">
        <v>548</v>
      </c>
      <c r="F180" s="106">
        <f>14400+27746.6</f>
        <v>42146.6</v>
      </c>
      <c r="G180" s="25">
        <f t="shared" si="2"/>
        <v>0</v>
      </c>
      <c r="H180" s="41" t="s">
        <v>9</v>
      </c>
      <c r="I180" s="3"/>
      <c r="J180" s="42"/>
      <c r="K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spans="1:22" x14ac:dyDescent="0.25">
      <c r="A181" s="12">
        <v>42037</v>
      </c>
      <c r="B181" s="21">
        <v>10878</v>
      </c>
      <c r="C181" s="40" t="s">
        <v>549</v>
      </c>
      <c r="D181" s="105">
        <v>19752.400000000001</v>
      </c>
      <c r="E181" s="23">
        <v>42037</v>
      </c>
      <c r="F181" s="106">
        <v>19752.400000000001</v>
      </c>
      <c r="G181" s="25">
        <f t="shared" si="2"/>
        <v>0</v>
      </c>
      <c r="H181" s="41" t="s">
        <v>46</v>
      </c>
      <c r="I181" s="3"/>
      <c r="J181" s="42"/>
      <c r="K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spans="1:22" x14ac:dyDescent="0.25">
      <c r="A182" s="20">
        <v>42037</v>
      </c>
      <c r="B182" s="21">
        <v>10879</v>
      </c>
      <c r="C182" s="40" t="s">
        <v>336</v>
      </c>
      <c r="D182" s="105">
        <v>102</v>
      </c>
      <c r="E182" s="23">
        <v>42037</v>
      </c>
      <c r="F182" s="106">
        <v>102</v>
      </c>
      <c r="G182" s="25">
        <f t="shared" si="2"/>
        <v>0</v>
      </c>
      <c r="H182" s="41" t="s">
        <v>9</v>
      </c>
      <c r="I182" s="3"/>
      <c r="J182" s="42"/>
      <c r="K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spans="1:22" x14ac:dyDescent="0.25">
      <c r="A183" s="12">
        <v>42037</v>
      </c>
      <c r="B183" s="21">
        <v>10880</v>
      </c>
      <c r="C183" s="40" t="s">
        <v>98</v>
      </c>
      <c r="D183" s="105">
        <v>1507.2</v>
      </c>
      <c r="E183" s="23">
        <v>42038</v>
      </c>
      <c r="F183" s="106">
        <v>1507.2</v>
      </c>
      <c r="G183" s="25">
        <f t="shared" si="2"/>
        <v>0</v>
      </c>
      <c r="H183" s="41" t="s">
        <v>19</v>
      </c>
      <c r="I183" s="3"/>
      <c r="J183" s="42"/>
      <c r="K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spans="1:22" x14ac:dyDescent="0.25">
      <c r="A184" s="20">
        <v>42037</v>
      </c>
      <c r="B184" s="21">
        <v>10881</v>
      </c>
      <c r="C184" s="14" t="s">
        <v>128</v>
      </c>
      <c r="D184" s="105">
        <v>15558.4</v>
      </c>
      <c r="E184" s="29" t="s">
        <v>550</v>
      </c>
      <c r="F184" s="106">
        <f>10400+5158.4</f>
        <v>15558.4</v>
      </c>
      <c r="G184" s="25">
        <f t="shared" si="2"/>
        <v>0</v>
      </c>
      <c r="H184" s="19" t="s">
        <v>17</v>
      </c>
      <c r="I184" s="3"/>
      <c r="J184" s="42"/>
      <c r="K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spans="1:22" x14ac:dyDescent="0.25">
      <c r="A185" s="12">
        <v>42037</v>
      </c>
      <c r="B185" s="21">
        <v>10882</v>
      </c>
      <c r="C185" s="40" t="s">
        <v>132</v>
      </c>
      <c r="D185" s="105">
        <v>1836.4</v>
      </c>
      <c r="E185" s="23">
        <v>42037</v>
      </c>
      <c r="F185" s="106">
        <v>1836.4</v>
      </c>
      <c r="G185" s="25">
        <f t="shared" si="2"/>
        <v>0</v>
      </c>
      <c r="H185" s="41" t="s">
        <v>17</v>
      </c>
      <c r="I185" s="3"/>
      <c r="J185" s="42"/>
      <c r="K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spans="1:22" x14ac:dyDescent="0.25">
      <c r="A186" s="20">
        <v>42037</v>
      </c>
      <c r="B186" s="21">
        <v>10883</v>
      </c>
      <c r="C186" s="40" t="s">
        <v>131</v>
      </c>
      <c r="D186" s="105">
        <v>307.2</v>
      </c>
      <c r="E186" s="23">
        <v>42037</v>
      </c>
      <c r="F186" s="106">
        <v>307.2</v>
      </c>
      <c r="G186" s="25">
        <f t="shared" si="2"/>
        <v>0</v>
      </c>
      <c r="H186" s="41" t="s">
        <v>17</v>
      </c>
      <c r="I186" s="3"/>
      <c r="J186" s="42"/>
      <c r="K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spans="1:22" x14ac:dyDescent="0.25">
      <c r="A187" s="12">
        <v>42037</v>
      </c>
      <c r="B187" s="21">
        <v>10884</v>
      </c>
      <c r="C187" s="40" t="s">
        <v>143</v>
      </c>
      <c r="D187" s="105">
        <v>27504.62</v>
      </c>
      <c r="E187" s="23">
        <v>42041</v>
      </c>
      <c r="F187" s="106">
        <v>27504.62</v>
      </c>
      <c r="G187" s="25">
        <f t="shared" si="2"/>
        <v>0</v>
      </c>
      <c r="H187" s="41" t="s">
        <v>17</v>
      </c>
      <c r="I187" s="3"/>
      <c r="J187" s="42"/>
      <c r="K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spans="1:22" x14ac:dyDescent="0.25">
      <c r="A188" s="20">
        <v>42037</v>
      </c>
      <c r="B188" s="21">
        <v>10885</v>
      </c>
      <c r="C188" s="40" t="s">
        <v>141</v>
      </c>
      <c r="D188" s="105">
        <v>4232</v>
      </c>
      <c r="E188" s="23">
        <v>42037</v>
      </c>
      <c r="F188" s="106">
        <v>4232</v>
      </c>
      <c r="G188" s="25">
        <f t="shared" si="2"/>
        <v>0</v>
      </c>
      <c r="H188" s="41" t="s">
        <v>9</v>
      </c>
      <c r="I188" s="3"/>
      <c r="J188" s="42"/>
      <c r="K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spans="1:22" x14ac:dyDescent="0.25">
      <c r="A189" s="12">
        <v>42037</v>
      </c>
      <c r="B189" s="21">
        <v>10886</v>
      </c>
      <c r="C189" s="40" t="s">
        <v>102</v>
      </c>
      <c r="D189" s="105">
        <v>395.2</v>
      </c>
      <c r="E189" s="23">
        <v>42037</v>
      </c>
      <c r="F189" s="106">
        <v>395.2</v>
      </c>
      <c r="G189" s="25">
        <f t="shared" si="2"/>
        <v>0</v>
      </c>
      <c r="H189" s="41" t="s">
        <v>9</v>
      </c>
      <c r="I189" s="3"/>
      <c r="J189" s="42"/>
      <c r="K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spans="1:22" x14ac:dyDescent="0.25">
      <c r="A190" s="20">
        <v>42037</v>
      </c>
      <c r="B190" s="21">
        <v>10887</v>
      </c>
      <c r="C190" s="40" t="s">
        <v>112</v>
      </c>
      <c r="D190" s="105">
        <v>547.79999999999995</v>
      </c>
      <c r="E190" s="23">
        <v>42037</v>
      </c>
      <c r="F190" s="106">
        <v>547.79999999999995</v>
      </c>
      <c r="G190" s="25">
        <f t="shared" si="2"/>
        <v>0</v>
      </c>
      <c r="H190" s="41" t="s">
        <v>9</v>
      </c>
      <c r="I190" s="3"/>
      <c r="J190" s="42"/>
      <c r="K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spans="1:22" x14ac:dyDescent="0.25">
      <c r="A191" s="12">
        <v>42037</v>
      </c>
      <c r="B191" s="21">
        <v>10888</v>
      </c>
      <c r="C191" s="40" t="s">
        <v>440</v>
      </c>
      <c r="D191" s="105">
        <v>13515.5</v>
      </c>
      <c r="E191" s="23">
        <v>42037</v>
      </c>
      <c r="F191" s="106">
        <v>13515.5</v>
      </c>
      <c r="G191" s="25">
        <f t="shared" si="2"/>
        <v>0</v>
      </c>
      <c r="H191" s="41" t="s">
        <v>9</v>
      </c>
      <c r="I191" s="3"/>
      <c r="J191" s="42"/>
      <c r="K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spans="1:22" x14ac:dyDescent="0.25">
      <c r="A192" s="20">
        <v>42037</v>
      </c>
      <c r="B192" s="21">
        <v>10889</v>
      </c>
      <c r="C192" s="40" t="s">
        <v>213</v>
      </c>
      <c r="D192" s="105">
        <v>58265.4</v>
      </c>
      <c r="E192" s="23">
        <v>42038</v>
      </c>
      <c r="F192" s="106">
        <v>58265.4</v>
      </c>
      <c r="G192" s="25">
        <f t="shared" si="2"/>
        <v>0</v>
      </c>
      <c r="H192" s="41" t="s">
        <v>183</v>
      </c>
      <c r="I192" s="3"/>
      <c r="J192" s="42"/>
      <c r="K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spans="1:22" x14ac:dyDescent="0.25">
      <c r="A193" s="12">
        <v>42037</v>
      </c>
      <c r="B193" s="21">
        <v>10890</v>
      </c>
      <c r="C193" s="40" t="s">
        <v>102</v>
      </c>
      <c r="D193" s="105">
        <v>700</v>
      </c>
      <c r="E193" s="23">
        <v>42037</v>
      </c>
      <c r="F193" s="106">
        <v>700</v>
      </c>
      <c r="G193" s="25">
        <f t="shared" si="2"/>
        <v>0</v>
      </c>
      <c r="H193" s="41" t="s">
        <v>9</v>
      </c>
      <c r="I193" s="3"/>
      <c r="J193" s="42"/>
      <c r="K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spans="1:22" x14ac:dyDescent="0.25">
      <c r="A194" s="20">
        <v>42037</v>
      </c>
      <c r="B194" s="21">
        <v>10891</v>
      </c>
      <c r="C194" s="40" t="s">
        <v>64</v>
      </c>
      <c r="D194" s="105">
        <v>795.5</v>
      </c>
      <c r="E194" s="23">
        <v>42037</v>
      </c>
      <c r="F194" s="106">
        <v>795.5</v>
      </c>
      <c r="G194" s="25">
        <f t="shared" si="2"/>
        <v>0</v>
      </c>
      <c r="H194" s="41" t="s">
        <v>9</v>
      </c>
      <c r="I194" s="3"/>
      <c r="J194" s="42"/>
      <c r="K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spans="1:22" x14ac:dyDescent="0.25">
      <c r="A195" s="12">
        <v>42037</v>
      </c>
      <c r="B195" s="21">
        <v>10892</v>
      </c>
      <c r="C195" s="112" t="s">
        <v>446</v>
      </c>
      <c r="D195" s="105">
        <v>9291.76</v>
      </c>
      <c r="E195" s="30" t="s">
        <v>551</v>
      </c>
      <c r="F195" s="106">
        <v>9291.76</v>
      </c>
      <c r="G195" s="25">
        <f t="shared" ref="G195:G258" si="3">D195-F195</f>
        <v>0</v>
      </c>
      <c r="H195" s="41" t="s">
        <v>9</v>
      </c>
      <c r="I195" s="3"/>
      <c r="J195" s="42"/>
      <c r="K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spans="1:22" x14ac:dyDescent="0.25">
      <c r="A196" s="20">
        <v>42037</v>
      </c>
      <c r="B196" s="21">
        <v>10893</v>
      </c>
      <c r="C196" s="40" t="s">
        <v>47</v>
      </c>
      <c r="D196" s="105">
        <v>7044</v>
      </c>
      <c r="E196" s="23">
        <v>42039</v>
      </c>
      <c r="F196" s="106">
        <v>7044</v>
      </c>
      <c r="G196" s="25">
        <f t="shared" si="3"/>
        <v>0</v>
      </c>
      <c r="H196" s="41" t="s">
        <v>9</v>
      </c>
      <c r="I196" s="3"/>
      <c r="J196" s="42"/>
      <c r="K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spans="1:22" x14ac:dyDescent="0.25">
      <c r="A197" s="12">
        <v>42037</v>
      </c>
      <c r="B197" s="21">
        <v>10894</v>
      </c>
      <c r="C197" s="40" t="s">
        <v>90</v>
      </c>
      <c r="D197" s="105">
        <v>840</v>
      </c>
      <c r="E197" s="23">
        <v>42037</v>
      </c>
      <c r="F197" s="106">
        <v>840</v>
      </c>
      <c r="G197" s="25">
        <f t="shared" si="3"/>
        <v>0</v>
      </c>
      <c r="H197" s="41" t="s">
        <v>9</v>
      </c>
      <c r="I197" s="3"/>
      <c r="J197" s="42"/>
      <c r="K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spans="1:22" x14ac:dyDescent="0.25">
      <c r="A198" s="20">
        <v>42037</v>
      </c>
      <c r="B198" s="21">
        <v>10895</v>
      </c>
      <c r="C198" s="40" t="s">
        <v>80</v>
      </c>
      <c r="D198" s="105">
        <v>7336.8</v>
      </c>
      <c r="E198" s="23">
        <v>42037</v>
      </c>
      <c r="F198" s="106">
        <v>7336.8</v>
      </c>
      <c r="G198" s="25">
        <f t="shared" si="3"/>
        <v>0</v>
      </c>
      <c r="H198" s="41" t="s">
        <v>9</v>
      </c>
      <c r="I198" s="3"/>
      <c r="J198" s="42"/>
      <c r="K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spans="1:22" x14ac:dyDescent="0.25">
      <c r="A199" s="12">
        <v>42037</v>
      </c>
      <c r="B199" s="21">
        <v>10896</v>
      </c>
      <c r="C199" s="40" t="s">
        <v>55</v>
      </c>
      <c r="D199" s="105">
        <v>1160</v>
      </c>
      <c r="E199" s="23">
        <v>42037</v>
      </c>
      <c r="F199" s="106">
        <v>1160</v>
      </c>
      <c r="G199" s="25">
        <f t="shared" si="3"/>
        <v>0</v>
      </c>
      <c r="H199" s="41" t="s">
        <v>9</v>
      </c>
      <c r="I199" s="3"/>
      <c r="J199" s="42"/>
      <c r="K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spans="1:22" x14ac:dyDescent="0.25">
      <c r="A200" s="20">
        <v>42037</v>
      </c>
      <c r="B200" s="21">
        <v>10897</v>
      </c>
      <c r="C200" s="40" t="s">
        <v>234</v>
      </c>
      <c r="D200" s="105">
        <v>112.5</v>
      </c>
      <c r="E200" s="23">
        <v>42037</v>
      </c>
      <c r="F200" s="106">
        <v>112.5</v>
      </c>
      <c r="G200" s="25">
        <f t="shared" si="3"/>
        <v>0</v>
      </c>
      <c r="H200" s="41" t="s">
        <v>9</v>
      </c>
      <c r="I200" s="3"/>
      <c r="J200" s="42"/>
      <c r="K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spans="1:22" x14ac:dyDescent="0.25">
      <c r="A201" s="12">
        <v>42037</v>
      </c>
      <c r="B201" s="21">
        <v>10898</v>
      </c>
      <c r="C201" s="40" t="s">
        <v>195</v>
      </c>
      <c r="D201" s="105">
        <v>174099.53</v>
      </c>
      <c r="E201" s="23">
        <v>42046</v>
      </c>
      <c r="F201" s="106">
        <v>174099.53</v>
      </c>
      <c r="G201" s="25">
        <f t="shared" si="3"/>
        <v>0</v>
      </c>
      <c r="H201" s="41" t="s">
        <v>149</v>
      </c>
      <c r="I201" s="3"/>
      <c r="J201" s="42"/>
      <c r="K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spans="1:22" x14ac:dyDescent="0.25">
      <c r="A202" s="20">
        <v>42037</v>
      </c>
      <c r="B202" s="21">
        <v>10899</v>
      </c>
      <c r="C202" s="44" t="s">
        <v>218</v>
      </c>
      <c r="D202" s="108">
        <v>0</v>
      </c>
      <c r="E202" s="23"/>
      <c r="F202" s="106"/>
      <c r="G202" s="25">
        <f t="shared" si="3"/>
        <v>0</v>
      </c>
      <c r="H202" s="41" t="s">
        <v>13</v>
      </c>
      <c r="I202" s="3"/>
      <c r="J202" s="42"/>
      <c r="K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spans="1:22" x14ac:dyDescent="0.25">
      <c r="A203" s="12">
        <v>42037</v>
      </c>
      <c r="B203" s="21">
        <v>10900</v>
      </c>
      <c r="C203" s="44" t="s">
        <v>218</v>
      </c>
      <c r="D203" s="108">
        <v>0</v>
      </c>
      <c r="E203" s="23"/>
      <c r="F203" s="106"/>
      <c r="G203" s="25">
        <f t="shared" si="3"/>
        <v>0</v>
      </c>
      <c r="H203" s="41" t="s">
        <v>13</v>
      </c>
      <c r="I203" s="3"/>
      <c r="J203" s="42"/>
      <c r="K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spans="1:22" x14ac:dyDescent="0.25">
      <c r="A204" s="20">
        <v>42037</v>
      </c>
      <c r="B204" s="21">
        <v>10901</v>
      </c>
      <c r="C204" s="40" t="s">
        <v>68</v>
      </c>
      <c r="D204" s="105">
        <v>6180.8</v>
      </c>
      <c r="E204" s="23">
        <v>42039</v>
      </c>
      <c r="F204" s="106">
        <v>6180.8</v>
      </c>
      <c r="G204" s="25">
        <f t="shared" si="3"/>
        <v>0</v>
      </c>
      <c r="H204" s="41" t="s">
        <v>149</v>
      </c>
      <c r="I204" s="3"/>
      <c r="J204" s="42"/>
      <c r="K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spans="1:22" x14ac:dyDescent="0.25">
      <c r="A205" s="12">
        <v>42037</v>
      </c>
      <c r="B205" s="21">
        <v>10902</v>
      </c>
      <c r="C205" s="40" t="s">
        <v>207</v>
      </c>
      <c r="D205" s="105">
        <v>62092.7</v>
      </c>
      <c r="E205" s="23">
        <v>42042</v>
      </c>
      <c r="F205" s="106">
        <v>62092.7</v>
      </c>
      <c r="G205" s="25">
        <f t="shared" si="3"/>
        <v>0</v>
      </c>
      <c r="H205" s="41" t="s">
        <v>149</v>
      </c>
      <c r="I205" s="3"/>
      <c r="J205" s="42"/>
      <c r="K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spans="1:22" x14ac:dyDescent="0.25">
      <c r="A206" s="20">
        <v>42037</v>
      </c>
      <c r="B206" s="21">
        <v>10903</v>
      </c>
      <c r="C206" s="40" t="s">
        <v>24</v>
      </c>
      <c r="D206" s="105">
        <v>71322.8</v>
      </c>
      <c r="E206" s="23">
        <v>42062</v>
      </c>
      <c r="F206" s="106">
        <v>71322.8</v>
      </c>
      <c r="G206" s="31">
        <f t="shared" si="3"/>
        <v>0</v>
      </c>
      <c r="H206" s="41" t="s">
        <v>94</v>
      </c>
      <c r="I206" s="3"/>
      <c r="J206" s="42"/>
      <c r="K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spans="1:22" x14ac:dyDescent="0.25">
      <c r="A207" s="12">
        <v>42037</v>
      </c>
      <c r="B207" s="21">
        <v>10904</v>
      </c>
      <c r="C207" s="40" t="s">
        <v>552</v>
      </c>
      <c r="D207" s="105">
        <v>18829.400000000001</v>
      </c>
      <c r="E207" s="23">
        <v>42039</v>
      </c>
      <c r="F207" s="106">
        <v>18829.400000000001</v>
      </c>
      <c r="G207" s="31">
        <f t="shared" si="3"/>
        <v>0</v>
      </c>
      <c r="H207" s="41" t="s">
        <v>149</v>
      </c>
      <c r="I207" s="3"/>
      <c r="J207" s="42"/>
      <c r="K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spans="1:22" x14ac:dyDescent="0.25">
      <c r="A208" s="20">
        <v>42037</v>
      </c>
      <c r="B208" s="21">
        <v>10905</v>
      </c>
      <c r="C208" s="40" t="s">
        <v>205</v>
      </c>
      <c r="D208" s="105">
        <v>3490.8</v>
      </c>
      <c r="E208" s="30" t="s">
        <v>553</v>
      </c>
      <c r="F208" s="106">
        <v>3490.8</v>
      </c>
      <c r="G208" s="31">
        <f t="shared" si="3"/>
        <v>0</v>
      </c>
      <c r="H208" s="41" t="s">
        <v>149</v>
      </c>
      <c r="I208" s="3"/>
      <c r="J208" s="42"/>
      <c r="K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spans="1:22" x14ac:dyDescent="0.25">
      <c r="A209" s="12">
        <v>42037</v>
      </c>
      <c r="B209" s="21">
        <v>10906</v>
      </c>
      <c r="C209" s="40" t="s">
        <v>198</v>
      </c>
      <c r="D209" s="105">
        <v>16742.759999999998</v>
      </c>
      <c r="E209" s="23">
        <v>42039</v>
      </c>
      <c r="F209" s="106">
        <v>16742.759999999998</v>
      </c>
      <c r="G209" s="31">
        <f t="shared" si="3"/>
        <v>0</v>
      </c>
      <c r="H209" s="41" t="s">
        <v>149</v>
      </c>
      <c r="I209" s="3"/>
      <c r="J209" s="42"/>
      <c r="K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spans="1:22" x14ac:dyDescent="0.25">
      <c r="A210" s="20">
        <v>42037</v>
      </c>
      <c r="B210" s="21">
        <v>10907</v>
      </c>
      <c r="C210" s="44" t="s">
        <v>218</v>
      </c>
      <c r="D210" s="108">
        <v>0</v>
      </c>
      <c r="E210" s="29"/>
      <c r="F210" s="106"/>
      <c r="G210" s="31">
        <f t="shared" si="3"/>
        <v>0</v>
      </c>
      <c r="H210" s="41" t="s">
        <v>13</v>
      </c>
      <c r="I210" s="3"/>
      <c r="J210" s="42"/>
      <c r="K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spans="1:22" x14ac:dyDescent="0.25">
      <c r="A211" s="12">
        <v>42037</v>
      </c>
      <c r="B211" s="21">
        <v>10908</v>
      </c>
      <c r="C211" s="40" t="s">
        <v>318</v>
      </c>
      <c r="D211" s="105">
        <v>10645.2</v>
      </c>
      <c r="E211" s="23">
        <v>42037</v>
      </c>
      <c r="F211" s="106">
        <v>10645.2</v>
      </c>
      <c r="G211" s="31">
        <f t="shared" si="3"/>
        <v>0</v>
      </c>
      <c r="H211" s="41" t="s">
        <v>9</v>
      </c>
      <c r="I211" s="3"/>
      <c r="J211" s="42"/>
      <c r="K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spans="1:22" x14ac:dyDescent="0.25">
      <c r="A212" s="20">
        <v>42037</v>
      </c>
      <c r="B212" s="21">
        <v>10909</v>
      </c>
      <c r="C212" s="40" t="s">
        <v>420</v>
      </c>
      <c r="D212" s="105">
        <v>3724.2</v>
      </c>
      <c r="E212" s="23">
        <v>42039</v>
      </c>
      <c r="F212" s="106">
        <v>3724.2</v>
      </c>
      <c r="G212" s="31">
        <f t="shared" si="3"/>
        <v>0</v>
      </c>
      <c r="H212" s="41" t="s">
        <v>149</v>
      </c>
      <c r="I212" s="3"/>
      <c r="J212" s="42"/>
      <c r="K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spans="1:22" x14ac:dyDescent="0.25">
      <c r="A213" s="12">
        <v>42037</v>
      </c>
      <c r="B213" s="21">
        <v>10910</v>
      </c>
      <c r="C213" s="40" t="s">
        <v>200</v>
      </c>
      <c r="D213" s="105">
        <v>680.4</v>
      </c>
      <c r="E213" s="23">
        <v>42039</v>
      </c>
      <c r="F213" s="106">
        <v>680.4</v>
      </c>
      <c r="G213" s="31">
        <f t="shared" si="3"/>
        <v>0</v>
      </c>
      <c r="H213" s="41" t="s">
        <v>149</v>
      </c>
      <c r="I213" s="3"/>
      <c r="J213" s="42"/>
      <c r="K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spans="1:22" x14ac:dyDescent="0.25">
      <c r="A214" s="20">
        <v>42037</v>
      </c>
      <c r="B214" s="21">
        <v>10911</v>
      </c>
      <c r="C214" s="40" t="s">
        <v>199</v>
      </c>
      <c r="D214" s="105">
        <v>19029.2</v>
      </c>
      <c r="E214" s="23">
        <v>42039</v>
      </c>
      <c r="F214" s="106">
        <v>19029.2</v>
      </c>
      <c r="G214" s="31">
        <f t="shared" si="3"/>
        <v>0</v>
      </c>
      <c r="H214" s="41" t="s">
        <v>149</v>
      </c>
      <c r="I214" s="3"/>
      <c r="J214" s="42"/>
      <c r="K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spans="1:22" x14ac:dyDescent="0.25">
      <c r="A215" s="12">
        <v>42037</v>
      </c>
      <c r="B215" s="21">
        <v>10912</v>
      </c>
      <c r="C215" s="40" t="s">
        <v>199</v>
      </c>
      <c r="D215" s="105">
        <v>952</v>
      </c>
      <c r="E215" s="23">
        <v>42039</v>
      </c>
      <c r="F215" s="106">
        <v>952</v>
      </c>
      <c r="G215" s="31">
        <f t="shared" si="3"/>
        <v>0</v>
      </c>
      <c r="H215" s="41" t="s">
        <v>149</v>
      </c>
      <c r="I215" s="3"/>
      <c r="J215" s="42"/>
      <c r="K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spans="1:22" x14ac:dyDescent="0.25">
      <c r="A216" s="20">
        <v>42037</v>
      </c>
      <c r="B216" s="21">
        <v>10913</v>
      </c>
      <c r="C216" s="40" t="s">
        <v>204</v>
      </c>
      <c r="D216" s="105">
        <v>5179.8</v>
      </c>
      <c r="E216" s="23">
        <v>42039</v>
      </c>
      <c r="F216" s="106">
        <v>5179.8</v>
      </c>
      <c r="G216" s="31">
        <f t="shared" si="3"/>
        <v>0</v>
      </c>
      <c r="H216" s="41" t="s">
        <v>149</v>
      </c>
      <c r="I216" s="3"/>
      <c r="J216" s="42"/>
      <c r="K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spans="1:22" x14ac:dyDescent="0.25">
      <c r="A217" s="12">
        <v>42037</v>
      </c>
      <c r="B217" s="21">
        <v>10914</v>
      </c>
      <c r="C217" s="40" t="s">
        <v>196</v>
      </c>
      <c r="D217" s="105">
        <v>11052.44</v>
      </c>
      <c r="E217" s="23">
        <v>42039</v>
      </c>
      <c r="F217" s="106">
        <v>11052.44</v>
      </c>
      <c r="G217" s="31">
        <f t="shared" si="3"/>
        <v>0</v>
      </c>
      <c r="H217" s="41" t="s">
        <v>149</v>
      </c>
      <c r="I217" s="3"/>
      <c r="J217" s="42"/>
      <c r="K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spans="1:22" x14ac:dyDescent="0.25">
      <c r="A218" s="20">
        <v>42037</v>
      </c>
      <c r="B218" s="21">
        <v>10915</v>
      </c>
      <c r="C218" s="40" t="s">
        <v>261</v>
      </c>
      <c r="D218" s="105">
        <v>18265.599999999999</v>
      </c>
      <c r="E218" s="23">
        <v>42039</v>
      </c>
      <c r="F218" s="106">
        <v>18265.599999999999</v>
      </c>
      <c r="G218" s="31">
        <f t="shared" si="3"/>
        <v>0</v>
      </c>
      <c r="H218" s="41" t="s">
        <v>149</v>
      </c>
      <c r="I218" s="3"/>
      <c r="J218" s="42"/>
      <c r="K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spans="1:22" x14ac:dyDescent="0.25">
      <c r="A219" s="12">
        <v>42037</v>
      </c>
      <c r="B219" s="21">
        <v>10916</v>
      </c>
      <c r="C219" s="40" t="s">
        <v>554</v>
      </c>
      <c r="D219" s="105">
        <v>26.6</v>
      </c>
      <c r="E219" s="23">
        <v>42038</v>
      </c>
      <c r="F219" s="106">
        <v>26.6</v>
      </c>
      <c r="G219" s="31">
        <f t="shared" si="3"/>
        <v>0</v>
      </c>
      <c r="H219" s="41" t="s">
        <v>9</v>
      </c>
      <c r="I219" s="3"/>
      <c r="J219" s="42"/>
      <c r="K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spans="1:22" x14ac:dyDescent="0.25">
      <c r="A220" s="20">
        <v>42037</v>
      </c>
      <c r="B220" s="21">
        <v>10917</v>
      </c>
      <c r="C220" s="40" t="s">
        <v>262</v>
      </c>
      <c r="D220" s="105">
        <v>10457</v>
      </c>
      <c r="E220" s="23">
        <v>42039</v>
      </c>
      <c r="F220" s="106">
        <v>10457</v>
      </c>
      <c r="G220" s="31">
        <f t="shared" si="3"/>
        <v>0</v>
      </c>
      <c r="H220" s="41" t="s">
        <v>149</v>
      </c>
      <c r="I220" s="3"/>
      <c r="J220" s="42"/>
      <c r="K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spans="1:22" x14ac:dyDescent="0.25">
      <c r="A221" s="12">
        <v>42037</v>
      </c>
      <c r="B221" s="21">
        <v>10918</v>
      </c>
      <c r="C221" s="40" t="s">
        <v>203</v>
      </c>
      <c r="D221" s="105">
        <v>17863.599999999999</v>
      </c>
      <c r="E221" s="23">
        <v>42039</v>
      </c>
      <c r="F221" s="106">
        <v>17863.599999999999</v>
      </c>
      <c r="G221" s="31">
        <f t="shared" si="3"/>
        <v>0</v>
      </c>
      <c r="H221" s="41" t="s">
        <v>149</v>
      </c>
      <c r="I221" s="3"/>
      <c r="J221" s="42"/>
      <c r="K221" s="3"/>
      <c r="M221" s="3"/>
      <c r="N221" s="3"/>
      <c r="O221" s="3"/>
      <c r="P221" s="3"/>
      <c r="Q221" s="3"/>
      <c r="R221" s="3"/>
      <c r="S221" s="3"/>
      <c r="T221" s="3"/>
      <c r="U221" s="3"/>
      <c r="V221" s="3"/>
    </row>
    <row r="222" spans="1:22" x14ac:dyDescent="0.25">
      <c r="A222" s="20">
        <v>42037</v>
      </c>
      <c r="B222" s="21">
        <v>10919</v>
      </c>
      <c r="C222" s="40" t="s">
        <v>208</v>
      </c>
      <c r="D222" s="105">
        <v>23820</v>
      </c>
      <c r="E222" s="23">
        <v>42039</v>
      </c>
      <c r="F222" s="106">
        <v>23820</v>
      </c>
      <c r="G222" s="31">
        <f t="shared" si="3"/>
        <v>0</v>
      </c>
      <c r="H222" s="41" t="s">
        <v>149</v>
      </c>
      <c r="I222" s="3"/>
      <c r="J222" s="42"/>
      <c r="K222" s="3"/>
      <c r="M222" s="3"/>
      <c r="N222" s="3"/>
      <c r="O222" s="3"/>
      <c r="P222" s="3"/>
      <c r="Q222" s="3"/>
      <c r="R222" s="3"/>
      <c r="S222" s="3"/>
      <c r="T222" s="3"/>
      <c r="U222" s="3"/>
      <c r="V222" s="3"/>
    </row>
    <row r="223" spans="1:22" x14ac:dyDescent="0.25">
      <c r="A223" s="20">
        <v>42038</v>
      </c>
      <c r="B223" s="21">
        <v>10920</v>
      </c>
      <c r="C223" s="40" t="s">
        <v>11</v>
      </c>
      <c r="D223" s="105">
        <v>15416</v>
      </c>
      <c r="E223" s="23">
        <v>42038</v>
      </c>
      <c r="F223" s="106">
        <v>15416</v>
      </c>
      <c r="G223" s="31">
        <f t="shared" si="3"/>
        <v>0</v>
      </c>
      <c r="H223" s="41" t="s">
        <v>9</v>
      </c>
      <c r="I223" s="3"/>
      <c r="J223" s="42"/>
      <c r="K223" s="3"/>
      <c r="M223" s="3"/>
      <c r="N223" s="3"/>
      <c r="O223" s="3"/>
      <c r="P223" s="3"/>
      <c r="Q223" s="3"/>
      <c r="R223" s="3"/>
      <c r="S223" s="3"/>
      <c r="T223" s="3"/>
      <c r="U223" s="3"/>
      <c r="V223" s="3"/>
    </row>
    <row r="224" spans="1:22" x14ac:dyDescent="0.25">
      <c r="A224" s="20">
        <v>42038</v>
      </c>
      <c r="B224" s="21">
        <v>10921</v>
      </c>
      <c r="C224" s="40" t="s">
        <v>555</v>
      </c>
      <c r="D224" s="105">
        <v>93640.4</v>
      </c>
      <c r="E224" s="23">
        <v>42039</v>
      </c>
      <c r="F224" s="106">
        <v>93640.4</v>
      </c>
      <c r="G224" s="31">
        <f t="shared" si="3"/>
        <v>0</v>
      </c>
      <c r="H224" s="41" t="s">
        <v>9</v>
      </c>
      <c r="I224" s="3"/>
      <c r="J224" s="42"/>
      <c r="K224" s="3"/>
      <c r="M224" s="3"/>
      <c r="N224" s="3"/>
      <c r="O224" s="3"/>
      <c r="P224" s="3"/>
      <c r="Q224" s="3"/>
      <c r="R224" s="3"/>
      <c r="S224" s="3"/>
      <c r="T224" s="3"/>
      <c r="U224" s="3"/>
      <c r="V224" s="3"/>
    </row>
    <row r="225" spans="1:22" x14ac:dyDescent="0.25">
      <c r="A225" s="20">
        <v>42038</v>
      </c>
      <c r="B225" s="21">
        <v>10922</v>
      </c>
      <c r="C225" s="40" t="s">
        <v>20</v>
      </c>
      <c r="D225" s="105">
        <v>16275</v>
      </c>
      <c r="E225" s="23">
        <v>42038</v>
      </c>
      <c r="F225" s="106">
        <v>16275</v>
      </c>
      <c r="G225" s="31">
        <f t="shared" si="3"/>
        <v>0</v>
      </c>
      <c r="H225" s="41" t="s">
        <v>17</v>
      </c>
      <c r="I225" s="3"/>
      <c r="J225" s="42"/>
      <c r="K225" s="3"/>
      <c r="M225" s="3"/>
      <c r="N225" s="3"/>
      <c r="O225" s="3"/>
      <c r="P225" s="3"/>
      <c r="Q225" s="3"/>
      <c r="R225" s="3"/>
      <c r="S225" s="3"/>
      <c r="T225" s="3"/>
      <c r="U225" s="3"/>
      <c r="V225" s="3"/>
    </row>
    <row r="226" spans="1:22" x14ac:dyDescent="0.25">
      <c r="A226" s="20">
        <v>42038</v>
      </c>
      <c r="B226" s="21">
        <v>10923</v>
      </c>
      <c r="C226" s="40" t="s">
        <v>31</v>
      </c>
      <c r="D226" s="105">
        <v>3768</v>
      </c>
      <c r="E226" s="23">
        <v>42038</v>
      </c>
      <c r="F226" s="106">
        <v>3768</v>
      </c>
      <c r="G226" s="31">
        <f t="shared" si="3"/>
        <v>0</v>
      </c>
      <c r="H226" s="41" t="s">
        <v>17</v>
      </c>
      <c r="K226" s="3"/>
      <c r="M226" s="3"/>
      <c r="N226" s="3"/>
      <c r="O226" s="3"/>
      <c r="P226" s="3"/>
      <c r="Q226" s="3"/>
      <c r="R226" s="3"/>
      <c r="S226" s="3"/>
      <c r="T226" s="3"/>
      <c r="U226" s="3"/>
      <c r="V226" s="3"/>
    </row>
    <row r="227" spans="1:22" x14ac:dyDescent="0.25">
      <c r="A227" s="20">
        <v>42038</v>
      </c>
      <c r="B227" s="21">
        <v>10924</v>
      </c>
      <c r="C227" s="40" t="s">
        <v>121</v>
      </c>
      <c r="D227" s="105">
        <v>3240</v>
      </c>
      <c r="E227" s="23">
        <v>42038</v>
      </c>
      <c r="F227" s="106">
        <v>3240</v>
      </c>
      <c r="G227" s="31">
        <f t="shared" si="3"/>
        <v>0</v>
      </c>
      <c r="H227" s="41" t="s">
        <v>9</v>
      </c>
      <c r="K227" s="3"/>
      <c r="M227" s="3"/>
      <c r="N227" s="3"/>
      <c r="O227" s="3"/>
      <c r="P227" s="3"/>
      <c r="Q227" s="3"/>
      <c r="R227" s="3"/>
      <c r="S227" s="3"/>
      <c r="T227" s="3"/>
      <c r="U227" s="3"/>
      <c r="V227" s="3"/>
    </row>
    <row r="228" spans="1:22" x14ac:dyDescent="0.25">
      <c r="A228" s="20">
        <v>42038</v>
      </c>
      <c r="B228" s="21">
        <v>10925</v>
      </c>
      <c r="C228" s="40" t="s">
        <v>267</v>
      </c>
      <c r="D228" s="105">
        <v>1400.9</v>
      </c>
      <c r="E228" s="23">
        <v>42038</v>
      </c>
      <c r="F228" s="106">
        <v>1400.9</v>
      </c>
      <c r="G228" s="31">
        <f t="shared" si="3"/>
        <v>0</v>
      </c>
      <c r="H228" s="41" t="s">
        <v>94</v>
      </c>
      <c r="K228" s="3"/>
      <c r="M228" s="3"/>
      <c r="N228" s="3"/>
      <c r="O228" s="3"/>
      <c r="P228" s="3"/>
      <c r="Q228" s="3"/>
      <c r="R228" s="3"/>
      <c r="S228" s="3"/>
      <c r="T228" s="3"/>
      <c r="U228" s="3"/>
      <c r="V228" s="3"/>
    </row>
    <row r="229" spans="1:22" x14ac:dyDescent="0.25">
      <c r="A229" s="20">
        <v>42038</v>
      </c>
      <c r="B229" s="21">
        <v>10926</v>
      </c>
      <c r="C229" s="40" t="s">
        <v>14</v>
      </c>
      <c r="D229" s="105">
        <v>26839.4</v>
      </c>
      <c r="E229" s="23">
        <v>42048</v>
      </c>
      <c r="F229" s="106">
        <v>26839.4</v>
      </c>
      <c r="G229" s="31">
        <f t="shared" si="3"/>
        <v>0</v>
      </c>
      <c r="H229" s="41" t="s">
        <v>9</v>
      </c>
      <c r="K229" s="3"/>
      <c r="M229" s="3"/>
      <c r="N229" s="3"/>
      <c r="O229" s="3"/>
      <c r="P229" s="3"/>
      <c r="Q229" s="3"/>
      <c r="R229" s="3"/>
      <c r="S229" s="3"/>
      <c r="T229" s="3"/>
      <c r="U229" s="3"/>
      <c r="V229" s="3"/>
    </row>
    <row r="230" spans="1:22" x14ac:dyDescent="0.25">
      <c r="A230" s="20">
        <v>42038</v>
      </c>
      <c r="B230" s="21">
        <v>10927</v>
      </c>
      <c r="C230" s="40" t="s">
        <v>148</v>
      </c>
      <c r="D230" s="105">
        <v>4075.6</v>
      </c>
      <c r="E230" s="23">
        <v>42038</v>
      </c>
      <c r="F230" s="106">
        <v>4075.6</v>
      </c>
      <c r="G230" s="31">
        <f t="shared" si="3"/>
        <v>0</v>
      </c>
      <c r="H230" s="41" t="s">
        <v>9</v>
      </c>
      <c r="J230" s="107"/>
      <c r="K230" s="3"/>
      <c r="M230" s="3"/>
      <c r="N230" s="3"/>
      <c r="O230" s="3"/>
      <c r="P230" s="3"/>
      <c r="Q230" s="3"/>
      <c r="R230" s="3"/>
      <c r="S230" s="3"/>
      <c r="T230" s="3"/>
      <c r="U230" s="3"/>
      <c r="V230" s="3"/>
    </row>
    <row r="231" spans="1:22" x14ac:dyDescent="0.25">
      <c r="A231" s="20">
        <v>42038</v>
      </c>
      <c r="B231" s="21">
        <v>10928</v>
      </c>
      <c r="C231" s="40" t="s">
        <v>110</v>
      </c>
      <c r="D231" s="105">
        <v>7813.3</v>
      </c>
      <c r="E231" s="23">
        <v>42048</v>
      </c>
      <c r="F231" s="106">
        <v>7813.3</v>
      </c>
      <c r="G231" s="31">
        <f t="shared" si="3"/>
        <v>0</v>
      </c>
      <c r="H231" s="41" t="s">
        <v>94</v>
      </c>
      <c r="K231" s="3"/>
      <c r="M231" s="3"/>
      <c r="N231" s="3"/>
      <c r="O231" s="3"/>
      <c r="P231" s="3"/>
      <c r="Q231" s="3"/>
      <c r="R231" s="3"/>
      <c r="S231" s="3"/>
      <c r="T231" s="3"/>
      <c r="U231" s="3"/>
      <c r="V231" s="3"/>
    </row>
    <row r="232" spans="1:22" x14ac:dyDescent="0.25">
      <c r="A232" s="20">
        <v>42038</v>
      </c>
      <c r="B232" s="21">
        <v>10929</v>
      </c>
      <c r="C232" s="40" t="s">
        <v>21</v>
      </c>
      <c r="D232" s="105">
        <v>9867.2000000000007</v>
      </c>
      <c r="E232" s="23">
        <v>42038</v>
      </c>
      <c r="F232" s="106">
        <v>9867.2000000000007</v>
      </c>
      <c r="G232" s="31">
        <f t="shared" si="3"/>
        <v>0</v>
      </c>
      <c r="H232" s="41" t="s">
        <v>9</v>
      </c>
      <c r="K232" s="3"/>
      <c r="M232" s="3"/>
      <c r="N232" s="3"/>
      <c r="O232" s="3"/>
      <c r="P232" s="3"/>
      <c r="Q232" s="3"/>
      <c r="R232" s="3"/>
      <c r="S232" s="3"/>
      <c r="T232" s="3"/>
      <c r="U232" s="3"/>
      <c r="V232" s="3"/>
    </row>
    <row r="233" spans="1:22" x14ac:dyDescent="0.25">
      <c r="A233" s="20">
        <v>42038</v>
      </c>
      <c r="B233" s="21">
        <v>10930</v>
      </c>
      <c r="C233" s="40" t="s">
        <v>38</v>
      </c>
      <c r="D233" s="105">
        <v>39265.199999999997</v>
      </c>
      <c r="E233" s="23">
        <v>42060</v>
      </c>
      <c r="F233" s="106">
        <v>39265.199999999997</v>
      </c>
      <c r="G233" s="31">
        <f t="shared" si="3"/>
        <v>0</v>
      </c>
      <c r="H233" s="41" t="s">
        <v>19</v>
      </c>
      <c r="K233" s="3"/>
      <c r="M233" s="3"/>
      <c r="N233" s="3"/>
      <c r="O233" s="3"/>
      <c r="P233" s="3"/>
      <c r="Q233" s="3"/>
      <c r="R233" s="3"/>
      <c r="S233" s="3"/>
      <c r="T233" s="3"/>
      <c r="U233" s="3"/>
      <c r="V233" s="3"/>
    </row>
    <row r="234" spans="1:22" x14ac:dyDescent="0.25">
      <c r="A234" s="20">
        <v>42038</v>
      </c>
      <c r="B234" s="21">
        <v>10931</v>
      </c>
      <c r="C234" s="40" t="s">
        <v>239</v>
      </c>
      <c r="D234" s="105">
        <v>711.2</v>
      </c>
      <c r="E234" s="23">
        <v>42038</v>
      </c>
      <c r="F234" s="106">
        <v>711.2</v>
      </c>
      <c r="G234" s="31">
        <f t="shared" si="3"/>
        <v>0</v>
      </c>
      <c r="H234" s="41" t="s">
        <v>9</v>
      </c>
      <c r="K234" s="3"/>
      <c r="M234" s="3"/>
      <c r="N234" s="3"/>
      <c r="O234" s="3"/>
      <c r="P234" s="3"/>
      <c r="Q234" s="3"/>
      <c r="R234" s="3"/>
      <c r="S234" s="3"/>
      <c r="T234" s="3"/>
      <c r="U234" s="3"/>
      <c r="V234" s="3"/>
    </row>
    <row r="235" spans="1:22" x14ac:dyDescent="0.25">
      <c r="A235" s="20">
        <v>42038</v>
      </c>
      <c r="B235" s="21">
        <v>10932</v>
      </c>
      <c r="C235" s="40" t="s">
        <v>114</v>
      </c>
      <c r="D235" s="105">
        <v>2628.8</v>
      </c>
      <c r="E235" s="23">
        <v>42038</v>
      </c>
      <c r="F235" s="106">
        <v>2628.8</v>
      </c>
      <c r="G235" s="31">
        <f t="shared" si="3"/>
        <v>0</v>
      </c>
      <c r="H235" s="41" t="s">
        <v>9</v>
      </c>
      <c r="K235" s="3"/>
      <c r="M235" s="3"/>
      <c r="N235" s="3"/>
      <c r="O235" s="3"/>
      <c r="P235" s="3"/>
      <c r="Q235" s="3"/>
      <c r="R235" s="3"/>
      <c r="S235" s="3"/>
      <c r="T235" s="3"/>
      <c r="U235" s="3"/>
      <c r="V235" s="3"/>
    </row>
    <row r="236" spans="1:22" x14ac:dyDescent="0.25">
      <c r="A236" s="20">
        <v>42038</v>
      </c>
      <c r="B236" s="21">
        <v>10933</v>
      </c>
      <c r="C236" s="40" t="s">
        <v>151</v>
      </c>
      <c r="D236" s="105">
        <v>9037.4</v>
      </c>
      <c r="E236" s="23">
        <v>42039</v>
      </c>
      <c r="F236" s="106">
        <v>9037.4</v>
      </c>
      <c r="G236" s="31">
        <f t="shared" si="3"/>
        <v>0</v>
      </c>
      <c r="H236" s="41" t="s">
        <v>9</v>
      </c>
      <c r="K236" s="3"/>
      <c r="M236" s="3"/>
      <c r="N236" s="3"/>
      <c r="O236" s="3"/>
      <c r="P236" s="3"/>
      <c r="Q236" s="3"/>
      <c r="R236" s="3"/>
      <c r="S236" s="3"/>
      <c r="T236" s="3"/>
      <c r="U236" s="3"/>
      <c r="V236" s="3"/>
    </row>
    <row r="237" spans="1:22" x14ac:dyDescent="0.25">
      <c r="A237" s="20">
        <v>42038</v>
      </c>
      <c r="B237" s="21">
        <v>10934</v>
      </c>
      <c r="C237" s="40" t="s">
        <v>400</v>
      </c>
      <c r="D237" s="105">
        <v>10223.1</v>
      </c>
      <c r="E237" s="23">
        <v>42038</v>
      </c>
      <c r="F237" s="106">
        <v>10223.1</v>
      </c>
      <c r="G237" s="31">
        <f t="shared" si="3"/>
        <v>0</v>
      </c>
      <c r="H237" s="41" t="s">
        <v>9</v>
      </c>
      <c r="K237" s="3"/>
      <c r="M237" s="3"/>
      <c r="N237" s="3"/>
      <c r="O237" s="3"/>
      <c r="P237" s="3"/>
      <c r="Q237" s="3"/>
      <c r="R237" s="3"/>
      <c r="S237" s="3"/>
      <c r="T237" s="3"/>
      <c r="U237" s="3"/>
      <c r="V237" s="3"/>
    </row>
    <row r="238" spans="1:22" x14ac:dyDescent="0.25">
      <c r="A238" s="20">
        <v>42038</v>
      </c>
      <c r="B238" s="21">
        <v>10935</v>
      </c>
      <c r="C238" s="40" t="s">
        <v>215</v>
      </c>
      <c r="D238" s="105">
        <v>11748</v>
      </c>
      <c r="E238" s="23">
        <v>42038</v>
      </c>
      <c r="F238" s="106">
        <v>11748</v>
      </c>
      <c r="G238" s="31">
        <f t="shared" si="3"/>
        <v>0</v>
      </c>
      <c r="H238" s="41" t="s">
        <v>9</v>
      </c>
      <c r="K238" s="3"/>
      <c r="M238" s="3"/>
      <c r="N238" s="3"/>
      <c r="O238" s="3"/>
      <c r="P238" s="3"/>
      <c r="Q238" s="3"/>
      <c r="R238" s="3"/>
      <c r="S238" s="3"/>
      <c r="T238" s="3"/>
      <c r="U238" s="3"/>
      <c r="V238" s="3"/>
    </row>
    <row r="239" spans="1:22" x14ac:dyDescent="0.25">
      <c r="A239" s="20">
        <v>42038</v>
      </c>
      <c r="B239" s="21">
        <v>10936</v>
      </c>
      <c r="C239" s="40" t="s">
        <v>22</v>
      </c>
      <c r="D239" s="105">
        <v>1502.6</v>
      </c>
      <c r="E239" s="23">
        <v>42038</v>
      </c>
      <c r="F239" s="106">
        <v>1502.6</v>
      </c>
      <c r="G239" s="31">
        <f t="shared" si="3"/>
        <v>0</v>
      </c>
      <c r="H239" s="41" t="s">
        <v>9</v>
      </c>
      <c r="K239" s="3"/>
      <c r="M239" s="3"/>
      <c r="N239" s="3"/>
      <c r="O239" s="3"/>
      <c r="P239" s="3"/>
      <c r="Q239" s="3"/>
      <c r="R239" s="3"/>
      <c r="S239" s="3"/>
      <c r="T239" s="3"/>
      <c r="U239" s="3"/>
      <c r="V239" s="3"/>
    </row>
    <row r="240" spans="1:22" x14ac:dyDescent="0.25">
      <c r="A240" s="20">
        <v>42038</v>
      </c>
      <c r="B240" s="21">
        <v>10937</v>
      </c>
      <c r="C240" s="40" t="s">
        <v>56</v>
      </c>
      <c r="D240" s="105">
        <v>19001</v>
      </c>
      <c r="E240" s="23">
        <v>42038</v>
      </c>
      <c r="F240" s="106">
        <v>19001</v>
      </c>
      <c r="G240" s="31">
        <f t="shared" si="3"/>
        <v>0</v>
      </c>
      <c r="H240" s="41" t="s">
        <v>36</v>
      </c>
      <c r="K240" s="3"/>
      <c r="M240" s="3"/>
      <c r="N240" s="3"/>
      <c r="O240" s="3"/>
      <c r="P240" s="3"/>
      <c r="Q240" s="3"/>
      <c r="R240" s="3"/>
      <c r="S240" s="3"/>
      <c r="T240" s="3"/>
      <c r="U240" s="3"/>
      <c r="V240" s="3"/>
    </row>
    <row r="241" spans="1:22" x14ac:dyDescent="0.25">
      <c r="A241" s="20">
        <v>42038</v>
      </c>
      <c r="B241" s="21">
        <v>10938</v>
      </c>
      <c r="C241" s="40" t="s">
        <v>45</v>
      </c>
      <c r="D241" s="105">
        <v>28921</v>
      </c>
      <c r="E241" s="29" t="s">
        <v>556</v>
      </c>
      <c r="F241" s="106">
        <f>24971.93+3949.07</f>
        <v>28921</v>
      </c>
      <c r="G241" s="31">
        <f t="shared" si="3"/>
        <v>0</v>
      </c>
      <c r="H241" s="41" t="s">
        <v>19</v>
      </c>
      <c r="K241" s="3"/>
      <c r="M241" s="3"/>
      <c r="N241" s="3"/>
      <c r="O241" s="3"/>
      <c r="P241" s="3"/>
      <c r="Q241" s="3"/>
      <c r="R241" s="3"/>
      <c r="S241" s="3"/>
      <c r="T241" s="3"/>
      <c r="U241" s="3"/>
      <c r="V241" s="3"/>
    </row>
    <row r="242" spans="1:22" x14ac:dyDescent="0.25">
      <c r="A242" s="20">
        <v>42038</v>
      </c>
      <c r="B242" s="21">
        <v>10939</v>
      </c>
      <c r="C242" s="40" t="s">
        <v>91</v>
      </c>
      <c r="D242" s="105">
        <v>27570</v>
      </c>
      <c r="E242" s="23">
        <v>42038</v>
      </c>
      <c r="F242" s="106">
        <v>27570</v>
      </c>
      <c r="G242" s="31">
        <f t="shared" si="3"/>
        <v>0</v>
      </c>
      <c r="H242" s="41" t="s">
        <v>59</v>
      </c>
      <c r="I242" s="3"/>
      <c r="J242" s="42"/>
      <c r="K242" s="3"/>
      <c r="M242" s="3"/>
      <c r="N242" s="3"/>
      <c r="O242" s="3"/>
      <c r="P242" s="3"/>
      <c r="Q242" s="3"/>
      <c r="R242" s="3"/>
      <c r="S242" s="3"/>
      <c r="T242" s="3"/>
      <c r="U242" s="3"/>
      <c r="V242" s="3"/>
    </row>
    <row r="243" spans="1:22" x14ac:dyDescent="0.25">
      <c r="A243" s="20">
        <v>42038</v>
      </c>
      <c r="B243" s="21">
        <v>10940</v>
      </c>
      <c r="C243" s="40" t="s">
        <v>135</v>
      </c>
      <c r="D243" s="105">
        <v>1505</v>
      </c>
      <c r="E243" s="23">
        <v>42038</v>
      </c>
      <c r="F243" s="106">
        <v>1505</v>
      </c>
      <c r="G243" s="31">
        <f t="shared" si="3"/>
        <v>0</v>
      </c>
      <c r="H243" s="41" t="s">
        <v>9</v>
      </c>
      <c r="I243" s="3"/>
      <c r="J243" s="42"/>
      <c r="K243" s="3"/>
      <c r="M243" s="3"/>
      <c r="N243" s="3"/>
      <c r="O243" s="3"/>
      <c r="P243" s="3"/>
      <c r="Q243" s="3"/>
      <c r="R243" s="3"/>
      <c r="S243" s="3"/>
      <c r="T243" s="3"/>
      <c r="U243" s="3"/>
      <c r="V243" s="3"/>
    </row>
    <row r="244" spans="1:22" x14ac:dyDescent="0.25">
      <c r="A244" s="20">
        <v>42038</v>
      </c>
      <c r="B244" s="21">
        <v>10941</v>
      </c>
      <c r="C244" s="40" t="s">
        <v>161</v>
      </c>
      <c r="D244" s="105">
        <v>3202.5</v>
      </c>
      <c r="E244" s="23">
        <v>42038</v>
      </c>
      <c r="F244" s="106">
        <v>3202.5</v>
      </c>
      <c r="G244" s="31">
        <f t="shared" si="3"/>
        <v>0</v>
      </c>
      <c r="H244" s="41" t="s">
        <v>9</v>
      </c>
      <c r="I244" s="3"/>
      <c r="J244" s="42"/>
      <c r="K244" s="3"/>
      <c r="M244" s="3"/>
      <c r="N244" s="3"/>
      <c r="O244" s="3"/>
      <c r="P244" s="3"/>
      <c r="Q244" s="3"/>
      <c r="R244" s="3"/>
      <c r="S244" s="3"/>
      <c r="T244" s="3"/>
      <c r="U244" s="3"/>
      <c r="V244" s="3"/>
    </row>
    <row r="245" spans="1:22" x14ac:dyDescent="0.25">
      <c r="A245" s="20">
        <v>42038</v>
      </c>
      <c r="B245" s="21">
        <v>10942</v>
      </c>
      <c r="C245" s="40" t="s">
        <v>168</v>
      </c>
      <c r="D245" s="105">
        <v>6615</v>
      </c>
      <c r="E245" s="23">
        <v>42038</v>
      </c>
      <c r="F245" s="106">
        <v>6615</v>
      </c>
      <c r="G245" s="31">
        <f t="shared" si="3"/>
        <v>0</v>
      </c>
      <c r="H245" s="41" t="s">
        <v>19</v>
      </c>
      <c r="I245" s="3"/>
      <c r="J245" s="42"/>
      <c r="K245" s="3"/>
      <c r="M245" s="3"/>
      <c r="N245" s="3"/>
      <c r="O245" s="3"/>
      <c r="P245" s="3"/>
      <c r="Q245" s="3"/>
      <c r="R245" s="3"/>
      <c r="S245" s="3"/>
      <c r="T245" s="3"/>
      <c r="U245" s="3"/>
      <c r="V245" s="3"/>
    </row>
    <row r="246" spans="1:22" x14ac:dyDescent="0.25">
      <c r="A246" s="20">
        <v>42038</v>
      </c>
      <c r="B246" s="21">
        <v>10943</v>
      </c>
      <c r="C246" s="40" t="s">
        <v>217</v>
      </c>
      <c r="D246" s="105">
        <v>2733.2</v>
      </c>
      <c r="E246" s="23">
        <v>42038</v>
      </c>
      <c r="F246" s="106">
        <v>2733.2</v>
      </c>
      <c r="G246" s="31">
        <f t="shared" si="3"/>
        <v>0</v>
      </c>
      <c r="H246" s="41" t="s">
        <v>19</v>
      </c>
      <c r="I246" s="3"/>
      <c r="J246" s="42"/>
      <c r="K246" s="3"/>
      <c r="M246" s="3"/>
      <c r="N246" s="3"/>
      <c r="O246" s="3"/>
      <c r="P246" s="3"/>
      <c r="Q246" s="3"/>
      <c r="R246" s="3"/>
      <c r="S246" s="3"/>
      <c r="T246" s="3"/>
      <c r="U246" s="3"/>
      <c r="V246" s="3"/>
    </row>
    <row r="247" spans="1:22" x14ac:dyDescent="0.25">
      <c r="A247" s="20">
        <v>42038</v>
      </c>
      <c r="B247" s="21">
        <v>10944</v>
      </c>
      <c r="C247" s="40" t="s">
        <v>83</v>
      </c>
      <c r="D247" s="105">
        <v>2845.4</v>
      </c>
      <c r="E247" s="23">
        <v>42038</v>
      </c>
      <c r="F247" s="106">
        <v>2845.4</v>
      </c>
      <c r="G247" s="31">
        <f t="shared" si="3"/>
        <v>0</v>
      </c>
      <c r="H247" s="41" t="s">
        <v>19</v>
      </c>
      <c r="I247" s="3"/>
      <c r="J247" s="42"/>
      <c r="K247" s="3"/>
      <c r="M247" s="3"/>
      <c r="N247" s="3"/>
      <c r="O247" s="3"/>
      <c r="P247" s="3"/>
      <c r="Q247" s="3"/>
      <c r="R247" s="3"/>
      <c r="S247" s="3"/>
      <c r="T247" s="3"/>
      <c r="U247" s="3"/>
      <c r="V247" s="3"/>
    </row>
    <row r="248" spans="1:22" x14ac:dyDescent="0.25">
      <c r="A248" s="20">
        <v>42038</v>
      </c>
      <c r="B248" s="21">
        <v>10945</v>
      </c>
      <c r="C248" s="40" t="s">
        <v>155</v>
      </c>
      <c r="D248" s="105">
        <v>532</v>
      </c>
      <c r="E248" s="23">
        <v>42038</v>
      </c>
      <c r="F248" s="106">
        <v>532</v>
      </c>
      <c r="G248" s="31">
        <f t="shared" si="3"/>
        <v>0</v>
      </c>
      <c r="H248" s="41" t="s">
        <v>19</v>
      </c>
      <c r="I248" s="3"/>
      <c r="J248" s="42"/>
      <c r="K248" s="3"/>
      <c r="M248" s="3"/>
      <c r="N248" s="3"/>
      <c r="O248" s="3"/>
      <c r="P248" s="3"/>
      <c r="Q248" s="3"/>
      <c r="R248" s="3"/>
      <c r="S248" s="3"/>
      <c r="T248" s="3"/>
      <c r="U248" s="3"/>
      <c r="V248" s="3"/>
    </row>
    <row r="249" spans="1:22" x14ac:dyDescent="0.25">
      <c r="A249" s="20">
        <v>42038</v>
      </c>
      <c r="B249" s="21">
        <v>10946</v>
      </c>
      <c r="C249" s="40" t="s">
        <v>292</v>
      </c>
      <c r="D249" s="105">
        <v>3269.8</v>
      </c>
      <c r="E249" s="23">
        <v>42038</v>
      </c>
      <c r="F249" s="106">
        <v>3269.8</v>
      </c>
      <c r="G249" s="31">
        <f t="shared" si="3"/>
        <v>0</v>
      </c>
      <c r="H249" s="41" t="s">
        <v>19</v>
      </c>
      <c r="I249" s="3"/>
      <c r="J249" s="42"/>
      <c r="K249" s="3"/>
      <c r="M249" s="3"/>
      <c r="N249" s="3"/>
      <c r="O249" s="3"/>
      <c r="P249" s="3"/>
      <c r="Q249" s="3"/>
      <c r="R249" s="3"/>
      <c r="S249" s="3"/>
      <c r="T249" s="3"/>
      <c r="U249" s="3"/>
      <c r="V249" s="3"/>
    </row>
    <row r="250" spans="1:22" x14ac:dyDescent="0.25">
      <c r="A250" s="20">
        <v>42038</v>
      </c>
      <c r="B250" s="21">
        <v>10947</v>
      </c>
      <c r="C250" s="40" t="s">
        <v>45</v>
      </c>
      <c r="D250" s="105">
        <v>55946.879999999997</v>
      </c>
      <c r="E250" s="23">
        <v>42055</v>
      </c>
      <c r="F250" s="106">
        <v>55946.879999999997</v>
      </c>
      <c r="G250" s="31">
        <f t="shared" si="3"/>
        <v>0</v>
      </c>
      <c r="H250" s="41" t="s">
        <v>46</v>
      </c>
      <c r="I250" s="3"/>
      <c r="J250" s="42"/>
      <c r="K250" s="3"/>
      <c r="M250" s="3"/>
      <c r="N250" s="3"/>
      <c r="O250" s="3"/>
      <c r="P250" s="3"/>
      <c r="Q250" s="3"/>
      <c r="R250" s="3"/>
      <c r="S250" s="3"/>
      <c r="T250" s="3"/>
      <c r="U250" s="3"/>
      <c r="V250" s="3"/>
    </row>
    <row r="251" spans="1:22" x14ac:dyDescent="0.25">
      <c r="A251" s="20">
        <v>42038</v>
      </c>
      <c r="B251" s="21">
        <v>10948</v>
      </c>
      <c r="C251" s="40" t="s">
        <v>53</v>
      </c>
      <c r="D251" s="105">
        <v>1435</v>
      </c>
      <c r="E251" s="23">
        <v>42038</v>
      </c>
      <c r="F251" s="106">
        <v>1435</v>
      </c>
      <c r="G251" s="31">
        <f t="shared" si="3"/>
        <v>0</v>
      </c>
      <c r="H251" s="41" t="s">
        <v>19</v>
      </c>
      <c r="I251" s="3"/>
      <c r="J251" s="42"/>
      <c r="K251" s="3"/>
      <c r="M251" s="3"/>
      <c r="N251" s="3"/>
      <c r="O251" s="3"/>
      <c r="P251" s="3"/>
      <c r="Q251" s="3"/>
      <c r="R251" s="3"/>
      <c r="S251" s="3"/>
      <c r="T251" s="3"/>
      <c r="U251" s="3"/>
      <c r="V251" s="3"/>
    </row>
    <row r="252" spans="1:22" x14ac:dyDescent="0.25">
      <c r="A252" s="20">
        <v>42038</v>
      </c>
      <c r="B252" s="21">
        <v>10949</v>
      </c>
      <c r="C252" s="40" t="s">
        <v>81</v>
      </c>
      <c r="D252" s="105">
        <v>1689.2</v>
      </c>
      <c r="E252" s="23">
        <v>42038</v>
      </c>
      <c r="F252" s="106">
        <v>1689.2</v>
      </c>
      <c r="G252" s="31">
        <f t="shared" si="3"/>
        <v>0</v>
      </c>
      <c r="H252" s="41" t="s">
        <v>59</v>
      </c>
      <c r="I252" s="3"/>
      <c r="J252" s="42"/>
      <c r="K252" s="3"/>
      <c r="M252" s="3"/>
      <c r="N252" s="3"/>
      <c r="O252" s="3"/>
      <c r="P252" s="3"/>
      <c r="Q252" s="3"/>
      <c r="R252" s="3"/>
      <c r="S252" s="3"/>
      <c r="T252" s="3"/>
      <c r="U252" s="3"/>
      <c r="V252" s="3"/>
    </row>
    <row r="253" spans="1:22" x14ac:dyDescent="0.25">
      <c r="A253" s="20">
        <v>42038</v>
      </c>
      <c r="B253" s="21">
        <v>10950</v>
      </c>
      <c r="C253" s="40" t="s">
        <v>82</v>
      </c>
      <c r="D253" s="105">
        <v>4866</v>
      </c>
      <c r="E253" s="23">
        <v>42038</v>
      </c>
      <c r="F253" s="106">
        <v>4866</v>
      </c>
      <c r="G253" s="31">
        <f t="shared" si="3"/>
        <v>0</v>
      </c>
      <c r="H253" s="41" t="s">
        <v>59</v>
      </c>
      <c r="I253" s="3"/>
      <c r="J253" s="42"/>
      <c r="K253" s="3"/>
      <c r="M253" s="3"/>
      <c r="N253" s="3"/>
      <c r="O253" s="3"/>
      <c r="P253" s="3"/>
      <c r="Q253" s="3"/>
      <c r="R253" s="3"/>
      <c r="S253" s="3"/>
      <c r="T253" s="3"/>
      <c r="U253" s="3"/>
      <c r="V253" s="3"/>
    </row>
    <row r="254" spans="1:22" x14ac:dyDescent="0.25">
      <c r="A254" s="20">
        <v>42038</v>
      </c>
      <c r="B254" s="21">
        <v>10951</v>
      </c>
      <c r="C254" s="40" t="s">
        <v>238</v>
      </c>
      <c r="D254" s="105">
        <v>376.8</v>
      </c>
      <c r="E254" s="23">
        <v>42038</v>
      </c>
      <c r="F254" s="106">
        <v>376.8</v>
      </c>
      <c r="G254" s="31">
        <f t="shared" si="3"/>
        <v>0</v>
      </c>
      <c r="H254" s="41" t="s">
        <v>19</v>
      </c>
      <c r="I254" s="3"/>
      <c r="J254" s="42"/>
      <c r="K254" s="3"/>
      <c r="M254" s="3"/>
      <c r="N254" s="3"/>
      <c r="O254" s="3"/>
      <c r="P254" s="3"/>
      <c r="Q254" s="3"/>
      <c r="R254" s="3"/>
      <c r="S254" s="3"/>
      <c r="T254" s="3"/>
      <c r="U254" s="3"/>
      <c r="V254" s="3"/>
    </row>
    <row r="255" spans="1:22" x14ac:dyDescent="0.25">
      <c r="A255" s="20">
        <v>42038</v>
      </c>
      <c r="B255" s="21">
        <v>10952</v>
      </c>
      <c r="C255" s="44" t="s">
        <v>218</v>
      </c>
      <c r="D255" s="108">
        <v>0</v>
      </c>
      <c r="E255" s="23"/>
      <c r="F255" s="106"/>
      <c r="G255" s="31">
        <f t="shared" si="3"/>
        <v>0</v>
      </c>
      <c r="H255" s="41" t="s">
        <v>13</v>
      </c>
      <c r="I255" s="3"/>
      <c r="J255" s="42"/>
      <c r="K255" s="3"/>
      <c r="M255" s="3"/>
      <c r="N255" s="3"/>
      <c r="O255" s="3"/>
      <c r="P255" s="3"/>
      <c r="Q255" s="3"/>
      <c r="R255" s="3"/>
      <c r="S255" s="3"/>
      <c r="T255" s="3"/>
      <c r="U255" s="3"/>
      <c r="V255" s="3"/>
    </row>
    <row r="256" spans="1:22" x14ac:dyDescent="0.25">
      <c r="A256" s="20">
        <v>42038</v>
      </c>
      <c r="B256" s="21">
        <v>10953</v>
      </c>
      <c r="C256" s="40" t="s">
        <v>112</v>
      </c>
      <c r="D256" s="105">
        <v>14963.8</v>
      </c>
      <c r="E256" s="29" t="s">
        <v>557</v>
      </c>
      <c r="F256" s="106">
        <f>11993+2970.8</f>
        <v>14963.8</v>
      </c>
      <c r="G256" s="31">
        <f t="shared" si="3"/>
        <v>0</v>
      </c>
      <c r="H256" s="41" t="s">
        <v>9</v>
      </c>
      <c r="I256" s="3"/>
      <c r="J256" s="42"/>
      <c r="K256" s="3"/>
      <c r="M256" s="3"/>
      <c r="N256" s="3"/>
      <c r="O256" s="3"/>
      <c r="P256" s="3"/>
      <c r="Q256" s="3"/>
      <c r="R256" s="3"/>
      <c r="S256" s="3"/>
      <c r="T256" s="3"/>
      <c r="U256" s="3"/>
      <c r="V256" s="3"/>
    </row>
    <row r="257" spans="1:22" x14ac:dyDescent="0.25">
      <c r="A257" s="20">
        <v>42038</v>
      </c>
      <c r="B257" s="21">
        <v>10954</v>
      </c>
      <c r="C257" s="40" t="s">
        <v>375</v>
      </c>
      <c r="D257" s="105">
        <v>9090.7999999999993</v>
      </c>
      <c r="E257" s="23">
        <v>42038</v>
      </c>
      <c r="F257" s="106">
        <v>9090.7999999999993</v>
      </c>
      <c r="G257" s="31">
        <f t="shared" si="3"/>
        <v>0</v>
      </c>
      <c r="H257" s="41" t="s">
        <v>9</v>
      </c>
      <c r="I257" s="3"/>
      <c r="J257" s="42"/>
      <c r="K257" s="3"/>
      <c r="M257" s="3"/>
      <c r="N257" s="3"/>
      <c r="O257" s="3"/>
      <c r="P257" s="3"/>
      <c r="Q257" s="3"/>
      <c r="R257" s="3"/>
      <c r="S257" s="3"/>
      <c r="T257" s="3"/>
      <c r="U257" s="3"/>
      <c r="V257" s="3"/>
    </row>
    <row r="258" spans="1:22" x14ac:dyDescent="0.25">
      <c r="A258" s="20">
        <v>42038</v>
      </c>
      <c r="B258" s="21">
        <v>10955</v>
      </c>
      <c r="C258" s="40" t="s">
        <v>24</v>
      </c>
      <c r="D258" s="105">
        <v>41944</v>
      </c>
      <c r="E258" s="23">
        <v>42062</v>
      </c>
      <c r="F258" s="106">
        <v>41944</v>
      </c>
      <c r="G258" s="31">
        <f t="shared" si="3"/>
        <v>0</v>
      </c>
      <c r="H258" s="41" t="s">
        <v>94</v>
      </c>
      <c r="I258" s="3"/>
      <c r="J258" s="42"/>
      <c r="K258" s="3"/>
      <c r="M258" s="3"/>
      <c r="N258" s="3"/>
      <c r="O258" s="3"/>
      <c r="P258" s="3"/>
      <c r="Q258" s="3"/>
      <c r="R258" s="3"/>
      <c r="S258" s="3"/>
      <c r="T258" s="3"/>
      <c r="U258" s="3"/>
      <c r="V258" s="3"/>
    </row>
    <row r="259" spans="1:22" x14ac:dyDescent="0.25">
      <c r="A259" s="20">
        <v>42038</v>
      </c>
      <c r="B259" s="21">
        <v>10956</v>
      </c>
      <c r="C259" s="40" t="s">
        <v>214</v>
      </c>
      <c r="D259" s="105">
        <v>800</v>
      </c>
      <c r="E259" s="23">
        <v>42038</v>
      </c>
      <c r="F259" s="106">
        <v>800</v>
      </c>
      <c r="G259" s="31">
        <f t="shared" ref="G259:G322" si="4">D259-F259</f>
        <v>0</v>
      </c>
      <c r="H259" s="41" t="s">
        <v>19</v>
      </c>
      <c r="I259" s="3"/>
      <c r="J259" s="42"/>
      <c r="K259" s="3"/>
      <c r="M259" s="3"/>
      <c r="N259" s="3"/>
      <c r="O259" s="3"/>
      <c r="P259" s="3"/>
      <c r="Q259" s="3"/>
      <c r="R259" s="3"/>
      <c r="S259" s="3"/>
      <c r="T259" s="3"/>
      <c r="U259" s="3"/>
      <c r="V259" s="3"/>
    </row>
    <row r="260" spans="1:22" x14ac:dyDescent="0.25">
      <c r="A260" s="20">
        <v>42038</v>
      </c>
      <c r="B260" s="21">
        <v>10957</v>
      </c>
      <c r="C260" s="113">
        <v>105</v>
      </c>
      <c r="D260" s="105">
        <v>800</v>
      </c>
      <c r="E260" s="23">
        <v>42038</v>
      </c>
      <c r="F260" s="106">
        <v>800</v>
      </c>
      <c r="G260" s="31">
        <f t="shared" si="4"/>
        <v>0</v>
      </c>
      <c r="H260" s="41" t="s">
        <v>59</v>
      </c>
      <c r="I260" s="3"/>
      <c r="J260" s="42"/>
      <c r="K260" s="3"/>
      <c r="M260" s="3"/>
      <c r="N260" s="3"/>
      <c r="O260" s="3"/>
      <c r="P260" s="3"/>
      <c r="Q260" s="3"/>
      <c r="R260" s="3"/>
      <c r="S260" s="3"/>
      <c r="T260" s="3"/>
      <c r="U260" s="3"/>
      <c r="V260" s="3"/>
    </row>
    <row r="261" spans="1:22" x14ac:dyDescent="0.25">
      <c r="A261" s="20">
        <v>42038</v>
      </c>
      <c r="B261" s="21">
        <v>10958</v>
      </c>
      <c r="C261" s="40" t="s">
        <v>58</v>
      </c>
      <c r="D261" s="105">
        <v>600</v>
      </c>
      <c r="E261" s="23">
        <v>42038</v>
      </c>
      <c r="F261" s="106">
        <v>600</v>
      </c>
      <c r="G261" s="31">
        <f t="shared" si="4"/>
        <v>0</v>
      </c>
      <c r="H261" s="41" t="s">
        <v>9</v>
      </c>
      <c r="I261" s="3"/>
      <c r="J261" s="42"/>
      <c r="K261" s="3"/>
      <c r="M261" s="3"/>
      <c r="N261" s="3"/>
      <c r="O261" s="3"/>
      <c r="P261" s="3"/>
      <c r="Q261" s="3"/>
      <c r="R261" s="3"/>
      <c r="S261" s="3"/>
      <c r="T261" s="3"/>
      <c r="U261" s="3"/>
      <c r="V261" s="3"/>
    </row>
    <row r="262" spans="1:22" x14ac:dyDescent="0.25">
      <c r="A262" s="20">
        <v>42038</v>
      </c>
      <c r="B262" s="21">
        <v>10959</v>
      </c>
      <c r="C262" s="40" t="s">
        <v>270</v>
      </c>
      <c r="D262" s="105">
        <v>475.3</v>
      </c>
      <c r="E262" s="23">
        <v>42038</v>
      </c>
      <c r="F262" s="106">
        <v>475.3</v>
      </c>
      <c r="G262" s="31">
        <f t="shared" si="4"/>
        <v>0</v>
      </c>
      <c r="H262" s="41" t="s">
        <v>9</v>
      </c>
      <c r="I262" s="3"/>
      <c r="J262" s="42"/>
      <c r="K262" s="3"/>
      <c r="M262" s="3"/>
      <c r="N262" s="3"/>
      <c r="O262" s="3"/>
      <c r="P262" s="3"/>
      <c r="Q262" s="3"/>
      <c r="R262" s="3"/>
      <c r="S262" s="3"/>
      <c r="T262" s="3"/>
      <c r="U262" s="3"/>
      <c r="V262" s="3"/>
    </row>
    <row r="263" spans="1:22" x14ac:dyDescent="0.25">
      <c r="A263" s="20">
        <v>42038</v>
      </c>
      <c r="B263" s="21">
        <v>10960</v>
      </c>
      <c r="C263" s="40" t="s">
        <v>14</v>
      </c>
      <c r="D263" s="105">
        <v>8947.6</v>
      </c>
      <c r="E263" s="23">
        <v>42048</v>
      </c>
      <c r="F263" s="106">
        <v>8947.6</v>
      </c>
      <c r="G263" s="31">
        <f t="shared" si="4"/>
        <v>0</v>
      </c>
      <c r="H263" s="41" t="s">
        <v>15</v>
      </c>
      <c r="I263" s="3"/>
      <c r="J263" s="42"/>
      <c r="K263" s="3"/>
      <c r="M263" s="3"/>
      <c r="N263" s="3"/>
      <c r="O263" s="3"/>
      <c r="P263" s="3"/>
      <c r="Q263" s="3"/>
      <c r="R263" s="3"/>
      <c r="S263" s="3"/>
      <c r="T263" s="3"/>
      <c r="U263" s="3"/>
      <c r="V263" s="3"/>
    </row>
    <row r="264" spans="1:22" x14ac:dyDescent="0.25">
      <c r="A264" s="20">
        <v>42038</v>
      </c>
      <c r="B264" s="21">
        <v>10961</v>
      </c>
      <c r="C264" s="40" t="s">
        <v>26</v>
      </c>
      <c r="D264" s="105">
        <v>1728</v>
      </c>
      <c r="E264" s="23">
        <v>42038</v>
      </c>
      <c r="F264" s="106">
        <v>1728</v>
      </c>
      <c r="G264" s="31">
        <f t="shared" si="4"/>
        <v>0</v>
      </c>
      <c r="H264" s="41" t="s">
        <v>27</v>
      </c>
      <c r="I264" s="3"/>
      <c r="J264" s="42"/>
      <c r="K264" s="3"/>
      <c r="M264" s="3"/>
      <c r="N264" s="3"/>
      <c r="O264" s="3"/>
      <c r="P264" s="3"/>
      <c r="Q264" s="3"/>
      <c r="R264" s="3"/>
      <c r="S264" s="3"/>
      <c r="T264" s="3"/>
      <c r="U264" s="3"/>
      <c r="V264" s="3"/>
    </row>
    <row r="265" spans="1:22" x14ac:dyDescent="0.25">
      <c r="A265" s="20">
        <v>42038</v>
      </c>
      <c r="B265" s="21">
        <v>10962</v>
      </c>
      <c r="C265" s="40" t="s">
        <v>413</v>
      </c>
      <c r="D265" s="105">
        <v>4231.2</v>
      </c>
      <c r="E265" s="23">
        <v>42038</v>
      </c>
      <c r="F265" s="106">
        <v>4231.2</v>
      </c>
      <c r="G265" s="31">
        <f t="shared" si="4"/>
        <v>0</v>
      </c>
      <c r="H265" s="41" t="s">
        <v>9</v>
      </c>
      <c r="I265" s="3"/>
      <c r="J265" s="42"/>
      <c r="K265" s="3"/>
      <c r="M265" s="3"/>
      <c r="N265" s="3"/>
      <c r="O265" s="3"/>
      <c r="P265" s="3"/>
      <c r="Q265" s="3"/>
      <c r="R265" s="3"/>
      <c r="S265" s="3"/>
      <c r="T265" s="3"/>
      <c r="U265" s="3"/>
      <c r="V265" s="3"/>
    </row>
    <row r="266" spans="1:22" x14ac:dyDescent="0.25">
      <c r="A266" s="20">
        <v>42038</v>
      </c>
      <c r="B266" s="21">
        <v>10963</v>
      </c>
      <c r="C266" s="40" t="s">
        <v>34</v>
      </c>
      <c r="D266" s="105">
        <v>3460</v>
      </c>
      <c r="E266" s="23">
        <v>42038</v>
      </c>
      <c r="F266" s="106">
        <v>3460</v>
      </c>
      <c r="G266" s="31">
        <f t="shared" si="4"/>
        <v>0</v>
      </c>
      <c r="H266" s="41" t="s">
        <v>9</v>
      </c>
      <c r="I266" s="3"/>
      <c r="J266" s="42"/>
      <c r="K266" s="3"/>
      <c r="M266" s="3"/>
      <c r="N266" s="3"/>
      <c r="O266" s="3"/>
      <c r="P266" s="3"/>
      <c r="Q266" s="3"/>
      <c r="R266" s="3"/>
      <c r="S266" s="3"/>
      <c r="T266" s="3"/>
      <c r="U266" s="3"/>
      <c r="V266" s="3"/>
    </row>
    <row r="267" spans="1:22" x14ac:dyDescent="0.25">
      <c r="A267" s="20">
        <v>42038</v>
      </c>
      <c r="B267" s="21">
        <v>10964</v>
      </c>
      <c r="C267" s="40" t="s">
        <v>130</v>
      </c>
      <c r="D267" s="105">
        <v>5679.2</v>
      </c>
      <c r="E267" s="23">
        <v>42040</v>
      </c>
      <c r="F267" s="106">
        <v>5679.2</v>
      </c>
      <c r="G267" s="31">
        <f t="shared" si="4"/>
        <v>0</v>
      </c>
      <c r="H267" s="41" t="s">
        <v>17</v>
      </c>
      <c r="I267" s="3"/>
      <c r="J267" s="42"/>
      <c r="K267" s="3"/>
      <c r="M267" s="3"/>
      <c r="N267" s="3"/>
      <c r="O267" s="3"/>
      <c r="P267" s="3"/>
      <c r="Q267" s="3"/>
      <c r="R267" s="3"/>
      <c r="S267" s="3"/>
      <c r="T267" s="3"/>
      <c r="U267" s="3"/>
      <c r="V267" s="3"/>
    </row>
    <row r="268" spans="1:22" x14ac:dyDescent="0.25">
      <c r="A268" s="20">
        <v>42038</v>
      </c>
      <c r="B268" s="21">
        <v>10965</v>
      </c>
      <c r="C268" s="40" t="s">
        <v>165</v>
      </c>
      <c r="D268" s="105">
        <v>2688</v>
      </c>
      <c r="E268" s="23">
        <v>42038</v>
      </c>
      <c r="F268" s="106">
        <v>2688</v>
      </c>
      <c r="G268" s="31">
        <f t="shared" si="4"/>
        <v>0</v>
      </c>
      <c r="H268" s="41" t="s">
        <v>17</v>
      </c>
      <c r="I268" s="3"/>
      <c r="J268" s="42"/>
      <c r="K268" s="3"/>
      <c r="M268" s="3"/>
      <c r="N268" s="3"/>
      <c r="O268" s="3"/>
      <c r="P268" s="3"/>
      <c r="Q268" s="3"/>
      <c r="R268" s="3"/>
      <c r="S268" s="3"/>
      <c r="T268" s="3"/>
      <c r="U268" s="3"/>
      <c r="V268" s="3"/>
    </row>
    <row r="269" spans="1:22" x14ac:dyDescent="0.25">
      <c r="A269" s="20">
        <v>42038</v>
      </c>
      <c r="B269" s="21">
        <v>10966</v>
      </c>
      <c r="C269" s="40" t="s">
        <v>44</v>
      </c>
      <c r="D269" s="105">
        <v>1699.2</v>
      </c>
      <c r="E269" s="23">
        <v>42038</v>
      </c>
      <c r="F269" s="106">
        <v>1699.2</v>
      </c>
      <c r="G269" s="31">
        <f t="shared" si="4"/>
        <v>0</v>
      </c>
      <c r="H269" s="41" t="s">
        <v>9</v>
      </c>
      <c r="I269" s="3"/>
      <c r="J269" s="42"/>
      <c r="K269" s="3"/>
      <c r="M269" s="3"/>
      <c r="N269" s="3"/>
      <c r="O269" s="3"/>
      <c r="P269" s="3"/>
      <c r="Q269" s="3"/>
      <c r="R269" s="3"/>
      <c r="S269" s="3"/>
      <c r="T269" s="3"/>
      <c r="U269" s="3"/>
      <c r="V269" s="3"/>
    </row>
    <row r="270" spans="1:22" x14ac:dyDescent="0.25">
      <c r="A270" s="20">
        <v>42038</v>
      </c>
      <c r="B270" s="21">
        <v>10967</v>
      </c>
      <c r="C270" s="40" t="s">
        <v>341</v>
      </c>
      <c r="D270" s="105">
        <v>414</v>
      </c>
      <c r="E270" s="23">
        <v>42038</v>
      </c>
      <c r="F270" s="106">
        <v>414</v>
      </c>
      <c r="G270" s="31">
        <f t="shared" si="4"/>
        <v>0</v>
      </c>
      <c r="H270" s="41" t="s">
        <v>9</v>
      </c>
      <c r="I270" s="3"/>
      <c r="J270" s="42"/>
      <c r="K270" s="3"/>
      <c r="M270" s="3"/>
      <c r="N270" s="3"/>
      <c r="O270" s="3"/>
      <c r="P270" s="3"/>
      <c r="Q270" s="3"/>
      <c r="R270" s="3"/>
      <c r="S270" s="3"/>
      <c r="T270" s="3"/>
      <c r="U270" s="3"/>
      <c r="V270" s="3"/>
    </row>
    <row r="271" spans="1:22" x14ac:dyDescent="0.25">
      <c r="A271" s="20">
        <v>42038</v>
      </c>
      <c r="B271" s="21">
        <v>10968</v>
      </c>
      <c r="C271" s="40" t="s">
        <v>131</v>
      </c>
      <c r="D271" s="105">
        <v>11237.3</v>
      </c>
      <c r="E271" s="23">
        <v>42040</v>
      </c>
      <c r="F271" s="106">
        <v>11237.3</v>
      </c>
      <c r="G271" s="31">
        <f t="shared" si="4"/>
        <v>0</v>
      </c>
      <c r="H271" s="41" t="s">
        <v>17</v>
      </c>
      <c r="I271" s="3"/>
      <c r="J271" s="42"/>
      <c r="K271" s="3"/>
      <c r="M271" s="3"/>
      <c r="N271" s="3"/>
      <c r="O271" s="3"/>
      <c r="P271" s="3"/>
      <c r="Q271" s="3"/>
      <c r="R271" s="3"/>
      <c r="S271" s="3"/>
      <c r="T271" s="3"/>
      <c r="U271" s="3"/>
      <c r="V271" s="3"/>
    </row>
    <row r="272" spans="1:22" x14ac:dyDescent="0.25">
      <c r="A272" s="20">
        <v>42038</v>
      </c>
      <c r="B272" s="21">
        <v>10969</v>
      </c>
      <c r="C272" s="40" t="s">
        <v>558</v>
      </c>
      <c r="D272" s="105">
        <v>110</v>
      </c>
      <c r="E272" s="23">
        <v>42038</v>
      </c>
      <c r="F272" s="106">
        <v>110</v>
      </c>
      <c r="G272" s="31">
        <f t="shared" si="4"/>
        <v>0</v>
      </c>
      <c r="H272" s="41" t="s">
        <v>9</v>
      </c>
      <c r="I272" s="3"/>
      <c r="J272" s="42"/>
      <c r="K272" s="3"/>
      <c r="M272" s="3"/>
      <c r="N272" s="3"/>
      <c r="O272" s="3"/>
      <c r="P272" s="3"/>
      <c r="Q272" s="3"/>
      <c r="R272" s="3"/>
      <c r="S272" s="3"/>
      <c r="T272" s="3"/>
      <c r="U272" s="3"/>
      <c r="V272" s="3"/>
    </row>
    <row r="273" spans="1:22" x14ac:dyDescent="0.25">
      <c r="A273" s="20">
        <v>42038</v>
      </c>
      <c r="B273" s="21">
        <v>10970</v>
      </c>
      <c r="C273" s="40" t="s">
        <v>145</v>
      </c>
      <c r="D273" s="105">
        <v>7731</v>
      </c>
      <c r="E273" s="23">
        <v>42038</v>
      </c>
      <c r="F273" s="106">
        <v>7731</v>
      </c>
      <c r="G273" s="31">
        <f t="shared" si="4"/>
        <v>0</v>
      </c>
      <c r="H273" s="41" t="s">
        <v>9</v>
      </c>
      <c r="I273" s="3"/>
      <c r="J273" s="42"/>
      <c r="K273" s="3"/>
      <c r="M273" s="3"/>
      <c r="N273" s="3"/>
      <c r="O273" s="3"/>
      <c r="P273" s="3"/>
      <c r="Q273" s="3"/>
      <c r="R273" s="3"/>
      <c r="S273" s="3"/>
      <c r="T273" s="3"/>
      <c r="U273" s="3"/>
      <c r="V273" s="3"/>
    </row>
    <row r="274" spans="1:22" x14ac:dyDescent="0.25">
      <c r="A274" s="20">
        <v>42038</v>
      </c>
      <c r="B274" s="21">
        <v>10971</v>
      </c>
      <c r="C274" s="40" t="s">
        <v>128</v>
      </c>
      <c r="D274" s="105">
        <v>6713.2</v>
      </c>
      <c r="E274" s="23">
        <v>42038</v>
      </c>
      <c r="F274" s="106">
        <v>6713.2</v>
      </c>
      <c r="G274" s="31">
        <f t="shared" si="4"/>
        <v>0</v>
      </c>
      <c r="H274" s="41" t="s">
        <v>17</v>
      </c>
      <c r="I274" s="3"/>
      <c r="J274" s="42"/>
      <c r="K274" s="3"/>
      <c r="M274" s="3"/>
      <c r="N274" s="3"/>
      <c r="O274" s="3"/>
      <c r="P274" s="3"/>
      <c r="Q274" s="3"/>
      <c r="R274" s="3"/>
      <c r="S274" s="3"/>
      <c r="T274" s="3"/>
      <c r="U274" s="3"/>
      <c r="V274" s="3"/>
    </row>
    <row r="275" spans="1:22" x14ac:dyDescent="0.25">
      <c r="A275" s="20">
        <v>42038</v>
      </c>
      <c r="B275" s="21">
        <v>10972</v>
      </c>
      <c r="C275" s="40" t="s">
        <v>143</v>
      </c>
      <c r="D275" s="105">
        <v>8595</v>
      </c>
      <c r="E275" s="23">
        <v>42041</v>
      </c>
      <c r="F275" s="106">
        <v>8595</v>
      </c>
      <c r="G275" s="31">
        <f t="shared" si="4"/>
        <v>0</v>
      </c>
      <c r="H275" s="41" t="s">
        <v>17</v>
      </c>
      <c r="I275" s="3"/>
      <c r="J275" s="42"/>
      <c r="K275" s="3"/>
      <c r="M275" s="3"/>
      <c r="N275" s="3"/>
      <c r="O275" s="3"/>
      <c r="P275" s="3"/>
      <c r="Q275" s="3"/>
      <c r="R275" s="3"/>
      <c r="S275" s="3"/>
      <c r="T275" s="3"/>
      <c r="U275" s="3"/>
      <c r="V275" s="3"/>
    </row>
    <row r="276" spans="1:22" x14ac:dyDescent="0.25">
      <c r="A276" s="20">
        <v>42038</v>
      </c>
      <c r="B276" s="21">
        <v>10973</v>
      </c>
      <c r="C276" s="40" t="s">
        <v>98</v>
      </c>
      <c r="D276" s="105">
        <v>1326.4</v>
      </c>
      <c r="E276" s="23">
        <v>42039</v>
      </c>
      <c r="F276" s="106">
        <v>1326.4</v>
      </c>
      <c r="G276" s="31">
        <f t="shared" si="4"/>
        <v>0</v>
      </c>
      <c r="H276" s="41" t="s">
        <v>94</v>
      </c>
      <c r="I276" s="3"/>
      <c r="J276" s="42"/>
      <c r="K276" s="3"/>
      <c r="M276" s="3"/>
      <c r="N276" s="3"/>
      <c r="O276" s="3"/>
      <c r="P276" s="3"/>
      <c r="Q276" s="3"/>
      <c r="R276" s="3"/>
      <c r="S276" s="3"/>
      <c r="T276" s="3"/>
      <c r="U276" s="3"/>
      <c r="V276" s="3"/>
    </row>
    <row r="277" spans="1:22" x14ac:dyDescent="0.25">
      <c r="A277" s="20">
        <v>42038</v>
      </c>
      <c r="B277" s="21">
        <v>10974</v>
      </c>
      <c r="C277" s="40" t="s">
        <v>426</v>
      </c>
      <c r="D277" s="105">
        <v>7196</v>
      </c>
      <c r="E277" s="23">
        <v>42039</v>
      </c>
      <c r="F277" s="106">
        <v>7196</v>
      </c>
      <c r="G277" s="31">
        <f t="shared" si="4"/>
        <v>0</v>
      </c>
      <c r="H277" s="41" t="s">
        <v>62</v>
      </c>
      <c r="I277" s="3"/>
      <c r="J277" s="42"/>
      <c r="K277" s="3"/>
      <c r="M277" s="3"/>
      <c r="N277" s="3"/>
      <c r="O277" s="3"/>
      <c r="P277" s="3"/>
      <c r="Q277" s="3"/>
      <c r="R277" s="3"/>
      <c r="S277" s="3"/>
      <c r="T277" s="3"/>
      <c r="U277" s="3"/>
      <c r="V277" s="3"/>
    </row>
    <row r="278" spans="1:22" x14ac:dyDescent="0.25">
      <c r="A278" s="20">
        <v>42038</v>
      </c>
      <c r="B278" s="21">
        <v>10975</v>
      </c>
      <c r="C278" s="40" t="s">
        <v>250</v>
      </c>
      <c r="D278" s="105">
        <v>3110.4</v>
      </c>
      <c r="E278" s="23">
        <v>42039</v>
      </c>
      <c r="F278" s="106">
        <v>3110.4</v>
      </c>
      <c r="G278" s="31">
        <f t="shared" si="4"/>
        <v>0</v>
      </c>
      <c r="H278" s="41" t="s">
        <v>94</v>
      </c>
      <c r="I278" s="3"/>
      <c r="J278" s="42"/>
      <c r="K278" s="3"/>
      <c r="M278" s="3"/>
      <c r="N278" s="3"/>
      <c r="O278" s="3"/>
      <c r="P278" s="3"/>
      <c r="Q278" s="3"/>
      <c r="R278" s="3"/>
      <c r="S278" s="3"/>
      <c r="T278" s="3"/>
      <c r="U278" s="3"/>
      <c r="V278" s="3"/>
    </row>
    <row r="279" spans="1:22" x14ac:dyDescent="0.25">
      <c r="A279" s="20">
        <v>42038</v>
      </c>
      <c r="B279" s="21">
        <v>10976</v>
      </c>
      <c r="C279" s="40" t="s">
        <v>328</v>
      </c>
      <c r="D279" s="105">
        <v>4833.6000000000004</v>
      </c>
      <c r="E279" s="23">
        <v>42039</v>
      </c>
      <c r="F279" s="106">
        <v>4833.6000000000004</v>
      </c>
      <c r="G279" s="31">
        <f t="shared" si="4"/>
        <v>0</v>
      </c>
      <c r="H279" s="41" t="s">
        <v>62</v>
      </c>
      <c r="I279" s="3"/>
      <c r="J279" s="42"/>
      <c r="K279" s="3"/>
      <c r="M279" s="3"/>
      <c r="N279" s="3"/>
      <c r="O279" s="3"/>
      <c r="P279" s="3"/>
      <c r="Q279" s="3"/>
      <c r="R279" s="3"/>
      <c r="S279" s="3"/>
      <c r="T279" s="3"/>
      <c r="U279" s="3"/>
      <c r="V279" s="3"/>
    </row>
    <row r="280" spans="1:22" x14ac:dyDescent="0.25">
      <c r="A280" s="20">
        <v>42038</v>
      </c>
      <c r="B280" s="21">
        <v>10977</v>
      </c>
      <c r="C280" s="40" t="s">
        <v>559</v>
      </c>
      <c r="D280" s="105">
        <v>1201.2</v>
      </c>
      <c r="E280" s="23">
        <v>42039</v>
      </c>
      <c r="F280" s="106">
        <v>1201.2</v>
      </c>
      <c r="G280" s="31">
        <f t="shared" si="4"/>
        <v>0</v>
      </c>
      <c r="H280" s="41" t="s">
        <v>94</v>
      </c>
      <c r="I280" s="3"/>
      <c r="J280" s="42"/>
      <c r="K280" s="3"/>
      <c r="M280" s="3"/>
      <c r="N280" s="3"/>
      <c r="O280" s="3"/>
      <c r="P280" s="3"/>
      <c r="Q280" s="3"/>
      <c r="R280" s="3"/>
      <c r="S280" s="3"/>
      <c r="T280" s="3"/>
      <c r="U280" s="3"/>
      <c r="V280" s="3"/>
    </row>
    <row r="281" spans="1:22" x14ac:dyDescent="0.25">
      <c r="A281" s="20">
        <v>42038</v>
      </c>
      <c r="B281" s="21">
        <v>10978</v>
      </c>
      <c r="C281" s="40" t="s">
        <v>50</v>
      </c>
      <c r="D281" s="105">
        <v>4829.6000000000004</v>
      </c>
      <c r="E281" s="23">
        <v>42039</v>
      </c>
      <c r="F281" s="106">
        <v>4829.6000000000004</v>
      </c>
      <c r="G281" s="31">
        <f t="shared" si="4"/>
        <v>0</v>
      </c>
      <c r="H281" s="41" t="s">
        <v>94</v>
      </c>
      <c r="I281" s="3"/>
      <c r="J281" s="42"/>
      <c r="K281" s="3"/>
      <c r="M281" s="3"/>
      <c r="N281" s="3"/>
      <c r="O281" s="3"/>
      <c r="P281" s="3"/>
      <c r="Q281" s="3"/>
      <c r="R281" s="3"/>
      <c r="S281" s="3"/>
      <c r="T281" s="3"/>
      <c r="U281" s="3"/>
      <c r="V281" s="3"/>
    </row>
    <row r="282" spans="1:22" x14ac:dyDescent="0.25">
      <c r="A282" s="20">
        <v>42038</v>
      </c>
      <c r="B282" s="21">
        <v>10979</v>
      </c>
      <c r="C282" s="40" t="s">
        <v>65</v>
      </c>
      <c r="D282" s="105">
        <v>22415.4</v>
      </c>
      <c r="E282" s="23">
        <v>42039</v>
      </c>
      <c r="F282" s="106">
        <v>22415.4</v>
      </c>
      <c r="G282" s="31">
        <f t="shared" si="4"/>
        <v>0</v>
      </c>
      <c r="H282" s="41" t="s">
        <v>62</v>
      </c>
      <c r="I282" s="3"/>
      <c r="J282" s="42"/>
      <c r="K282" s="3"/>
      <c r="M282" s="3"/>
      <c r="N282" s="3"/>
      <c r="O282" s="3"/>
      <c r="P282" s="3"/>
      <c r="Q282" s="3"/>
      <c r="R282" s="3"/>
      <c r="S282" s="3"/>
      <c r="T282" s="3"/>
      <c r="U282" s="3"/>
      <c r="V282" s="3"/>
    </row>
    <row r="283" spans="1:22" x14ac:dyDescent="0.25">
      <c r="A283" s="20">
        <v>42038</v>
      </c>
      <c r="B283" s="21">
        <v>10980</v>
      </c>
      <c r="C283" s="40" t="s">
        <v>179</v>
      </c>
      <c r="D283" s="105">
        <v>1086.4000000000001</v>
      </c>
      <c r="E283" s="23">
        <v>42039</v>
      </c>
      <c r="F283" s="106">
        <v>1086.4000000000001</v>
      </c>
      <c r="G283" s="31">
        <f t="shared" si="4"/>
        <v>0</v>
      </c>
      <c r="H283" s="41" t="s">
        <v>94</v>
      </c>
      <c r="I283" s="3"/>
      <c r="J283" s="42"/>
      <c r="K283" s="3"/>
      <c r="M283" s="3"/>
      <c r="N283" s="3"/>
      <c r="O283" s="3"/>
      <c r="P283" s="3"/>
      <c r="Q283" s="3"/>
      <c r="R283" s="3"/>
      <c r="S283" s="3"/>
      <c r="T283" s="3"/>
      <c r="U283" s="3"/>
      <c r="V283" s="3"/>
    </row>
    <row r="284" spans="1:22" x14ac:dyDescent="0.25">
      <c r="A284" s="20">
        <v>42038</v>
      </c>
      <c r="B284" s="21">
        <v>10981</v>
      </c>
      <c r="C284" s="40" t="s">
        <v>87</v>
      </c>
      <c r="D284" s="105">
        <v>2497.8000000000002</v>
      </c>
      <c r="E284" s="23">
        <v>42039</v>
      </c>
      <c r="F284" s="106">
        <v>2497.8000000000002</v>
      </c>
      <c r="G284" s="31">
        <f t="shared" si="4"/>
        <v>0</v>
      </c>
      <c r="H284" s="41" t="s">
        <v>94</v>
      </c>
      <c r="I284" s="3"/>
      <c r="J284" s="42"/>
      <c r="K284" s="3"/>
      <c r="M284" s="3"/>
      <c r="N284" s="3"/>
      <c r="O284" s="3"/>
      <c r="P284" s="3"/>
      <c r="Q284" s="3"/>
      <c r="R284" s="3"/>
      <c r="S284" s="3"/>
      <c r="T284" s="3"/>
      <c r="U284" s="3"/>
      <c r="V284" s="3"/>
    </row>
    <row r="285" spans="1:22" x14ac:dyDescent="0.25">
      <c r="A285" s="20">
        <v>42038</v>
      </c>
      <c r="B285" s="21">
        <v>10982</v>
      </c>
      <c r="C285" s="40" t="s">
        <v>141</v>
      </c>
      <c r="D285" s="105">
        <v>10170.6</v>
      </c>
      <c r="E285" s="29" t="s">
        <v>560</v>
      </c>
      <c r="F285" s="106">
        <f>1192.5+4101+4877.1</f>
        <v>10170.6</v>
      </c>
      <c r="G285" s="31">
        <f t="shared" si="4"/>
        <v>0</v>
      </c>
      <c r="H285" s="41" t="s">
        <v>94</v>
      </c>
      <c r="I285" s="3"/>
      <c r="J285" s="42"/>
      <c r="K285" s="3"/>
      <c r="M285" s="3"/>
      <c r="N285" s="3"/>
      <c r="O285" s="3"/>
      <c r="P285" s="3"/>
      <c r="Q285" s="3"/>
      <c r="R285" s="3"/>
      <c r="S285" s="3"/>
      <c r="T285" s="3"/>
      <c r="U285" s="3"/>
      <c r="V285" s="3"/>
    </row>
    <row r="286" spans="1:22" x14ac:dyDescent="0.25">
      <c r="A286" s="20">
        <v>42038</v>
      </c>
      <c r="B286" s="21">
        <v>10983</v>
      </c>
      <c r="C286" s="40" t="s">
        <v>61</v>
      </c>
      <c r="D286" s="105">
        <v>16211.1</v>
      </c>
      <c r="E286" s="23">
        <v>42039</v>
      </c>
      <c r="F286" s="106">
        <v>16211.1</v>
      </c>
      <c r="G286" s="31">
        <f t="shared" si="4"/>
        <v>0</v>
      </c>
      <c r="H286" s="41" t="s">
        <v>62</v>
      </c>
      <c r="I286" s="3"/>
      <c r="J286" s="42"/>
      <c r="K286" s="3"/>
      <c r="M286" s="3"/>
      <c r="N286" s="3"/>
      <c r="O286" s="3"/>
      <c r="P286" s="3"/>
      <c r="Q286" s="3"/>
      <c r="R286" s="3"/>
      <c r="S286" s="3"/>
      <c r="T286" s="3"/>
      <c r="U286" s="3"/>
      <c r="V286" s="3"/>
    </row>
    <row r="287" spans="1:22" x14ac:dyDescent="0.25">
      <c r="A287" s="20">
        <v>42038</v>
      </c>
      <c r="B287" s="21">
        <v>10984</v>
      </c>
      <c r="C287" s="40" t="s">
        <v>328</v>
      </c>
      <c r="D287" s="105">
        <v>3912</v>
      </c>
      <c r="E287" s="23">
        <v>42039</v>
      </c>
      <c r="F287" s="106">
        <v>3912</v>
      </c>
      <c r="G287" s="31">
        <f t="shared" si="4"/>
        <v>0</v>
      </c>
      <c r="H287" s="41" t="s">
        <v>62</v>
      </c>
      <c r="I287" s="3"/>
      <c r="J287" s="42"/>
      <c r="K287" s="3"/>
      <c r="M287" s="3"/>
      <c r="N287" s="3"/>
      <c r="O287" s="3"/>
      <c r="P287" s="3"/>
      <c r="Q287" s="3"/>
      <c r="R287" s="3"/>
      <c r="S287" s="3"/>
      <c r="T287" s="3"/>
      <c r="U287" s="3"/>
      <c r="V287" s="3"/>
    </row>
    <row r="288" spans="1:22" x14ac:dyDescent="0.25">
      <c r="A288" s="20">
        <v>42038</v>
      </c>
      <c r="B288" s="21">
        <v>10985</v>
      </c>
      <c r="C288" s="40" t="s">
        <v>178</v>
      </c>
      <c r="D288" s="105">
        <v>4036</v>
      </c>
      <c r="E288" s="23">
        <v>42039</v>
      </c>
      <c r="F288" s="106">
        <v>4036</v>
      </c>
      <c r="G288" s="31">
        <f t="shared" si="4"/>
        <v>0</v>
      </c>
      <c r="H288" s="41" t="s">
        <v>62</v>
      </c>
      <c r="I288" s="3"/>
      <c r="J288" s="42"/>
      <c r="K288" s="3"/>
      <c r="M288" s="3"/>
      <c r="N288" s="3"/>
      <c r="O288" s="3"/>
      <c r="P288" s="3"/>
      <c r="Q288" s="3"/>
      <c r="R288" s="3"/>
      <c r="S288" s="3"/>
      <c r="T288" s="3"/>
      <c r="U288" s="3"/>
      <c r="V288" s="3"/>
    </row>
    <row r="289" spans="1:22" x14ac:dyDescent="0.25">
      <c r="A289" s="20">
        <v>42038</v>
      </c>
      <c r="B289" s="21">
        <v>10986</v>
      </c>
      <c r="C289" s="40" t="s">
        <v>78</v>
      </c>
      <c r="D289" s="105">
        <v>2040</v>
      </c>
      <c r="E289" s="23">
        <v>42039</v>
      </c>
      <c r="F289" s="106">
        <v>2040</v>
      </c>
      <c r="G289" s="31">
        <f t="shared" si="4"/>
        <v>0</v>
      </c>
      <c r="H289" s="41" t="s">
        <v>62</v>
      </c>
      <c r="I289" s="3"/>
      <c r="J289" s="42"/>
      <c r="K289" s="3"/>
      <c r="M289" s="3"/>
      <c r="N289" s="3"/>
      <c r="O289" s="3"/>
      <c r="P289" s="3"/>
      <c r="Q289" s="3"/>
      <c r="R289" s="3"/>
      <c r="S289" s="3"/>
      <c r="T289" s="3"/>
      <c r="U289" s="3"/>
      <c r="V289" s="3"/>
    </row>
    <row r="290" spans="1:22" x14ac:dyDescent="0.25">
      <c r="A290" s="20">
        <v>42038</v>
      </c>
      <c r="B290" s="21">
        <v>10987</v>
      </c>
      <c r="C290" s="40" t="s">
        <v>331</v>
      </c>
      <c r="D290" s="105">
        <v>1987.2</v>
      </c>
      <c r="E290" s="23">
        <v>42039</v>
      </c>
      <c r="F290" s="106">
        <v>1987.2</v>
      </c>
      <c r="G290" s="31">
        <f t="shared" si="4"/>
        <v>0</v>
      </c>
      <c r="H290" s="41" t="s">
        <v>62</v>
      </c>
      <c r="I290" s="3"/>
      <c r="J290" s="42"/>
      <c r="K290" s="3"/>
      <c r="M290" s="3"/>
      <c r="N290" s="3"/>
      <c r="O290" s="3"/>
      <c r="P290" s="3"/>
      <c r="Q290" s="3"/>
      <c r="R290" s="3"/>
      <c r="S290" s="3"/>
      <c r="T290" s="3"/>
      <c r="U290" s="3"/>
      <c r="V290" s="3"/>
    </row>
    <row r="291" spans="1:22" x14ac:dyDescent="0.25">
      <c r="A291" s="20">
        <v>42038</v>
      </c>
      <c r="B291" s="21">
        <v>10988</v>
      </c>
      <c r="C291" s="40" t="s">
        <v>89</v>
      </c>
      <c r="D291" s="105">
        <v>5358</v>
      </c>
      <c r="E291" s="23">
        <v>42038</v>
      </c>
      <c r="F291" s="106">
        <v>5358</v>
      </c>
      <c r="G291" s="31">
        <f t="shared" si="4"/>
        <v>0</v>
      </c>
      <c r="H291" s="41" t="s">
        <v>9</v>
      </c>
      <c r="I291" s="3"/>
      <c r="J291" s="42"/>
      <c r="K291" s="3"/>
      <c r="M291" s="3"/>
      <c r="N291" s="3"/>
      <c r="O291" s="3"/>
      <c r="P291" s="3"/>
      <c r="Q291" s="3"/>
      <c r="R291" s="3"/>
      <c r="S291" s="3"/>
      <c r="T291" s="3"/>
      <c r="U291" s="3"/>
      <c r="V291" s="3"/>
    </row>
    <row r="292" spans="1:22" x14ac:dyDescent="0.25">
      <c r="A292" s="20">
        <v>42038</v>
      </c>
      <c r="B292" s="21">
        <v>10989</v>
      </c>
      <c r="C292" s="40" t="s">
        <v>218</v>
      </c>
      <c r="D292" s="105">
        <v>0</v>
      </c>
      <c r="E292" s="29"/>
      <c r="F292" s="106"/>
      <c r="G292" s="31">
        <f t="shared" si="4"/>
        <v>0</v>
      </c>
      <c r="H292" s="41" t="s">
        <v>13</v>
      </c>
      <c r="I292" s="3"/>
      <c r="J292" s="42"/>
      <c r="K292" s="3"/>
      <c r="M292" s="3"/>
      <c r="N292" s="3"/>
      <c r="O292" s="3"/>
      <c r="P292" s="3"/>
      <c r="Q292" s="3"/>
      <c r="R292" s="3"/>
      <c r="S292" s="3"/>
      <c r="T292" s="3"/>
      <c r="U292" s="3"/>
      <c r="V292" s="3"/>
    </row>
    <row r="293" spans="1:22" x14ac:dyDescent="0.25">
      <c r="A293" s="20">
        <v>42038</v>
      </c>
      <c r="B293" s="21">
        <v>10990</v>
      </c>
      <c r="C293" s="40" t="s">
        <v>108</v>
      </c>
      <c r="D293" s="105">
        <v>19012.5</v>
      </c>
      <c r="E293" s="29" t="s">
        <v>561</v>
      </c>
      <c r="F293" s="106">
        <f>3118.5+15894</f>
        <v>19012.5</v>
      </c>
      <c r="G293" s="31">
        <f t="shared" si="4"/>
        <v>0</v>
      </c>
      <c r="H293" s="41" t="s">
        <v>41</v>
      </c>
      <c r="I293" s="3"/>
      <c r="J293" s="42"/>
      <c r="K293" s="3"/>
      <c r="M293" s="3"/>
      <c r="N293" s="3"/>
      <c r="O293" s="3"/>
      <c r="P293" s="3"/>
      <c r="Q293" s="3"/>
      <c r="R293" s="3"/>
      <c r="S293" s="3"/>
      <c r="T293" s="3"/>
      <c r="U293" s="3"/>
      <c r="V293" s="3"/>
    </row>
    <row r="294" spans="1:22" x14ac:dyDescent="0.25">
      <c r="A294" s="20">
        <v>42038</v>
      </c>
      <c r="B294" s="21">
        <v>10991</v>
      </c>
      <c r="C294" s="40" t="s">
        <v>55</v>
      </c>
      <c r="D294" s="105">
        <v>28086</v>
      </c>
      <c r="E294" s="23">
        <v>42038</v>
      </c>
      <c r="F294" s="106">
        <v>28086</v>
      </c>
      <c r="G294" s="31">
        <f t="shared" si="4"/>
        <v>0</v>
      </c>
      <c r="H294" s="41" t="s">
        <v>36</v>
      </c>
      <c r="I294" s="3"/>
      <c r="J294" s="42"/>
      <c r="K294" s="3"/>
      <c r="M294" s="3"/>
      <c r="N294" s="3"/>
      <c r="O294" s="3"/>
      <c r="P294" s="3"/>
      <c r="Q294" s="3"/>
      <c r="R294" s="3"/>
      <c r="S294" s="3"/>
      <c r="T294" s="3"/>
      <c r="U294" s="3"/>
      <c r="V294" s="3"/>
    </row>
    <row r="295" spans="1:22" x14ac:dyDescent="0.25">
      <c r="A295" s="20">
        <v>42038</v>
      </c>
      <c r="B295" s="21">
        <v>10992</v>
      </c>
      <c r="C295" s="14" t="s">
        <v>100</v>
      </c>
      <c r="D295" s="105">
        <v>541.6</v>
      </c>
      <c r="E295" s="23">
        <v>42038</v>
      </c>
      <c r="F295" s="106">
        <v>541.6</v>
      </c>
      <c r="G295" s="31">
        <f t="shared" si="4"/>
        <v>0</v>
      </c>
      <c r="H295" s="19" t="s">
        <v>9</v>
      </c>
      <c r="I295" s="3"/>
      <c r="J295" s="42"/>
      <c r="K295" s="3"/>
      <c r="M295" s="3"/>
      <c r="N295" s="3"/>
      <c r="O295" s="3"/>
      <c r="P295" s="3"/>
      <c r="Q295" s="3"/>
      <c r="R295" s="3"/>
      <c r="S295" s="3"/>
      <c r="T295" s="3"/>
      <c r="U295" s="3"/>
      <c r="V295" s="3"/>
    </row>
    <row r="296" spans="1:22" x14ac:dyDescent="0.25">
      <c r="A296" s="20">
        <v>42038</v>
      </c>
      <c r="B296" s="21">
        <v>10993</v>
      </c>
      <c r="C296" s="14" t="s">
        <v>192</v>
      </c>
      <c r="D296" s="105">
        <v>4485</v>
      </c>
      <c r="E296" s="23">
        <v>42045</v>
      </c>
      <c r="F296" s="106">
        <v>4485</v>
      </c>
      <c r="G296" s="31">
        <f t="shared" si="4"/>
        <v>0</v>
      </c>
      <c r="H296" s="19" t="s">
        <v>41</v>
      </c>
      <c r="I296" s="3"/>
      <c r="J296" s="42"/>
      <c r="K296" s="3"/>
      <c r="M296" s="3"/>
      <c r="N296" s="3"/>
      <c r="O296" s="3"/>
      <c r="P296" s="3"/>
      <c r="Q296" s="3"/>
      <c r="R296" s="3"/>
      <c r="S296" s="3"/>
      <c r="T296" s="3"/>
      <c r="U296" s="3"/>
      <c r="V296" s="3"/>
    </row>
    <row r="297" spans="1:22" x14ac:dyDescent="0.25">
      <c r="A297" s="20">
        <v>42038</v>
      </c>
      <c r="B297" s="21">
        <v>10994</v>
      </c>
      <c r="C297" s="14" t="s">
        <v>60</v>
      </c>
      <c r="D297" s="105">
        <v>4989.8</v>
      </c>
      <c r="E297" s="23">
        <v>42038</v>
      </c>
      <c r="F297" s="106">
        <v>4989.8</v>
      </c>
      <c r="G297" s="31">
        <f t="shared" si="4"/>
        <v>0</v>
      </c>
      <c r="H297" s="19" t="s">
        <v>36</v>
      </c>
      <c r="I297" s="3"/>
      <c r="J297" s="42"/>
      <c r="K297" s="3"/>
      <c r="M297" s="3"/>
      <c r="N297" s="3"/>
      <c r="O297" s="3"/>
      <c r="P297" s="3"/>
      <c r="Q297" s="3"/>
      <c r="R297" s="3"/>
      <c r="S297" s="3"/>
      <c r="T297" s="3"/>
      <c r="U297" s="3"/>
      <c r="V297" s="3"/>
    </row>
    <row r="298" spans="1:22" x14ac:dyDescent="0.25">
      <c r="A298" s="20">
        <v>42038</v>
      </c>
      <c r="B298" s="21">
        <v>10995</v>
      </c>
      <c r="C298" s="14" t="s">
        <v>256</v>
      </c>
      <c r="D298" s="105">
        <v>6760.38</v>
      </c>
      <c r="E298" s="23">
        <v>42038</v>
      </c>
      <c r="F298" s="106">
        <v>6760.38</v>
      </c>
      <c r="G298" s="31">
        <f t="shared" si="4"/>
        <v>0</v>
      </c>
      <c r="H298" s="19" t="s">
        <v>36</v>
      </c>
      <c r="I298" s="3"/>
      <c r="J298" s="42"/>
      <c r="K298" s="3"/>
      <c r="M298" s="3"/>
      <c r="N298" s="3"/>
      <c r="O298" s="3"/>
      <c r="P298" s="3"/>
      <c r="Q298" s="3"/>
      <c r="R298" s="3"/>
      <c r="S298" s="3"/>
      <c r="T298" s="3"/>
      <c r="U298" s="3"/>
      <c r="V298" s="3"/>
    </row>
    <row r="299" spans="1:22" x14ac:dyDescent="0.25">
      <c r="A299" s="20">
        <v>42038</v>
      </c>
      <c r="B299" s="21">
        <v>10996</v>
      </c>
      <c r="C299" s="14" t="s">
        <v>138</v>
      </c>
      <c r="D299" s="105">
        <v>4597.6000000000004</v>
      </c>
      <c r="E299" s="23">
        <v>42038</v>
      </c>
      <c r="F299" s="106">
        <v>4597.6000000000004</v>
      </c>
      <c r="G299" s="31">
        <f t="shared" si="4"/>
        <v>0</v>
      </c>
      <c r="H299" s="19" t="s">
        <v>19</v>
      </c>
      <c r="I299" s="3"/>
      <c r="J299" s="42"/>
      <c r="K299" s="3"/>
      <c r="M299" s="3"/>
      <c r="N299" s="3"/>
      <c r="O299" s="3"/>
      <c r="P299" s="3"/>
      <c r="Q299" s="3"/>
      <c r="R299" s="3"/>
      <c r="S299" s="3"/>
      <c r="T299" s="3"/>
      <c r="U299" s="3"/>
      <c r="V299" s="3"/>
    </row>
    <row r="300" spans="1:22" x14ac:dyDescent="0.25">
      <c r="A300" s="20">
        <v>42038</v>
      </c>
      <c r="B300" s="21">
        <v>10997</v>
      </c>
      <c r="C300" s="14" t="s">
        <v>136</v>
      </c>
      <c r="D300" s="105">
        <v>20168</v>
      </c>
      <c r="E300" s="23">
        <v>42040</v>
      </c>
      <c r="F300" s="106">
        <v>20168</v>
      </c>
      <c r="G300" s="31">
        <f t="shared" si="4"/>
        <v>0</v>
      </c>
      <c r="H300" s="19" t="s">
        <v>9</v>
      </c>
      <c r="I300" s="3"/>
      <c r="J300" s="42"/>
      <c r="K300" s="3"/>
      <c r="M300" s="3"/>
      <c r="N300" s="3"/>
      <c r="O300" s="3"/>
      <c r="P300" s="3"/>
      <c r="Q300" s="3"/>
      <c r="R300" s="3"/>
      <c r="S300" s="3"/>
      <c r="T300" s="3"/>
      <c r="U300" s="3"/>
      <c r="V300" s="3"/>
    </row>
    <row r="301" spans="1:22" x14ac:dyDescent="0.25">
      <c r="A301" s="20">
        <v>42038</v>
      </c>
      <c r="B301" s="21">
        <v>10998</v>
      </c>
      <c r="C301" s="14" t="s">
        <v>24</v>
      </c>
      <c r="D301" s="105">
        <v>340525.7</v>
      </c>
      <c r="E301" s="23">
        <v>42062</v>
      </c>
      <c r="F301" s="106">
        <v>340525.7</v>
      </c>
      <c r="G301" s="31">
        <f t="shared" si="4"/>
        <v>0</v>
      </c>
      <c r="H301" s="19" t="s">
        <v>46</v>
      </c>
      <c r="I301" s="3"/>
      <c r="J301" s="42"/>
      <c r="K301" s="3"/>
      <c r="M301" s="3"/>
      <c r="N301" s="3"/>
      <c r="O301" s="3"/>
      <c r="P301" s="3"/>
      <c r="Q301" s="3"/>
      <c r="R301" s="3"/>
      <c r="S301" s="3"/>
      <c r="T301" s="3"/>
      <c r="U301" s="3"/>
      <c r="V301" s="3"/>
    </row>
    <row r="302" spans="1:22" x14ac:dyDescent="0.25">
      <c r="A302" s="20">
        <v>42038</v>
      </c>
      <c r="B302" s="21">
        <v>10999</v>
      </c>
      <c r="C302" s="14" t="s">
        <v>282</v>
      </c>
      <c r="D302" s="105">
        <v>7200</v>
      </c>
      <c r="E302" s="23">
        <v>42045</v>
      </c>
      <c r="F302" s="106">
        <v>7200</v>
      </c>
      <c r="G302" s="31">
        <f t="shared" si="4"/>
        <v>0</v>
      </c>
      <c r="H302" s="19" t="s">
        <v>9</v>
      </c>
      <c r="I302" s="3"/>
      <c r="J302" s="42"/>
      <c r="K302" s="3"/>
      <c r="M302" s="3"/>
      <c r="N302" s="3"/>
      <c r="O302" s="3"/>
      <c r="P302" s="3"/>
      <c r="Q302" s="3"/>
      <c r="R302" s="3"/>
      <c r="S302" s="3"/>
      <c r="T302" s="3"/>
      <c r="U302" s="3"/>
      <c r="V302" s="3"/>
    </row>
    <row r="303" spans="1:22" x14ac:dyDescent="0.25">
      <c r="A303" s="20">
        <v>42038</v>
      </c>
      <c r="B303" s="21">
        <v>11000</v>
      </c>
      <c r="C303" s="14" t="s">
        <v>14</v>
      </c>
      <c r="D303" s="105">
        <v>8380.7999999999993</v>
      </c>
      <c r="E303" s="23">
        <v>42048</v>
      </c>
      <c r="F303" s="106">
        <v>8380.7999999999993</v>
      </c>
      <c r="G303" s="31">
        <f t="shared" si="4"/>
        <v>0</v>
      </c>
      <c r="H303" s="19" t="s">
        <v>15</v>
      </c>
      <c r="I303" s="3"/>
      <c r="J303" s="42"/>
      <c r="K303" s="3"/>
      <c r="M303" s="3"/>
      <c r="N303" s="3"/>
      <c r="O303" s="3"/>
      <c r="P303" s="3"/>
      <c r="Q303" s="3"/>
      <c r="R303" s="3"/>
      <c r="S303" s="3"/>
      <c r="T303" s="3"/>
      <c r="U303" s="3"/>
      <c r="V303" s="3"/>
    </row>
    <row r="304" spans="1:22" x14ac:dyDescent="0.25">
      <c r="A304" s="20">
        <v>42038</v>
      </c>
      <c r="B304" s="21">
        <v>11001</v>
      </c>
      <c r="C304" s="14" t="s">
        <v>64</v>
      </c>
      <c r="D304" s="105">
        <v>1143.8</v>
      </c>
      <c r="E304" s="23">
        <v>42038</v>
      </c>
      <c r="F304" s="106">
        <v>1143.8</v>
      </c>
      <c r="G304" s="31">
        <f t="shared" si="4"/>
        <v>0</v>
      </c>
      <c r="H304" s="19" t="s">
        <v>9</v>
      </c>
      <c r="I304" s="3"/>
      <c r="J304" s="42"/>
      <c r="K304" s="3"/>
      <c r="M304" s="3"/>
      <c r="N304" s="3"/>
      <c r="O304" s="3"/>
      <c r="P304" s="3"/>
      <c r="Q304" s="3"/>
      <c r="R304" s="3"/>
      <c r="S304" s="3"/>
      <c r="T304" s="3"/>
      <c r="U304" s="3"/>
      <c r="V304" s="3"/>
    </row>
    <row r="305" spans="1:22" x14ac:dyDescent="0.25">
      <c r="A305" s="20">
        <v>42038</v>
      </c>
      <c r="B305" s="21">
        <v>11002</v>
      </c>
      <c r="C305" s="14" t="s">
        <v>24</v>
      </c>
      <c r="D305" s="105">
        <v>143472.4</v>
      </c>
      <c r="E305" s="23">
        <v>42062</v>
      </c>
      <c r="F305" s="106">
        <v>143472.4</v>
      </c>
      <c r="G305" s="31">
        <f t="shared" si="4"/>
        <v>0</v>
      </c>
      <c r="H305" s="19" t="s">
        <v>17</v>
      </c>
      <c r="I305" s="3"/>
      <c r="J305" s="42"/>
      <c r="K305" s="3"/>
      <c r="M305" s="3"/>
      <c r="N305" s="3"/>
      <c r="O305" s="3"/>
      <c r="P305" s="3"/>
      <c r="Q305" s="3"/>
      <c r="R305" s="3"/>
      <c r="S305" s="3"/>
      <c r="T305" s="3"/>
      <c r="U305" s="3"/>
      <c r="V305" s="3"/>
    </row>
    <row r="306" spans="1:22" x14ac:dyDescent="0.25">
      <c r="A306" s="20">
        <v>42038</v>
      </c>
      <c r="B306" s="21">
        <v>11003</v>
      </c>
      <c r="C306" s="14" t="s">
        <v>74</v>
      </c>
      <c r="D306" s="105">
        <v>1743.4</v>
      </c>
      <c r="E306" s="23">
        <v>42038</v>
      </c>
      <c r="F306" s="106">
        <v>1743.4</v>
      </c>
      <c r="G306" s="31">
        <f t="shared" si="4"/>
        <v>0</v>
      </c>
      <c r="H306" s="19" t="s">
        <v>9</v>
      </c>
      <c r="I306" s="3"/>
      <c r="J306" s="42"/>
      <c r="K306" s="3"/>
      <c r="M306" s="3"/>
      <c r="N306" s="3"/>
      <c r="O306" s="3"/>
      <c r="P306" s="3"/>
      <c r="Q306" s="3"/>
      <c r="R306" s="3"/>
      <c r="S306" s="3"/>
      <c r="T306" s="3"/>
      <c r="U306" s="3"/>
      <c r="V306" s="3"/>
    </row>
    <row r="307" spans="1:22" x14ac:dyDescent="0.25">
      <c r="A307" s="20">
        <v>42038</v>
      </c>
      <c r="B307" s="21">
        <v>11004</v>
      </c>
      <c r="C307" s="14" t="s">
        <v>232</v>
      </c>
      <c r="D307" s="105">
        <v>21112</v>
      </c>
      <c r="E307" s="23">
        <v>42039</v>
      </c>
      <c r="F307" s="106">
        <v>21112</v>
      </c>
      <c r="G307" s="31">
        <f t="shared" si="4"/>
        <v>0</v>
      </c>
      <c r="H307" s="19" t="s">
        <v>19</v>
      </c>
      <c r="I307" s="3"/>
      <c r="J307" s="42"/>
      <c r="K307" s="3"/>
      <c r="M307" s="3"/>
      <c r="N307" s="3"/>
      <c r="O307" s="3"/>
      <c r="P307" s="3"/>
      <c r="Q307" s="3"/>
      <c r="R307" s="3"/>
      <c r="S307" s="3"/>
      <c r="T307" s="3"/>
      <c r="U307" s="3"/>
      <c r="V307" s="3"/>
    </row>
    <row r="308" spans="1:22" x14ac:dyDescent="0.25">
      <c r="A308" s="20">
        <v>42038</v>
      </c>
      <c r="B308" s="21">
        <v>11005</v>
      </c>
      <c r="C308" s="14" t="s">
        <v>102</v>
      </c>
      <c r="D308" s="105">
        <v>513.6</v>
      </c>
      <c r="E308" s="23">
        <v>42038</v>
      </c>
      <c r="F308" s="106">
        <v>513.6</v>
      </c>
      <c r="G308" s="31">
        <f t="shared" si="4"/>
        <v>0</v>
      </c>
      <c r="H308" s="19" t="s">
        <v>9</v>
      </c>
      <c r="I308" s="3"/>
      <c r="J308" s="42"/>
      <c r="K308" s="3"/>
      <c r="M308" s="3"/>
      <c r="N308" s="3"/>
      <c r="O308" s="3"/>
      <c r="P308" s="3"/>
      <c r="Q308" s="3"/>
      <c r="R308" s="3"/>
      <c r="S308" s="3"/>
      <c r="T308" s="3"/>
      <c r="U308" s="3"/>
      <c r="V308" s="3"/>
    </row>
    <row r="309" spans="1:22" x14ac:dyDescent="0.25">
      <c r="A309" s="20">
        <v>42038</v>
      </c>
      <c r="B309" s="21">
        <v>11006</v>
      </c>
      <c r="C309" s="14" t="s">
        <v>80</v>
      </c>
      <c r="D309" s="105">
        <v>7354.8</v>
      </c>
      <c r="E309" s="23">
        <v>42038</v>
      </c>
      <c r="F309" s="106">
        <v>7354.8</v>
      </c>
      <c r="G309" s="31">
        <f t="shared" si="4"/>
        <v>0</v>
      </c>
      <c r="H309" s="19" t="s">
        <v>9</v>
      </c>
      <c r="I309" s="3"/>
      <c r="J309" s="42"/>
      <c r="K309" s="3"/>
      <c r="M309" s="3"/>
      <c r="N309" s="3"/>
      <c r="O309" s="3"/>
      <c r="P309" s="3"/>
      <c r="Q309" s="3"/>
      <c r="R309" s="3"/>
      <c r="S309" s="3"/>
      <c r="T309" s="3"/>
      <c r="U309" s="3"/>
      <c r="V309" s="3"/>
    </row>
    <row r="310" spans="1:22" x14ac:dyDescent="0.25">
      <c r="A310" s="20">
        <v>42038</v>
      </c>
      <c r="B310" s="21">
        <v>11007</v>
      </c>
      <c r="C310" s="14" t="s">
        <v>169</v>
      </c>
      <c r="D310" s="105">
        <v>1658.88</v>
      </c>
      <c r="E310" s="23">
        <v>42038</v>
      </c>
      <c r="F310" s="106">
        <v>1658.88</v>
      </c>
      <c r="G310" s="31">
        <f t="shared" si="4"/>
        <v>0</v>
      </c>
      <c r="H310" s="19" t="s">
        <v>59</v>
      </c>
      <c r="I310" s="3"/>
      <c r="J310" s="42"/>
      <c r="K310" s="3"/>
      <c r="M310" s="3"/>
      <c r="N310" s="3"/>
      <c r="O310" s="3"/>
      <c r="P310" s="3"/>
      <c r="Q310" s="3"/>
      <c r="R310" s="3"/>
      <c r="S310" s="3"/>
      <c r="T310" s="3"/>
      <c r="U310" s="3"/>
      <c r="V310" s="3"/>
    </row>
    <row r="311" spans="1:22" x14ac:dyDescent="0.25">
      <c r="A311" s="20">
        <v>42038</v>
      </c>
      <c r="B311" s="21">
        <v>11008</v>
      </c>
      <c r="C311" s="14" t="s">
        <v>168</v>
      </c>
      <c r="D311" s="105">
        <v>786.6</v>
      </c>
      <c r="E311" s="23">
        <v>42038</v>
      </c>
      <c r="F311" s="106">
        <v>786.6</v>
      </c>
      <c r="G311" s="31">
        <f t="shared" si="4"/>
        <v>0</v>
      </c>
      <c r="H311" s="19" t="s">
        <v>59</v>
      </c>
      <c r="I311" s="3"/>
      <c r="J311" s="42"/>
      <c r="K311" s="3"/>
      <c r="M311" s="3"/>
      <c r="N311" s="3"/>
      <c r="O311" s="3"/>
      <c r="P311" s="3"/>
      <c r="Q311" s="3"/>
      <c r="R311" s="3"/>
      <c r="S311" s="3"/>
      <c r="T311" s="3"/>
      <c r="U311" s="3"/>
      <c r="V311" s="3"/>
    </row>
    <row r="312" spans="1:22" x14ac:dyDescent="0.25">
      <c r="A312" s="20">
        <v>42038</v>
      </c>
      <c r="B312" s="21">
        <v>11009</v>
      </c>
      <c r="C312" s="14" t="s">
        <v>416</v>
      </c>
      <c r="D312" s="105">
        <v>1400</v>
      </c>
      <c r="E312" s="97" t="s">
        <v>742</v>
      </c>
      <c r="F312" s="144">
        <f>350+350+350+350</f>
        <v>1400</v>
      </c>
      <c r="G312" s="31">
        <f t="shared" si="4"/>
        <v>0</v>
      </c>
      <c r="H312" s="19" t="s">
        <v>9</v>
      </c>
      <c r="I312" s="3"/>
      <c r="J312" s="42"/>
      <c r="K312" s="3"/>
      <c r="M312" s="3"/>
      <c r="N312" s="3"/>
      <c r="O312" s="3"/>
      <c r="P312" s="3"/>
      <c r="Q312" s="3"/>
      <c r="R312" s="3"/>
      <c r="S312" s="3"/>
      <c r="T312" s="3"/>
      <c r="U312" s="3"/>
      <c r="V312" s="3"/>
    </row>
    <row r="313" spans="1:22" x14ac:dyDescent="0.25">
      <c r="A313" s="20">
        <v>42039</v>
      </c>
      <c r="B313" s="21">
        <v>11010</v>
      </c>
      <c r="C313" s="14" t="s">
        <v>16</v>
      </c>
      <c r="D313" s="105">
        <v>4856.8</v>
      </c>
      <c r="E313" s="23">
        <v>42039</v>
      </c>
      <c r="F313" s="106">
        <v>4856.8</v>
      </c>
      <c r="G313" s="31">
        <f t="shared" si="4"/>
        <v>0</v>
      </c>
      <c r="H313" s="19" t="s">
        <v>17</v>
      </c>
      <c r="I313" s="3"/>
      <c r="J313" s="42"/>
      <c r="K313" s="3"/>
      <c r="M313" s="3"/>
      <c r="N313" s="3"/>
      <c r="O313" s="3"/>
      <c r="P313" s="3"/>
      <c r="Q313" s="3"/>
      <c r="R313" s="3"/>
      <c r="S313" s="3"/>
      <c r="T313" s="3"/>
      <c r="U313" s="3"/>
      <c r="V313" s="3"/>
    </row>
    <row r="314" spans="1:22" x14ac:dyDescent="0.25">
      <c r="A314" s="20">
        <v>42039</v>
      </c>
      <c r="B314" s="21">
        <v>11011</v>
      </c>
      <c r="C314" s="14" t="s">
        <v>249</v>
      </c>
      <c r="D314" s="105">
        <v>4449.6000000000004</v>
      </c>
      <c r="E314" s="23">
        <v>42039</v>
      </c>
      <c r="F314" s="106">
        <v>4449.6000000000004</v>
      </c>
      <c r="G314" s="31">
        <f t="shared" si="4"/>
        <v>0</v>
      </c>
      <c r="H314" s="19" t="s">
        <v>9</v>
      </c>
      <c r="I314" s="3"/>
      <c r="J314" s="42"/>
      <c r="K314" s="3"/>
      <c r="M314" s="3"/>
      <c r="N314" s="3"/>
      <c r="O314" s="3"/>
      <c r="P314" s="3"/>
      <c r="Q314" s="3"/>
      <c r="R314" s="3"/>
      <c r="S314" s="3"/>
      <c r="T314" s="3"/>
      <c r="U314" s="3"/>
      <c r="V314" s="3"/>
    </row>
    <row r="315" spans="1:22" x14ac:dyDescent="0.25">
      <c r="A315" s="20">
        <v>42039</v>
      </c>
      <c r="B315" s="21">
        <v>11012</v>
      </c>
      <c r="C315" s="14" t="s">
        <v>26</v>
      </c>
      <c r="D315" s="105">
        <v>1728</v>
      </c>
      <c r="E315" s="23">
        <v>42039</v>
      </c>
      <c r="F315" s="106">
        <v>1728</v>
      </c>
      <c r="G315" s="31">
        <f t="shared" si="4"/>
        <v>0</v>
      </c>
      <c r="H315" s="19" t="s">
        <v>27</v>
      </c>
      <c r="I315" s="3"/>
      <c r="J315" s="42"/>
      <c r="K315" s="3"/>
      <c r="M315" s="3"/>
      <c r="N315" s="3"/>
      <c r="O315" s="3"/>
      <c r="P315" s="3"/>
      <c r="Q315" s="3"/>
      <c r="R315" s="3"/>
      <c r="S315" s="3"/>
      <c r="T315" s="3"/>
      <c r="U315" s="3"/>
      <c r="V315" s="3"/>
    </row>
    <row r="316" spans="1:22" x14ac:dyDescent="0.25">
      <c r="A316" s="20">
        <v>42039</v>
      </c>
      <c r="B316" s="21">
        <v>11013</v>
      </c>
      <c r="C316" s="14" t="s">
        <v>14</v>
      </c>
      <c r="D316" s="105">
        <v>17997</v>
      </c>
      <c r="E316" s="23">
        <v>42048</v>
      </c>
      <c r="F316" s="106">
        <v>17997</v>
      </c>
      <c r="G316" s="31">
        <f t="shared" si="4"/>
        <v>0</v>
      </c>
      <c r="H316" s="19" t="s">
        <v>15</v>
      </c>
      <c r="I316" s="3"/>
      <c r="J316" s="42"/>
      <c r="K316" s="3"/>
      <c r="M316" s="3"/>
      <c r="N316" s="3"/>
      <c r="O316" s="3"/>
      <c r="P316" s="3"/>
      <c r="Q316" s="3"/>
      <c r="R316" s="3"/>
      <c r="S316" s="3"/>
      <c r="T316" s="3"/>
      <c r="U316" s="3"/>
      <c r="V316" s="3"/>
    </row>
    <row r="317" spans="1:22" x14ac:dyDescent="0.25">
      <c r="A317" s="20">
        <v>42039</v>
      </c>
      <c r="B317" s="21">
        <v>11014</v>
      </c>
      <c r="C317" s="14" t="s">
        <v>20</v>
      </c>
      <c r="D317" s="105">
        <v>15407</v>
      </c>
      <c r="E317" s="23">
        <v>42039</v>
      </c>
      <c r="F317" s="106">
        <v>15407</v>
      </c>
      <c r="G317" s="31">
        <f t="shared" si="4"/>
        <v>0</v>
      </c>
      <c r="H317" s="19" t="s">
        <v>94</v>
      </c>
      <c r="I317" s="3"/>
      <c r="J317" s="42"/>
      <c r="K317" s="3"/>
      <c r="M317" s="3"/>
      <c r="N317" s="3"/>
      <c r="O317" s="3"/>
      <c r="P317" s="3"/>
      <c r="Q317" s="3"/>
      <c r="R317" s="3"/>
      <c r="S317" s="3"/>
      <c r="T317" s="3"/>
      <c r="U317" s="3"/>
      <c r="V317" s="3"/>
    </row>
    <row r="318" spans="1:22" x14ac:dyDescent="0.25">
      <c r="A318" s="20">
        <v>42039</v>
      </c>
      <c r="B318" s="21">
        <v>11015</v>
      </c>
      <c r="C318" s="14" t="s">
        <v>239</v>
      </c>
      <c r="D318" s="105">
        <v>3293</v>
      </c>
      <c r="E318" s="29" t="s">
        <v>562</v>
      </c>
      <c r="F318" s="106">
        <f>2700+593</f>
        <v>3293</v>
      </c>
      <c r="G318" s="31">
        <f t="shared" si="4"/>
        <v>0</v>
      </c>
      <c r="H318" s="19" t="s">
        <v>9</v>
      </c>
      <c r="I318" s="3"/>
      <c r="J318" s="42"/>
      <c r="K318" s="3"/>
      <c r="M318" s="3"/>
      <c r="N318" s="3"/>
      <c r="O318" s="3"/>
      <c r="P318" s="3"/>
      <c r="Q318" s="3"/>
      <c r="R318" s="3"/>
      <c r="S318" s="3"/>
      <c r="T318" s="3"/>
      <c r="U318" s="3"/>
      <c r="V318" s="3"/>
    </row>
    <row r="319" spans="1:22" x14ac:dyDescent="0.25">
      <c r="A319" s="20">
        <v>42039</v>
      </c>
      <c r="B319" s="21">
        <v>11016</v>
      </c>
      <c r="C319" s="14" t="s">
        <v>114</v>
      </c>
      <c r="D319" s="105">
        <v>5348</v>
      </c>
      <c r="E319" s="23">
        <v>42039</v>
      </c>
      <c r="F319" s="106">
        <v>5348</v>
      </c>
      <c r="G319" s="31">
        <f t="shared" si="4"/>
        <v>0</v>
      </c>
      <c r="H319" s="19" t="s">
        <v>9</v>
      </c>
      <c r="I319" s="3"/>
      <c r="J319" s="42"/>
      <c r="K319" s="3"/>
      <c r="M319" s="3"/>
      <c r="N319" s="3"/>
      <c r="O319" s="3"/>
      <c r="P319" s="3"/>
      <c r="Q319" s="3"/>
      <c r="R319" s="3"/>
      <c r="S319" s="3"/>
      <c r="T319" s="3"/>
      <c r="U319" s="3"/>
      <c r="V319" s="3"/>
    </row>
    <row r="320" spans="1:22" x14ac:dyDescent="0.25">
      <c r="A320" s="20">
        <v>42039</v>
      </c>
      <c r="B320" s="21">
        <v>11017</v>
      </c>
      <c r="C320" s="14" t="s">
        <v>148</v>
      </c>
      <c r="D320" s="105">
        <v>5827.5</v>
      </c>
      <c r="E320" s="23">
        <v>42039</v>
      </c>
      <c r="F320" s="106">
        <v>5827.5</v>
      </c>
      <c r="G320" s="31">
        <f t="shared" si="4"/>
        <v>0</v>
      </c>
      <c r="H320" s="19" t="s">
        <v>9</v>
      </c>
      <c r="I320" s="3"/>
      <c r="J320" s="42"/>
      <c r="K320" s="3"/>
      <c r="M320" s="3"/>
      <c r="N320" s="3"/>
      <c r="O320" s="3"/>
      <c r="P320" s="3"/>
      <c r="Q320" s="3"/>
      <c r="R320" s="3"/>
      <c r="S320" s="3"/>
      <c r="T320" s="3"/>
      <c r="U320" s="3"/>
      <c r="V320" s="3"/>
    </row>
    <row r="321" spans="1:22" x14ac:dyDescent="0.25">
      <c r="A321" s="20">
        <v>42039</v>
      </c>
      <c r="B321" s="21">
        <v>11018</v>
      </c>
      <c r="C321" s="14" t="s">
        <v>563</v>
      </c>
      <c r="D321" s="105">
        <v>1384</v>
      </c>
      <c r="E321" s="23">
        <v>42039</v>
      </c>
      <c r="F321" s="106">
        <v>1384</v>
      </c>
      <c r="G321" s="31">
        <f t="shared" si="4"/>
        <v>0</v>
      </c>
      <c r="H321" s="19" t="s">
        <v>9</v>
      </c>
      <c r="I321" s="3"/>
      <c r="J321" s="42"/>
      <c r="K321" s="3"/>
      <c r="M321" s="3"/>
      <c r="N321" s="3"/>
      <c r="O321" s="3"/>
      <c r="P321" s="3"/>
      <c r="Q321" s="3"/>
      <c r="R321" s="3"/>
      <c r="S321" s="3"/>
      <c r="T321" s="3"/>
      <c r="U321" s="3"/>
      <c r="V321" s="3"/>
    </row>
    <row r="322" spans="1:22" x14ac:dyDescent="0.25">
      <c r="A322" s="20">
        <v>42039</v>
      </c>
      <c r="B322" s="21">
        <v>11019</v>
      </c>
      <c r="C322" s="14" t="s">
        <v>121</v>
      </c>
      <c r="D322" s="105">
        <v>2966.4</v>
      </c>
      <c r="E322" s="23">
        <v>42039</v>
      </c>
      <c r="F322" s="106">
        <v>2966.4</v>
      </c>
      <c r="G322" s="31">
        <f t="shared" si="4"/>
        <v>0</v>
      </c>
      <c r="H322" s="19" t="s">
        <v>9</v>
      </c>
      <c r="I322" s="3"/>
      <c r="J322" s="42"/>
      <c r="K322" s="3"/>
      <c r="M322" s="3"/>
      <c r="N322" s="3"/>
      <c r="O322" s="3"/>
      <c r="P322" s="3"/>
      <c r="Q322" s="3"/>
      <c r="R322" s="3"/>
      <c r="S322" s="3"/>
      <c r="T322" s="3"/>
      <c r="U322" s="3"/>
      <c r="V322" s="3"/>
    </row>
    <row r="323" spans="1:22" x14ac:dyDescent="0.25">
      <c r="A323" s="20">
        <v>42039</v>
      </c>
      <c r="B323" s="21">
        <v>11020</v>
      </c>
      <c r="C323" s="14" t="s">
        <v>563</v>
      </c>
      <c r="D323" s="105">
        <v>934.4</v>
      </c>
      <c r="E323" s="23">
        <v>42039</v>
      </c>
      <c r="F323" s="106">
        <v>934.4</v>
      </c>
      <c r="G323" s="31">
        <f t="shared" ref="G323:G386" si="5">D323-F323</f>
        <v>0</v>
      </c>
      <c r="H323" s="19" t="s">
        <v>9</v>
      </c>
      <c r="I323" s="3"/>
      <c r="J323" s="42"/>
      <c r="K323" s="3"/>
      <c r="M323" s="3"/>
      <c r="N323" s="3"/>
      <c r="O323" s="3"/>
      <c r="P323" s="3"/>
      <c r="Q323" s="3"/>
      <c r="R323" s="3"/>
      <c r="S323" s="3"/>
      <c r="T323" s="3"/>
      <c r="U323" s="3"/>
      <c r="V323" s="3"/>
    </row>
    <row r="324" spans="1:22" x14ac:dyDescent="0.25">
      <c r="A324" s="20">
        <v>42039</v>
      </c>
      <c r="B324" s="21">
        <v>11021</v>
      </c>
      <c r="C324" s="14" t="s">
        <v>413</v>
      </c>
      <c r="D324" s="105">
        <v>4787.6000000000004</v>
      </c>
      <c r="E324" s="23">
        <v>42040</v>
      </c>
      <c r="F324" s="106">
        <v>4787.6000000000004</v>
      </c>
      <c r="G324" s="31">
        <f t="shared" si="5"/>
        <v>0</v>
      </c>
      <c r="H324" s="19" t="s">
        <v>94</v>
      </c>
      <c r="I324" s="3"/>
      <c r="J324" s="42"/>
      <c r="K324" s="3"/>
      <c r="M324" s="3"/>
      <c r="N324" s="3"/>
      <c r="O324" s="3"/>
      <c r="P324" s="3"/>
      <c r="Q324" s="3"/>
      <c r="R324" s="3"/>
      <c r="S324" s="3"/>
      <c r="T324" s="3"/>
      <c r="U324" s="3"/>
      <c r="V324" s="3"/>
    </row>
    <row r="325" spans="1:22" x14ac:dyDescent="0.25">
      <c r="A325" s="20">
        <v>42039</v>
      </c>
      <c r="B325" s="21">
        <v>11022</v>
      </c>
      <c r="C325" s="14" t="s">
        <v>23</v>
      </c>
      <c r="D325" s="105">
        <v>4623.6000000000004</v>
      </c>
      <c r="E325" s="23">
        <v>42039</v>
      </c>
      <c r="F325" s="106">
        <v>4623.6000000000004</v>
      </c>
      <c r="G325" s="31">
        <f t="shared" si="5"/>
        <v>0</v>
      </c>
      <c r="H325" s="19" t="s">
        <v>9</v>
      </c>
      <c r="I325" s="3"/>
      <c r="J325" s="42"/>
      <c r="K325" s="3"/>
      <c r="M325" s="3"/>
      <c r="N325" s="3"/>
      <c r="O325" s="3"/>
      <c r="P325" s="3"/>
      <c r="Q325" s="3"/>
      <c r="R325" s="3"/>
      <c r="S325" s="3"/>
      <c r="T325" s="3"/>
      <c r="U325" s="3"/>
      <c r="V325" s="3"/>
    </row>
    <row r="326" spans="1:22" x14ac:dyDescent="0.25">
      <c r="A326" s="20">
        <v>42039</v>
      </c>
      <c r="B326" s="21">
        <v>11023</v>
      </c>
      <c r="C326" s="14" t="s">
        <v>151</v>
      </c>
      <c r="D326" s="105">
        <v>3810.3</v>
      </c>
      <c r="E326" s="23">
        <v>42040</v>
      </c>
      <c r="F326" s="106">
        <v>3810.3</v>
      </c>
      <c r="G326" s="31">
        <f t="shared" si="5"/>
        <v>0</v>
      </c>
      <c r="H326" s="19" t="s">
        <v>9</v>
      </c>
      <c r="I326" s="3"/>
      <c r="J326" s="42"/>
      <c r="K326" s="3"/>
      <c r="M326" s="3"/>
      <c r="N326" s="3"/>
      <c r="O326" s="3"/>
      <c r="P326" s="3"/>
      <c r="Q326" s="3"/>
      <c r="R326" s="3"/>
      <c r="S326" s="3"/>
      <c r="T326" s="3"/>
      <c r="U326" s="3"/>
      <c r="V326" s="3"/>
    </row>
    <row r="327" spans="1:22" x14ac:dyDescent="0.25">
      <c r="A327" s="20">
        <v>42039</v>
      </c>
      <c r="B327" s="21">
        <v>11024</v>
      </c>
      <c r="C327" s="14" t="s">
        <v>157</v>
      </c>
      <c r="D327" s="105">
        <v>2933.6</v>
      </c>
      <c r="E327" s="23">
        <v>42039</v>
      </c>
      <c r="F327" s="106">
        <v>2933.6</v>
      </c>
      <c r="G327" s="31">
        <f t="shared" si="5"/>
        <v>0</v>
      </c>
      <c r="H327" s="19" t="s">
        <v>9</v>
      </c>
      <c r="I327" s="3"/>
      <c r="J327" s="42"/>
      <c r="K327" s="3"/>
      <c r="M327" s="3"/>
      <c r="N327" s="3"/>
      <c r="O327" s="3"/>
      <c r="P327" s="3"/>
      <c r="Q327" s="3"/>
      <c r="R327" s="3"/>
      <c r="S327" s="3"/>
      <c r="T327" s="3"/>
      <c r="U327" s="3"/>
      <c r="V327" s="3"/>
    </row>
    <row r="328" spans="1:22" x14ac:dyDescent="0.25">
      <c r="A328" s="20">
        <v>42039</v>
      </c>
      <c r="B328" s="21">
        <v>11025</v>
      </c>
      <c r="C328" s="14" t="s">
        <v>135</v>
      </c>
      <c r="D328" s="105">
        <v>1904</v>
      </c>
      <c r="E328" s="23">
        <v>42039</v>
      </c>
      <c r="F328" s="106">
        <v>1904</v>
      </c>
      <c r="G328" s="31">
        <f t="shared" si="5"/>
        <v>0</v>
      </c>
      <c r="H328" s="19" t="s">
        <v>9</v>
      </c>
      <c r="I328" s="3"/>
      <c r="J328" s="42"/>
      <c r="K328" s="3"/>
      <c r="M328" s="3"/>
      <c r="N328" s="3"/>
      <c r="O328" s="3"/>
      <c r="P328" s="3"/>
      <c r="Q328" s="3"/>
      <c r="R328" s="3"/>
      <c r="S328" s="3"/>
      <c r="T328" s="3"/>
      <c r="U328" s="3"/>
      <c r="V328" s="3"/>
    </row>
    <row r="329" spans="1:22" x14ac:dyDescent="0.25">
      <c r="A329" s="20">
        <v>42039</v>
      </c>
      <c r="B329" s="21">
        <v>11026</v>
      </c>
      <c r="C329" s="14" t="s">
        <v>64</v>
      </c>
      <c r="D329" s="105">
        <v>688.8</v>
      </c>
      <c r="E329" s="23">
        <v>42039</v>
      </c>
      <c r="F329" s="106">
        <v>688.8</v>
      </c>
      <c r="G329" s="31">
        <f t="shared" si="5"/>
        <v>0</v>
      </c>
      <c r="H329" s="19" t="s">
        <v>9</v>
      </c>
      <c r="I329" s="3"/>
      <c r="J329" s="42"/>
      <c r="K329" s="3"/>
      <c r="M329" s="3"/>
      <c r="N329" s="3"/>
      <c r="O329" s="3"/>
      <c r="P329" s="3"/>
      <c r="Q329" s="3"/>
      <c r="R329" s="3"/>
      <c r="S329" s="3"/>
      <c r="T329" s="3"/>
      <c r="U329" s="3"/>
      <c r="V329" s="3"/>
    </row>
    <row r="330" spans="1:22" x14ac:dyDescent="0.25">
      <c r="A330" s="20">
        <v>42039</v>
      </c>
      <c r="B330" s="21">
        <v>11027</v>
      </c>
      <c r="C330" s="14" t="s">
        <v>14</v>
      </c>
      <c r="D330" s="105">
        <v>104231.1</v>
      </c>
      <c r="E330" s="23">
        <v>42048</v>
      </c>
      <c r="F330" s="106">
        <v>104231.1</v>
      </c>
      <c r="G330" s="31">
        <f t="shared" si="5"/>
        <v>0</v>
      </c>
      <c r="H330" s="19" t="s">
        <v>183</v>
      </c>
      <c r="I330" s="3"/>
      <c r="J330" s="42"/>
      <c r="K330" s="3"/>
      <c r="M330" s="3"/>
      <c r="N330" s="3"/>
      <c r="O330" s="3"/>
      <c r="P330" s="3"/>
      <c r="Q330" s="3"/>
      <c r="R330" s="3"/>
      <c r="S330" s="3"/>
      <c r="T330" s="3"/>
      <c r="U330" s="3"/>
      <c r="V330" s="3"/>
    </row>
    <row r="331" spans="1:22" x14ac:dyDescent="0.25">
      <c r="A331" s="20">
        <v>42039</v>
      </c>
      <c r="B331" s="21">
        <v>11028</v>
      </c>
      <c r="C331" s="14" t="s">
        <v>110</v>
      </c>
      <c r="D331" s="105">
        <v>33865.300000000003</v>
      </c>
      <c r="E331" s="23">
        <v>42048</v>
      </c>
      <c r="F331" s="106">
        <v>33865.300000000003</v>
      </c>
      <c r="G331" s="31">
        <f t="shared" si="5"/>
        <v>0</v>
      </c>
      <c r="H331" s="19" t="s">
        <v>183</v>
      </c>
      <c r="I331" s="3"/>
      <c r="J331" s="42"/>
      <c r="K331" s="3"/>
      <c r="M331" s="3"/>
      <c r="N331" s="3"/>
      <c r="O331" s="3"/>
      <c r="P331" s="3"/>
      <c r="Q331" s="3"/>
      <c r="R331" s="3"/>
      <c r="S331" s="3"/>
      <c r="T331" s="3"/>
      <c r="U331" s="3"/>
      <c r="V331" s="3"/>
    </row>
    <row r="332" spans="1:22" x14ac:dyDescent="0.25">
      <c r="A332" s="20">
        <v>42039</v>
      </c>
      <c r="B332" s="21">
        <v>11029</v>
      </c>
      <c r="C332" s="14" t="s">
        <v>18</v>
      </c>
      <c r="D332" s="105">
        <v>50392.800000000003</v>
      </c>
      <c r="E332" s="23">
        <v>42042</v>
      </c>
      <c r="F332" s="106">
        <v>50392.800000000003</v>
      </c>
      <c r="G332" s="31">
        <f t="shared" si="5"/>
        <v>0</v>
      </c>
      <c r="H332" s="19" t="s">
        <v>9</v>
      </c>
      <c r="I332" s="3"/>
      <c r="J332" s="42"/>
      <c r="K332" s="3"/>
      <c r="M332" s="3"/>
      <c r="N332" s="3"/>
      <c r="O332" s="3"/>
      <c r="P332" s="3"/>
      <c r="Q332" s="3"/>
      <c r="R332" s="3"/>
      <c r="S332" s="3"/>
      <c r="T332" s="3"/>
      <c r="U332" s="3"/>
      <c r="V332" s="3"/>
    </row>
    <row r="333" spans="1:22" x14ac:dyDescent="0.25">
      <c r="A333" s="20">
        <v>42039</v>
      </c>
      <c r="B333" s="21">
        <v>11030</v>
      </c>
      <c r="C333" s="14" t="s">
        <v>375</v>
      </c>
      <c r="D333" s="105">
        <v>1206.8</v>
      </c>
      <c r="E333" s="23">
        <v>42039</v>
      </c>
      <c r="F333" s="106">
        <v>1206.8</v>
      </c>
      <c r="G333" s="31">
        <f t="shared" si="5"/>
        <v>0</v>
      </c>
      <c r="H333" s="19" t="s">
        <v>9</v>
      </c>
      <c r="I333" s="3"/>
      <c r="J333" s="42"/>
      <c r="K333" s="3"/>
      <c r="M333" s="3"/>
      <c r="N333" s="3"/>
      <c r="O333" s="3"/>
      <c r="P333" s="3"/>
      <c r="Q333" s="3"/>
      <c r="R333" s="3"/>
      <c r="S333" s="3"/>
      <c r="T333" s="3"/>
      <c r="U333" s="3"/>
      <c r="V333" s="3"/>
    </row>
    <row r="334" spans="1:22" x14ac:dyDescent="0.25">
      <c r="A334" s="20">
        <v>42039</v>
      </c>
      <c r="B334" s="21">
        <v>11031</v>
      </c>
      <c r="C334" s="14" t="s">
        <v>168</v>
      </c>
      <c r="D334" s="105">
        <v>7430.8</v>
      </c>
      <c r="E334" s="23">
        <v>42039</v>
      </c>
      <c r="F334" s="106">
        <v>7430.8</v>
      </c>
      <c r="G334" s="31">
        <f t="shared" si="5"/>
        <v>0</v>
      </c>
      <c r="H334" s="19" t="s">
        <v>17</v>
      </c>
      <c r="I334" s="3"/>
      <c r="J334" s="42"/>
      <c r="K334" s="3"/>
      <c r="M334" s="3"/>
      <c r="N334" s="3"/>
      <c r="O334" s="3"/>
      <c r="P334" s="3"/>
      <c r="Q334" s="3"/>
      <c r="R334" s="3"/>
      <c r="S334" s="3"/>
      <c r="T334" s="3"/>
      <c r="U334" s="3"/>
      <c r="V334" s="3"/>
    </row>
    <row r="335" spans="1:22" x14ac:dyDescent="0.25">
      <c r="A335" s="20">
        <v>42039</v>
      </c>
      <c r="B335" s="21">
        <v>11032</v>
      </c>
      <c r="C335" s="14" t="s">
        <v>57</v>
      </c>
      <c r="D335" s="105">
        <v>1200</v>
      </c>
      <c r="E335" s="23">
        <v>42039</v>
      </c>
      <c r="F335" s="106">
        <v>1200</v>
      </c>
      <c r="G335" s="31">
        <f t="shared" si="5"/>
        <v>0</v>
      </c>
      <c r="H335" s="19" t="s">
        <v>17</v>
      </c>
      <c r="I335" s="3"/>
      <c r="J335" s="42"/>
      <c r="K335" s="3"/>
      <c r="M335" s="3"/>
      <c r="N335" s="3"/>
      <c r="O335" s="3"/>
      <c r="P335" s="3"/>
      <c r="Q335" s="3"/>
      <c r="R335" s="3"/>
      <c r="S335" s="3"/>
      <c r="T335" s="3"/>
      <c r="U335" s="3"/>
      <c r="V335" s="3"/>
    </row>
    <row r="336" spans="1:22" x14ac:dyDescent="0.25">
      <c r="A336" s="20">
        <v>42039</v>
      </c>
      <c r="B336" s="21">
        <v>11033</v>
      </c>
      <c r="C336" s="14" t="s">
        <v>14</v>
      </c>
      <c r="D336" s="105">
        <v>9234</v>
      </c>
      <c r="E336" s="23">
        <v>42048</v>
      </c>
      <c r="F336" s="106">
        <v>9234</v>
      </c>
      <c r="G336" s="31">
        <f t="shared" si="5"/>
        <v>0</v>
      </c>
      <c r="H336" s="19" t="s">
        <v>15</v>
      </c>
      <c r="I336" s="3"/>
      <c r="J336" s="42"/>
      <c r="K336" s="3"/>
      <c r="M336" s="3"/>
      <c r="N336" s="3"/>
      <c r="O336" s="3"/>
      <c r="P336" s="3"/>
      <c r="Q336" s="3"/>
      <c r="R336" s="3"/>
      <c r="S336" s="3"/>
      <c r="T336" s="3"/>
      <c r="U336" s="3"/>
      <c r="V336" s="3"/>
    </row>
    <row r="337" spans="1:22" x14ac:dyDescent="0.25">
      <c r="A337" s="20">
        <v>42039</v>
      </c>
      <c r="B337" s="21">
        <v>11034</v>
      </c>
      <c r="C337" s="26" t="s">
        <v>218</v>
      </c>
      <c r="D337" s="108">
        <v>0</v>
      </c>
      <c r="E337" s="29"/>
      <c r="F337" s="106"/>
      <c r="G337" s="31">
        <f t="shared" si="5"/>
        <v>0</v>
      </c>
      <c r="H337" s="19" t="s">
        <v>13</v>
      </c>
      <c r="I337" s="3"/>
      <c r="J337" s="42"/>
      <c r="K337" s="3"/>
      <c r="M337" s="3"/>
      <c r="N337" s="3"/>
      <c r="O337" s="3"/>
      <c r="P337" s="3"/>
      <c r="Q337" s="3"/>
      <c r="R337" s="3"/>
      <c r="S337" s="3"/>
      <c r="T337" s="3"/>
      <c r="U337" s="3"/>
      <c r="V337" s="3"/>
    </row>
    <row r="338" spans="1:22" x14ac:dyDescent="0.25">
      <c r="A338" s="20">
        <v>42039</v>
      </c>
      <c r="B338" s="21">
        <v>11035</v>
      </c>
      <c r="C338" s="14" t="s">
        <v>28</v>
      </c>
      <c r="D338" s="105">
        <v>3720</v>
      </c>
      <c r="E338" s="23">
        <v>42040</v>
      </c>
      <c r="F338" s="106">
        <v>3720</v>
      </c>
      <c r="G338" s="31">
        <f t="shared" si="5"/>
        <v>0</v>
      </c>
      <c r="H338" s="19" t="s">
        <v>36</v>
      </c>
      <c r="K338" s="3"/>
      <c r="M338" s="3"/>
      <c r="N338" s="3"/>
      <c r="O338" s="3"/>
      <c r="P338" s="3"/>
      <c r="Q338" s="3"/>
      <c r="R338" s="3"/>
      <c r="S338" s="3"/>
      <c r="T338" s="3"/>
      <c r="U338" s="3"/>
      <c r="V338" s="3"/>
    </row>
    <row r="339" spans="1:22" x14ac:dyDescent="0.25">
      <c r="A339" s="20">
        <v>42039</v>
      </c>
      <c r="B339" s="21">
        <v>11036</v>
      </c>
      <c r="C339" s="14" t="s">
        <v>214</v>
      </c>
      <c r="D339" s="105">
        <v>704</v>
      </c>
      <c r="E339" s="23">
        <v>42039</v>
      </c>
      <c r="F339" s="106">
        <v>704</v>
      </c>
      <c r="G339" s="31">
        <f t="shared" si="5"/>
        <v>0</v>
      </c>
      <c r="H339" s="19" t="s">
        <v>17</v>
      </c>
      <c r="K339" s="3"/>
      <c r="M339" s="3"/>
      <c r="N339" s="3"/>
      <c r="O339" s="3"/>
      <c r="P339" s="3"/>
      <c r="Q339" s="3"/>
      <c r="R339" s="3"/>
      <c r="S339" s="3"/>
      <c r="T339" s="3"/>
      <c r="U339" s="3"/>
      <c r="V339" s="3"/>
    </row>
    <row r="340" spans="1:22" x14ac:dyDescent="0.25">
      <c r="A340" s="20">
        <v>42039</v>
      </c>
      <c r="B340" s="21">
        <v>11037</v>
      </c>
      <c r="C340" s="14" t="s">
        <v>81</v>
      </c>
      <c r="D340" s="105">
        <v>1206.7</v>
      </c>
      <c r="E340" s="23">
        <v>42039</v>
      </c>
      <c r="F340" s="106">
        <v>1206.7</v>
      </c>
      <c r="G340" s="31">
        <f t="shared" si="5"/>
        <v>0</v>
      </c>
      <c r="H340" s="19" t="s">
        <v>17</v>
      </c>
      <c r="K340" s="3"/>
      <c r="M340" s="3"/>
      <c r="N340" s="3"/>
      <c r="O340" s="3"/>
      <c r="P340" s="3"/>
      <c r="Q340" s="3"/>
      <c r="R340" s="3"/>
      <c r="S340" s="3"/>
      <c r="T340" s="3"/>
      <c r="U340" s="3"/>
      <c r="V340" s="3"/>
    </row>
    <row r="341" spans="1:22" x14ac:dyDescent="0.25">
      <c r="A341" s="20">
        <v>42039</v>
      </c>
      <c r="B341" s="21">
        <v>11038</v>
      </c>
      <c r="C341" s="14" t="s">
        <v>118</v>
      </c>
      <c r="D341" s="105">
        <v>1231.2</v>
      </c>
      <c r="E341" s="23">
        <v>42042</v>
      </c>
      <c r="F341" s="106">
        <v>1231.2</v>
      </c>
      <c r="G341" s="31">
        <f t="shared" si="5"/>
        <v>0</v>
      </c>
      <c r="H341" s="19" t="s">
        <v>17</v>
      </c>
      <c r="K341" s="3"/>
      <c r="M341" s="3"/>
      <c r="N341" s="3"/>
      <c r="O341" s="3"/>
      <c r="P341" s="3"/>
      <c r="Q341" s="3"/>
      <c r="R341" s="3"/>
      <c r="S341" s="3"/>
      <c r="T341" s="3"/>
      <c r="U341" s="3"/>
      <c r="V341" s="3"/>
    </row>
    <row r="342" spans="1:22" x14ac:dyDescent="0.25">
      <c r="A342" s="20">
        <v>42039</v>
      </c>
      <c r="B342" s="21">
        <v>11039</v>
      </c>
      <c r="C342" s="14" t="s">
        <v>118</v>
      </c>
      <c r="D342" s="105">
        <v>1159.2</v>
      </c>
      <c r="E342" s="23">
        <v>42047</v>
      </c>
      <c r="F342" s="106">
        <v>1159.2</v>
      </c>
      <c r="G342" s="31">
        <f t="shared" si="5"/>
        <v>0</v>
      </c>
      <c r="H342" s="19" t="s">
        <v>17</v>
      </c>
      <c r="K342" s="3"/>
      <c r="M342" s="3"/>
      <c r="N342" s="3"/>
      <c r="O342" s="3"/>
      <c r="P342" s="3"/>
      <c r="Q342" s="3"/>
      <c r="R342" s="3"/>
      <c r="S342" s="3"/>
      <c r="T342" s="3"/>
      <c r="U342" s="3"/>
      <c r="V342" s="3"/>
    </row>
    <row r="343" spans="1:22" x14ac:dyDescent="0.25">
      <c r="A343" s="20">
        <v>42039</v>
      </c>
      <c r="B343" s="21">
        <v>11040</v>
      </c>
      <c r="C343" s="14" t="s">
        <v>221</v>
      </c>
      <c r="D343" s="105">
        <v>1608</v>
      </c>
      <c r="E343" s="23">
        <v>42039</v>
      </c>
      <c r="F343" s="106">
        <v>1608</v>
      </c>
      <c r="G343" s="31">
        <f t="shared" si="5"/>
        <v>0</v>
      </c>
      <c r="H343" s="19" t="s">
        <v>19</v>
      </c>
      <c r="K343" s="3"/>
      <c r="M343" s="3"/>
      <c r="N343" s="3"/>
      <c r="O343" s="3"/>
      <c r="P343" s="3"/>
      <c r="Q343" s="3"/>
      <c r="R343" s="3"/>
      <c r="S343" s="3"/>
      <c r="T343" s="3"/>
      <c r="U343" s="3"/>
      <c r="V343" s="3"/>
    </row>
    <row r="344" spans="1:22" x14ac:dyDescent="0.25">
      <c r="A344" s="20">
        <v>42039</v>
      </c>
      <c r="B344" s="21">
        <v>11041</v>
      </c>
      <c r="C344" s="14" t="s">
        <v>82</v>
      </c>
      <c r="D344" s="105">
        <v>5112.5</v>
      </c>
      <c r="E344" s="23">
        <v>42039</v>
      </c>
      <c r="F344" s="106">
        <v>5112.5</v>
      </c>
      <c r="G344" s="31">
        <f t="shared" si="5"/>
        <v>0</v>
      </c>
      <c r="H344" s="19" t="s">
        <v>17</v>
      </c>
      <c r="K344" s="3"/>
      <c r="M344" s="3"/>
      <c r="N344" s="3"/>
      <c r="O344" s="3"/>
      <c r="P344" s="3"/>
      <c r="Q344" s="3"/>
      <c r="R344" s="3"/>
      <c r="S344" s="3"/>
      <c r="T344" s="3"/>
      <c r="U344" s="3"/>
      <c r="V344" s="3"/>
    </row>
    <row r="345" spans="1:22" x14ac:dyDescent="0.25">
      <c r="A345" s="20">
        <v>42039</v>
      </c>
      <c r="B345" s="21">
        <v>11042</v>
      </c>
      <c r="C345" s="14" t="s">
        <v>32</v>
      </c>
      <c r="D345" s="105">
        <v>191441.4</v>
      </c>
      <c r="E345" s="23">
        <v>42062</v>
      </c>
      <c r="F345" s="106">
        <v>191441.4</v>
      </c>
      <c r="G345" s="31">
        <f t="shared" si="5"/>
        <v>0</v>
      </c>
      <c r="H345" s="19" t="s">
        <v>149</v>
      </c>
      <c r="J345" s="107"/>
      <c r="K345" s="3"/>
      <c r="M345" s="3"/>
      <c r="N345" s="3"/>
      <c r="O345" s="3"/>
      <c r="P345" s="3"/>
      <c r="Q345" s="3"/>
      <c r="R345" s="3"/>
      <c r="S345" s="3"/>
      <c r="T345" s="3"/>
      <c r="U345" s="3"/>
      <c r="V345" s="3"/>
    </row>
    <row r="346" spans="1:22" x14ac:dyDescent="0.25">
      <c r="A346" s="20">
        <v>42039</v>
      </c>
      <c r="B346" s="21">
        <v>11043</v>
      </c>
      <c r="C346" s="14" t="s">
        <v>152</v>
      </c>
      <c r="D346" s="105">
        <v>1960.8</v>
      </c>
      <c r="E346" s="23">
        <v>42039</v>
      </c>
      <c r="F346" s="106">
        <v>1960.8</v>
      </c>
      <c r="G346" s="31">
        <f t="shared" si="5"/>
        <v>0</v>
      </c>
      <c r="H346" s="19" t="s">
        <v>17</v>
      </c>
      <c r="J346" s="107"/>
      <c r="K346" s="3"/>
      <c r="M346" s="3"/>
      <c r="N346" s="3"/>
      <c r="O346" s="3"/>
      <c r="P346" s="3"/>
      <c r="Q346" s="3"/>
      <c r="R346" s="3"/>
      <c r="S346" s="3"/>
      <c r="T346" s="3"/>
      <c r="U346" s="3"/>
      <c r="V346" s="3"/>
    </row>
    <row r="347" spans="1:22" x14ac:dyDescent="0.25">
      <c r="A347" s="20">
        <v>42039</v>
      </c>
      <c r="B347" s="21">
        <v>11044</v>
      </c>
      <c r="C347" s="14" t="s">
        <v>152</v>
      </c>
      <c r="D347" s="105">
        <v>8293.6</v>
      </c>
      <c r="E347" s="23">
        <v>42039</v>
      </c>
      <c r="F347" s="106">
        <v>8293.6</v>
      </c>
      <c r="G347" s="31">
        <f t="shared" si="5"/>
        <v>0</v>
      </c>
      <c r="H347" s="19" t="s">
        <v>17</v>
      </c>
      <c r="J347" s="107"/>
      <c r="K347" s="3"/>
      <c r="M347" s="3"/>
      <c r="N347" s="3"/>
      <c r="O347" s="3"/>
      <c r="P347" s="3"/>
      <c r="Q347" s="3"/>
      <c r="R347" s="3"/>
      <c r="S347" s="3"/>
      <c r="T347" s="3"/>
      <c r="U347" s="3"/>
      <c r="V347" s="3"/>
    </row>
    <row r="348" spans="1:22" x14ac:dyDescent="0.25">
      <c r="A348" s="20">
        <v>42039</v>
      </c>
      <c r="B348" s="21">
        <v>11045</v>
      </c>
      <c r="C348" s="14" t="s">
        <v>34</v>
      </c>
      <c r="D348" s="105">
        <v>3608</v>
      </c>
      <c r="E348" s="23">
        <v>42039</v>
      </c>
      <c r="F348" s="106">
        <v>3608</v>
      </c>
      <c r="G348" s="31">
        <f t="shared" si="5"/>
        <v>0</v>
      </c>
      <c r="H348" s="19" t="s">
        <v>9</v>
      </c>
      <c r="J348" s="107"/>
      <c r="K348" s="3"/>
      <c r="M348" s="3"/>
      <c r="N348" s="3"/>
      <c r="O348" s="3"/>
      <c r="P348" s="3"/>
      <c r="Q348" s="3"/>
      <c r="R348" s="3"/>
      <c r="S348" s="3"/>
      <c r="T348" s="3"/>
      <c r="U348" s="3"/>
      <c r="V348" s="3"/>
    </row>
    <row r="349" spans="1:22" x14ac:dyDescent="0.25">
      <c r="A349" s="20">
        <v>42039</v>
      </c>
      <c r="B349" s="21">
        <v>11046</v>
      </c>
      <c r="C349" s="14" t="s">
        <v>65</v>
      </c>
      <c r="D349" s="105">
        <v>4218</v>
      </c>
      <c r="E349" s="23">
        <v>42040</v>
      </c>
      <c r="F349" s="106">
        <v>4218</v>
      </c>
      <c r="G349" s="31">
        <f t="shared" si="5"/>
        <v>0</v>
      </c>
      <c r="H349" s="19" t="s">
        <v>62</v>
      </c>
      <c r="J349" s="107"/>
      <c r="K349" s="3"/>
      <c r="M349" s="3"/>
      <c r="N349" s="3"/>
      <c r="O349" s="3"/>
      <c r="P349" s="3"/>
      <c r="Q349" s="3"/>
      <c r="R349" s="3"/>
      <c r="S349" s="3"/>
      <c r="T349" s="3"/>
      <c r="U349" s="3"/>
      <c r="V349" s="3"/>
    </row>
    <row r="350" spans="1:22" x14ac:dyDescent="0.25">
      <c r="A350" s="20">
        <v>42039</v>
      </c>
      <c r="B350" s="21">
        <v>11047</v>
      </c>
      <c r="C350" s="14" t="s">
        <v>30</v>
      </c>
      <c r="D350" s="105">
        <v>3641</v>
      </c>
      <c r="E350" s="23">
        <v>42039</v>
      </c>
      <c r="F350" s="106">
        <v>3641</v>
      </c>
      <c r="G350" s="31">
        <f t="shared" si="5"/>
        <v>0</v>
      </c>
      <c r="H350" s="19" t="s">
        <v>9</v>
      </c>
      <c r="K350" s="3"/>
      <c r="M350" s="3"/>
      <c r="N350" s="3"/>
      <c r="O350" s="3"/>
      <c r="P350" s="3"/>
      <c r="Q350" s="3"/>
      <c r="R350" s="3"/>
      <c r="S350" s="3"/>
      <c r="T350" s="3"/>
      <c r="U350" s="3"/>
      <c r="V350" s="3"/>
    </row>
    <row r="351" spans="1:22" x14ac:dyDescent="0.25">
      <c r="A351" s="20">
        <v>42039</v>
      </c>
      <c r="B351" s="21">
        <v>11048</v>
      </c>
      <c r="C351" s="14" t="s">
        <v>125</v>
      </c>
      <c r="D351" s="105">
        <v>11567.4</v>
      </c>
      <c r="E351" s="23">
        <v>42046</v>
      </c>
      <c r="F351" s="106">
        <v>11567.4</v>
      </c>
      <c r="G351" s="31">
        <f t="shared" si="5"/>
        <v>0</v>
      </c>
      <c r="H351" s="19" t="s">
        <v>9</v>
      </c>
      <c r="K351" s="3"/>
      <c r="M351" s="3"/>
      <c r="N351" s="3"/>
      <c r="O351" s="3"/>
      <c r="P351" s="3"/>
      <c r="Q351" s="3"/>
      <c r="R351" s="3"/>
      <c r="S351" s="3"/>
      <c r="T351" s="3"/>
      <c r="U351" s="3"/>
      <c r="V351" s="3"/>
    </row>
    <row r="352" spans="1:22" x14ac:dyDescent="0.25">
      <c r="A352" s="20">
        <v>42039</v>
      </c>
      <c r="B352" s="21">
        <v>11049</v>
      </c>
      <c r="C352" s="14" t="s">
        <v>75</v>
      </c>
      <c r="D352" s="105">
        <v>12802</v>
      </c>
      <c r="E352" s="23">
        <v>42040</v>
      </c>
      <c r="F352" s="106">
        <v>12802</v>
      </c>
      <c r="G352" s="31">
        <f t="shared" si="5"/>
        <v>0</v>
      </c>
      <c r="H352" s="19" t="s">
        <v>62</v>
      </c>
      <c r="K352" s="3"/>
      <c r="M352" s="3"/>
      <c r="N352" s="3"/>
      <c r="O352" s="3"/>
      <c r="P352" s="3"/>
      <c r="Q352" s="3"/>
      <c r="R352" s="3"/>
      <c r="S352" s="3"/>
      <c r="T352" s="3"/>
      <c r="U352" s="3"/>
      <c r="V352" s="3"/>
    </row>
    <row r="353" spans="1:22" x14ac:dyDescent="0.25">
      <c r="A353" s="20">
        <v>42039</v>
      </c>
      <c r="B353" s="21">
        <v>11050</v>
      </c>
      <c r="C353" s="14" t="s">
        <v>67</v>
      </c>
      <c r="D353" s="105">
        <v>3640.8</v>
      </c>
      <c r="E353" s="23">
        <v>42040</v>
      </c>
      <c r="F353" s="106">
        <v>3640.8</v>
      </c>
      <c r="G353" s="31">
        <f t="shared" si="5"/>
        <v>0</v>
      </c>
      <c r="H353" s="19" t="s">
        <v>62</v>
      </c>
      <c r="K353" s="3"/>
      <c r="M353" s="3"/>
      <c r="N353" s="3"/>
      <c r="O353" s="3"/>
      <c r="P353" s="3"/>
      <c r="Q353" s="3"/>
      <c r="R353" s="3"/>
      <c r="S353" s="3"/>
      <c r="T353" s="3"/>
      <c r="U353" s="3"/>
      <c r="V353" s="3"/>
    </row>
    <row r="354" spans="1:22" x14ac:dyDescent="0.25">
      <c r="A354" s="20">
        <v>42039</v>
      </c>
      <c r="B354" s="21">
        <v>11051</v>
      </c>
      <c r="C354" s="14" t="s">
        <v>137</v>
      </c>
      <c r="D354" s="105">
        <v>324</v>
      </c>
      <c r="E354" s="23">
        <v>42039</v>
      </c>
      <c r="F354" s="106">
        <v>324</v>
      </c>
      <c r="G354" s="31">
        <f t="shared" si="5"/>
        <v>0</v>
      </c>
      <c r="H354" s="19" t="s">
        <v>9</v>
      </c>
      <c r="K354" s="3"/>
      <c r="M354" s="3"/>
      <c r="N354" s="3"/>
      <c r="O354" s="3"/>
      <c r="P354" s="3"/>
      <c r="Q354" s="3"/>
      <c r="R354" s="3"/>
      <c r="S354" s="3"/>
      <c r="T354" s="3"/>
      <c r="U354" s="3"/>
      <c r="V354" s="3"/>
    </row>
    <row r="355" spans="1:22" x14ac:dyDescent="0.25">
      <c r="A355" s="20">
        <v>42039</v>
      </c>
      <c r="B355" s="21">
        <v>11052</v>
      </c>
      <c r="C355" s="14" t="s">
        <v>47</v>
      </c>
      <c r="D355" s="105">
        <v>25520.6</v>
      </c>
      <c r="E355" s="23">
        <v>42039</v>
      </c>
      <c r="F355" s="106">
        <v>25520.6</v>
      </c>
      <c r="G355" s="31">
        <f t="shared" si="5"/>
        <v>0</v>
      </c>
      <c r="H355" s="19" t="s">
        <v>9</v>
      </c>
      <c r="K355" s="3"/>
      <c r="M355" s="3"/>
      <c r="N355" s="3"/>
      <c r="O355" s="3"/>
      <c r="P355" s="3"/>
      <c r="Q355" s="3"/>
      <c r="R355" s="3"/>
      <c r="S355" s="3"/>
      <c r="T355" s="3"/>
      <c r="U355" s="3"/>
      <c r="V355" s="3"/>
    </row>
    <row r="356" spans="1:22" x14ac:dyDescent="0.25">
      <c r="A356" s="20">
        <v>42039</v>
      </c>
      <c r="B356" s="21">
        <v>11053</v>
      </c>
      <c r="C356" s="14" t="s">
        <v>49</v>
      </c>
      <c r="D356" s="105">
        <v>1684.8</v>
      </c>
      <c r="E356" s="23">
        <v>42039</v>
      </c>
      <c r="F356" s="106">
        <v>1684.8</v>
      </c>
      <c r="G356" s="31">
        <f t="shared" si="5"/>
        <v>0</v>
      </c>
      <c r="H356" s="19" t="s">
        <v>94</v>
      </c>
      <c r="K356" s="3"/>
      <c r="M356" s="3"/>
      <c r="N356" s="3"/>
      <c r="O356" s="3"/>
      <c r="P356" s="3"/>
      <c r="Q356" s="3"/>
      <c r="R356" s="3"/>
      <c r="S356" s="3"/>
      <c r="T356" s="3"/>
      <c r="U356" s="3"/>
      <c r="V356" s="3"/>
    </row>
    <row r="357" spans="1:22" x14ac:dyDescent="0.25">
      <c r="A357" s="20">
        <v>42039</v>
      </c>
      <c r="B357" s="21">
        <v>11054</v>
      </c>
      <c r="C357" s="14" t="s">
        <v>328</v>
      </c>
      <c r="D357" s="105">
        <v>910.8</v>
      </c>
      <c r="E357" s="23">
        <v>42040</v>
      </c>
      <c r="F357" s="106">
        <v>910.8</v>
      </c>
      <c r="G357" s="31">
        <f t="shared" si="5"/>
        <v>0</v>
      </c>
      <c r="H357" s="19" t="s">
        <v>62</v>
      </c>
      <c r="K357" s="3"/>
      <c r="M357" s="3"/>
      <c r="N357" s="3"/>
      <c r="O357" s="3"/>
      <c r="P357" s="3"/>
      <c r="Q357" s="3"/>
      <c r="R357" s="3"/>
      <c r="S357" s="3"/>
      <c r="T357" s="3"/>
      <c r="U357" s="3"/>
      <c r="V357" s="3"/>
    </row>
    <row r="358" spans="1:22" x14ac:dyDescent="0.25">
      <c r="A358" s="20">
        <v>42039</v>
      </c>
      <c r="B358" s="21">
        <v>11055</v>
      </c>
      <c r="C358" s="14" t="s">
        <v>140</v>
      </c>
      <c r="D358" s="105">
        <v>9113.6</v>
      </c>
      <c r="E358" s="23">
        <v>42039</v>
      </c>
      <c r="F358" s="106">
        <v>9113.6</v>
      </c>
      <c r="G358" s="31">
        <f t="shared" si="5"/>
        <v>0</v>
      </c>
      <c r="H358" s="19" t="s">
        <v>17</v>
      </c>
      <c r="K358" s="3"/>
      <c r="M358" s="3"/>
      <c r="N358" s="3"/>
      <c r="O358" s="3"/>
      <c r="P358" s="3"/>
      <c r="Q358" s="3"/>
      <c r="R358" s="3"/>
      <c r="S358" s="3"/>
      <c r="T358" s="3"/>
      <c r="U358" s="3"/>
      <c r="V358" s="3"/>
    </row>
    <row r="359" spans="1:22" x14ac:dyDescent="0.25">
      <c r="A359" s="20">
        <v>42039</v>
      </c>
      <c r="B359" s="21">
        <v>11056</v>
      </c>
      <c r="C359" s="14" t="s">
        <v>271</v>
      </c>
      <c r="D359" s="105">
        <v>5021.1000000000004</v>
      </c>
      <c r="E359" s="23">
        <v>42039</v>
      </c>
      <c r="F359" s="106">
        <v>5021.1000000000004</v>
      </c>
      <c r="G359" s="31">
        <f t="shared" si="5"/>
        <v>0</v>
      </c>
      <c r="H359" s="19" t="s">
        <v>94</v>
      </c>
      <c r="K359" s="3"/>
      <c r="M359" s="3"/>
      <c r="N359" s="3"/>
      <c r="O359" s="3"/>
      <c r="P359" s="3"/>
      <c r="Q359" s="3"/>
      <c r="R359" s="3"/>
      <c r="S359" s="3"/>
      <c r="T359" s="3"/>
      <c r="U359" s="3"/>
      <c r="V359" s="3"/>
    </row>
    <row r="360" spans="1:22" x14ac:dyDescent="0.25">
      <c r="A360" s="20">
        <v>42039</v>
      </c>
      <c r="B360" s="21">
        <v>11057</v>
      </c>
      <c r="C360" s="14" t="s">
        <v>78</v>
      </c>
      <c r="D360" s="105">
        <v>6852.4</v>
      </c>
      <c r="E360" s="23">
        <v>42040</v>
      </c>
      <c r="F360" s="106">
        <v>6852.4</v>
      </c>
      <c r="G360" s="31">
        <f t="shared" si="5"/>
        <v>0</v>
      </c>
      <c r="H360" s="19" t="s">
        <v>62</v>
      </c>
      <c r="K360" s="3"/>
      <c r="M360" s="3"/>
      <c r="N360" s="3"/>
      <c r="O360" s="3"/>
      <c r="P360" s="3"/>
      <c r="Q360" s="3"/>
      <c r="R360" s="3"/>
      <c r="S360" s="3"/>
      <c r="T360" s="3"/>
      <c r="U360" s="3"/>
      <c r="V360" s="3"/>
    </row>
    <row r="361" spans="1:22" x14ac:dyDescent="0.25">
      <c r="A361" s="20">
        <v>42039</v>
      </c>
      <c r="B361" s="21">
        <v>11058</v>
      </c>
      <c r="C361" s="14" t="s">
        <v>179</v>
      </c>
      <c r="D361" s="105">
        <v>3723</v>
      </c>
      <c r="E361" s="23">
        <v>42040</v>
      </c>
      <c r="F361" s="106">
        <v>3723</v>
      </c>
      <c r="G361" s="31">
        <f t="shared" si="5"/>
        <v>0</v>
      </c>
      <c r="H361" s="19" t="s">
        <v>312</v>
      </c>
      <c r="K361" s="3"/>
      <c r="M361" s="3"/>
      <c r="N361" s="3"/>
      <c r="O361" s="3"/>
      <c r="P361" s="3"/>
      <c r="Q361" s="3"/>
      <c r="R361" s="3"/>
      <c r="S361" s="3"/>
      <c r="T361" s="3"/>
      <c r="U361" s="3"/>
      <c r="V361" s="3"/>
    </row>
    <row r="362" spans="1:22" x14ac:dyDescent="0.25">
      <c r="A362" s="20">
        <v>42039</v>
      </c>
      <c r="B362" s="21">
        <v>11059</v>
      </c>
      <c r="C362" s="14" t="s">
        <v>32</v>
      </c>
      <c r="D362" s="105">
        <v>22468</v>
      </c>
      <c r="E362" s="23">
        <v>42062</v>
      </c>
      <c r="F362" s="106">
        <v>22468</v>
      </c>
      <c r="G362" s="31">
        <f t="shared" si="5"/>
        <v>0</v>
      </c>
      <c r="H362" s="19" t="s">
        <v>149</v>
      </c>
      <c r="K362" s="3"/>
      <c r="M362" s="3"/>
      <c r="N362" s="3"/>
      <c r="O362" s="3"/>
      <c r="P362" s="3"/>
      <c r="Q362" s="3"/>
      <c r="R362" s="3"/>
      <c r="S362" s="3"/>
      <c r="T362" s="3"/>
      <c r="U362" s="3"/>
      <c r="V362" s="3"/>
    </row>
    <row r="363" spans="1:22" x14ac:dyDescent="0.25">
      <c r="A363" s="20">
        <v>42039</v>
      </c>
      <c r="B363" s="21">
        <v>11060</v>
      </c>
      <c r="C363" s="14" t="s">
        <v>178</v>
      </c>
      <c r="D363" s="105">
        <v>12924.4</v>
      </c>
      <c r="E363" s="23">
        <v>42040</v>
      </c>
      <c r="F363" s="106">
        <v>12924.4</v>
      </c>
      <c r="G363" s="31">
        <f t="shared" si="5"/>
        <v>0</v>
      </c>
      <c r="H363" s="19" t="s">
        <v>62</v>
      </c>
      <c r="K363" s="3"/>
      <c r="M363" s="3"/>
      <c r="N363" s="3"/>
      <c r="O363" s="3"/>
      <c r="P363" s="3"/>
      <c r="Q363" s="3"/>
      <c r="R363" s="3"/>
      <c r="S363" s="3"/>
      <c r="T363" s="3"/>
      <c r="U363" s="3"/>
      <c r="V363" s="3"/>
    </row>
    <row r="364" spans="1:22" x14ac:dyDescent="0.25">
      <c r="A364" s="20">
        <v>42039</v>
      </c>
      <c r="B364" s="21">
        <v>11061</v>
      </c>
      <c r="C364" s="14" t="s">
        <v>170</v>
      </c>
      <c r="D364" s="105">
        <v>724.8</v>
      </c>
      <c r="E364" s="23">
        <v>42040</v>
      </c>
      <c r="F364" s="106">
        <v>724.8</v>
      </c>
      <c r="G364" s="31">
        <f t="shared" si="5"/>
        <v>0</v>
      </c>
      <c r="H364" s="19" t="s">
        <v>62</v>
      </c>
      <c r="K364" s="3"/>
      <c r="M364" s="3"/>
      <c r="N364" s="3"/>
      <c r="O364" s="3"/>
      <c r="P364" s="3"/>
      <c r="Q364" s="3"/>
      <c r="R364" s="3"/>
      <c r="S364" s="3"/>
      <c r="T364" s="3"/>
      <c r="U364" s="3"/>
      <c r="V364" s="3"/>
    </row>
    <row r="365" spans="1:22" x14ac:dyDescent="0.25">
      <c r="A365" s="20">
        <v>42039</v>
      </c>
      <c r="B365" s="21">
        <v>11062</v>
      </c>
      <c r="C365" s="14" t="s">
        <v>190</v>
      </c>
      <c r="D365" s="105">
        <v>9366.2000000000007</v>
      </c>
      <c r="E365" s="23">
        <v>42040</v>
      </c>
      <c r="F365" s="106">
        <v>9366.2000000000007</v>
      </c>
      <c r="G365" s="31">
        <f t="shared" si="5"/>
        <v>0</v>
      </c>
      <c r="H365" s="19" t="s">
        <v>19</v>
      </c>
      <c r="K365" s="3"/>
      <c r="M365" s="3"/>
      <c r="N365" s="3"/>
      <c r="O365" s="3"/>
      <c r="P365" s="3"/>
      <c r="Q365" s="3"/>
      <c r="R365" s="3"/>
      <c r="S365" s="3"/>
      <c r="T365" s="3"/>
      <c r="U365" s="3"/>
      <c r="V365" s="3"/>
    </row>
    <row r="366" spans="1:22" x14ac:dyDescent="0.25">
      <c r="A366" s="20">
        <v>42039</v>
      </c>
      <c r="B366" s="21">
        <v>11063</v>
      </c>
      <c r="C366" s="14" t="s">
        <v>104</v>
      </c>
      <c r="D366" s="105">
        <v>3890</v>
      </c>
      <c r="E366" s="23">
        <v>42040</v>
      </c>
      <c r="F366" s="106">
        <v>3890</v>
      </c>
      <c r="G366" s="31">
        <f t="shared" si="5"/>
        <v>0</v>
      </c>
      <c r="H366" s="19" t="s">
        <v>19</v>
      </c>
      <c r="K366" s="3"/>
      <c r="M366" s="3"/>
      <c r="N366" s="3"/>
      <c r="O366" s="3"/>
      <c r="P366" s="3"/>
      <c r="Q366" s="3"/>
      <c r="R366" s="3"/>
      <c r="S366" s="3"/>
      <c r="T366" s="3"/>
      <c r="U366" s="3"/>
      <c r="V366" s="3"/>
    </row>
    <row r="367" spans="1:22" x14ac:dyDescent="0.25">
      <c r="A367" s="20">
        <v>42039</v>
      </c>
      <c r="B367" s="21">
        <v>11064</v>
      </c>
      <c r="C367" s="14" t="s">
        <v>95</v>
      </c>
      <c r="D367" s="105">
        <v>2804</v>
      </c>
      <c r="E367" s="23">
        <v>42040</v>
      </c>
      <c r="F367" s="106">
        <v>2804</v>
      </c>
      <c r="G367" s="31">
        <f t="shared" si="5"/>
        <v>0</v>
      </c>
      <c r="H367" s="19" t="s">
        <v>19</v>
      </c>
      <c r="K367" s="3"/>
      <c r="M367" s="3"/>
      <c r="N367" s="3"/>
      <c r="O367" s="3"/>
      <c r="P367" s="3"/>
      <c r="Q367" s="3"/>
      <c r="R367" s="3"/>
      <c r="S367" s="3"/>
      <c r="T367" s="3"/>
      <c r="U367" s="3"/>
      <c r="V367" s="3"/>
    </row>
    <row r="368" spans="1:22" x14ac:dyDescent="0.25">
      <c r="A368" s="20">
        <v>42039</v>
      </c>
      <c r="B368" s="21">
        <v>11065</v>
      </c>
      <c r="C368" s="14" t="s">
        <v>411</v>
      </c>
      <c r="D368" s="105">
        <v>2304.6</v>
      </c>
      <c r="E368" s="23">
        <v>42039</v>
      </c>
      <c r="F368" s="106">
        <v>2304.6</v>
      </c>
      <c r="G368" s="31">
        <f t="shared" si="5"/>
        <v>0</v>
      </c>
      <c r="H368" s="19" t="s">
        <v>9</v>
      </c>
      <c r="J368" s="107"/>
      <c r="K368" s="3"/>
      <c r="M368" s="3"/>
      <c r="N368" s="3"/>
      <c r="O368" s="3"/>
      <c r="P368" s="3"/>
      <c r="Q368" s="3"/>
      <c r="R368" s="3"/>
      <c r="S368" s="3"/>
      <c r="T368" s="3"/>
      <c r="U368" s="3"/>
      <c r="V368" s="3"/>
    </row>
    <row r="369" spans="1:22" x14ac:dyDescent="0.25">
      <c r="A369" s="20">
        <v>42039</v>
      </c>
      <c r="B369" s="21">
        <v>11066</v>
      </c>
      <c r="C369" s="14" t="s">
        <v>564</v>
      </c>
      <c r="D369" s="105">
        <v>3020.16</v>
      </c>
      <c r="E369" s="30" t="s">
        <v>565</v>
      </c>
      <c r="F369" s="106">
        <v>3020.16</v>
      </c>
      <c r="G369" s="31">
        <f t="shared" si="5"/>
        <v>0</v>
      </c>
      <c r="H369" s="19" t="s">
        <v>9</v>
      </c>
      <c r="K369" s="3"/>
      <c r="M369" s="3"/>
      <c r="N369" s="3"/>
      <c r="O369" s="3"/>
      <c r="P369" s="3"/>
      <c r="Q369" s="3"/>
      <c r="R369" s="3"/>
      <c r="S369" s="3"/>
      <c r="T369" s="3"/>
      <c r="U369" s="3"/>
      <c r="V369" s="3"/>
    </row>
    <row r="370" spans="1:22" x14ac:dyDescent="0.25">
      <c r="A370" s="20">
        <v>42039</v>
      </c>
      <c r="B370" s="21">
        <v>11067</v>
      </c>
      <c r="C370" s="14" t="s">
        <v>226</v>
      </c>
      <c r="D370" s="105">
        <v>1608</v>
      </c>
      <c r="E370" s="23">
        <v>42040</v>
      </c>
      <c r="F370" s="106">
        <v>1608</v>
      </c>
      <c r="G370" s="31">
        <f t="shared" si="5"/>
        <v>0</v>
      </c>
      <c r="H370" s="19" t="s">
        <v>19</v>
      </c>
      <c r="K370" s="3"/>
      <c r="M370" s="3"/>
      <c r="N370" s="3"/>
      <c r="O370" s="3"/>
      <c r="P370" s="3"/>
      <c r="Q370" s="3"/>
      <c r="R370" s="3"/>
      <c r="S370" s="3"/>
      <c r="T370" s="3"/>
      <c r="U370" s="3"/>
      <c r="V370" s="3"/>
    </row>
    <row r="371" spans="1:22" x14ac:dyDescent="0.25">
      <c r="A371" s="20">
        <v>42039</v>
      </c>
      <c r="B371" s="21">
        <v>11068</v>
      </c>
      <c r="C371" s="14" t="s">
        <v>131</v>
      </c>
      <c r="D371" s="105">
        <v>12186.9</v>
      </c>
      <c r="E371" s="23">
        <v>42040</v>
      </c>
      <c r="F371" s="106">
        <v>12186.9</v>
      </c>
      <c r="G371" s="31">
        <f t="shared" si="5"/>
        <v>0</v>
      </c>
      <c r="H371" s="19" t="s">
        <v>187</v>
      </c>
      <c r="K371" s="3"/>
      <c r="M371" s="3"/>
      <c r="N371" s="3"/>
      <c r="O371" s="3"/>
      <c r="P371" s="3"/>
      <c r="Q371" s="3"/>
      <c r="R371" s="3"/>
      <c r="S371" s="3"/>
      <c r="T371" s="3"/>
      <c r="U371" s="3"/>
      <c r="V371" s="3"/>
    </row>
    <row r="372" spans="1:22" x14ac:dyDescent="0.25">
      <c r="A372" s="20">
        <v>42039</v>
      </c>
      <c r="B372" s="21">
        <v>11069</v>
      </c>
      <c r="C372" s="14" t="s">
        <v>130</v>
      </c>
      <c r="D372" s="105">
        <v>4315.7</v>
      </c>
      <c r="E372" s="23">
        <v>42040</v>
      </c>
      <c r="F372" s="106">
        <v>4315.7</v>
      </c>
      <c r="G372" s="31">
        <f t="shared" si="5"/>
        <v>0</v>
      </c>
      <c r="H372" s="19" t="s">
        <v>187</v>
      </c>
      <c r="J372" s="107"/>
      <c r="K372" s="3"/>
      <c r="M372" s="3"/>
      <c r="N372" s="3"/>
      <c r="O372" s="3"/>
      <c r="P372" s="3"/>
      <c r="Q372" s="3"/>
      <c r="R372" s="3"/>
      <c r="S372" s="3"/>
      <c r="T372" s="3"/>
      <c r="U372" s="3"/>
      <c r="V372" s="3"/>
    </row>
    <row r="373" spans="1:22" x14ac:dyDescent="0.25">
      <c r="A373" s="20">
        <v>42039</v>
      </c>
      <c r="B373" s="21">
        <v>11070</v>
      </c>
      <c r="C373" s="14" t="s">
        <v>252</v>
      </c>
      <c r="D373" s="105">
        <v>7654.4</v>
      </c>
      <c r="E373" s="23">
        <v>42039</v>
      </c>
      <c r="F373" s="106">
        <v>7654.4</v>
      </c>
      <c r="G373" s="31">
        <f t="shared" si="5"/>
        <v>0</v>
      </c>
      <c r="H373" s="19" t="s">
        <v>9</v>
      </c>
      <c r="K373" s="3"/>
      <c r="M373" s="3"/>
      <c r="N373" s="3"/>
      <c r="O373" s="3"/>
      <c r="P373" s="3"/>
      <c r="Q373" s="3"/>
      <c r="R373" s="3"/>
      <c r="S373" s="3"/>
      <c r="T373" s="3"/>
      <c r="U373" s="3"/>
      <c r="V373" s="3"/>
    </row>
    <row r="374" spans="1:22" x14ac:dyDescent="0.25">
      <c r="A374" s="20">
        <v>42039</v>
      </c>
      <c r="B374" s="21">
        <v>11071</v>
      </c>
      <c r="C374" s="14" t="s">
        <v>132</v>
      </c>
      <c r="D374" s="105">
        <v>496.8</v>
      </c>
      <c r="E374" s="23">
        <v>42040</v>
      </c>
      <c r="F374" s="106">
        <v>496.8</v>
      </c>
      <c r="G374" s="31">
        <f t="shared" si="5"/>
        <v>0</v>
      </c>
      <c r="H374" s="19" t="s">
        <v>187</v>
      </c>
      <c r="K374" s="3"/>
      <c r="M374" s="3"/>
      <c r="N374" s="3"/>
      <c r="O374" s="3"/>
      <c r="P374" s="3"/>
      <c r="Q374" s="3"/>
      <c r="R374" s="3"/>
      <c r="S374" s="3"/>
      <c r="T374" s="3"/>
      <c r="U374" s="3"/>
      <c r="V374" s="3"/>
    </row>
    <row r="375" spans="1:22" x14ac:dyDescent="0.25">
      <c r="A375" s="20">
        <v>42039</v>
      </c>
      <c r="B375" s="21">
        <v>11072</v>
      </c>
      <c r="C375" s="14" t="s">
        <v>78</v>
      </c>
      <c r="D375" s="105">
        <v>236</v>
      </c>
      <c r="E375" s="23">
        <v>42040</v>
      </c>
      <c r="F375" s="106">
        <v>236</v>
      </c>
      <c r="G375" s="31">
        <f t="shared" si="5"/>
        <v>0</v>
      </c>
      <c r="H375" s="19" t="s">
        <v>62</v>
      </c>
      <c r="K375" s="3"/>
      <c r="M375" s="3"/>
      <c r="N375" s="3"/>
      <c r="O375" s="3"/>
      <c r="P375" s="3"/>
      <c r="Q375" s="3"/>
      <c r="R375" s="3"/>
      <c r="S375" s="3"/>
      <c r="T375" s="3"/>
      <c r="U375" s="3"/>
      <c r="V375" s="3"/>
    </row>
    <row r="376" spans="1:22" x14ac:dyDescent="0.25">
      <c r="A376" s="20">
        <v>42039</v>
      </c>
      <c r="B376" s="21">
        <v>11073</v>
      </c>
      <c r="C376" s="14" t="s">
        <v>87</v>
      </c>
      <c r="D376" s="105">
        <v>1474</v>
      </c>
      <c r="E376" s="23">
        <v>42039</v>
      </c>
      <c r="F376" s="106">
        <v>1474</v>
      </c>
      <c r="G376" s="31">
        <f t="shared" si="5"/>
        <v>0</v>
      </c>
      <c r="H376" s="19" t="s">
        <v>9</v>
      </c>
      <c r="K376" s="3"/>
      <c r="M376" s="3"/>
      <c r="N376" s="3"/>
      <c r="O376" s="3"/>
      <c r="P376" s="3"/>
      <c r="Q376" s="3"/>
      <c r="R376" s="3"/>
      <c r="S376" s="3"/>
      <c r="T376" s="3"/>
      <c r="U376" s="3"/>
      <c r="V376" s="3"/>
    </row>
    <row r="377" spans="1:22" x14ac:dyDescent="0.25">
      <c r="A377" s="20">
        <v>42039</v>
      </c>
      <c r="B377" s="21">
        <v>11074</v>
      </c>
      <c r="C377" s="14" t="s">
        <v>89</v>
      </c>
      <c r="D377" s="105">
        <v>3047.2</v>
      </c>
      <c r="E377" s="23">
        <v>42039</v>
      </c>
      <c r="F377" s="106">
        <v>3047.2</v>
      </c>
      <c r="G377" s="31">
        <f t="shared" si="5"/>
        <v>0</v>
      </c>
      <c r="H377" s="19" t="s">
        <v>9</v>
      </c>
      <c r="K377" s="3"/>
      <c r="M377" s="3"/>
      <c r="N377" s="3"/>
      <c r="O377" s="3"/>
      <c r="P377" s="3"/>
      <c r="Q377" s="3"/>
      <c r="R377" s="3"/>
      <c r="S377" s="3"/>
      <c r="T377" s="3"/>
      <c r="U377" s="3"/>
      <c r="V377" s="3"/>
    </row>
    <row r="378" spans="1:22" x14ac:dyDescent="0.25">
      <c r="A378" s="20">
        <v>42039</v>
      </c>
      <c r="B378" s="21">
        <v>11075</v>
      </c>
      <c r="C378" s="14" t="s">
        <v>335</v>
      </c>
      <c r="D378" s="105">
        <v>1064.4000000000001</v>
      </c>
      <c r="E378" s="23">
        <v>42039</v>
      </c>
      <c r="F378" s="106">
        <v>1064.4000000000001</v>
      </c>
      <c r="G378" s="31">
        <f t="shared" si="5"/>
        <v>0</v>
      </c>
      <c r="H378" s="19" t="s">
        <v>9</v>
      </c>
      <c r="K378" s="3"/>
      <c r="M378" s="3"/>
      <c r="N378" s="3"/>
      <c r="O378" s="3"/>
      <c r="P378" s="3"/>
      <c r="Q378" s="3"/>
      <c r="R378" s="3"/>
      <c r="S378" s="3"/>
      <c r="T378" s="3"/>
      <c r="U378" s="3"/>
      <c r="V378" s="3"/>
    </row>
    <row r="379" spans="1:22" x14ac:dyDescent="0.25">
      <c r="A379" s="20">
        <v>42039</v>
      </c>
      <c r="B379" s="21">
        <v>11076</v>
      </c>
      <c r="C379" s="14" t="s">
        <v>84</v>
      </c>
      <c r="D379" s="105">
        <v>10487.76</v>
      </c>
      <c r="E379" s="30" t="s">
        <v>566</v>
      </c>
      <c r="F379" s="106">
        <v>10487.76</v>
      </c>
      <c r="G379" s="31">
        <f t="shared" si="5"/>
        <v>0</v>
      </c>
      <c r="H379" s="19" t="s">
        <v>62</v>
      </c>
      <c r="K379" s="3"/>
      <c r="M379" s="3"/>
      <c r="N379" s="3"/>
      <c r="O379" s="3"/>
      <c r="P379" s="3"/>
      <c r="Q379" s="3"/>
      <c r="R379" s="3"/>
      <c r="S379" s="3"/>
      <c r="T379" s="3"/>
      <c r="U379" s="3"/>
      <c r="V379" s="3"/>
    </row>
    <row r="380" spans="1:22" x14ac:dyDescent="0.25">
      <c r="A380" s="20">
        <v>42039</v>
      </c>
      <c r="B380" s="21">
        <v>11077</v>
      </c>
      <c r="C380" s="14" t="s">
        <v>251</v>
      </c>
      <c r="D380" s="105">
        <v>28338.799999999999</v>
      </c>
      <c r="E380" s="23">
        <v>42040</v>
      </c>
      <c r="F380" s="106">
        <v>28338.799999999999</v>
      </c>
      <c r="G380" s="31">
        <f t="shared" si="5"/>
        <v>0</v>
      </c>
      <c r="H380" s="19" t="s">
        <v>19</v>
      </c>
      <c r="K380" s="3"/>
      <c r="M380" s="3"/>
      <c r="N380" s="3"/>
      <c r="O380" s="3"/>
      <c r="P380" s="3"/>
      <c r="Q380" s="3"/>
      <c r="R380" s="3"/>
      <c r="S380" s="3"/>
      <c r="T380" s="3"/>
      <c r="U380" s="3"/>
      <c r="V380" s="3"/>
    </row>
    <row r="381" spans="1:22" x14ac:dyDescent="0.25">
      <c r="A381" s="20">
        <v>42039</v>
      </c>
      <c r="B381" s="21">
        <v>11078</v>
      </c>
      <c r="C381" s="14" t="s">
        <v>250</v>
      </c>
      <c r="D381" s="105">
        <v>2064</v>
      </c>
      <c r="E381" s="23">
        <v>42040</v>
      </c>
      <c r="F381" s="106">
        <v>2064</v>
      </c>
      <c r="G381" s="31">
        <f t="shared" si="5"/>
        <v>0</v>
      </c>
      <c r="H381" s="19" t="s">
        <v>19</v>
      </c>
      <c r="K381" s="3"/>
      <c r="M381" s="3"/>
      <c r="N381" s="3"/>
      <c r="O381" s="3"/>
      <c r="P381" s="3"/>
      <c r="Q381" s="3"/>
      <c r="R381" s="3"/>
      <c r="S381" s="3"/>
      <c r="T381" s="3"/>
      <c r="U381" s="3"/>
      <c r="V381" s="3"/>
    </row>
    <row r="382" spans="1:22" x14ac:dyDescent="0.25">
      <c r="A382" s="20">
        <v>42039</v>
      </c>
      <c r="B382" s="21">
        <v>11079</v>
      </c>
      <c r="C382" s="14" t="s">
        <v>24</v>
      </c>
      <c r="D382" s="105">
        <v>29615.54</v>
      </c>
      <c r="E382" s="23">
        <v>42051</v>
      </c>
      <c r="F382" s="106">
        <v>29615.54</v>
      </c>
      <c r="G382" s="31">
        <f t="shared" si="5"/>
        <v>0</v>
      </c>
      <c r="H382" s="19" t="s">
        <v>183</v>
      </c>
      <c r="K382" s="3"/>
      <c r="M382" s="3"/>
      <c r="N382" s="3"/>
      <c r="O382" s="3"/>
      <c r="P382" s="3"/>
      <c r="Q382" s="3"/>
      <c r="R382" s="3"/>
      <c r="S382" s="3"/>
      <c r="T382" s="3"/>
      <c r="U382" s="3"/>
      <c r="V382" s="3"/>
    </row>
    <row r="383" spans="1:22" x14ac:dyDescent="0.25">
      <c r="A383" s="20">
        <v>42039</v>
      </c>
      <c r="B383" s="21">
        <v>11080</v>
      </c>
      <c r="C383" s="14" t="s">
        <v>256</v>
      </c>
      <c r="D383" s="105">
        <v>25438</v>
      </c>
      <c r="E383" s="23">
        <v>42040</v>
      </c>
      <c r="F383" s="106">
        <v>25438</v>
      </c>
      <c r="G383" s="31">
        <f t="shared" si="5"/>
        <v>0</v>
      </c>
      <c r="H383" s="19" t="s">
        <v>36</v>
      </c>
      <c r="K383" s="3"/>
      <c r="M383" s="3"/>
      <c r="N383" s="3"/>
      <c r="O383" s="3"/>
      <c r="P383" s="3"/>
      <c r="Q383" s="3"/>
      <c r="R383" s="3"/>
      <c r="S383" s="3"/>
      <c r="T383" s="3"/>
      <c r="U383" s="3"/>
      <c r="V383" s="3"/>
    </row>
    <row r="384" spans="1:22" x14ac:dyDescent="0.25">
      <c r="A384" s="20">
        <v>42039</v>
      </c>
      <c r="B384" s="21">
        <v>11081</v>
      </c>
      <c r="C384" s="14" t="s">
        <v>35</v>
      </c>
      <c r="D384" s="105">
        <v>26966.7</v>
      </c>
      <c r="E384" s="23">
        <v>42040</v>
      </c>
      <c r="F384" s="106">
        <v>26966.7</v>
      </c>
      <c r="G384" s="31">
        <f t="shared" si="5"/>
        <v>0</v>
      </c>
      <c r="H384" s="19" t="s">
        <v>36</v>
      </c>
      <c r="K384" s="3"/>
      <c r="M384" s="3"/>
      <c r="N384" s="3"/>
      <c r="O384" s="3"/>
      <c r="P384" s="3"/>
      <c r="Q384" s="3"/>
      <c r="R384" s="3"/>
      <c r="S384" s="3"/>
      <c r="T384" s="3"/>
      <c r="U384" s="3"/>
      <c r="V384" s="3"/>
    </row>
    <row r="385" spans="1:22" x14ac:dyDescent="0.25">
      <c r="A385" s="20">
        <v>42039</v>
      </c>
      <c r="B385" s="21">
        <v>11082</v>
      </c>
      <c r="C385" s="14" t="s">
        <v>127</v>
      </c>
      <c r="D385" s="105">
        <v>6894.8</v>
      </c>
      <c r="E385" s="23">
        <v>42039</v>
      </c>
      <c r="F385" s="106">
        <v>6894.8</v>
      </c>
      <c r="G385" s="31">
        <f t="shared" si="5"/>
        <v>0</v>
      </c>
      <c r="H385" s="19" t="s">
        <v>9</v>
      </c>
      <c r="K385" s="3"/>
      <c r="M385" s="3"/>
      <c r="N385" s="3"/>
      <c r="O385" s="3"/>
      <c r="P385" s="3"/>
      <c r="Q385" s="3"/>
      <c r="R385" s="3"/>
      <c r="S385" s="3"/>
      <c r="T385" s="3"/>
      <c r="U385" s="3"/>
      <c r="V385" s="3"/>
    </row>
    <row r="386" spans="1:22" x14ac:dyDescent="0.25">
      <c r="A386" s="20">
        <v>42039</v>
      </c>
      <c r="B386" s="21">
        <v>11083</v>
      </c>
      <c r="C386" s="14" t="s">
        <v>165</v>
      </c>
      <c r="D386" s="105">
        <v>3255</v>
      </c>
      <c r="E386" s="23">
        <v>42039</v>
      </c>
      <c r="F386" s="106">
        <v>3255</v>
      </c>
      <c r="G386" s="31">
        <f t="shared" si="5"/>
        <v>0</v>
      </c>
      <c r="H386" s="19" t="s">
        <v>94</v>
      </c>
      <c r="K386" s="3"/>
      <c r="M386" s="3"/>
      <c r="N386" s="3"/>
      <c r="O386" s="3"/>
      <c r="P386" s="3"/>
      <c r="Q386" s="3"/>
      <c r="R386" s="3"/>
      <c r="S386" s="3"/>
      <c r="T386" s="3"/>
      <c r="U386" s="3"/>
      <c r="V386" s="3"/>
    </row>
    <row r="387" spans="1:22" x14ac:dyDescent="0.25">
      <c r="A387" s="20">
        <v>42039</v>
      </c>
      <c r="B387" s="21">
        <v>11084</v>
      </c>
      <c r="C387" s="14" t="s">
        <v>192</v>
      </c>
      <c r="D387" s="105">
        <v>11189.5</v>
      </c>
      <c r="E387" s="23">
        <v>42055</v>
      </c>
      <c r="F387" s="106">
        <v>11189.5</v>
      </c>
      <c r="G387" s="31">
        <f t="shared" ref="G387:G450" si="6">D387-F387</f>
        <v>0</v>
      </c>
      <c r="H387" s="19" t="s">
        <v>94</v>
      </c>
      <c r="K387" s="3"/>
      <c r="M387" s="3"/>
      <c r="N387" s="3"/>
      <c r="O387" s="3"/>
      <c r="P387" s="3"/>
      <c r="Q387" s="3"/>
      <c r="R387" s="3"/>
      <c r="S387" s="3"/>
      <c r="T387" s="3"/>
      <c r="U387" s="3"/>
      <c r="V387" s="3"/>
    </row>
    <row r="388" spans="1:22" x14ac:dyDescent="0.25">
      <c r="A388" s="20">
        <v>42039</v>
      </c>
      <c r="B388" s="21">
        <v>11085</v>
      </c>
      <c r="C388" s="14" t="s">
        <v>128</v>
      </c>
      <c r="D388" s="105">
        <v>5236.3999999999996</v>
      </c>
      <c r="E388" s="23">
        <v>42039</v>
      </c>
      <c r="F388" s="106">
        <v>5236.3999999999996</v>
      </c>
      <c r="G388" s="31">
        <f t="shared" si="6"/>
        <v>0</v>
      </c>
      <c r="H388" s="19" t="s">
        <v>94</v>
      </c>
      <c r="K388" s="3"/>
      <c r="M388" s="3"/>
      <c r="N388" s="3"/>
      <c r="O388" s="3"/>
      <c r="P388" s="3"/>
      <c r="Q388" s="3"/>
      <c r="R388" s="3"/>
      <c r="S388" s="3"/>
      <c r="T388" s="3"/>
      <c r="U388" s="3"/>
      <c r="V388" s="3"/>
    </row>
    <row r="389" spans="1:22" x14ac:dyDescent="0.25">
      <c r="A389" s="20">
        <v>42039</v>
      </c>
      <c r="B389" s="21">
        <v>11086</v>
      </c>
      <c r="C389" s="14" t="s">
        <v>102</v>
      </c>
      <c r="D389" s="105">
        <v>729.1</v>
      </c>
      <c r="E389" s="23">
        <v>42039</v>
      </c>
      <c r="F389" s="106">
        <v>729.1</v>
      </c>
      <c r="G389" s="31">
        <f t="shared" si="6"/>
        <v>0</v>
      </c>
      <c r="H389" s="19" t="s">
        <v>62</v>
      </c>
      <c r="K389" s="3"/>
      <c r="M389" s="3"/>
      <c r="N389" s="3"/>
      <c r="O389" s="3"/>
      <c r="P389" s="3"/>
      <c r="Q389" s="3"/>
      <c r="R389" s="3"/>
      <c r="S389" s="3"/>
      <c r="T389" s="3"/>
      <c r="U389" s="3"/>
      <c r="V389" s="3"/>
    </row>
    <row r="390" spans="1:22" x14ac:dyDescent="0.25">
      <c r="A390" s="20">
        <v>42039</v>
      </c>
      <c r="B390" s="21">
        <v>11087</v>
      </c>
      <c r="C390" s="14" t="s">
        <v>391</v>
      </c>
      <c r="D390" s="105">
        <v>2925.6</v>
      </c>
      <c r="E390" s="23">
        <v>42039</v>
      </c>
      <c r="F390" s="106">
        <v>2925.6</v>
      </c>
      <c r="G390" s="31">
        <f t="shared" si="6"/>
        <v>0</v>
      </c>
      <c r="H390" s="19" t="s">
        <v>9</v>
      </c>
      <c r="K390" s="3"/>
      <c r="M390" s="3"/>
      <c r="N390" s="3"/>
      <c r="O390" s="3"/>
      <c r="P390" s="3"/>
      <c r="Q390" s="3"/>
      <c r="R390" s="3"/>
      <c r="S390" s="3"/>
      <c r="T390" s="3"/>
      <c r="U390" s="3"/>
      <c r="V390" s="3"/>
    </row>
    <row r="391" spans="1:22" x14ac:dyDescent="0.25">
      <c r="A391" s="20">
        <v>42039</v>
      </c>
      <c r="B391" s="21">
        <v>11088</v>
      </c>
      <c r="C391" s="14" t="s">
        <v>22</v>
      </c>
      <c r="D391" s="105">
        <v>11301</v>
      </c>
      <c r="E391" s="23">
        <v>42042</v>
      </c>
      <c r="F391" s="106">
        <v>11301</v>
      </c>
      <c r="G391" s="31">
        <f t="shared" si="6"/>
        <v>0</v>
      </c>
      <c r="H391" s="19" t="s">
        <v>9</v>
      </c>
      <c r="J391" s="107"/>
      <c r="K391" s="3"/>
      <c r="M391" s="3"/>
      <c r="N391" s="3"/>
      <c r="O391" s="3"/>
      <c r="P391" s="3"/>
      <c r="Q391" s="3"/>
      <c r="R391" s="3"/>
      <c r="S391" s="3"/>
      <c r="T391" s="3"/>
      <c r="U391" s="3"/>
      <c r="V391" s="3"/>
    </row>
    <row r="392" spans="1:22" x14ac:dyDescent="0.25">
      <c r="A392" s="20">
        <v>42039</v>
      </c>
      <c r="B392" s="21">
        <v>11089</v>
      </c>
      <c r="C392" s="14" t="s">
        <v>111</v>
      </c>
      <c r="D392" s="105">
        <v>139400</v>
      </c>
      <c r="E392" s="23">
        <v>42042</v>
      </c>
      <c r="F392" s="106">
        <v>139400</v>
      </c>
      <c r="G392" s="31">
        <f t="shared" si="6"/>
        <v>0</v>
      </c>
      <c r="H392" s="19" t="s">
        <v>9</v>
      </c>
      <c r="K392" s="3"/>
      <c r="M392" s="3"/>
      <c r="N392" s="3"/>
      <c r="O392" s="3"/>
      <c r="P392" s="3"/>
      <c r="Q392" s="3"/>
      <c r="R392" s="3"/>
      <c r="S392" s="3"/>
      <c r="T392" s="3"/>
      <c r="U392" s="3"/>
      <c r="V392" s="3"/>
    </row>
    <row r="393" spans="1:22" x14ac:dyDescent="0.25">
      <c r="A393" s="20">
        <v>42039</v>
      </c>
      <c r="B393" s="21">
        <v>11090</v>
      </c>
      <c r="C393" s="14" t="s">
        <v>111</v>
      </c>
      <c r="D393" s="105">
        <v>165525</v>
      </c>
      <c r="E393" s="23">
        <v>42042</v>
      </c>
      <c r="F393" s="106">
        <v>165525</v>
      </c>
      <c r="G393" s="31">
        <f t="shared" si="6"/>
        <v>0</v>
      </c>
      <c r="H393" s="19" t="s">
        <v>9</v>
      </c>
      <c r="K393" s="3"/>
      <c r="M393" s="3"/>
      <c r="N393" s="3"/>
      <c r="O393" s="3"/>
      <c r="P393" s="3"/>
      <c r="Q393" s="3"/>
      <c r="R393" s="3"/>
      <c r="S393" s="3"/>
      <c r="T393" s="3"/>
      <c r="U393" s="3"/>
      <c r="V393" s="3"/>
    </row>
    <row r="394" spans="1:22" x14ac:dyDescent="0.25">
      <c r="A394" s="20">
        <v>42039</v>
      </c>
      <c r="B394" s="21">
        <v>11091</v>
      </c>
      <c r="C394" s="14" t="s">
        <v>80</v>
      </c>
      <c r="D394" s="105">
        <v>7718.4</v>
      </c>
      <c r="E394" s="23">
        <v>42039</v>
      </c>
      <c r="F394" s="106">
        <v>7718.4</v>
      </c>
      <c r="G394" s="31">
        <f t="shared" si="6"/>
        <v>0</v>
      </c>
      <c r="H394" s="19" t="s">
        <v>9</v>
      </c>
      <c r="K394" s="3"/>
      <c r="M394" s="3"/>
      <c r="N394" s="3"/>
      <c r="O394" s="3"/>
      <c r="P394" s="3"/>
      <c r="Q394" s="3"/>
      <c r="R394" s="3"/>
      <c r="S394" s="3"/>
      <c r="T394" s="3"/>
      <c r="U394" s="3"/>
      <c r="V394" s="3"/>
    </row>
    <row r="395" spans="1:22" x14ac:dyDescent="0.25">
      <c r="A395" s="20">
        <v>42039</v>
      </c>
      <c r="B395" s="21">
        <v>11092</v>
      </c>
      <c r="C395" s="14" t="s">
        <v>66</v>
      </c>
      <c r="D395" s="105">
        <v>1441.6</v>
      </c>
      <c r="E395" s="23">
        <v>42039</v>
      </c>
      <c r="F395" s="106">
        <v>1441.6</v>
      </c>
      <c r="G395" s="31">
        <f t="shared" si="6"/>
        <v>0</v>
      </c>
      <c r="H395" s="19" t="s">
        <v>9</v>
      </c>
      <c r="K395" s="3"/>
      <c r="M395" s="3"/>
      <c r="N395" s="3"/>
      <c r="O395" s="3"/>
      <c r="P395" s="3"/>
      <c r="Q395" s="3"/>
      <c r="R395" s="3"/>
      <c r="S395" s="3"/>
      <c r="T395" s="3"/>
      <c r="U395" s="3"/>
      <c r="V395" s="3"/>
    </row>
    <row r="396" spans="1:22" x14ac:dyDescent="0.25">
      <c r="A396" s="20">
        <v>42039</v>
      </c>
      <c r="B396" s="21">
        <v>11093</v>
      </c>
      <c r="C396" s="14" t="s">
        <v>111</v>
      </c>
      <c r="D396" s="105">
        <v>168268</v>
      </c>
      <c r="E396" s="23">
        <v>42042</v>
      </c>
      <c r="F396" s="106">
        <v>168268</v>
      </c>
      <c r="G396" s="31">
        <f t="shared" si="6"/>
        <v>0</v>
      </c>
      <c r="H396" s="19" t="s">
        <v>9</v>
      </c>
      <c r="J396" s="107"/>
      <c r="K396" s="3"/>
      <c r="M396" s="3"/>
      <c r="N396" s="3"/>
      <c r="O396" s="3"/>
      <c r="P396" s="3"/>
      <c r="Q396" s="3"/>
      <c r="R396" s="3"/>
      <c r="S396" s="3"/>
      <c r="T396" s="3"/>
      <c r="U396" s="3"/>
      <c r="V396" s="3"/>
    </row>
    <row r="397" spans="1:22" x14ac:dyDescent="0.25">
      <c r="A397" s="20">
        <v>42039</v>
      </c>
      <c r="B397" s="21">
        <v>11094</v>
      </c>
      <c r="C397" s="14" t="s">
        <v>111</v>
      </c>
      <c r="D397" s="105">
        <v>53220.160000000003</v>
      </c>
      <c r="E397" s="23">
        <v>42042</v>
      </c>
      <c r="F397" s="106">
        <v>53220.160000000003</v>
      </c>
      <c r="G397" s="31">
        <f t="shared" si="6"/>
        <v>0</v>
      </c>
      <c r="H397" s="19" t="s">
        <v>9</v>
      </c>
      <c r="K397" s="3"/>
      <c r="M397" s="3"/>
      <c r="N397" s="3"/>
      <c r="O397" s="3"/>
      <c r="P397" s="3"/>
      <c r="Q397" s="3"/>
      <c r="R397" s="3"/>
      <c r="S397" s="3"/>
      <c r="T397" s="3"/>
      <c r="U397" s="3"/>
      <c r="V397" s="3"/>
    </row>
    <row r="398" spans="1:22" x14ac:dyDescent="0.25">
      <c r="A398" s="20">
        <v>42039</v>
      </c>
      <c r="B398" s="21">
        <v>11095</v>
      </c>
      <c r="C398" s="14" t="s">
        <v>74</v>
      </c>
      <c r="D398" s="105">
        <v>1886</v>
      </c>
      <c r="E398" s="23">
        <v>42039</v>
      </c>
      <c r="F398" s="106">
        <v>1886</v>
      </c>
      <c r="G398" s="31">
        <f t="shared" si="6"/>
        <v>0</v>
      </c>
      <c r="H398" s="19" t="s">
        <v>9</v>
      </c>
      <c r="K398" s="3"/>
      <c r="M398" s="3"/>
      <c r="N398" s="3"/>
      <c r="O398" s="3"/>
      <c r="P398" s="3"/>
      <c r="Q398" s="3"/>
      <c r="R398" s="3"/>
      <c r="S398" s="3"/>
      <c r="T398" s="3"/>
      <c r="U398" s="3"/>
      <c r="V398" s="3"/>
    </row>
    <row r="399" spans="1:22" x14ac:dyDescent="0.25">
      <c r="A399" s="20">
        <v>42039</v>
      </c>
      <c r="B399" s="21">
        <v>11096</v>
      </c>
      <c r="C399" s="14" t="s">
        <v>64</v>
      </c>
      <c r="D399" s="105">
        <v>1848</v>
      </c>
      <c r="E399" s="23">
        <v>42039</v>
      </c>
      <c r="F399" s="106">
        <v>1848</v>
      </c>
      <c r="G399" s="31">
        <f t="shared" si="6"/>
        <v>0</v>
      </c>
      <c r="H399" s="19" t="s">
        <v>9</v>
      </c>
      <c r="K399" s="3"/>
      <c r="M399" s="3"/>
      <c r="N399" s="3"/>
      <c r="O399" s="3"/>
      <c r="P399" s="3"/>
      <c r="Q399" s="3"/>
      <c r="R399" s="3"/>
      <c r="S399" s="3"/>
      <c r="T399" s="3"/>
      <c r="U399" s="3"/>
      <c r="V399" s="3"/>
    </row>
    <row r="400" spans="1:22" x14ac:dyDescent="0.25">
      <c r="A400" s="20">
        <v>42039</v>
      </c>
      <c r="B400" s="21">
        <v>11097</v>
      </c>
      <c r="C400" s="14" t="s">
        <v>24</v>
      </c>
      <c r="D400" s="105">
        <v>51227.9</v>
      </c>
      <c r="E400" s="23">
        <v>42062</v>
      </c>
      <c r="F400" s="106">
        <v>51227.9</v>
      </c>
      <c r="G400" s="31">
        <f t="shared" si="6"/>
        <v>0</v>
      </c>
      <c r="H400" s="19" t="s">
        <v>94</v>
      </c>
      <c r="K400" s="3"/>
      <c r="M400" s="3"/>
      <c r="N400" s="3"/>
      <c r="O400" s="3"/>
      <c r="P400" s="3"/>
      <c r="Q400" s="3"/>
      <c r="R400" s="3"/>
      <c r="S400" s="3"/>
      <c r="T400" s="3"/>
      <c r="U400" s="3"/>
      <c r="V400" s="3"/>
    </row>
    <row r="401" spans="1:22" x14ac:dyDescent="0.25">
      <c r="A401" s="20">
        <v>42040</v>
      </c>
      <c r="B401" s="21">
        <v>11098</v>
      </c>
      <c r="C401" s="14" t="s">
        <v>11</v>
      </c>
      <c r="D401" s="105">
        <v>6996.2</v>
      </c>
      <c r="E401" s="23">
        <v>42040</v>
      </c>
      <c r="F401" s="106">
        <v>6996.2</v>
      </c>
      <c r="G401" s="31">
        <f t="shared" si="6"/>
        <v>0</v>
      </c>
      <c r="H401" s="19" t="s">
        <v>9</v>
      </c>
      <c r="K401" s="3"/>
      <c r="M401" s="3"/>
      <c r="N401" s="3"/>
      <c r="O401" s="3"/>
      <c r="P401" s="3"/>
      <c r="Q401" s="3"/>
      <c r="R401" s="3"/>
      <c r="S401" s="3"/>
      <c r="T401" s="3"/>
      <c r="U401" s="3"/>
      <c r="V401" s="3"/>
    </row>
    <row r="402" spans="1:22" x14ac:dyDescent="0.25">
      <c r="A402" s="20">
        <v>42040</v>
      </c>
      <c r="B402" s="21">
        <v>11099</v>
      </c>
      <c r="C402" s="14" t="s">
        <v>43</v>
      </c>
      <c r="D402" s="105">
        <v>1674</v>
      </c>
      <c r="E402" s="23">
        <v>42040</v>
      </c>
      <c r="F402" s="106">
        <v>1674</v>
      </c>
      <c r="G402" s="31">
        <f t="shared" si="6"/>
        <v>0</v>
      </c>
      <c r="H402" s="19" t="s">
        <v>9</v>
      </c>
      <c r="I402" s="3"/>
      <c r="J402" s="42"/>
      <c r="K402" s="3"/>
      <c r="M402" s="3"/>
      <c r="N402" s="3"/>
      <c r="O402" s="3"/>
      <c r="P402" s="3"/>
      <c r="Q402" s="3"/>
      <c r="R402" s="3"/>
      <c r="S402" s="3"/>
      <c r="T402" s="3"/>
      <c r="U402" s="3"/>
      <c r="V402" s="3"/>
    </row>
    <row r="403" spans="1:22" x14ac:dyDescent="0.25">
      <c r="A403" s="20">
        <v>42040</v>
      </c>
      <c r="B403" s="21">
        <v>11100</v>
      </c>
      <c r="C403" s="14" t="s">
        <v>555</v>
      </c>
      <c r="D403" s="105">
        <v>60628.6</v>
      </c>
      <c r="E403" s="23">
        <v>42041</v>
      </c>
      <c r="F403" s="106">
        <v>60628.6</v>
      </c>
      <c r="G403" s="31">
        <f t="shared" si="6"/>
        <v>0</v>
      </c>
      <c r="H403" s="19" t="s">
        <v>9</v>
      </c>
      <c r="I403" s="3"/>
      <c r="J403" s="42"/>
      <c r="K403" s="3"/>
      <c r="M403" s="3"/>
      <c r="N403" s="3"/>
      <c r="O403" s="3"/>
      <c r="P403" s="3"/>
      <c r="Q403" s="3"/>
      <c r="R403" s="3"/>
      <c r="S403" s="3"/>
      <c r="T403" s="3"/>
      <c r="U403" s="3"/>
      <c r="V403" s="3"/>
    </row>
    <row r="404" spans="1:22" x14ac:dyDescent="0.25">
      <c r="A404" s="20">
        <v>42040</v>
      </c>
      <c r="B404" s="21">
        <v>11101</v>
      </c>
      <c r="C404" s="14" t="s">
        <v>16</v>
      </c>
      <c r="D404" s="105">
        <v>6522</v>
      </c>
      <c r="E404" s="23">
        <v>42040</v>
      </c>
      <c r="F404" s="106">
        <v>6522</v>
      </c>
      <c r="G404" s="31">
        <f t="shared" si="6"/>
        <v>0</v>
      </c>
      <c r="H404" s="19" t="s">
        <v>17</v>
      </c>
      <c r="I404" s="3"/>
      <c r="J404" s="42"/>
      <c r="K404" s="3"/>
      <c r="M404" s="3"/>
      <c r="N404" s="3"/>
      <c r="O404" s="3"/>
      <c r="P404" s="3"/>
      <c r="Q404" s="3"/>
      <c r="R404" s="3"/>
      <c r="S404" s="3"/>
      <c r="T404" s="3"/>
      <c r="U404" s="3"/>
      <c r="V404" s="3"/>
    </row>
    <row r="405" spans="1:22" x14ac:dyDescent="0.25">
      <c r="A405" s="20">
        <v>42040</v>
      </c>
      <c r="B405" s="21">
        <v>11102</v>
      </c>
      <c r="C405" s="14" t="s">
        <v>31</v>
      </c>
      <c r="D405" s="105">
        <v>3542.4</v>
      </c>
      <c r="E405" s="23">
        <v>42040</v>
      </c>
      <c r="F405" s="106">
        <v>3542.4</v>
      </c>
      <c r="G405" s="31">
        <f t="shared" si="6"/>
        <v>0</v>
      </c>
      <c r="H405" s="19" t="s">
        <v>17</v>
      </c>
      <c r="I405" s="3"/>
      <c r="J405" s="42"/>
      <c r="K405" s="3"/>
      <c r="M405" s="3"/>
      <c r="N405" s="3"/>
      <c r="O405" s="3"/>
      <c r="P405" s="3"/>
      <c r="Q405" s="3"/>
      <c r="R405" s="3"/>
      <c r="S405" s="3"/>
      <c r="T405" s="3"/>
      <c r="U405" s="3"/>
      <c r="V405" s="3"/>
    </row>
    <row r="406" spans="1:22" x14ac:dyDescent="0.25">
      <c r="A406" s="20">
        <v>42040</v>
      </c>
      <c r="B406" s="21">
        <v>11103</v>
      </c>
      <c r="C406" s="14" t="s">
        <v>267</v>
      </c>
      <c r="D406" s="105">
        <v>1645.9</v>
      </c>
      <c r="E406" s="23">
        <v>42040</v>
      </c>
      <c r="F406" s="106">
        <v>1645.9</v>
      </c>
      <c r="G406" s="31">
        <f t="shared" si="6"/>
        <v>0</v>
      </c>
      <c r="H406" s="19" t="s">
        <v>19</v>
      </c>
      <c r="I406" s="3"/>
      <c r="J406" s="42"/>
      <c r="K406" s="3"/>
      <c r="M406" s="3"/>
      <c r="N406" s="3"/>
      <c r="O406" s="3"/>
      <c r="P406" s="3"/>
      <c r="Q406" s="3"/>
      <c r="R406" s="3"/>
      <c r="S406" s="3"/>
      <c r="T406" s="3"/>
      <c r="U406" s="3"/>
      <c r="V406" s="3"/>
    </row>
    <row r="407" spans="1:22" x14ac:dyDescent="0.25">
      <c r="A407" s="20">
        <v>42040</v>
      </c>
      <c r="B407" s="21">
        <v>11104</v>
      </c>
      <c r="C407" s="14" t="s">
        <v>158</v>
      </c>
      <c r="D407" s="105">
        <v>9758.4</v>
      </c>
      <c r="E407" s="23">
        <v>42040</v>
      </c>
      <c r="F407" s="106">
        <v>9758.4</v>
      </c>
      <c r="G407" s="31">
        <f t="shared" si="6"/>
        <v>0</v>
      </c>
      <c r="H407" s="19" t="s">
        <v>9</v>
      </c>
      <c r="I407" s="3"/>
      <c r="J407" s="42"/>
      <c r="K407" s="3"/>
      <c r="M407" s="3"/>
      <c r="N407" s="3"/>
      <c r="O407" s="3"/>
      <c r="P407" s="3"/>
      <c r="Q407" s="3"/>
      <c r="R407" s="3"/>
      <c r="S407" s="3"/>
      <c r="T407" s="3"/>
      <c r="U407" s="3"/>
      <c r="V407" s="3"/>
    </row>
    <row r="408" spans="1:22" x14ac:dyDescent="0.25">
      <c r="A408" s="20">
        <v>42040</v>
      </c>
      <c r="B408" s="21">
        <v>11105</v>
      </c>
      <c r="C408" s="14" t="s">
        <v>14</v>
      </c>
      <c r="D408" s="105">
        <v>10308</v>
      </c>
      <c r="E408" s="23">
        <v>42048</v>
      </c>
      <c r="F408" s="106">
        <v>10308</v>
      </c>
      <c r="G408" s="31">
        <f t="shared" si="6"/>
        <v>0</v>
      </c>
      <c r="H408" s="19" t="s">
        <v>187</v>
      </c>
      <c r="I408" s="3"/>
      <c r="J408" s="42"/>
      <c r="K408" s="3"/>
      <c r="M408" s="3"/>
      <c r="N408" s="3"/>
      <c r="O408" s="3"/>
      <c r="P408" s="3"/>
      <c r="Q408" s="3"/>
      <c r="R408" s="3"/>
      <c r="S408" s="3"/>
      <c r="T408" s="3"/>
      <c r="U408" s="3"/>
      <c r="V408" s="3"/>
    </row>
    <row r="409" spans="1:22" x14ac:dyDescent="0.25">
      <c r="A409" s="20">
        <v>42040</v>
      </c>
      <c r="B409" s="21">
        <v>11106</v>
      </c>
      <c r="C409" s="14" t="s">
        <v>148</v>
      </c>
      <c r="D409" s="105">
        <v>3564</v>
      </c>
      <c r="E409" s="23">
        <v>42040</v>
      </c>
      <c r="F409" s="106">
        <v>3564</v>
      </c>
      <c r="G409" s="31">
        <f t="shared" si="6"/>
        <v>0</v>
      </c>
      <c r="H409" s="19" t="s">
        <v>9</v>
      </c>
      <c r="I409" s="3"/>
      <c r="J409" s="42"/>
      <c r="K409" s="3"/>
      <c r="M409" s="3"/>
      <c r="N409" s="3"/>
      <c r="O409" s="3"/>
      <c r="P409" s="3"/>
      <c r="Q409" s="3"/>
      <c r="R409" s="3"/>
      <c r="S409" s="3"/>
      <c r="T409" s="3"/>
      <c r="U409" s="3"/>
      <c r="V409" s="3"/>
    </row>
    <row r="410" spans="1:22" x14ac:dyDescent="0.25">
      <c r="A410" s="20">
        <v>42040</v>
      </c>
      <c r="B410" s="21">
        <v>11107</v>
      </c>
      <c r="C410" s="14" t="s">
        <v>110</v>
      </c>
      <c r="D410" s="105">
        <v>8643.1</v>
      </c>
      <c r="E410" s="23">
        <v>42048</v>
      </c>
      <c r="F410" s="106">
        <v>8643.1</v>
      </c>
      <c r="G410" s="31">
        <f t="shared" si="6"/>
        <v>0</v>
      </c>
      <c r="H410" s="19" t="s">
        <v>19</v>
      </c>
      <c r="I410" s="3"/>
      <c r="J410" s="42"/>
      <c r="K410" s="3"/>
      <c r="M410" s="3"/>
      <c r="N410" s="3"/>
      <c r="O410" s="3"/>
      <c r="P410" s="3"/>
      <c r="Q410" s="3"/>
      <c r="R410" s="3"/>
      <c r="S410" s="3"/>
      <c r="T410" s="3"/>
      <c r="U410" s="3"/>
      <c r="V410" s="3"/>
    </row>
    <row r="411" spans="1:22" x14ac:dyDescent="0.25">
      <c r="A411" s="20">
        <v>42040</v>
      </c>
      <c r="B411" s="21">
        <v>11108</v>
      </c>
      <c r="C411" s="14" t="s">
        <v>151</v>
      </c>
      <c r="D411" s="105">
        <v>2530</v>
      </c>
      <c r="E411" s="23">
        <v>42041</v>
      </c>
      <c r="F411" s="106">
        <v>2530</v>
      </c>
      <c r="G411" s="31">
        <f t="shared" si="6"/>
        <v>0</v>
      </c>
      <c r="H411" s="19" t="s">
        <v>9</v>
      </c>
      <c r="I411" s="3"/>
      <c r="J411" s="42"/>
      <c r="K411" s="3"/>
      <c r="M411" s="3"/>
      <c r="N411" s="3"/>
      <c r="O411" s="3"/>
      <c r="P411" s="3"/>
      <c r="Q411" s="3"/>
      <c r="R411" s="3"/>
      <c r="S411" s="3"/>
      <c r="T411" s="3"/>
      <c r="U411" s="3"/>
      <c r="V411" s="3"/>
    </row>
    <row r="412" spans="1:22" x14ac:dyDescent="0.25">
      <c r="A412" s="20">
        <v>42040</v>
      </c>
      <c r="B412" s="21">
        <v>11109</v>
      </c>
      <c r="C412" s="14" t="s">
        <v>22</v>
      </c>
      <c r="D412" s="105">
        <v>2004.8</v>
      </c>
      <c r="E412" s="23">
        <v>42040</v>
      </c>
      <c r="F412" s="106">
        <v>2004.8</v>
      </c>
      <c r="G412" s="31">
        <f t="shared" si="6"/>
        <v>0</v>
      </c>
      <c r="H412" s="19" t="s">
        <v>9</v>
      </c>
      <c r="I412" s="3"/>
      <c r="J412" s="42"/>
      <c r="K412" s="3"/>
      <c r="M412" s="3"/>
      <c r="N412" s="3"/>
      <c r="O412" s="3"/>
      <c r="P412" s="3"/>
      <c r="Q412" s="3"/>
      <c r="R412" s="3"/>
      <c r="S412" s="3"/>
      <c r="T412" s="3"/>
      <c r="U412" s="3"/>
      <c r="V412" s="3"/>
    </row>
    <row r="413" spans="1:22" x14ac:dyDescent="0.25">
      <c r="A413" s="20">
        <v>42040</v>
      </c>
      <c r="B413" s="21">
        <v>11110</v>
      </c>
      <c r="C413" s="14" t="s">
        <v>20</v>
      </c>
      <c r="D413" s="105">
        <v>15190</v>
      </c>
      <c r="E413" s="23">
        <v>42040</v>
      </c>
      <c r="F413" s="106">
        <v>15190</v>
      </c>
      <c r="G413" s="31">
        <f t="shared" si="6"/>
        <v>0</v>
      </c>
      <c r="H413" s="19" t="s">
        <v>94</v>
      </c>
      <c r="I413" s="3"/>
      <c r="J413" s="42"/>
      <c r="K413" s="3"/>
      <c r="M413" s="3"/>
      <c r="N413" s="3"/>
      <c r="O413" s="3"/>
      <c r="P413" s="3"/>
      <c r="Q413" s="3"/>
      <c r="R413" s="3"/>
      <c r="S413" s="3"/>
      <c r="T413" s="3"/>
      <c r="U413" s="3"/>
      <c r="V413" s="3"/>
    </row>
    <row r="414" spans="1:22" x14ac:dyDescent="0.25">
      <c r="A414" s="20">
        <v>42040</v>
      </c>
      <c r="B414" s="21">
        <v>11111</v>
      </c>
      <c r="C414" s="14" t="s">
        <v>114</v>
      </c>
      <c r="D414" s="105">
        <v>3104</v>
      </c>
      <c r="E414" s="23">
        <v>42040</v>
      </c>
      <c r="F414" s="106">
        <v>3104</v>
      </c>
      <c r="G414" s="31">
        <f t="shared" si="6"/>
        <v>0</v>
      </c>
      <c r="H414" s="19" t="s">
        <v>9</v>
      </c>
      <c r="I414" s="3"/>
      <c r="J414" s="42"/>
      <c r="K414" s="3"/>
      <c r="M414" s="3"/>
      <c r="N414" s="3"/>
      <c r="O414" s="3"/>
      <c r="P414" s="3"/>
      <c r="Q414" s="3"/>
      <c r="R414" s="3"/>
      <c r="S414" s="3"/>
      <c r="T414" s="3"/>
      <c r="U414" s="3"/>
      <c r="V414" s="3"/>
    </row>
    <row r="415" spans="1:22" x14ac:dyDescent="0.25">
      <c r="A415" s="20">
        <v>42040</v>
      </c>
      <c r="B415" s="21">
        <v>11112</v>
      </c>
      <c r="C415" s="14" t="s">
        <v>26</v>
      </c>
      <c r="D415" s="105">
        <v>1512</v>
      </c>
      <c r="E415" s="23">
        <v>42040</v>
      </c>
      <c r="F415" s="106">
        <v>1512</v>
      </c>
      <c r="G415" s="31">
        <f t="shared" si="6"/>
        <v>0</v>
      </c>
      <c r="H415" s="19" t="s">
        <v>27</v>
      </c>
      <c r="I415" s="3"/>
      <c r="J415" s="42"/>
      <c r="K415" s="3"/>
      <c r="M415" s="3"/>
      <c r="N415" s="3"/>
      <c r="O415" s="3"/>
      <c r="P415" s="3"/>
      <c r="Q415" s="3"/>
      <c r="R415" s="3"/>
      <c r="S415" s="3"/>
      <c r="T415" s="3"/>
      <c r="U415" s="3"/>
      <c r="V415" s="3"/>
    </row>
    <row r="416" spans="1:22" x14ac:dyDescent="0.25">
      <c r="A416" s="20">
        <v>42040</v>
      </c>
      <c r="B416" s="21">
        <v>11113</v>
      </c>
      <c r="C416" s="14" t="s">
        <v>563</v>
      </c>
      <c r="D416" s="105">
        <v>4665.8999999999996</v>
      </c>
      <c r="E416" s="23">
        <v>42040</v>
      </c>
      <c r="F416" s="106">
        <v>4665.8999999999996</v>
      </c>
      <c r="G416" s="31">
        <f t="shared" si="6"/>
        <v>0</v>
      </c>
      <c r="H416" s="19" t="s">
        <v>9</v>
      </c>
      <c r="I416" s="3"/>
      <c r="J416" s="42"/>
      <c r="K416" s="3"/>
      <c r="M416" s="3"/>
      <c r="N416" s="3"/>
      <c r="O416" s="3"/>
      <c r="P416" s="3"/>
      <c r="Q416" s="3"/>
      <c r="R416" s="3"/>
      <c r="S416" s="3"/>
      <c r="T416" s="3"/>
      <c r="U416" s="3"/>
      <c r="V416" s="3"/>
    </row>
    <row r="417" spans="1:22" x14ac:dyDescent="0.25">
      <c r="A417" s="20">
        <v>42040</v>
      </c>
      <c r="B417" s="21">
        <v>11114</v>
      </c>
      <c r="C417" s="14" t="s">
        <v>112</v>
      </c>
      <c r="D417" s="105">
        <v>3262</v>
      </c>
      <c r="E417" s="23">
        <v>42040</v>
      </c>
      <c r="F417" s="106">
        <v>3262</v>
      </c>
      <c r="G417" s="31">
        <f t="shared" si="6"/>
        <v>0</v>
      </c>
      <c r="H417" s="19" t="s">
        <v>9</v>
      </c>
      <c r="I417" s="3"/>
      <c r="J417" s="42"/>
      <c r="K417" s="3"/>
      <c r="M417" s="3"/>
      <c r="N417" s="3"/>
      <c r="O417" s="3"/>
      <c r="P417" s="3"/>
      <c r="Q417" s="3"/>
      <c r="R417" s="3"/>
      <c r="S417" s="3"/>
      <c r="T417" s="3"/>
      <c r="U417" s="3"/>
      <c r="V417" s="3"/>
    </row>
    <row r="418" spans="1:22" x14ac:dyDescent="0.25">
      <c r="A418" s="20">
        <v>42040</v>
      </c>
      <c r="B418" s="21">
        <v>11115</v>
      </c>
      <c r="C418" s="14" t="s">
        <v>413</v>
      </c>
      <c r="D418" s="105">
        <v>4255.2</v>
      </c>
      <c r="E418" s="23">
        <v>42040</v>
      </c>
      <c r="F418" s="106">
        <v>4255.2</v>
      </c>
      <c r="G418" s="31">
        <f t="shared" si="6"/>
        <v>0</v>
      </c>
      <c r="H418" s="19" t="s">
        <v>94</v>
      </c>
      <c r="I418" s="3"/>
      <c r="J418" s="42"/>
      <c r="K418" s="3"/>
      <c r="M418" s="3"/>
      <c r="N418" s="3"/>
      <c r="O418" s="3"/>
      <c r="P418" s="3"/>
      <c r="Q418" s="3"/>
      <c r="R418" s="3"/>
      <c r="S418" s="3"/>
      <c r="T418" s="3"/>
      <c r="U418" s="3"/>
      <c r="V418" s="3"/>
    </row>
    <row r="419" spans="1:22" x14ac:dyDescent="0.25">
      <c r="A419" s="20">
        <v>42040</v>
      </c>
      <c r="B419" s="21">
        <v>11116</v>
      </c>
      <c r="C419" s="14" t="s">
        <v>87</v>
      </c>
      <c r="D419" s="105">
        <v>2511.6</v>
      </c>
      <c r="E419" s="23">
        <v>42040</v>
      </c>
      <c r="F419" s="106">
        <v>2511.6</v>
      </c>
      <c r="G419" s="31">
        <f t="shared" si="6"/>
        <v>0</v>
      </c>
      <c r="H419" s="19" t="s">
        <v>94</v>
      </c>
      <c r="I419" s="3"/>
      <c r="J419" s="42"/>
      <c r="K419" s="3"/>
      <c r="M419" s="3"/>
      <c r="N419" s="3"/>
      <c r="O419" s="3"/>
      <c r="P419" s="3"/>
      <c r="Q419" s="3"/>
      <c r="R419" s="3"/>
      <c r="S419" s="3"/>
      <c r="T419" s="3"/>
      <c r="U419" s="3"/>
      <c r="V419" s="3"/>
    </row>
    <row r="420" spans="1:22" x14ac:dyDescent="0.25">
      <c r="A420" s="20">
        <v>42040</v>
      </c>
      <c r="B420" s="21">
        <v>11117</v>
      </c>
      <c r="C420" s="14" t="s">
        <v>399</v>
      </c>
      <c r="D420" s="105">
        <v>4157</v>
      </c>
      <c r="E420" s="23">
        <v>42040</v>
      </c>
      <c r="F420" s="106">
        <v>4157</v>
      </c>
      <c r="G420" s="31">
        <f t="shared" si="6"/>
        <v>0</v>
      </c>
      <c r="H420" s="19" t="s">
        <v>19</v>
      </c>
      <c r="I420" s="3"/>
      <c r="J420" s="42"/>
      <c r="K420" s="3"/>
      <c r="M420" s="3"/>
      <c r="N420" s="3"/>
      <c r="O420" s="3"/>
      <c r="P420" s="3"/>
      <c r="Q420" s="3"/>
      <c r="R420" s="3"/>
      <c r="S420" s="3"/>
      <c r="T420" s="3"/>
      <c r="U420" s="3"/>
      <c r="V420" s="3"/>
    </row>
    <row r="421" spans="1:22" x14ac:dyDescent="0.25">
      <c r="A421" s="20">
        <v>42040</v>
      </c>
      <c r="B421" s="21">
        <v>11118</v>
      </c>
      <c r="C421" s="14" t="s">
        <v>125</v>
      </c>
      <c r="D421" s="105">
        <v>26119.5</v>
      </c>
      <c r="E421" s="29" t="s">
        <v>567</v>
      </c>
      <c r="F421" s="106">
        <f>1900+20500+3719.5</f>
        <v>26119.5</v>
      </c>
      <c r="G421" s="31">
        <f t="shared" si="6"/>
        <v>0</v>
      </c>
      <c r="H421" s="19" t="s">
        <v>94</v>
      </c>
      <c r="I421" s="3"/>
      <c r="J421" s="42"/>
      <c r="K421" s="3"/>
      <c r="M421" s="3"/>
      <c r="N421" s="3"/>
      <c r="O421" s="3"/>
      <c r="P421" s="3"/>
      <c r="Q421" s="3"/>
      <c r="R421" s="3"/>
      <c r="S421" s="3"/>
      <c r="T421" s="3"/>
      <c r="U421" s="3"/>
      <c r="V421" s="3"/>
    </row>
    <row r="422" spans="1:22" x14ac:dyDescent="0.25">
      <c r="A422" s="20">
        <v>42040</v>
      </c>
      <c r="B422" s="21">
        <v>11119</v>
      </c>
      <c r="C422" s="14" t="s">
        <v>464</v>
      </c>
      <c r="D422" s="105">
        <v>2746</v>
      </c>
      <c r="E422" s="23">
        <v>42040</v>
      </c>
      <c r="F422" s="106">
        <v>2746</v>
      </c>
      <c r="G422" s="31">
        <f t="shared" si="6"/>
        <v>0</v>
      </c>
      <c r="H422" s="19" t="s">
        <v>9</v>
      </c>
      <c r="I422" s="3"/>
      <c r="J422" s="42"/>
      <c r="K422" s="3"/>
      <c r="M422" s="3"/>
      <c r="N422" s="3"/>
      <c r="O422" s="3"/>
      <c r="P422" s="3"/>
      <c r="Q422" s="3"/>
      <c r="R422" s="3"/>
      <c r="S422" s="3"/>
      <c r="T422" s="3"/>
      <c r="U422" s="3"/>
      <c r="V422" s="3"/>
    </row>
    <row r="423" spans="1:22" x14ac:dyDescent="0.25">
      <c r="A423" s="20">
        <v>42040</v>
      </c>
      <c r="B423" s="21">
        <v>11120</v>
      </c>
      <c r="C423" s="14" t="s">
        <v>192</v>
      </c>
      <c r="D423" s="105">
        <v>1504.8</v>
      </c>
      <c r="E423" s="23">
        <v>42055</v>
      </c>
      <c r="F423" s="106">
        <v>1504.8</v>
      </c>
      <c r="G423" s="31">
        <f t="shared" si="6"/>
        <v>0</v>
      </c>
      <c r="H423" s="19" t="s">
        <v>9</v>
      </c>
      <c r="I423" s="3"/>
      <c r="J423" s="42"/>
      <c r="K423" s="3"/>
      <c r="M423" s="3"/>
      <c r="N423" s="3"/>
      <c r="O423" s="3"/>
      <c r="P423" s="3"/>
      <c r="Q423" s="3"/>
      <c r="R423" s="3"/>
      <c r="S423" s="3"/>
      <c r="T423" s="3"/>
      <c r="U423" s="3"/>
      <c r="V423" s="3"/>
    </row>
    <row r="424" spans="1:22" x14ac:dyDescent="0.25">
      <c r="A424" s="20">
        <v>42040</v>
      </c>
      <c r="B424" s="21">
        <v>11121</v>
      </c>
      <c r="C424" s="14" t="s">
        <v>192</v>
      </c>
      <c r="D424" s="105">
        <v>374</v>
      </c>
      <c r="E424" s="23">
        <v>42055</v>
      </c>
      <c r="F424" s="106">
        <v>374</v>
      </c>
      <c r="G424" s="31">
        <f t="shared" si="6"/>
        <v>0</v>
      </c>
      <c r="H424" s="19" t="s">
        <v>9</v>
      </c>
      <c r="I424" s="3"/>
      <c r="J424" s="42"/>
      <c r="K424" s="3"/>
      <c r="M424" s="3"/>
      <c r="N424" s="3"/>
      <c r="O424" s="3"/>
      <c r="P424" s="3"/>
      <c r="Q424" s="3"/>
      <c r="R424" s="3"/>
      <c r="S424" s="3"/>
      <c r="T424" s="3"/>
      <c r="U424" s="3"/>
      <c r="V424" s="3"/>
    </row>
    <row r="425" spans="1:22" x14ac:dyDescent="0.25">
      <c r="A425" s="20">
        <v>42040</v>
      </c>
      <c r="B425" s="21">
        <v>11122</v>
      </c>
      <c r="C425" s="14" t="s">
        <v>97</v>
      </c>
      <c r="D425" s="105">
        <v>4114.6000000000004</v>
      </c>
      <c r="E425" s="23">
        <v>42040</v>
      </c>
      <c r="F425" s="106">
        <v>4114.6000000000004</v>
      </c>
      <c r="G425" s="31">
        <f t="shared" si="6"/>
        <v>0</v>
      </c>
      <c r="H425" s="19" t="s">
        <v>9</v>
      </c>
      <c r="I425" s="3"/>
      <c r="J425" s="42"/>
      <c r="K425" s="3"/>
      <c r="M425" s="3"/>
      <c r="N425" s="3"/>
      <c r="O425" s="3"/>
      <c r="P425" s="3"/>
      <c r="Q425" s="3"/>
      <c r="R425" s="3"/>
      <c r="S425" s="3"/>
      <c r="T425" s="3"/>
      <c r="U425" s="3"/>
      <c r="V425" s="3"/>
    </row>
    <row r="426" spans="1:22" x14ac:dyDescent="0.25">
      <c r="A426" s="20">
        <v>42040</v>
      </c>
      <c r="B426" s="21">
        <v>11123</v>
      </c>
      <c r="C426" s="14" t="s">
        <v>38</v>
      </c>
      <c r="D426" s="105">
        <v>39234</v>
      </c>
      <c r="E426" s="29" t="s">
        <v>568</v>
      </c>
      <c r="F426" s="106">
        <f>1006+38228</f>
        <v>39234</v>
      </c>
      <c r="G426" s="31">
        <f t="shared" si="6"/>
        <v>0</v>
      </c>
      <c r="H426" s="19" t="s">
        <v>149</v>
      </c>
      <c r="I426" s="3"/>
      <c r="J426" s="42"/>
      <c r="K426" s="3"/>
      <c r="M426" s="3"/>
      <c r="N426" s="3"/>
      <c r="O426" s="3"/>
      <c r="P426" s="3"/>
      <c r="Q426" s="3"/>
      <c r="R426" s="3"/>
      <c r="S426" s="3"/>
      <c r="T426" s="3"/>
      <c r="U426" s="3"/>
      <c r="V426" s="3"/>
    </row>
    <row r="427" spans="1:22" x14ac:dyDescent="0.25">
      <c r="A427" s="20">
        <v>42040</v>
      </c>
      <c r="B427" s="21">
        <v>11124</v>
      </c>
      <c r="C427" s="14" t="s">
        <v>135</v>
      </c>
      <c r="D427" s="105">
        <v>7411</v>
      </c>
      <c r="E427" s="23">
        <v>42040</v>
      </c>
      <c r="F427" s="106">
        <v>7411</v>
      </c>
      <c r="G427" s="31">
        <f t="shared" si="6"/>
        <v>0</v>
      </c>
      <c r="H427" s="19" t="s">
        <v>9</v>
      </c>
      <c r="I427" s="3"/>
      <c r="J427" s="42"/>
      <c r="K427" s="3"/>
      <c r="M427" s="3"/>
      <c r="N427" s="3"/>
      <c r="O427" s="3"/>
      <c r="P427" s="3"/>
      <c r="Q427" s="3"/>
      <c r="R427" s="3"/>
      <c r="S427" s="3"/>
      <c r="T427" s="3"/>
      <c r="U427" s="3"/>
      <c r="V427" s="3"/>
    </row>
    <row r="428" spans="1:22" x14ac:dyDescent="0.25">
      <c r="A428" s="20">
        <v>42040</v>
      </c>
      <c r="B428" s="21">
        <v>11125</v>
      </c>
      <c r="C428" s="14" t="s">
        <v>97</v>
      </c>
      <c r="D428" s="105">
        <v>5821.8</v>
      </c>
      <c r="E428" s="23">
        <v>42040</v>
      </c>
      <c r="F428" s="106">
        <v>5821.8</v>
      </c>
      <c r="G428" s="31">
        <f t="shared" si="6"/>
        <v>0</v>
      </c>
      <c r="H428" s="19" t="s">
        <v>9</v>
      </c>
      <c r="I428" s="3"/>
      <c r="J428" s="42"/>
      <c r="K428" s="3"/>
      <c r="M428" s="3"/>
      <c r="N428" s="3"/>
      <c r="O428" s="3"/>
      <c r="P428" s="3"/>
      <c r="Q428" s="3"/>
      <c r="R428" s="3"/>
      <c r="S428" s="3"/>
      <c r="T428" s="3"/>
      <c r="U428" s="3"/>
      <c r="V428" s="3"/>
    </row>
    <row r="429" spans="1:22" x14ac:dyDescent="0.25">
      <c r="A429" s="20">
        <v>42040</v>
      </c>
      <c r="B429" s="21">
        <v>11126</v>
      </c>
      <c r="C429" s="14" t="s">
        <v>125</v>
      </c>
      <c r="D429" s="105">
        <v>11056.5</v>
      </c>
      <c r="E429" s="23">
        <v>42040</v>
      </c>
      <c r="F429" s="106">
        <v>11056.5</v>
      </c>
      <c r="G429" s="31">
        <f t="shared" si="6"/>
        <v>0</v>
      </c>
      <c r="H429" s="19" t="s">
        <v>9</v>
      </c>
      <c r="I429" s="3"/>
      <c r="J429" s="42"/>
      <c r="K429" s="3"/>
      <c r="M429" s="3"/>
      <c r="N429" s="3"/>
      <c r="O429" s="3"/>
      <c r="P429" s="3"/>
      <c r="Q429" s="3"/>
      <c r="R429" s="3"/>
      <c r="S429" s="3"/>
      <c r="T429" s="3"/>
      <c r="U429" s="3"/>
      <c r="V429" s="3"/>
    </row>
    <row r="430" spans="1:22" x14ac:dyDescent="0.25">
      <c r="A430" s="20">
        <v>42040</v>
      </c>
      <c r="B430" s="21">
        <v>11127</v>
      </c>
      <c r="C430" s="14" t="s">
        <v>225</v>
      </c>
      <c r="D430" s="105">
        <v>3335.2</v>
      </c>
      <c r="E430" s="23">
        <v>42040</v>
      </c>
      <c r="F430" s="106">
        <v>3335.2</v>
      </c>
      <c r="G430" s="31">
        <f t="shared" si="6"/>
        <v>0</v>
      </c>
      <c r="H430" s="19" t="s">
        <v>9</v>
      </c>
      <c r="I430" s="3"/>
      <c r="J430" s="42"/>
      <c r="K430" s="3"/>
      <c r="M430" s="3"/>
      <c r="N430" s="3"/>
      <c r="O430" s="3"/>
      <c r="P430" s="3"/>
      <c r="Q430" s="3"/>
      <c r="R430" s="3"/>
      <c r="S430" s="3"/>
      <c r="T430" s="3"/>
      <c r="U430" s="3"/>
      <c r="V430" s="3"/>
    </row>
    <row r="431" spans="1:22" x14ac:dyDescent="0.25">
      <c r="A431" s="20">
        <v>42040</v>
      </c>
      <c r="B431" s="21">
        <v>11128</v>
      </c>
      <c r="C431" s="14" t="s">
        <v>18</v>
      </c>
      <c r="D431" s="105">
        <v>50984.1</v>
      </c>
      <c r="E431" s="23">
        <v>42042</v>
      </c>
      <c r="F431" s="106">
        <v>50984.1</v>
      </c>
      <c r="G431" s="48">
        <f t="shared" si="6"/>
        <v>0</v>
      </c>
      <c r="H431" s="19" t="s">
        <v>9</v>
      </c>
      <c r="I431" s="3"/>
      <c r="J431" s="42"/>
      <c r="K431" s="3"/>
      <c r="M431" s="3"/>
      <c r="N431" s="3"/>
      <c r="O431" s="3"/>
      <c r="P431" s="3"/>
      <c r="Q431" s="3"/>
      <c r="R431" s="3"/>
      <c r="S431" s="3"/>
      <c r="T431" s="3"/>
      <c r="U431" s="3"/>
      <c r="V431" s="3"/>
    </row>
    <row r="432" spans="1:22" x14ac:dyDescent="0.25">
      <c r="A432" s="20">
        <v>42040</v>
      </c>
      <c r="B432" s="21">
        <v>11129</v>
      </c>
      <c r="C432" s="14" t="s">
        <v>30</v>
      </c>
      <c r="D432" s="105">
        <v>3977.6</v>
      </c>
      <c r="E432" s="23">
        <v>42040</v>
      </c>
      <c r="F432" s="106">
        <v>3977.6</v>
      </c>
      <c r="G432" s="31">
        <f t="shared" si="6"/>
        <v>0</v>
      </c>
      <c r="H432" s="19" t="s">
        <v>9</v>
      </c>
      <c r="I432" s="3"/>
      <c r="J432" s="42"/>
      <c r="K432" s="3"/>
      <c r="M432" s="3"/>
      <c r="N432" s="3"/>
      <c r="O432" s="3"/>
      <c r="P432" s="3"/>
      <c r="Q432" s="3"/>
      <c r="R432" s="3"/>
      <c r="S432" s="3"/>
      <c r="T432" s="3"/>
      <c r="U432" s="3"/>
      <c r="V432" s="3"/>
    </row>
    <row r="433" spans="1:22" x14ac:dyDescent="0.25">
      <c r="A433" s="20">
        <v>42040</v>
      </c>
      <c r="B433" s="21">
        <v>11130</v>
      </c>
      <c r="C433" s="14" t="s">
        <v>45</v>
      </c>
      <c r="D433" s="105">
        <v>104632.41</v>
      </c>
      <c r="E433" s="23">
        <v>42055</v>
      </c>
      <c r="F433" s="106">
        <v>104632.41</v>
      </c>
      <c r="G433" s="31">
        <f t="shared" si="6"/>
        <v>0</v>
      </c>
      <c r="H433" s="19" t="s">
        <v>183</v>
      </c>
      <c r="I433" s="3"/>
      <c r="J433" s="42"/>
      <c r="K433" s="3"/>
      <c r="M433" s="3"/>
      <c r="N433" s="3"/>
      <c r="O433" s="3"/>
      <c r="P433" s="3"/>
      <c r="Q433" s="3"/>
      <c r="R433" s="3"/>
      <c r="S433" s="3"/>
      <c r="T433" s="3"/>
      <c r="U433" s="3"/>
      <c r="V433" s="3"/>
    </row>
    <row r="434" spans="1:22" x14ac:dyDescent="0.25">
      <c r="A434" s="20">
        <v>42040</v>
      </c>
      <c r="B434" s="21">
        <v>11131</v>
      </c>
      <c r="C434" s="14" t="s">
        <v>34</v>
      </c>
      <c r="D434" s="105">
        <v>3992</v>
      </c>
      <c r="E434" s="23">
        <v>42040</v>
      </c>
      <c r="F434" s="106">
        <v>3992</v>
      </c>
      <c r="G434" s="31">
        <f t="shared" si="6"/>
        <v>0</v>
      </c>
      <c r="H434" s="19" t="s">
        <v>9</v>
      </c>
      <c r="K434" s="3"/>
      <c r="M434" s="3"/>
      <c r="N434" s="3"/>
      <c r="O434" s="3"/>
      <c r="P434" s="3"/>
      <c r="Q434" s="3"/>
      <c r="R434" s="3"/>
      <c r="S434" s="3"/>
      <c r="T434" s="3"/>
      <c r="U434" s="3"/>
      <c r="V434" s="3"/>
    </row>
    <row r="435" spans="1:22" x14ac:dyDescent="0.25">
      <c r="A435" s="20">
        <v>42040</v>
      </c>
      <c r="B435" s="21">
        <v>11132</v>
      </c>
      <c r="C435" s="14" t="s">
        <v>35</v>
      </c>
      <c r="D435" s="105">
        <v>23621.4</v>
      </c>
      <c r="E435" s="23">
        <v>42041</v>
      </c>
      <c r="F435" s="106">
        <v>23621.4</v>
      </c>
      <c r="G435" s="31">
        <f t="shared" si="6"/>
        <v>0</v>
      </c>
      <c r="H435" s="19" t="s">
        <v>36</v>
      </c>
      <c r="J435" s="107"/>
      <c r="K435" s="3"/>
      <c r="M435" s="3"/>
      <c r="N435" s="3"/>
      <c r="O435" s="3"/>
      <c r="P435" s="3"/>
      <c r="Q435" s="3"/>
      <c r="R435" s="3"/>
      <c r="S435" s="3"/>
      <c r="T435" s="3"/>
      <c r="U435" s="3"/>
      <c r="V435" s="3"/>
    </row>
    <row r="436" spans="1:22" x14ac:dyDescent="0.25">
      <c r="A436" s="20">
        <v>42040</v>
      </c>
      <c r="B436" s="21">
        <v>11133</v>
      </c>
      <c r="C436" s="14" t="s">
        <v>53</v>
      </c>
      <c r="D436" s="105">
        <v>1108</v>
      </c>
      <c r="E436" s="23">
        <v>42040</v>
      </c>
      <c r="F436" s="106">
        <v>1108</v>
      </c>
      <c r="G436" s="31">
        <f t="shared" si="6"/>
        <v>0</v>
      </c>
      <c r="H436" s="19" t="s">
        <v>59</v>
      </c>
      <c r="K436" s="3"/>
      <c r="M436" s="3"/>
      <c r="N436" s="3"/>
      <c r="O436" s="3"/>
      <c r="P436" s="3"/>
      <c r="Q436" s="3"/>
      <c r="R436" s="3"/>
      <c r="S436" s="3"/>
      <c r="T436" s="3"/>
      <c r="U436" s="3"/>
      <c r="V436" s="3"/>
    </row>
    <row r="437" spans="1:22" x14ac:dyDescent="0.25">
      <c r="A437" s="20">
        <v>42040</v>
      </c>
      <c r="B437" s="21">
        <v>11134</v>
      </c>
      <c r="C437" s="14" t="s">
        <v>247</v>
      </c>
      <c r="D437" s="105">
        <v>1963.2</v>
      </c>
      <c r="E437" s="23">
        <v>42040</v>
      </c>
      <c r="F437" s="106">
        <v>1963.2</v>
      </c>
      <c r="G437" s="31">
        <f t="shared" si="6"/>
        <v>0</v>
      </c>
      <c r="H437" s="19" t="s">
        <v>27</v>
      </c>
      <c r="K437" s="3"/>
      <c r="M437" s="3"/>
      <c r="N437" s="3"/>
      <c r="O437" s="3"/>
      <c r="P437" s="3"/>
      <c r="Q437" s="3"/>
      <c r="R437" s="3"/>
      <c r="S437" s="3"/>
      <c r="T437" s="3"/>
      <c r="U437" s="3"/>
      <c r="V437" s="3"/>
    </row>
    <row r="438" spans="1:22" x14ac:dyDescent="0.25">
      <c r="A438" s="20">
        <v>42040</v>
      </c>
      <c r="B438" s="21">
        <v>11135</v>
      </c>
      <c r="C438" s="14" t="s">
        <v>81</v>
      </c>
      <c r="D438" s="105">
        <v>1883.7</v>
      </c>
      <c r="E438" s="23">
        <v>42040</v>
      </c>
      <c r="F438" s="106">
        <v>1883.7</v>
      </c>
      <c r="G438" s="31">
        <f t="shared" si="6"/>
        <v>0</v>
      </c>
      <c r="H438" s="19" t="s">
        <v>59</v>
      </c>
      <c r="K438" s="3"/>
      <c r="M438" s="3"/>
      <c r="N438" s="3"/>
      <c r="O438" s="3"/>
      <c r="P438" s="3"/>
      <c r="Q438" s="3"/>
      <c r="R438" s="3"/>
      <c r="S438" s="3"/>
      <c r="T438" s="3"/>
      <c r="U438" s="3"/>
      <c r="V438" s="3"/>
    </row>
    <row r="439" spans="1:22" x14ac:dyDescent="0.25">
      <c r="A439" s="20">
        <v>42040</v>
      </c>
      <c r="B439" s="21">
        <v>11136</v>
      </c>
      <c r="C439" s="14" t="s">
        <v>454</v>
      </c>
      <c r="D439" s="105">
        <v>4830</v>
      </c>
      <c r="E439" s="23">
        <v>42040</v>
      </c>
      <c r="F439" s="106">
        <v>4830</v>
      </c>
      <c r="G439" s="31">
        <f t="shared" si="6"/>
        <v>0</v>
      </c>
      <c r="H439" s="19" t="s">
        <v>59</v>
      </c>
      <c r="K439" s="3"/>
      <c r="M439" s="3"/>
      <c r="N439" s="3"/>
      <c r="O439" s="3"/>
      <c r="P439" s="3"/>
      <c r="Q439" s="3"/>
      <c r="R439" s="3"/>
      <c r="S439" s="3"/>
      <c r="T439" s="3"/>
      <c r="U439" s="3"/>
      <c r="V439" s="3"/>
    </row>
    <row r="440" spans="1:22" x14ac:dyDescent="0.25">
      <c r="A440" s="20">
        <v>42040</v>
      </c>
      <c r="B440" s="21">
        <v>11137</v>
      </c>
      <c r="C440" s="14" t="s">
        <v>148</v>
      </c>
      <c r="D440" s="105">
        <v>336</v>
      </c>
      <c r="E440" s="23">
        <v>42040</v>
      </c>
      <c r="F440" s="106">
        <v>336</v>
      </c>
      <c r="G440" s="31">
        <f t="shared" si="6"/>
        <v>0</v>
      </c>
      <c r="H440" s="19" t="s">
        <v>59</v>
      </c>
      <c r="K440" s="3"/>
      <c r="M440" s="3"/>
      <c r="N440" s="3"/>
      <c r="O440" s="3"/>
      <c r="P440" s="3"/>
      <c r="Q440" s="3"/>
      <c r="R440" s="3"/>
      <c r="S440" s="3"/>
      <c r="T440" s="3"/>
      <c r="U440" s="3"/>
      <c r="V440" s="3"/>
    </row>
    <row r="441" spans="1:22" x14ac:dyDescent="0.25">
      <c r="A441" s="20">
        <v>42040</v>
      </c>
      <c r="B441" s="21">
        <v>11138</v>
      </c>
      <c r="C441" s="14" t="s">
        <v>116</v>
      </c>
      <c r="D441" s="105">
        <v>3812.6</v>
      </c>
      <c r="E441" s="23">
        <v>42040</v>
      </c>
      <c r="F441" s="106">
        <v>3812.6</v>
      </c>
      <c r="G441" s="31">
        <f t="shared" si="6"/>
        <v>0</v>
      </c>
      <c r="H441" s="19" t="s">
        <v>59</v>
      </c>
      <c r="K441" s="3"/>
      <c r="M441" s="3"/>
      <c r="N441" s="3"/>
      <c r="O441" s="3"/>
      <c r="P441" s="3"/>
      <c r="Q441" s="3"/>
      <c r="R441" s="3"/>
      <c r="S441" s="3"/>
      <c r="T441" s="3"/>
      <c r="U441" s="3"/>
      <c r="V441" s="3"/>
    </row>
    <row r="442" spans="1:22" x14ac:dyDescent="0.25">
      <c r="A442" s="20">
        <v>42040</v>
      </c>
      <c r="B442" s="21">
        <v>11139</v>
      </c>
      <c r="C442" s="14" t="s">
        <v>55</v>
      </c>
      <c r="D442" s="105">
        <v>23276.12</v>
      </c>
      <c r="E442" s="23">
        <v>42041</v>
      </c>
      <c r="F442" s="106">
        <v>23276.12</v>
      </c>
      <c r="G442" s="31">
        <f t="shared" si="6"/>
        <v>0</v>
      </c>
      <c r="H442" s="19" t="s">
        <v>36</v>
      </c>
      <c r="K442" s="3"/>
      <c r="M442" s="3"/>
      <c r="N442" s="3"/>
      <c r="O442" s="3"/>
      <c r="P442" s="3"/>
      <c r="Q442" s="3"/>
      <c r="R442" s="3"/>
      <c r="S442" s="3"/>
      <c r="T442" s="3"/>
      <c r="U442" s="3"/>
      <c r="V442" s="3"/>
    </row>
    <row r="443" spans="1:22" x14ac:dyDescent="0.25">
      <c r="A443" s="20">
        <v>42040</v>
      </c>
      <c r="B443" s="21">
        <v>11140</v>
      </c>
      <c r="C443" s="14" t="s">
        <v>247</v>
      </c>
      <c r="D443" s="105">
        <v>8299.2000000000007</v>
      </c>
      <c r="E443" s="23">
        <v>42040</v>
      </c>
      <c r="F443" s="106">
        <v>8299.2000000000007</v>
      </c>
      <c r="G443" s="31">
        <f t="shared" si="6"/>
        <v>0</v>
      </c>
      <c r="H443" s="19" t="s">
        <v>62</v>
      </c>
      <c r="K443" s="3"/>
      <c r="M443" s="3"/>
      <c r="N443" s="3"/>
      <c r="O443" s="3"/>
      <c r="P443" s="3"/>
      <c r="Q443" s="3"/>
      <c r="R443" s="3"/>
      <c r="S443" s="3"/>
      <c r="T443" s="3"/>
      <c r="U443" s="3"/>
      <c r="V443" s="3"/>
    </row>
    <row r="444" spans="1:22" x14ac:dyDescent="0.25">
      <c r="A444" s="20">
        <v>42040</v>
      </c>
      <c r="B444" s="21">
        <v>11141</v>
      </c>
      <c r="C444" s="14" t="s">
        <v>155</v>
      </c>
      <c r="D444" s="105">
        <v>1450</v>
      </c>
      <c r="E444" s="23">
        <v>42040</v>
      </c>
      <c r="F444" s="106">
        <v>1450</v>
      </c>
      <c r="G444" s="31">
        <f t="shared" si="6"/>
        <v>0</v>
      </c>
      <c r="H444" s="19" t="s">
        <v>9</v>
      </c>
      <c r="K444" s="3"/>
      <c r="M444" s="3"/>
      <c r="N444" s="3"/>
      <c r="O444" s="3"/>
      <c r="P444" s="3"/>
      <c r="Q444" s="3"/>
      <c r="R444" s="3"/>
      <c r="S444" s="3"/>
      <c r="T444" s="3"/>
      <c r="U444" s="3"/>
      <c r="V444" s="3"/>
    </row>
    <row r="445" spans="1:22" x14ac:dyDescent="0.25">
      <c r="A445" s="20">
        <v>42040</v>
      </c>
      <c r="B445" s="21">
        <v>11142</v>
      </c>
      <c r="C445" s="14" t="s">
        <v>57</v>
      </c>
      <c r="D445" s="105">
        <v>1200</v>
      </c>
      <c r="E445" s="23">
        <v>42040</v>
      </c>
      <c r="F445" s="106">
        <v>1200</v>
      </c>
      <c r="G445" s="31">
        <f t="shared" si="6"/>
        <v>0</v>
      </c>
      <c r="H445" s="19" t="s">
        <v>59</v>
      </c>
      <c r="K445" s="3"/>
      <c r="M445" s="3"/>
      <c r="N445" s="3"/>
      <c r="O445" s="3"/>
      <c r="P445" s="3"/>
      <c r="Q445" s="3"/>
      <c r="R445" s="3"/>
      <c r="S445" s="3"/>
      <c r="T445" s="3"/>
      <c r="U445" s="3"/>
      <c r="V445" s="3"/>
    </row>
    <row r="446" spans="1:22" x14ac:dyDescent="0.25">
      <c r="A446" s="20">
        <v>42040</v>
      </c>
      <c r="B446" s="21">
        <v>11143</v>
      </c>
      <c r="C446" s="14" t="s">
        <v>58</v>
      </c>
      <c r="D446" s="105">
        <v>400</v>
      </c>
      <c r="E446" s="23">
        <v>42040</v>
      </c>
      <c r="F446" s="106">
        <v>400</v>
      </c>
      <c r="G446" s="31">
        <f t="shared" si="6"/>
        <v>0</v>
      </c>
      <c r="H446" s="19" t="s">
        <v>59</v>
      </c>
      <c r="K446" s="3"/>
      <c r="M446" s="3"/>
      <c r="N446" s="3"/>
      <c r="O446" s="3"/>
      <c r="P446" s="3"/>
      <c r="Q446" s="3"/>
      <c r="R446" s="3"/>
      <c r="S446" s="3"/>
      <c r="T446" s="3"/>
      <c r="U446" s="3"/>
      <c r="V446" s="3"/>
    </row>
    <row r="447" spans="1:22" x14ac:dyDescent="0.25">
      <c r="A447" s="20">
        <v>42040</v>
      </c>
      <c r="B447" s="21">
        <v>11144</v>
      </c>
      <c r="C447" s="14" t="s">
        <v>214</v>
      </c>
      <c r="D447" s="105">
        <v>600</v>
      </c>
      <c r="E447" s="23">
        <v>42040</v>
      </c>
      <c r="F447" s="106">
        <v>600</v>
      </c>
      <c r="G447" s="31">
        <f t="shared" si="6"/>
        <v>0</v>
      </c>
      <c r="H447" s="19" t="s">
        <v>59</v>
      </c>
      <c r="K447" s="3"/>
      <c r="M447" s="3"/>
      <c r="N447" s="3"/>
      <c r="O447" s="3"/>
      <c r="P447" s="3"/>
      <c r="Q447" s="3"/>
      <c r="R447" s="3"/>
      <c r="S447" s="3"/>
      <c r="T447" s="3"/>
      <c r="U447" s="3"/>
      <c r="V447" s="3"/>
    </row>
    <row r="448" spans="1:22" ht="15.75" x14ac:dyDescent="0.25">
      <c r="A448" s="20">
        <v>42040</v>
      </c>
      <c r="B448" s="21">
        <v>11145</v>
      </c>
      <c r="C448" s="115">
        <v>105</v>
      </c>
      <c r="D448" s="105">
        <v>400</v>
      </c>
      <c r="E448" s="23">
        <v>42040</v>
      </c>
      <c r="F448" s="106">
        <v>400</v>
      </c>
      <c r="G448" s="31">
        <f t="shared" si="6"/>
        <v>0</v>
      </c>
      <c r="H448" s="19" t="s">
        <v>59</v>
      </c>
      <c r="K448" s="3"/>
      <c r="M448" s="3"/>
      <c r="N448" s="3"/>
      <c r="O448" s="3"/>
      <c r="P448" s="3"/>
      <c r="Q448" s="3"/>
      <c r="R448" s="3"/>
      <c r="S448" s="3"/>
      <c r="T448" s="3"/>
      <c r="U448" s="3"/>
      <c r="V448" s="3"/>
    </row>
    <row r="449" spans="1:22" x14ac:dyDescent="0.25">
      <c r="A449" s="20">
        <v>42040</v>
      </c>
      <c r="B449" s="21">
        <v>11146</v>
      </c>
      <c r="C449" s="14" t="s">
        <v>252</v>
      </c>
      <c r="D449" s="105">
        <v>25833.599999999999</v>
      </c>
      <c r="E449" s="23">
        <v>42041</v>
      </c>
      <c r="F449" s="106">
        <v>25833.599999999999</v>
      </c>
      <c r="G449" s="31">
        <f t="shared" si="6"/>
        <v>0</v>
      </c>
      <c r="H449" s="19" t="s">
        <v>36</v>
      </c>
      <c r="K449" s="3"/>
      <c r="M449" s="3"/>
      <c r="N449" s="3"/>
      <c r="O449" s="3"/>
      <c r="P449" s="3"/>
      <c r="Q449" s="3"/>
      <c r="R449" s="3"/>
      <c r="S449" s="3"/>
      <c r="T449" s="3"/>
      <c r="U449" s="3"/>
      <c r="V449" s="3"/>
    </row>
    <row r="450" spans="1:22" x14ac:dyDescent="0.25">
      <c r="A450" s="20">
        <v>42040</v>
      </c>
      <c r="B450" s="21">
        <v>11147</v>
      </c>
      <c r="C450" s="14" t="s">
        <v>60</v>
      </c>
      <c r="D450" s="105">
        <v>8944</v>
      </c>
      <c r="E450" s="23">
        <v>42041</v>
      </c>
      <c r="F450" s="106">
        <v>8944</v>
      </c>
      <c r="G450" s="31">
        <f t="shared" si="6"/>
        <v>0</v>
      </c>
      <c r="H450" s="19" t="s">
        <v>36</v>
      </c>
      <c r="K450" s="3"/>
      <c r="M450" s="3"/>
      <c r="N450" s="3"/>
      <c r="O450" s="3"/>
      <c r="P450" s="3"/>
      <c r="Q450" s="3"/>
      <c r="R450" s="3"/>
      <c r="S450" s="3"/>
      <c r="T450" s="3"/>
      <c r="U450" s="3"/>
      <c r="V450" s="3"/>
    </row>
    <row r="451" spans="1:22" x14ac:dyDescent="0.25">
      <c r="A451" s="20">
        <v>42040</v>
      </c>
      <c r="B451" s="21">
        <v>11148</v>
      </c>
      <c r="C451" s="14" t="s">
        <v>229</v>
      </c>
      <c r="D451" s="105">
        <v>4483.08</v>
      </c>
      <c r="E451" s="23">
        <v>42040</v>
      </c>
      <c r="F451" s="106">
        <v>4483.08</v>
      </c>
      <c r="G451" s="31">
        <f t="shared" ref="G451:G514" si="7">D451-F451</f>
        <v>0</v>
      </c>
      <c r="H451" s="19" t="s">
        <v>9</v>
      </c>
      <c r="K451" s="3"/>
      <c r="M451" s="3"/>
      <c r="N451" s="3"/>
      <c r="O451" s="3"/>
      <c r="P451" s="3"/>
      <c r="Q451" s="3"/>
      <c r="R451" s="3"/>
      <c r="S451" s="3"/>
      <c r="T451" s="3"/>
      <c r="U451" s="3"/>
      <c r="V451" s="3"/>
    </row>
    <row r="452" spans="1:22" x14ac:dyDescent="0.25">
      <c r="A452" s="20">
        <v>42040</v>
      </c>
      <c r="B452" s="21">
        <v>11149</v>
      </c>
      <c r="C452" s="14" t="s">
        <v>137</v>
      </c>
      <c r="D452" s="105">
        <v>386.4</v>
      </c>
      <c r="E452" s="23">
        <v>42040</v>
      </c>
      <c r="F452" s="106">
        <v>386.4</v>
      </c>
      <c r="G452" s="31">
        <f t="shared" si="7"/>
        <v>0</v>
      </c>
      <c r="H452" s="19" t="s">
        <v>9</v>
      </c>
      <c r="K452" s="3"/>
      <c r="M452" s="3"/>
      <c r="N452" s="3"/>
      <c r="O452" s="3"/>
      <c r="P452" s="3"/>
      <c r="Q452" s="3"/>
      <c r="R452" s="3"/>
      <c r="S452" s="3"/>
      <c r="T452" s="3"/>
      <c r="U452" s="3"/>
      <c r="V452" s="3"/>
    </row>
    <row r="453" spans="1:22" x14ac:dyDescent="0.25">
      <c r="A453" s="20">
        <v>42040</v>
      </c>
      <c r="B453" s="21">
        <v>11150</v>
      </c>
      <c r="C453" s="14" t="s">
        <v>82</v>
      </c>
      <c r="D453" s="105">
        <v>7437.4</v>
      </c>
      <c r="E453" s="23">
        <v>42040</v>
      </c>
      <c r="F453" s="106">
        <v>7437.4</v>
      </c>
      <c r="G453" s="31">
        <f t="shared" si="7"/>
        <v>0</v>
      </c>
      <c r="H453" s="19" t="s">
        <v>59</v>
      </c>
      <c r="K453" s="3"/>
      <c r="M453" s="3"/>
      <c r="N453" s="3"/>
      <c r="O453" s="3"/>
      <c r="P453" s="3"/>
      <c r="Q453" s="3"/>
      <c r="R453" s="3"/>
      <c r="S453" s="3"/>
      <c r="T453" s="3"/>
      <c r="U453" s="3"/>
      <c r="V453" s="3"/>
    </row>
    <row r="454" spans="1:22" x14ac:dyDescent="0.25">
      <c r="A454" s="20">
        <v>42040</v>
      </c>
      <c r="B454" s="21">
        <v>11151</v>
      </c>
      <c r="C454" s="14" t="s">
        <v>56</v>
      </c>
      <c r="D454" s="105">
        <v>17570</v>
      </c>
      <c r="E454" s="23">
        <v>42041</v>
      </c>
      <c r="F454" s="106">
        <v>17570</v>
      </c>
      <c r="G454" s="31">
        <f t="shared" si="7"/>
        <v>0</v>
      </c>
      <c r="H454" s="19" t="s">
        <v>36</v>
      </c>
      <c r="K454" s="3"/>
      <c r="M454" s="3"/>
      <c r="N454" s="3"/>
      <c r="O454" s="3"/>
      <c r="P454" s="3"/>
      <c r="Q454" s="3"/>
      <c r="R454" s="3"/>
      <c r="S454" s="3"/>
      <c r="T454" s="3"/>
      <c r="U454" s="3"/>
      <c r="V454" s="3"/>
    </row>
    <row r="455" spans="1:22" x14ac:dyDescent="0.25">
      <c r="A455" s="20">
        <v>42040</v>
      </c>
      <c r="B455" s="21">
        <v>11152</v>
      </c>
      <c r="C455" s="14" t="s">
        <v>292</v>
      </c>
      <c r="D455" s="105">
        <v>2657.6</v>
      </c>
      <c r="E455" s="23">
        <v>42040</v>
      </c>
      <c r="F455" s="106">
        <v>2657.6</v>
      </c>
      <c r="G455" s="31">
        <f t="shared" si="7"/>
        <v>0</v>
      </c>
      <c r="H455" s="39" t="s">
        <v>59</v>
      </c>
      <c r="K455" s="3"/>
      <c r="M455" s="3"/>
      <c r="N455" s="3"/>
      <c r="O455" s="3"/>
      <c r="P455" s="3"/>
      <c r="Q455" s="3"/>
      <c r="R455" s="3"/>
      <c r="S455" s="3"/>
      <c r="T455" s="3"/>
      <c r="U455" s="3"/>
      <c r="V455" s="3"/>
    </row>
    <row r="456" spans="1:22" x14ac:dyDescent="0.25">
      <c r="A456" s="20">
        <v>42040</v>
      </c>
      <c r="B456" s="21">
        <v>11153</v>
      </c>
      <c r="C456" s="14" t="s">
        <v>64</v>
      </c>
      <c r="D456" s="105">
        <v>2121</v>
      </c>
      <c r="E456" s="23">
        <v>42040</v>
      </c>
      <c r="F456" s="106">
        <v>2121</v>
      </c>
      <c r="G456" s="31">
        <f t="shared" si="7"/>
        <v>0</v>
      </c>
      <c r="H456" s="39" t="s">
        <v>9</v>
      </c>
      <c r="K456" s="3"/>
      <c r="M456" s="3"/>
      <c r="N456" s="3"/>
      <c r="O456" s="3"/>
      <c r="P456" s="3"/>
      <c r="Q456" s="3"/>
      <c r="R456" s="3"/>
      <c r="S456" s="3"/>
      <c r="T456" s="3"/>
      <c r="U456" s="3"/>
      <c r="V456" s="3"/>
    </row>
    <row r="457" spans="1:22" x14ac:dyDescent="0.25">
      <c r="A457" s="20">
        <v>42040</v>
      </c>
      <c r="B457" s="21">
        <v>11154</v>
      </c>
      <c r="C457" s="14" t="s">
        <v>126</v>
      </c>
      <c r="D457" s="105">
        <v>1512</v>
      </c>
      <c r="E457" s="23">
        <v>42040</v>
      </c>
      <c r="F457" s="106">
        <v>1512</v>
      </c>
      <c r="G457" s="31">
        <f t="shared" si="7"/>
        <v>0</v>
      </c>
      <c r="H457" s="39" t="s">
        <v>59</v>
      </c>
      <c r="K457" s="3"/>
      <c r="M457" s="3"/>
      <c r="N457" s="3"/>
      <c r="O457" s="3"/>
      <c r="P457" s="3"/>
      <c r="Q457" s="3"/>
      <c r="R457" s="3"/>
      <c r="S457" s="3"/>
      <c r="T457" s="3"/>
      <c r="U457" s="3"/>
      <c r="V457" s="3"/>
    </row>
    <row r="458" spans="1:22" x14ac:dyDescent="0.25">
      <c r="A458" s="20">
        <v>42040</v>
      </c>
      <c r="B458" s="21">
        <v>11155</v>
      </c>
      <c r="C458" s="14" t="s">
        <v>168</v>
      </c>
      <c r="D458" s="105">
        <v>1168.4000000000001</v>
      </c>
      <c r="E458" s="23">
        <v>42040</v>
      </c>
      <c r="F458" s="106">
        <v>1168.4000000000001</v>
      </c>
      <c r="G458" s="31">
        <f t="shared" si="7"/>
        <v>0</v>
      </c>
      <c r="H458" s="39" t="s">
        <v>59</v>
      </c>
      <c r="K458" s="3"/>
      <c r="M458" s="3"/>
      <c r="N458" s="3"/>
      <c r="O458" s="3"/>
      <c r="P458" s="3"/>
      <c r="Q458" s="3"/>
      <c r="R458" s="3"/>
      <c r="S458" s="3"/>
      <c r="T458" s="3"/>
      <c r="U458" s="3"/>
      <c r="V458" s="3"/>
    </row>
    <row r="459" spans="1:22" x14ac:dyDescent="0.25">
      <c r="A459" s="20">
        <v>42040</v>
      </c>
      <c r="B459" s="21">
        <v>11156</v>
      </c>
      <c r="C459" s="14" t="s">
        <v>247</v>
      </c>
      <c r="D459" s="105">
        <v>1822.5</v>
      </c>
      <c r="E459" s="23">
        <v>42040</v>
      </c>
      <c r="F459" s="106">
        <v>1822.5</v>
      </c>
      <c r="G459" s="31">
        <f t="shared" si="7"/>
        <v>0</v>
      </c>
      <c r="H459" s="39" t="s">
        <v>62</v>
      </c>
      <c r="K459" s="3"/>
      <c r="M459" s="3"/>
      <c r="N459" s="3"/>
      <c r="O459" s="3"/>
      <c r="P459" s="3"/>
      <c r="Q459" s="3"/>
      <c r="R459" s="3"/>
      <c r="S459" s="3"/>
      <c r="T459" s="3"/>
      <c r="U459" s="3"/>
      <c r="V459" s="3"/>
    </row>
    <row r="460" spans="1:22" x14ac:dyDescent="0.25">
      <c r="A460" s="20">
        <v>42040</v>
      </c>
      <c r="B460" s="21">
        <v>11157</v>
      </c>
      <c r="C460" s="14" t="s">
        <v>160</v>
      </c>
      <c r="D460" s="105">
        <v>1372</v>
      </c>
      <c r="E460" s="23">
        <v>42041</v>
      </c>
      <c r="F460" s="106">
        <v>1372</v>
      </c>
      <c r="G460" s="31">
        <f t="shared" si="7"/>
        <v>0</v>
      </c>
      <c r="H460" s="39" t="s">
        <v>36</v>
      </c>
      <c r="J460" s="107"/>
      <c r="K460" s="3"/>
      <c r="M460" s="3"/>
      <c r="N460" s="3"/>
      <c r="O460" s="3"/>
      <c r="P460" s="3"/>
      <c r="Q460" s="3"/>
      <c r="R460" s="3"/>
      <c r="S460" s="3"/>
      <c r="T460" s="3"/>
      <c r="U460" s="3"/>
      <c r="V460" s="3"/>
    </row>
    <row r="461" spans="1:22" x14ac:dyDescent="0.25">
      <c r="A461" s="20">
        <v>42040</v>
      </c>
      <c r="B461" s="21">
        <v>11158</v>
      </c>
      <c r="C461" s="14" t="s">
        <v>361</v>
      </c>
      <c r="D461" s="105">
        <v>16960.5</v>
      </c>
      <c r="E461" s="29" t="s">
        <v>569</v>
      </c>
      <c r="F461" s="106">
        <f>6960.5+3039.5+6960.5</f>
        <v>16960.5</v>
      </c>
      <c r="G461" s="31">
        <f t="shared" si="7"/>
        <v>0</v>
      </c>
      <c r="H461" s="39" t="s">
        <v>19</v>
      </c>
      <c r="K461" s="3"/>
      <c r="M461" s="3"/>
      <c r="N461" s="3"/>
      <c r="O461" s="3"/>
      <c r="P461" s="3"/>
      <c r="Q461" s="3"/>
      <c r="R461" s="3"/>
      <c r="S461" s="3"/>
      <c r="T461" s="3"/>
      <c r="U461" s="3"/>
      <c r="V461" s="3"/>
    </row>
    <row r="462" spans="1:22" x14ac:dyDescent="0.25">
      <c r="A462" s="20">
        <v>42040</v>
      </c>
      <c r="B462" s="21">
        <v>11159</v>
      </c>
      <c r="C462" s="14" t="s">
        <v>570</v>
      </c>
      <c r="D462" s="105">
        <v>1190.4000000000001</v>
      </c>
      <c r="E462" s="23">
        <v>42040</v>
      </c>
      <c r="F462" s="106">
        <v>1190.4000000000001</v>
      </c>
      <c r="G462" s="31">
        <f t="shared" si="7"/>
        <v>0</v>
      </c>
      <c r="H462" s="39" t="s">
        <v>9</v>
      </c>
      <c r="K462" s="3"/>
      <c r="M462" s="3"/>
      <c r="N462" s="3"/>
      <c r="O462" s="3"/>
      <c r="P462" s="3"/>
      <c r="Q462" s="3"/>
      <c r="R462" s="3"/>
      <c r="S462" s="3"/>
      <c r="T462" s="3"/>
      <c r="U462" s="3"/>
      <c r="V462" s="3"/>
    </row>
    <row r="463" spans="1:22" x14ac:dyDescent="0.25">
      <c r="A463" s="20">
        <v>42040</v>
      </c>
      <c r="B463" s="21">
        <v>11160</v>
      </c>
      <c r="C463" s="14" t="s">
        <v>93</v>
      </c>
      <c r="D463" s="105">
        <v>2088</v>
      </c>
      <c r="E463" s="23">
        <v>42041</v>
      </c>
      <c r="F463" s="106">
        <v>2088</v>
      </c>
      <c r="G463" s="31">
        <f t="shared" si="7"/>
        <v>0</v>
      </c>
      <c r="H463" s="39" t="s">
        <v>19</v>
      </c>
      <c r="K463" s="3"/>
      <c r="M463" s="3"/>
      <c r="N463" s="3"/>
      <c r="O463" s="3"/>
      <c r="P463" s="3"/>
      <c r="Q463" s="3"/>
      <c r="R463" s="3"/>
      <c r="S463" s="3"/>
      <c r="T463" s="3"/>
      <c r="U463" s="3"/>
      <c r="V463" s="3"/>
    </row>
    <row r="464" spans="1:22" x14ac:dyDescent="0.25">
      <c r="A464" s="20">
        <v>42040</v>
      </c>
      <c r="B464" s="21">
        <v>11161</v>
      </c>
      <c r="C464" s="14" t="s">
        <v>143</v>
      </c>
      <c r="D464" s="105">
        <v>20620.400000000001</v>
      </c>
      <c r="E464" s="23">
        <v>42041</v>
      </c>
      <c r="F464" s="106">
        <v>20620.400000000001</v>
      </c>
      <c r="G464" s="31">
        <f t="shared" si="7"/>
        <v>0</v>
      </c>
      <c r="H464" s="39" t="s">
        <v>17</v>
      </c>
      <c r="K464" s="3"/>
      <c r="M464" s="3"/>
      <c r="N464" s="3"/>
      <c r="O464" s="3"/>
      <c r="P464" s="3"/>
      <c r="Q464" s="3"/>
      <c r="R464" s="3"/>
      <c r="S464" s="3"/>
      <c r="T464" s="3"/>
      <c r="U464" s="3"/>
      <c r="V464" s="3"/>
    </row>
    <row r="465" spans="1:22" x14ac:dyDescent="0.25">
      <c r="A465" s="20">
        <v>42040</v>
      </c>
      <c r="B465" s="21">
        <v>11162</v>
      </c>
      <c r="C465" s="14" t="s">
        <v>95</v>
      </c>
      <c r="D465" s="105">
        <v>2328</v>
      </c>
      <c r="E465" s="23">
        <v>42041</v>
      </c>
      <c r="F465" s="106">
        <v>2328</v>
      </c>
      <c r="G465" s="31">
        <f t="shared" si="7"/>
        <v>0</v>
      </c>
      <c r="H465" s="39" t="s">
        <v>19</v>
      </c>
      <c r="K465" s="3"/>
      <c r="M465" s="3"/>
      <c r="N465" s="3"/>
      <c r="O465" s="3"/>
      <c r="P465" s="3"/>
      <c r="Q465" s="3"/>
      <c r="R465" s="3"/>
      <c r="S465" s="3"/>
      <c r="T465" s="3"/>
      <c r="U465" s="3"/>
      <c r="V465" s="3"/>
    </row>
    <row r="466" spans="1:22" x14ac:dyDescent="0.25">
      <c r="A466" s="20">
        <v>42040</v>
      </c>
      <c r="B466" s="21">
        <v>11163</v>
      </c>
      <c r="C466" s="14" t="s">
        <v>106</v>
      </c>
      <c r="D466" s="105">
        <v>7872.4</v>
      </c>
      <c r="E466" s="23">
        <v>42041</v>
      </c>
      <c r="F466" s="106">
        <v>7872.4</v>
      </c>
      <c r="G466" s="31">
        <f t="shared" si="7"/>
        <v>0</v>
      </c>
      <c r="H466" s="39" t="s">
        <v>19</v>
      </c>
      <c r="I466" s="3"/>
      <c r="J466" s="42"/>
      <c r="K466" s="3"/>
      <c r="M466" s="3"/>
      <c r="N466" s="3"/>
      <c r="O466" s="3"/>
      <c r="P466" s="3"/>
      <c r="Q466" s="3"/>
      <c r="R466" s="3"/>
      <c r="S466" s="3"/>
      <c r="T466" s="3"/>
      <c r="U466" s="3"/>
      <c r="V466" s="3"/>
    </row>
    <row r="467" spans="1:22" x14ac:dyDescent="0.25">
      <c r="A467" s="20">
        <v>42040</v>
      </c>
      <c r="B467" s="21">
        <v>11164</v>
      </c>
      <c r="C467" s="14" t="s">
        <v>128</v>
      </c>
      <c r="D467" s="105">
        <v>3785.6</v>
      </c>
      <c r="E467" s="23">
        <v>42040</v>
      </c>
      <c r="F467" s="106">
        <v>3785.6</v>
      </c>
      <c r="G467" s="31">
        <f t="shared" si="7"/>
        <v>0</v>
      </c>
      <c r="H467" s="39" t="s">
        <v>17</v>
      </c>
      <c r="I467" s="3"/>
      <c r="J467" s="42"/>
      <c r="K467" s="3"/>
      <c r="M467" s="3"/>
      <c r="N467" s="3"/>
      <c r="O467" s="3"/>
      <c r="P467" s="3"/>
      <c r="Q467" s="3"/>
      <c r="R467" s="3"/>
      <c r="S467" s="3"/>
      <c r="T467" s="3"/>
      <c r="U467" s="3"/>
      <c r="V467" s="3"/>
    </row>
    <row r="468" spans="1:22" x14ac:dyDescent="0.25">
      <c r="A468" s="20">
        <v>42040</v>
      </c>
      <c r="B468" s="21">
        <v>11165</v>
      </c>
      <c r="C468" s="14" t="s">
        <v>154</v>
      </c>
      <c r="D468" s="105">
        <v>19351.2</v>
      </c>
      <c r="E468" s="23">
        <v>42041</v>
      </c>
      <c r="F468" s="106">
        <v>19351.2</v>
      </c>
      <c r="G468" s="31">
        <f t="shared" si="7"/>
        <v>0</v>
      </c>
      <c r="H468" s="39" t="s">
        <v>36</v>
      </c>
      <c r="I468" s="3"/>
      <c r="J468" s="42"/>
      <c r="K468" s="3"/>
      <c r="M468" s="3"/>
      <c r="N468" s="3"/>
      <c r="O468" s="3"/>
      <c r="P468" s="3"/>
      <c r="Q468" s="3"/>
      <c r="R468" s="3"/>
      <c r="S468" s="3"/>
      <c r="T468" s="3"/>
      <c r="U468" s="3"/>
      <c r="V468" s="3"/>
    </row>
    <row r="469" spans="1:22" x14ac:dyDescent="0.25">
      <c r="A469" s="20">
        <v>42040</v>
      </c>
      <c r="B469" s="21">
        <v>11166</v>
      </c>
      <c r="C469" s="14" t="s">
        <v>131</v>
      </c>
      <c r="D469" s="105">
        <v>5546.2</v>
      </c>
      <c r="E469" s="23">
        <v>42041</v>
      </c>
      <c r="F469" s="106">
        <v>5546.2</v>
      </c>
      <c r="G469" s="31">
        <f t="shared" si="7"/>
        <v>0</v>
      </c>
      <c r="H469" s="39" t="s">
        <v>17</v>
      </c>
      <c r="I469" s="3"/>
      <c r="J469" s="42"/>
      <c r="K469" s="3"/>
      <c r="M469" s="3"/>
      <c r="N469" s="3"/>
      <c r="O469" s="3"/>
      <c r="P469" s="3"/>
      <c r="Q469" s="3"/>
      <c r="R469" s="3"/>
      <c r="S469" s="3"/>
      <c r="T469" s="3"/>
      <c r="U469" s="3"/>
      <c r="V469" s="3"/>
    </row>
    <row r="470" spans="1:22" x14ac:dyDescent="0.25">
      <c r="A470" s="20">
        <v>42040</v>
      </c>
      <c r="B470" s="21">
        <v>11167</v>
      </c>
      <c r="C470" s="14" t="s">
        <v>130</v>
      </c>
      <c r="D470" s="105">
        <v>4511.3999999999996</v>
      </c>
      <c r="E470" s="23">
        <v>42041</v>
      </c>
      <c r="F470" s="106">
        <v>4511.3999999999996</v>
      </c>
      <c r="G470" s="31">
        <f t="shared" si="7"/>
        <v>0</v>
      </c>
      <c r="H470" s="39" t="s">
        <v>9</v>
      </c>
      <c r="I470" s="3"/>
      <c r="J470" s="42"/>
      <c r="K470" s="3"/>
      <c r="M470" s="3"/>
      <c r="N470" s="3"/>
      <c r="O470" s="3"/>
      <c r="P470" s="3"/>
      <c r="Q470" s="3"/>
      <c r="R470" s="3"/>
      <c r="S470" s="3"/>
      <c r="T470" s="3"/>
      <c r="U470" s="3"/>
      <c r="V470" s="3"/>
    </row>
    <row r="471" spans="1:22" x14ac:dyDescent="0.25">
      <c r="A471" s="20">
        <v>42040</v>
      </c>
      <c r="B471" s="21">
        <v>11168</v>
      </c>
      <c r="C471" s="14" t="s">
        <v>136</v>
      </c>
      <c r="D471" s="105">
        <v>19578</v>
      </c>
      <c r="E471" s="23">
        <v>42042</v>
      </c>
      <c r="F471" s="106">
        <v>19578</v>
      </c>
      <c r="G471" s="31">
        <f t="shared" si="7"/>
        <v>0</v>
      </c>
      <c r="H471" s="39" t="s">
        <v>9</v>
      </c>
      <c r="I471" s="3"/>
      <c r="J471" s="42"/>
      <c r="K471" s="3"/>
      <c r="M471" s="3"/>
      <c r="N471" s="3"/>
      <c r="O471" s="3"/>
      <c r="P471" s="3"/>
      <c r="Q471" s="3"/>
      <c r="R471" s="3"/>
      <c r="S471" s="3"/>
      <c r="T471" s="3"/>
      <c r="U471" s="3"/>
      <c r="V471" s="3"/>
    </row>
    <row r="472" spans="1:22" x14ac:dyDescent="0.25">
      <c r="A472" s="20">
        <v>42040</v>
      </c>
      <c r="B472" s="21">
        <v>11169</v>
      </c>
      <c r="C472" s="14" t="s">
        <v>14</v>
      </c>
      <c r="D472" s="105">
        <v>28584.6</v>
      </c>
      <c r="E472" s="23">
        <v>42062</v>
      </c>
      <c r="F472" s="106">
        <v>28584.6</v>
      </c>
      <c r="G472" s="31">
        <f t="shared" si="7"/>
        <v>0</v>
      </c>
      <c r="H472" s="39" t="s">
        <v>187</v>
      </c>
      <c r="I472" s="3"/>
      <c r="J472" s="42"/>
      <c r="K472" s="3"/>
      <c r="M472" s="3"/>
      <c r="N472" s="3"/>
      <c r="O472" s="3"/>
      <c r="P472" s="3"/>
      <c r="Q472" s="3"/>
      <c r="R472" s="3"/>
      <c r="S472" s="3"/>
      <c r="T472" s="3"/>
      <c r="U472" s="3"/>
      <c r="V472" s="3"/>
    </row>
    <row r="473" spans="1:22" x14ac:dyDescent="0.25">
      <c r="A473" s="20">
        <v>42040</v>
      </c>
      <c r="B473" s="21">
        <v>11170</v>
      </c>
      <c r="C473" s="14" t="s">
        <v>571</v>
      </c>
      <c r="D473" s="105">
        <v>20085</v>
      </c>
      <c r="E473" s="23">
        <v>42041</v>
      </c>
      <c r="F473" s="106">
        <v>20085</v>
      </c>
      <c r="G473" s="31">
        <f t="shared" si="7"/>
        <v>0</v>
      </c>
      <c r="H473" s="39" t="s">
        <v>94</v>
      </c>
      <c r="I473" s="3"/>
      <c r="J473" s="42"/>
      <c r="K473" s="3"/>
      <c r="M473" s="3"/>
      <c r="N473" s="3"/>
      <c r="O473" s="3"/>
      <c r="P473" s="3"/>
      <c r="Q473" s="3"/>
      <c r="R473" s="3"/>
      <c r="S473" s="3"/>
      <c r="T473" s="3"/>
      <c r="U473" s="3"/>
      <c r="V473" s="3"/>
    </row>
    <row r="474" spans="1:22" x14ac:dyDescent="0.25">
      <c r="A474" s="20">
        <v>42040</v>
      </c>
      <c r="B474" s="21">
        <v>11171</v>
      </c>
      <c r="C474" s="14" t="s">
        <v>48</v>
      </c>
      <c r="D474" s="105">
        <v>1012</v>
      </c>
      <c r="E474" s="23">
        <v>42040</v>
      </c>
      <c r="F474" s="106">
        <v>1012</v>
      </c>
      <c r="G474" s="31">
        <f t="shared" si="7"/>
        <v>0</v>
      </c>
      <c r="H474" s="39" t="s">
        <v>15</v>
      </c>
      <c r="I474" s="3"/>
      <c r="J474" s="42"/>
      <c r="K474" s="3"/>
      <c r="M474" s="3"/>
      <c r="N474" s="3"/>
      <c r="O474" s="3"/>
      <c r="P474" s="3"/>
      <c r="Q474" s="3"/>
      <c r="R474" s="3"/>
      <c r="S474" s="3"/>
      <c r="T474" s="3"/>
      <c r="U474" s="3"/>
      <c r="V474" s="3"/>
    </row>
    <row r="475" spans="1:22" x14ac:dyDescent="0.25">
      <c r="A475" s="20">
        <v>42040</v>
      </c>
      <c r="B475" s="21">
        <v>11172</v>
      </c>
      <c r="C475" s="14" t="s">
        <v>28</v>
      </c>
      <c r="D475" s="105">
        <v>682</v>
      </c>
      <c r="E475" s="23">
        <v>42040</v>
      </c>
      <c r="F475" s="106">
        <v>682</v>
      </c>
      <c r="G475" s="31">
        <f t="shared" si="7"/>
        <v>0</v>
      </c>
      <c r="H475" s="39" t="s">
        <v>9</v>
      </c>
      <c r="I475" s="3"/>
      <c r="J475" s="42"/>
      <c r="K475" s="3"/>
      <c r="M475" s="3"/>
      <c r="N475" s="3"/>
      <c r="O475" s="3"/>
      <c r="P475" s="3"/>
      <c r="Q475" s="3"/>
      <c r="R475" s="3"/>
      <c r="S475" s="3"/>
      <c r="T475" s="3"/>
      <c r="U475" s="3"/>
      <c r="V475" s="3"/>
    </row>
    <row r="476" spans="1:22" x14ac:dyDescent="0.25">
      <c r="A476" s="20">
        <v>42040</v>
      </c>
      <c r="B476" s="21">
        <v>11173</v>
      </c>
      <c r="C476" s="14" t="s">
        <v>121</v>
      </c>
      <c r="D476" s="105">
        <v>403.2</v>
      </c>
      <c r="E476" s="23">
        <v>42040</v>
      </c>
      <c r="F476" s="106">
        <v>403.2</v>
      </c>
      <c r="G476" s="31">
        <f t="shared" si="7"/>
        <v>0</v>
      </c>
      <c r="H476" s="39" t="s">
        <v>9</v>
      </c>
      <c r="I476" s="3"/>
      <c r="J476" s="42"/>
      <c r="K476" s="3"/>
      <c r="M476" s="3"/>
      <c r="N476" s="3"/>
      <c r="O476" s="3"/>
      <c r="P476" s="3"/>
      <c r="Q476" s="3"/>
      <c r="R476" s="3"/>
      <c r="S476" s="3"/>
      <c r="T476" s="3"/>
      <c r="U476" s="3"/>
      <c r="V476" s="3"/>
    </row>
    <row r="477" spans="1:22" x14ac:dyDescent="0.25">
      <c r="A477" s="20">
        <v>42040</v>
      </c>
      <c r="B477" s="21">
        <v>11174</v>
      </c>
      <c r="C477" s="14" t="s">
        <v>24</v>
      </c>
      <c r="D477" s="105">
        <v>13971</v>
      </c>
      <c r="E477" s="23">
        <v>42062</v>
      </c>
      <c r="F477" s="106">
        <v>13971</v>
      </c>
      <c r="G477" s="31">
        <f t="shared" si="7"/>
        <v>0</v>
      </c>
      <c r="H477" s="39" t="s">
        <v>94</v>
      </c>
      <c r="I477" s="3"/>
      <c r="J477" s="42"/>
      <c r="K477" s="3"/>
      <c r="M477" s="3"/>
      <c r="N477" s="3"/>
      <c r="O477" s="3"/>
      <c r="P477" s="3"/>
      <c r="Q477" s="3"/>
      <c r="R477" s="3"/>
      <c r="S477" s="3"/>
      <c r="T477" s="3"/>
      <c r="U477" s="3"/>
      <c r="V477" s="3"/>
    </row>
    <row r="478" spans="1:22" x14ac:dyDescent="0.25">
      <c r="A478" s="20">
        <v>42040</v>
      </c>
      <c r="B478" s="21">
        <v>11175</v>
      </c>
      <c r="C478" s="14" t="s">
        <v>344</v>
      </c>
      <c r="D478" s="105">
        <v>512.1</v>
      </c>
      <c r="E478" s="23">
        <v>42040</v>
      </c>
      <c r="F478" s="106">
        <v>512.1</v>
      </c>
      <c r="G478" s="31">
        <f t="shared" si="7"/>
        <v>0</v>
      </c>
      <c r="H478" s="39" t="s">
        <v>9</v>
      </c>
      <c r="I478" s="3"/>
      <c r="J478" s="42"/>
      <c r="K478" s="3"/>
      <c r="M478" s="3"/>
      <c r="N478" s="3"/>
      <c r="O478" s="3"/>
      <c r="P478" s="3"/>
      <c r="Q478" s="3"/>
      <c r="R478" s="3"/>
      <c r="S478" s="3"/>
      <c r="T478" s="3"/>
      <c r="U478" s="3"/>
      <c r="V478" s="3"/>
    </row>
    <row r="479" spans="1:22" x14ac:dyDescent="0.25">
      <c r="A479" s="20">
        <v>42040</v>
      </c>
      <c r="B479" s="21">
        <v>11176</v>
      </c>
      <c r="C479" s="14" t="s">
        <v>305</v>
      </c>
      <c r="D479" s="105">
        <v>2052</v>
      </c>
      <c r="E479" s="23">
        <v>42040</v>
      </c>
      <c r="F479" s="106">
        <v>2052</v>
      </c>
      <c r="G479" s="31">
        <f t="shared" si="7"/>
        <v>0</v>
      </c>
      <c r="H479" s="39" t="s">
        <v>9</v>
      </c>
      <c r="I479" s="3"/>
      <c r="J479" s="42"/>
      <c r="K479" s="3"/>
      <c r="M479" s="3"/>
      <c r="N479" s="3"/>
      <c r="O479" s="3"/>
      <c r="P479" s="3"/>
      <c r="Q479" s="3"/>
      <c r="R479" s="3"/>
      <c r="S479" s="3"/>
      <c r="T479" s="3"/>
      <c r="U479" s="3"/>
      <c r="V479" s="3"/>
    </row>
    <row r="480" spans="1:22" x14ac:dyDescent="0.25">
      <c r="A480" s="20">
        <v>42040</v>
      </c>
      <c r="B480" s="21">
        <v>11177</v>
      </c>
      <c r="C480" s="14" t="s">
        <v>76</v>
      </c>
      <c r="D480" s="105">
        <v>765.4</v>
      </c>
      <c r="E480" s="23">
        <v>42040</v>
      </c>
      <c r="F480" s="106">
        <v>765.4</v>
      </c>
      <c r="G480" s="31">
        <f t="shared" si="7"/>
        <v>0</v>
      </c>
      <c r="H480" s="39" t="s">
        <v>9</v>
      </c>
      <c r="I480" s="3"/>
      <c r="J480" s="42"/>
      <c r="K480" s="3"/>
      <c r="M480" s="3"/>
      <c r="N480" s="3"/>
      <c r="O480" s="3"/>
      <c r="P480" s="3"/>
      <c r="Q480" s="3"/>
      <c r="R480" s="3"/>
      <c r="S480" s="3"/>
      <c r="T480" s="3"/>
      <c r="U480" s="3"/>
      <c r="V480" s="3"/>
    </row>
    <row r="481" spans="1:22" x14ac:dyDescent="0.25">
      <c r="A481" s="20">
        <v>42040</v>
      </c>
      <c r="B481" s="21">
        <v>11178</v>
      </c>
      <c r="C481" s="14" t="s">
        <v>207</v>
      </c>
      <c r="D481" s="105">
        <v>44523.87</v>
      </c>
      <c r="E481" s="23">
        <v>42046</v>
      </c>
      <c r="F481" s="106">
        <v>44523.87</v>
      </c>
      <c r="G481" s="31">
        <f t="shared" si="7"/>
        <v>0</v>
      </c>
      <c r="H481" s="39" t="s">
        <v>149</v>
      </c>
      <c r="I481" s="3"/>
      <c r="J481" s="42"/>
      <c r="K481" s="3"/>
      <c r="M481" s="3"/>
      <c r="N481" s="3"/>
      <c r="O481" s="3"/>
      <c r="P481" s="3"/>
      <c r="Q481" s="3"/>
      <c r="R481" s="3"/>
      <c r="S481" s="3"/>
      <c r="T481" s="3"/>
      <c r="U481" s="3"/>
      <c r="V481" s="3"/>
    </row>
    <row r="482" spans="1:22" x14ac:dyDescent="0.25">
      <c r="A482" s="20">
        <v>42040</v>
      </c>
      <c r="B482" s="21">
        <v>11179</v>
      </c>
      <c r="C482" s="14" t="s">
        <v>86</v>
      </c>
      <c r="D482" s="105">
        <v>40752.120000000003</v>
      </c>
      <c r="E482" s="23">
        <v>42040</v>
      </c>
      <c r="F482" s="106">
        <v>40752.120000000003</v>
      </c>
      <c r="G482" s="31">
        <f t="shared" si="7"/>
        <v>0</v>
      </c>
      <c r="H482" s="39" t="s">
        <v>62</v>
      </c>
      <c r="K482" s="3"/>
      <c r="M482" s="3"/>
      <c r="N482" s="3"/>
      <c r="O482" s="3"/>
      <c r="P482" s="3"/>
      <c r="Q482" s="3"/>
      <c r="R482" s="3"/>
      <c r="S482" s="3"/>
      <c r="T482" s="3"/>
      <c r="U482" s="3"/>
      <c r="V482" s="3"/>
    </row>
    <row r="483" spans="1:22" x14ac:dyDescent="0.25">
      <c r="A483" s="20">
        <v>42040</v>
      </c>
      <c r="B483" s="21">
        <v>11180</v>
      </c>
      <c r="C483" s="14" t="s">
        <v>202</v>
      </c>
      <c r="D483" s="105">
        <v>5428.8</v>
      </c>
      <c r="E483" s="23">
        <v>42042</v>
      </c>
      <c r="F483" s="106">
        <v>5428.8</v>
      </c>
      <c r="G483" s="31">
        <f t="shared" si="7"/>
        <v>0</v>
      </c>
      <c r="H483" s="39" t="s">
        <v>149</v>
      </c>
      <c r="K483" s="3"/>
      <c r="M483" s="3"/>
      <c r="N483" s="3"/>
      <c r="O483" s="3"/>
      <c r="P483" s="3"/>
      <c r="Q483" s="3"/>
      <c r="R483" s="3"/>
      <c r="S483" s="3"/>
      <c r="T483" s="3"/>
      <c r="U483" s="3"/>
      <c r="V483" s="3"/>
    </row>
    <row r="484" spans="1:22" x14ac:dyDescent="0.25">
      <c r="A484" s="20">
        <v>42040</v>
      </c>
      <c r="B484" s="21">
        <v>11181</v>
      </c>
      <c r="C484" s="14" t="s">
        <v>265</v>
      </c>
      <c r="D484" s="105">
        <v>4154</v>
      </c>
      <c r="E484" s="23">
        <v>42040</v>
      </c>
      <c r="F484" s="106">
        <v>4154</v>
      </c>
      <c r="G484" s="31">
        <f t="shared" si="7"/>
        <v>0</v>
      </c>
      <c r="H484" s="39" t="s">
        <v>9</v>
      </c>
      <c r="K484" s="3"/>
      <c r="M484" s="3"/>
      <c r="N484" s="3"/>
      <c r="O484" s="3"/>
      <c r="P484" s="3"/>
      <c r="Q484" s="3"/>
      <c r="R484" s="3"/>
      <c r="S484" s="3"/>
      <c r="T484" s="3"/>
      <c r="U484" s="3"/>
      <c r="V484" s="3"/>
    </row>
    <row r="485" spans="1:22" x14ac:dyDescent="0.25">
      <c r="A485" s="20">
        <v>42040</v>
      </c>
      <c r="B485" s="21">
        <v>11182</v>
      </c>
      <c r="C485" s="14" t="s">
        <v>68</v>
      </c>
      <c r="D485" s="105">
        <v>2496.8000000000002</v>
      </c>
      <c r="E485" s="23">
        <v>42042</v>
      </c>
      <c r="F485" s="106">
        <v>2496.8000000000002</v>
      </c>
      <c r="G485" s="31">
        <f t="shared" si="7"/>
        <v>0</v>
      </c>
      <c r="H485" s="39" t="s">
        <v>149</v>
      </c>
      <c r="K485" s="3"/>
      <c r="M485" s="3"/>
      <c r="N485" s="3"/>
      <c r="O485" s="3"/>
      <c r="P485" s="3"/>
      <c r="Q485" s="3"/>
      <c r="R485" s="3"/>
      <c r="S485" s="3"/>
      <c r="T485" s="3"/>
      <c r="U485" s="3"/>
      <c r="V485" s="3"/>
    </row>
    <row r="486" spans="1:22" x14ac:dyDescent="0.25">
      <c r="A486" s="20">
        <v>42040</v>
      </c>
      <c r="B486" s="21">
        <v>11183</v>
      </c>
      <c r="C486" s="14" t="s">
        <v>110</v>
      </c>
      <c r="D486" s="105">
        <v>69578.64</v>
      </c>
      <c r="E486" s="23">
        <v>42048</v>
      </c>
      <c r="F486" s="106">
        <v>69578.64</v>
      </c>
      <c r="G486" s="31">
        <f t="shared" si="7"/>
        <v>0</v>
      </c>
      <c r="H486" s="39" t="s">
        <v>9</v>
      </c>
      <c r="K486" s="3"/>
      <c r="M486" s="3"/>
      <c r="N486" s="3"/>
      <c r="O486" s="3"/>
      <c r="P486" s="3"/>
      <c r="Q486" s="3"/>
      <c r="R486" s="3"/>
      <c r="S486" s="3"/>
      <c r="T486" s="3"/>
      <c r="U486" s="3"/>
      <c r="V486" s="3"/>
    </row>
    <row r="487" spans="1:22" x14ac:dyDescent="0.25">
      <c r="A487" s="20">
        <v>42040</v>
      </c>
      <c r="B487" s="21">
        <v>11184</v>
      </c>
      <c r="C487" s="14" t="s">
        <v>64</v>
      </c>
      <c r="D487" s="105">
        <v>13614</v>
      </c>
      <c r="E487" s="23">
        <v>42042</v>
      </c>
      <c r="F487" s="106">
        <v>13614</v>
      </c>
      <c r="G487" s="31">
        <f t="shared" si="7"/>
        <v>0</v>
      </c>
      <c r="H487" s="39" t="s">
        <v>149</v>
      </c>
      <c r="K487" s="3"/>
      <c r="M487" s="3"/>
      <c r="N487" s="3"/>
      <c r="O487" s="3"/>
      <c r="P487" s="3"/>
      <c r="Q487" s="3"/>
      <c r="R487" s="3"/>
      <c r="S487" s="3"/>
      <c r="T487" s="3"/>
      <c r="U487" s="3"/>
      <c r="V487" s="3"/>
    </row>
    <row r="488" spans="1:22" x14ac:dyDescent="0.25">
      <c r="A488" s="20">
        <v>42040</v>
      </c>
      <c r="B488" s="21">
        <v>11185</v>
      </c>
      <c r="C488" s="14" t="s">
        <v>14</v>
      </c>
      <c r="D488" s="105">
        <v>66354.929999999993</v>
      </c>
      <c r="E488" s="23">
        <v>42048</v>
      </c>
      <c r="F488" s="106">
        <v>66354.929999999993</v>
      </c>
      <c r="G488" s="31">
        <f t="shared" si="7"/>
        <v>0</v>
      </c>
      <c r="H488" s="39" t="s">
        <v>183</v>
      </c>
      <c r="K488" s="3"/>
      <c r="M488" s="3"/>
      <c r="N488" s="3"/>
      <c r="O488" s="3"/>
      <c r="P488" s="3"/>
      <c r="Q488" s="3"/>
      <c r="R488" s="3"/>
      <c r="S488" s="3"/>
      <c r="T488" s="3"/>
      <c r="U488" s="3"/>
      <c r="V488" s="3"/>
    </row>
    <row r="489" spans="1:22" x14ac:dyDescent="0.25">
      <c r="A489" s="20">
        <v>42040</v>
      </c>
      <c r="B489" s="21">
        <v>11186</v>
      </c>
      <c r="C489" s="14" t="s">
        <v>349</v>
      </c>
      <c r="D489" s="105">
        <v>9288.2000000000007</v>
      </c>
      <c r="E489" s="23">
        <v>42042</v>
      </c>
      <c r="F489" s="106">
        <v>9288.2000000000007</v>
      </c>
      <c r="G489" s="31">
        <f t="shared" si="7"/>
        <v>0</v>
      </c>
      <c r="H489" s="39" t="s">
        <v>149</v>
      </c>
      <c r="K489" s="3"/>
      <c r="M489" s="3"/>
      <c r="N489" s="3"/>
      <c r="O489" s="3"/>
      <c r="P489" s="3"/>
      <c r="Q489" s="3"/>
      <c r="R489" s="3"/>
      <c r="S489" s="3"/>
      <c r="T489" s="3"/>
      <c r="U489" s="3"/>
      <c r="V489" s="3"/>
    </row>
    <row r="490" spans="1:22" x14ac:dyDescent="0.25">
      <c r="A490" s="20">
        <v>42040</v>
      </c>
      <c r="B490" s="21">
        <v>11187</v>
      </c>
      <c r="C490" s="14" t="s">
        <v>204</v>
      </c>
      <c r="D490" s="105">
        <v>7838.6</v>
      </c>
      <c r="E490" s="23">
        <v>42042</v>
      </c>
      <c r="F490" s="106">
        <v>7838.6</v>
      </c>
      <c r="G490" s="31">
        <f t="shared" si="7"/>
        <v>0</v>
      </c>
      <c r="H490" s="39" t="s">
        <v>149</v>
      </c>
      <c r="K490" s="3"/>
      <c r="M490" s="3"/>
      <c r="N490" s="3"/>
      <c r="O490" s="3"/>
      <c r="P490" s="3"/>
      <c r="Q490" s="3"/>
      <c r="R490" s="3"/>
      <c r="S490" s="3"/>
      <c r="T490" s="3"/>
      <c r="U490" s="3"/>
      <c r="V490" s="3"/>
    </row>
    <row r="491" spans="1:22" x14ac:dyDescent="0.25">
      <c r="A491" s="20">
        <v>42040</v>
      </c>
      <c r="B491" s="21">
        <v>11188</v>
      </c>
      <c r="C491" s="14" t="s">
        <v>552</v>
      </c>
      <c r="D491" s="105">
        <v>2414.1999999999998</v>
      </c>
      <c r="E491" s="23">
        <v>42042</v>
      </c>
      <c r="F491" s="106">
        <v>2414.1999999999998</v>
      </c>
      <c r="G491" s="31">
        <f t="shared" si="7"/>
        <v>0</v>
      </c>
      <c r="H491" s="39" t="s">
        <v>149</v>
      </c>
      <c r="K491" s="3"/>
      <c r="M491" s="3"/>
      <c r="N491" s="3"/>
      <c r="O491" s="3"/>
      <c r="P491" s="3"/>
      <c r="Q491" s="3"/>
      <c r="R491" s="3"/>
      <c r="S491" s="3"/>
      <c r="T491" s="3"/>
      <c r="U491" s="3"/>
      <c r="V491" s="3"/>
    </row>
    <row r="492" spans="1:22" x14ac:dyDescent="0.25">
      <c r="A492" s="20">
        <v>42040</v>
      </c>
      <c r="B492" s="21">
        <v>11189</v>
      </c>
      <c r="C492" s="14" t="s">
        <v>199</v>
      </c>
      <c r="D492" s="105">
        <v>5448.3</v>
      </c>
      <c r="E492" s="29" t="s">
        <v>572</v>
      </c>
      <c r="F492" s="106">
        <f>5000+448.3</f>
        <v>5448.3</v>
      </c>
      <c r="G492" s="31">
        <f t="shared" si="7"/>
        <v>0</v>
      </c>
      <c r="H492" s="39" t="s">
        <v>149</v>
      </c>
      <c r="K492" s="3"/>
      <c r="M492" s="3"/>
      <c r="N492" s="3"/>
      <c r="O492" s="3"/>
      <c r="P492" s="3"/>
      <c r="Q492" s="3"/>
      <c r="R492" s="3"/>
      <c r="S492" s="3"/>
      <c r="T492" s="3"/>
      <c r="U492" s="3"/>
      <c r="V492" s="3"/>
    </row>
    <row r="493" spans="1:22" x14ac:dyDescent="0.25">
      <c r="A493" s="20">
        <v>42040</v>
      </c>
      <c r="B493" s="21">
        <v>11190</v>
      </c>
      <c r="C493" s="14" t="s">
        <v>420</v>
      </c>
      <c r="D493" s="105">
        <v>5777.35</v>
      </c>
      <c r="E493" s="23">
        <v>42042</v>
      </c>
      <c r="F493" s="106">
        <v>5777.35</v>
      </c>
      <c r="G493" s="31">
        <f t="shared" si="7"/>
        <v>0</v>
      </c>
      <c r="H493" s="39" t="s">
        <v>149</v>
      </c>
      <c r="K493" s="3"/>
      <c r="M493" s="3"/>
      <c r="N493" s="3"/>
      <c r="O493" s="3"/>
      <c r="P493" s="3"/>
      <c r="Q493" s="3"/>
      <c r="R493" s="3"/>
      <c r="S493" s="3"/>
      <c r="T493" s="3"/>
      <c r="U493" s="3"/>
      <c r="V493" s="3"/>
    </row>
    <row r="494" spans="1:22" x14ac:dyDescent="0.25">
      <c r="A494" s="20">
        <v>42040</v>
      </c>
      <c r="B494" s="21">
        <v>11191</v>
      </c>
      <c r="C494" s="14" t="s">
        <v>573</v>
      </c>
      <c r="D494" s="105">
        <v>5729.6</v>
      </c>
      <c r="E494" s="23">
        <v>42042</v>
      </c>
      <c r="F494" s="106">
        <v>5729.6</v>
      </c>
      <c r="G494" s="31">
        <f t="shared" si="7"/>
        <v>0</v>
      </c>
      <c r="H494" s="39" t="s">
        <v>149</v>
      </c>
      <c r="K494" s="3"/>
      <c r="M494" s="3"/>
      <c r="N494" s="3"/>
      <c r="O494" s="3"/>
      <c r="P494" s="3"/>
      <c r="Q494" s="3"/>
      <c r="R494" s="3"/>
      <c r="S494" s="3"/>
      <c r="T494" s="3"/>
      <c r="U494" s="3"/>
      <c r="V494" s="3"/>
    </row>
    <row r="495" spans="1:22" x14ac:dyDescent="0.25">
      <c r="A495" s="20">
        <v>42040</v>
      </c>
      <c r="B495" s="21">
        <v>11192</v>
      </c>
      <c r="C495" s="14" t="s">
        <v>90</v>
      </c>
      <c r="D495" s="105">
        <v>1968</v>
      </c>
      <c r="E495" s="23">
        <v>42040</v>
      </c>
      <c r="F495" s="106">
        <v>1968</v>
      </c>
      <c r="G495" s="31">
        <f t="shared" si="7"/>
        <v>0</v>
      </c>
      <c r="H495" s="39" t="s">
        <v>9</v>
      </c>
      <c r="J495" s="107"/>
      <c r="K495" s="3"/>
      <c r="M495" s="3"/>
      <c r="N495" s="3"/>
      <c r="O495" s="3"/>
      <c r="P495" s="3"/>
      <c r="Q495" s="3"/>
      <c r="R495" s="3"/>
      <c r="S495" s="3"/>
      <c r="T495" s="3"/>
      <c r="U495" s="3"/>
      <c r="V495" s="3"/>
    </row>
    <row r="496" spans="1:22" x14ac:dyDescent="0.25">
      <c r="A496" s="20">
        <v>42040</v>
      </c>
      <c r="B496" s="21">
        <v>11193</v>
      </c>
      <c r="C496" s="14" t="s">
        <v>143</v>
      </c>
      <c r="D496" s="105">
        <v>1285.2</v>
      </c>
      <c r="E496" s="23">
        <v>42041</v>
      </c>
      <c r="F496" s="106">
        <v>1285.2</v>
      </c>
      <c r="G496" s="31">
        <f t="shared" si="7"/>
        <v>0</v>
      </c>
      <c r="H496" s="39" t="s">
        <v>17</v>
      </c>
      <c r="J496" s="107"/>
      <c r="K496" s="3"/>
      <c r="M496" s="3"/>
      <c r="N496" s="3"/>
      <c r="O496" s="3"/>
      <c r="P496" s="3"/>
      <c r="Q496" s="3"/>
      <c r="R496" s="3"/>
      <c r="S496" s="3"/>
      <c r="T496" s="3"/>
      <c r="U496" s="3"/>
      <c r="V496" s="3"/>
    </row>
    <row r="497" spans="1:22" x14ac:dyDescent="0.25">
      <c r="A497" s="20">
        <v>42040</v>
      </c>
      <c r="B497" s="21">
        <v>11194</v>
      </c>
      <c r="C497" s="14" t="s">
        <v>411</v>
      </c>
      <c r="D497" s="105">
        <v>2302.3000000000002</v>
      </c>
      <c r="E497" s="23">
        <v>42040</v>
      </c>
      <c r="F497" s="106">
        <v>2302.3000000000002</v>
      </c>
      <c r="G497" s="31">
        <f t="shared" si="7"/>
        <v>0</v>
      </c>
      <c r="H497" s="39" t="s">
        <v>9</v>
      </c>
      <c r="K497" s="3"/>
      <c r="M497" s="3"/>
      <c r="N497" s="3"/>
      <c r="O497" s="3"/>
      <c r="P497" s="3"/>
      <c r="Q497" s="3"/>
      <c r="R497" s="3"/>
      <c r="S497" s="3"/>
      <c r="T497" s="3"/>
      <c r="U497" s="3"/>
      <c r="V497" s="3"/>
    </row>
    <row r="498" spans="1:22" x14ac:dyDescent="0.25">
      <c r="A498" s="20">
        <v>42040</v>
      </c>
      <c r="B498" s="21">
        <v>11195</v>
      </c>
      <c r="C498" s="14" t="s">
        <v>80</v>
      </c>
      <c r="D498" s="105">
        <v>7498.8</v>
      </c>
      <c r="E498" s="23">
        <v>42040</v>
      </c>
      <c r="F498" s="106">
        <v>7498.8</v>
      </c>
      <c r="G498" s="31">
        <f t="shared" si="7"/>
        <v>0</v>
      </c>
      <c r="H498" s="39" t="s">
        <v>17</v>
      </c>
      <c r="K498" s="3"/>
      <c r="M498" s="3"/>
      <c r="N498" s="3"/>
      <c r="O498" s="3"/>
      <c r="P498" s="3"/>
      <c r="Q498" s="3"/>
      <c r="R498" s="3"/>
      <c r="S498" s="3"/>
      <c r="T498" s="3"/>
      <c r="U498" s="3"/>
      <c r="V498" s="3"/>
    </row>
    <row r="499" spans="1:22" x14ac:dyDescent="0.25">
      <c r="A499" s="20">
        <v>42040</v>
      </c>
      <c r="B499" s="21">
        <v>11196</v>
      </c>
      <c r="C499" s="14" t="s">
        <v>571</v>
      </c>
      <c r="D499" s="105">
        <v>2235.1999999999998</v>
      </c>
      <c r="E499" s="23">
        <v>42041</v>
      </c>
      <c r="F499" s="106">
        <v>2235.1999999999998</v>
      </c>
      <c r="G499" s="31">
        <f t="shared" si="7"/>
        <v>0</v>
      </c>
      <c r="H499" s="39" t="s">
        <v>17</v>
      </c>
      <c r="K499" s="3"/>
      <c r="M499" s="3"/>
      <c r="N499" s="3"/>
      <c r="O499" s="3"/>
      <c r="P499" s="3"/>
      <c r="Q499" s="3"/>
      <c r="R499" s="3"/>
      <c r="S499" s="3"/>
      <c r="T499" s="3"/>
      <c r="U499" s="3"/>
      <c r="V499" s="3"/>
    </row>
    <row r="500" spans="1:22" x14ac:dyDescent="0.25">
      <c r="A500" s="20">
        <v>42040</v>
      </c>
      <c r="B500" s="21">
        <v>11197</v>
      </c>
      <c r="C500" s="14" t="s">
        <v>552</v>
      </c>
      <c r="D500" s="105">
        <v>13289.45</v>
      </c>
      <c r="E500" s="23">
        <v>42042</v>
      </c>
      <c r="F500" s="106">
        <v>13289.45</v>
      </c>
      <c r="G500" s="31">
        <f t="shared" si="7"/>
        <v>0</v>
      </c>
      <c r="H500" s="39" t="s">
        <v>149</v>
      </c>
      <c r="K500" s="3"/>
      <c r="M500" s="3"/>
      <c r="N500" s="3"/>
      <c r="O500" s="3"/>
      <c r="P500" s="3"/>
      <c r="Q500" s="3"/>
      <c r="R500" s="3"/>
      <c r="S500" s="3"/>
      <c r="T500" s="3"/>
      <c r="U500" s="3"/>
      <c r="V500" s="3"/>
    </row>
    <row r="501" spans="1:22" x14ac:dyDescent="0.25">
      <c r="A501" s="20">
        <v>42040</v>
      </c>
      <c r="B501" s="21">
        <v>11198</v>
      </c>
      <c r="C501" s="14" t="s">
        <v>574</v>
      </c>
      <c r="D501" s="105">
        <v>23975.38</v>
      </c>
      <c r="E501" s="23">
        <v>42042</v>
      </c>
      <c r="F501" s="106">
        <v>23975.38</v>
      </c>
      <c r="G501" s="31">
        <f t="shared" si="7"/>
        <v>0</v>
      </c>
      <c r="H501" s="39" t="s">
        <v>46</v>
      </c>
      <c r="K501" s="3"/>
      <c r="M501" s="3"/>
      <c r="N501" s="3"/>
      <c r="O501" s="3"/>
      <c r="P501" s="3"/>
      <c r="Q501" s="3"/>
      <c r="R501" s="3"/>
      <c r="S501" s="3"/>
      <c r="T501" s="3"/>
      <c r="U501" s="3"/>
      <c r="V501" s="3"/>
    </row>
    <row r="502" spans="1:22" x14ac:dyDescent="0.25">
      <c r="A502" s="20">
        <v>42040</v>
      </c>
      <c r="B502" s="21">
        <v>11199</v>
      </c>
      <c r="C502" s="14" t="s">
        <v>195</v>
      </c>
      <c r="D502" s="105">
        <v>121681.49</v>
      </c>
      <c r="E502" s="30" t="s">
        <v>575</v>
      </c>
      <c r="F502" s="106">
        <v>121681.49</v>
      </c>
      <c r="G502" s="31">
        <f t="shared" si="7"/>
        <v>0</v>
      </c>
      <c r="H502" s="39" t="s">
        <v>149</v>
      </c>
      <c r="K502" s="3"/>
      <c r="M502" s="3"/>
      <c r="N502" s="3"/>
      <c r="O502" s="3"/>
      <c r="P502" s="3"/>
      <c r="Q502" s="3"/>
      <c r="R502" s="3"/>
      <c r="S502" s="3"/>
      <c r="T502" s="3"/>
      <c r="U502" s="3"/>
      <c r="V502" s="3"/>
    </row>
    <row r="503" spans="1:22" x14ac:dyDescent="0.25">
      <c r="A503" s="20">
        <v>42040</v>
      </c>
      <c r="B503" s="21">
        <v>11200</v>
      </c>
      <c r="C503" s="14" t="s">
        <v>206</v>
      </c>
      <c r="D503" s="105">
        <v>37494.800000000003</v>
      </c>
      <c r="E503" s="23">
        <v>42047</v>
      </c>
      <c r="F503" s="106">
        <v>37494.800000000003</v>
      </c>
      <c r="G503" s="31">
        <f t="shared" si="7"/>
        <v>0</v>
      </c>
      <c r="H503" s="39" t="s">
        <v>46</v>
      </c>
      <c r="K503" s="3"/>
      <c r="M503" s="3"/>
      <c r="N503" s="3"/>
      <c r="O503" s="3"/>
      <c r="P503" s="3"/>
      <c r="Q503" s="3"/>
      <c r="R503" s="3"/>
      <c r="S503" s="3"/>
      <c r="T503" s="3"/>
      <c r="U503" s="3"/>
      <c r="V503" s="3"/>
    </row>
    <row r="504" spans="1:22" x14ac:dyDescent="0.25">
      <c r="A504" s="20">
        <v>42040</v>
      </c>
      <c r="B504" s="21">
        <v>11201</v>
      </c>
      <c r="C504" s="14" t="s">
        <v>262</v>
      </c>
      <c r="D504" s="105">
        <v>35006.25</v>
      </c>
      <c r="E504" s="23">
        <v>42042</v>
      </c>
      <c r="F504" s="106">
        <v>35006.25</v>
      </c>
      <c r="G504" s="31">
        <f t="shared" si="7"/>
        <v>0</v>
      </c>
      <c r="H504" s="39" t="s">
        <v>149</v>
      </c>
      <c r="J504" s="107"/>
      <c r="K504" s="3"/>
      <c r="M504" s="3"/>
      <c r="N504" s="3"/>
      <c r="O504" s="3"/>
      <c r="P504" s="3"/>
      <c r="Q504" s="3"/>
      <c r="R504" s="3"/>
      <c r="S504" s="3"/>
      <c r="T504" s="3"/>
      <c r="U504" s="3"/>
      <c r="V504" s="3"/>
    </row>
    <row r="505" spans="1:22" x14ac:dyDescent="0.25">
      <c r="A505" s="20">
        <v>42040</v>
      </c>
      <c r="B505" s="21">
        <v>11202</v>
      </c>
      <c r="C505" s="14" t="s">
        <v>208</v>
      </c>
      <c r="D505" s="105">
        <v>16632.7</v>
      </c>
      <c r="E505" s="23">
        <v>42042</v>
      </c>
      <c r="F505" s="106">
        <v>16632.7</v>
      </c>
      <c r="G505" s="31">
        <f t="shared" si="7"/>
        <v>0</v>
      </c>
      <c r="H505" s="39" t="s">
        <v>9</v>
      </c>
      <c r="K505" s="3"/>
      <c r="M505" s="3"/>
      <c r="N505" s="3"/>
      <c r="O505" s="3"/>
      <c r="P505" s="3"/>
      <c r="Q505" s="3"/>
      <c r="R505" s="3"/>
      <c r="S505" s="3"/>
      <c r="T505" s="3"/>
      <c r="U505" s="3"/>
      <c r="V505" s="3"/>
    </row>
    <row r="506" spans="1:22" x14ac:dyDescent="0.25">
      <c r="A506" s="20">
        <v>42040</v>
      </c>
      <c r="B506" s="21">
        <v>11203</v>
      </c>
      <c r="C506" s="14" t="s">
        <v>24</v>
      </c>
      <c r="D506" s="105">
        <v>68727.399999999994</v>
      </c>
      <c r="E506" s="23">
        <v>42062</v>
      </c>
      <c r="F506" s="106">
        <v>68727.399999999994</v>
      </c>
      <c r="G506" s="31">
        <f t="shared" si="7"/>
        <v>0</v>
      </c>
      <c r="H506" s="39" t="s">
        <v>59</v>
      </c>
      <c r="K506" s="3"/>
      <c r="M506" s="3"/>
      <c r="N506" s="3"/>
      <c r="O506" s="3"/>
      <c r="P506" s="3"/>
      <c r="Q506" s="3"/>
      <c r="R506" s="3"/>
      <c r="S506" s="3"/>
      <c r="T506" s="3"/>
      <c r="U506" s="3"/>
      <c r="V506" s="3"/>
    </row>
    <row r="507" spans="1:22" x14ac:dyDescent="0.25">
      <c r="A507" s="20">
        <v>42040</v>
      </c>
      <c r="B507" s="21">
        <v>11204</v>
      </c>
      <c r="C507" s="14" t="s">
        <v>198</v>
      </c>
      <c r="D507" s="105">
        <v>16118.1</v>
      </c>
      <c r="E507" s="23">
        <v>42042</v>
      </c>
      <c r="F507" s="106">
        <v>16118.1</v>
      </c>
      <c r="G507" s="31">
        <f t="shared" si="7"/>
        <v>0</v>
      </c>
      <c r="H507" s="39" t="s">
        <v>149</v>
      </c>
      <c r="K507" s="3"/>
      <c r="M507" s="3"/>
      <c r="N507" s="3"/>
      <c r="O507" s="3"/>
      <c r="P507" s="3"/>
      <c r="Q507" s="3"/>
      <c r="R507" s="3"/>
      <c r="S507" s="3"/>
      <c r="T507" s="3"/>
      <c r="U507" s="3"/>
      <c r="V507" s="3"/>
    </row>
    <row r="508" spans="1:22" x14ac:dyDescent="0.25">
      <c r="A508" s="20">
        <v>42041</v>
      </c>
      <c r="B508" s="21">
        <v>11205</v>
      </c>
      <c r="C508" s="14" t="s">
        <v>24</v>
      </c>
      <c r="D508" s="105">
        <v>208952.99</v>
      </c>
      <c r="E508" s="23">
        <v>42062</v>
      </c>
      <c r="F508" s="106">
        <v>208952.99</v>
      </c>
      <c r="G508" s="31">
        <f t="shared" si="7"/>
        <v>0</v>
      </c>
      <c r="H508" s="39" t="s">
        <v>183</v>
      </c>
      <c r="K508" s="3"/>
      <c r="M508" s="3"/>
      <c r="N508" s="3"/>
      <c r="O508" s="3"/>
      <c r="P508" s="3"/>
      <c r="Q508" s="3"/>
      <c r="R508" s="3"/>
      <c r="S508" s="3"/>
      <c r="T508" s="3"/>
      <c r="U508" s="3"/>
      <c r="V508" s="3"/>
    </row>
    <row r="509" spans="1:22" x14ac:dyDescent="0.25">
      <c r="A509" s="20">
        <v>42041</v>
      </c>
      <c r="B509" s="21">
        <v>11206</v>
      </c>
      <c r="C509" s="14" t="s">
        <v>16</v>
      </c>
      <c r="D509" s="105">
        <v>6231.6</v>
      </c>
      <c r="E509" s="23">
        <v>42041</v>
      </c>
      <c r="F509" s="106">
        <v>6231.6</v>
      </c>
      <c r="G509" s="31">
        <f t="shared" si="7"/>
        <v>0</v>
      </c>
      <c r="H509" s="39" t="s">
        <v>17</v>
      </c>
      <c r="K509" s="3"/>
      <c r="M509" s="3"/>
      <c r="N509" s="3"/>
      <c r="O509" s="3"/>
      <c r="P509" s="3"/>
      <c r="Q509" s="3"/>
      <c r="R509" s="3"/>
      <c r="S509" s="3"/>
      <c r="T509" s="3"/>
      <c r="U509" s="3"/>
      <c r="V509" s="3"/>
    </row>
    <row r="510" spans="1:22" x14ac:dyDescent="0.25">
      <c r="A510" s="20">
        <v>42041</v>
      </c>
      <c r="B510" s="21">
        <v>11207</v>
      </c>
      <c r="C510" s="14" t="s">
        <v>267</v>
      </c>
      <c r="D510" s="105">
        <v>2215.86</v>
      </c>
      <c r="E510" s="23">
        <v>42041</v>
      </c>
      <c r="F510" s="106">
        <v>2215.86</v>
      </c>
      <c r="G510" s="31">
        <f t="shared" si="7"/>
        <v>0</v>
      </c>
      <c r="H510" s="39" t="s">
        <v>15</v>
      </c>
      <c r="K510" s="3"/>
      <c r="M510" s="3"/>
      <c r="N510" s="3"/>
      <c r="O510" s="3"/>
      <c r="P510" s="3"/>
      <c r="Q510" s="3"/>
      <c r="R510" s="3"/>
      <c r="S510" s="3"/>
      <c r="T510" s="3"/>
      <c r="U510" s="3"/>
      <c r="V510" s="3"/>
    </row>
    <row r="511" spans="1:22" x14ac:dyDescent="0.25">
      <c r="A511" s="20">
        <v>42041</v>
      </c>
      <c r="B511" s="21">
        <v>11208</v>
      </c>
      <c r="C511" s="14" t="s">
        <v>14</v>
      </c>
      <c r="D511" s="105">
        <v>14793.1</v>
      </c>
      <c r="E511" s="23">
        <v>42048</v>
      </c>
      <c r="F511" s="106">
        <v>14793.1</v>
      </c>
      <c r="G511" s="31">
        <f t="shared" si="7"/>
        <v>0</v>
      </c>
      <c r="H511" s="39" t="s">
        <v>15</v>
      </c>
      <c r="K511" s="3"/>
      <c r="M511" s="3"/>
      <c r="N511" s="3"/>
      <c r="O511" s="3"/>
      <c r="P511" s="3"/>
      <c r="Q511" s="3"/>
      <c r="R511" s="3"/>
      <c r="S511" s="3"/>
      <c r="T511" s="3"/>
      <c r="U511" s="3"/>
      <c r="V511" s="3"/>
    </row>
    <row r="512" spans="1:22" x14ac:dyDescent="0.25">
      <c r="A512" s="20">
        <v>42041</v>
      </c>
      <c r="B512" s="21">
        <v>11209</v>
      </c>
      <c r="C512" s="14" t="s">
        <v>375</v>
      </c>
      <c r="D512" s="105">
        <v>2982</v>
      </c>
      <c r="E512" s="52"/>
      <c r="F512" s="111"/>
      <c r="G512" s="31">
        <f t="shared" si="7"/>
        <v>2982</v>
      </c>
      <c r="H512" s="39" t="s">
        <v>9</v>
      </c>
      <c r="K512" s="3"/>
      <c r="M512" s="3"/>
      <c r="N512" s="3"/>
      <c r="O512" s="3"/>
      <c r="P512" s="3"/>
      <c r="Q512" s="3"/>
      <c r="R512" s="3"/>
      <c r="S512" s="3"/>
      <c r="T512" s="3"/>
      <c r="U512" s="3"/>
      <c r="V512" s="3"/>
    </row>
    <row r="513" spans="1:22" x14ac:dyDescent="0.25">
      <c r="A513" s="20">
        <v>42041</v>
      </c>
      <c r="B513" s="21">
        <v>11210</v>
      </c>
      <c r="C513" s="14" t="s">
        <v>43</v>
      </c>
      <c r="D513" s="105">
        <v>25981.599999999999</v>
      </c>
      <c r="E513" s="23">
        <v>42041</v>
      </c>
      <c r="F513" s="106">
        <v>25981.599999999999</v>
      </c>
      <c r="G513" s="31">
        <f t="shared" si="7"/>
        <v>0</v>
      </c>
      <c r="H513" s="39" t="s">
        <v>9</v>
      </c>
      <c r="J513" s="107"/>
      <c r="K513" s="3"/>
      <c r="M513" s="3"/>
      <c r="N513" s="3"/>
      <c r="O513" s="3"/>
      <c r="P513" s="3"/>
      <c r="Q513" s="3"/>
      <c r="R513" s="3"/>
      <c r="S513" s="3"/>
      <c r="T513" s="3"/>
      <c r="U513" s="3"/>
      <c r="V513" s="3"/>
    </row>
    <row r="514" spans="1:22" x14ac:dyDescent="0.25">
      <c r="A514" s="20">
        <v>42041</v>
      </c>
      <c r="B514" s="21">
        <v>11211</v>
      </c>
      <c r="C514" s="14" t="s">
        <v>375</v>
      </c>
      <c r="D514" s="105">
        <v>130</v>
      </c>
      <c r="E514" s="23">
        <v>42041</v>
      </c>
      <c r="F514" s="106">
        <v>130</v>
      </c>
      <c r="G514" s="31">
        <f t="shared" si="7"/>
        <v>0</v>
      </c>
      <c r="H514" s="39" t="s">
        <v>9</v>
      </c>
      <c r="K514" s="3"/>
      <c r="M514" s="3"/>
      <c r="N514" s="3"/>
      <c r="O514" s="3"/>
      <c r="P514" s="3"/>
      <c r="Q514" s="3"/>
      <c r="R514" s="3"/>
      <c r="S514" s="3"/>
      <c r="T514" s="3"/>
      <c r="U514" s="3"/>
      <c r="V514" s="3"/>
    </row>
    <row r="515" spans="1:22" x14ac:dyDescent="0.25">
      <c r="A515" s="20">
        <v>42041</v>
      </c>
      <c r="B515" s="21">
        <v>11212</v>
      </c>
      <c r="C515" s="14" t="s">
        <v>151</v>
      </c>
      <c r="D515" s="105">
        <v>12037</v>
      </c>
      <c r="E515" s="23">
        <v>42043</v>
      </c>
      <c r="F515" s="106">
        <v>12037</v>
      </c>
      <c r="G515" s="31">
        <f t="shared" ref="G515:G578" si="8">D515-F515</f>
        <v>0</v>
      </c>
      <c r="H515" s="39" t="s">
        <v>9</v>
      </c>
      <c r="K515" s="3"/>
      <c r="M515" s="3"/>
      <c r="N515" s="3"/>
      <c r="O515" s="3"/>
      <c r="P515" s="3"/>
      <c r="Q515" s="3"/>
      <c r="R515" s="3"/>
      <c r="S515" s="3"/>
      <c r="T515" s="3"/>
      <c r="U515" s="3"/>
      <c r="V515" s="3"/>
    </row>
    <row r="516" spans="1:22" x14ac:dyDescent="0.25">
      <c r="A516" s="20">
        <v>42041</v>
      </c>
      <c r="B516" s="21">
        <v>11213</v>
      </c>
      <c r="C516" s="14" t="s">
        <v>25</v>
      </c>
      <c r="D516" s="105">
        <v>538.79999999999995</v>
      </c>
      <c r="E516" s="23">
        <v>42041</v>
      </c>
      <c r="F516" s="106">
        <v>538.79999999999995</v>
      </c>
      <c r="G516" s="31">
        <f t="shared" si="8"/>
        <v>0</v>
      </c>
      <c r="H516" s="39" t="s">
        <v>9</v>
      </c>
      <c r="K516" s="3"/>
      <c r="M516" s="3"/>
      <c r="N516" s="3"/>
      <c r="O516" s="3"/>
      <c r="P516" s="3"/>
      <c r="Q516" s="3"/>
      <c r="R516" s="3"/>
      <c r="S516" s="3"/>
      <c r="T516" s="3"/>
      <c r="U516" s="3"/>
      <c r="V516" s="3"/>
    </row>
    <row r="517" spans="1:22" x14ac:dyDescent="0.25">
      <c r="A517" s="20">
        <v>42041</v>
      </c>
      <c r="B517" s="21">
        <v>11214</v>
      </c>
      <c r="C517" s="14" t="s">
        <v>148</v>
      </c>
      <c r="D517" s="105">
        <v>4307.6000000000004</v>
      </c>
      <c r="E517" s="23">
        <v>42041</v>
      </c>
      <c r="F517" s="106">
        <v>4307.6000000000004</v>
      </c>
      <c r="G517" s="31">
        <f t="shared" si="8"/>
        <v>0</v>
      </c>
      <c r="H517" s="39" t="s">
        <v>9</v>
      </c>
      <c r="K517" s="3"/>
      <c r="M517" s="3"/>
      <c r="N517" s="3"/>
      <c r="O517" s="3"/>
      <c r="P517" s="3"/>
      <c r="Q517" s="3"/>
      <c r="R517" s="3"/>
      <c r="S517" s="3"/>
      <c r="T517" s="3"/>
      <c r="U517" s="3"/>
      <c r="V517" s="3"/>
    </row>
    <row r="518" spans="1:22" x14ac:dyDescent="0.25">
      <c r="A518" s="20">
        <v>42041</v>
      </c>
      <c r="B518" s="21">
        <v>11215</v>
      </c>
      <c r="C518" s="14" t="s">
        <v>20</v>
      </c>
      <c r="D518" s="105">
        <v>18109.900000000001</v>
      </c>
      <c r="E518" s="23">
        <v>42041</v>
      </c>
      <c r="F518" s="106">
        <v>18109.900000000001</v>
      </c>
      <c r="G518" s="31">
        <f t="shared" si="8"/>
        <v>0</v>
      </c>
      <c r="H518" s="39" t="s">
        <v>94</v>
      </c>
      <c r="K518" s="3"/>
      <c r="M518" s="3"/>
      <c r="N518" s="3"/>
      <c r="O518" s="3"/>
      <c r="P518" s="3"/>
      <c r="Q518" s="3"/>
      <c r="R518" s="3"/>
      <c r="S518" s="3"/>
      <c r="T518" s="3"/>
      <c r="U518" s="3"/>
      <c r="V518" s="3"/>
    </row>
    <row r="519" spans="1:22" x14ac:dyDescent="0.25">
      <c r="A519" s="20">
        <v>42041</v>
      </c>
      <c r="B519" s="21">
        <v>11216</v>
      </c>
      <c r="C519" s="14" t="s">
        <v>232</v>
      </c>
      <c r="D519" s="105">
        <v>36847.199999999997</v>
      </c>
      <c r="E519" s="23">
        <v>42044</v>
      </c>
      <c r="F519" s="106">
        <v>36847.199999999997</v>
      </c>
      <c r="G519" s="31">
        <f t="shared" si="8"/>
        <v>0</v>
      </c>
      <c r="H519" s="39" t="s">
        <v>9</v>
      </c>
      <c r="K519" s="3"/>
      <c r="M519" s="3"/>
      <c r="N519" s="3"/>
      <c r="O519" s="3"/>
      <c r="P519" s="3"/>
      <c r="Q519" s="3"/>
      <c r="R519" s="3"/>
      <c r="S519" s="3"/>
      <c r="T519" s="3"/>
      <c r="U519" s="3"/>
      <c r="V519" s="3"/>
    </row>
    <row r="520" spans="1:22" x14ac:dyDescent="0.25">
      <c r="A520" s="20">
        <v>42041</v>
      </c>
      <c r="B520" s="21">
        <v>11217</v>
      </c>
      <c r="C520" s="14" t="s">
        <v>360</v>
      </c>
      <c r="D520" s="105">
        <v>416.4</v>
      </c>
      <c r="E520" s="23">
        <v>42041</v>
      </c>
      <c r="F520" s="106">
        <v>416.4</v>
      </c>
      <c r="G520" s="31">
        <f t="shared" si="8"/>
        <v>0</v>
      </c>
      <c r="H520" s="39" t="s">
        <v>9</v>
      </c>
      <c r="K520" s="3"/>
      <c r="M520" s="3"/>
      <c r="N520" s="3"/>
      <c r="O520" s="3"/>
      <c r="P520" s="3"/>
      <c r="Q520" s="3"/>
      <c r="R520" s="3"/>
      <c r="S520" s="3"/>
      <c r="T520" s="3"/>
      <c r="U520" s="3"/>
      <c r="V520" s="3"/>
    </row>
    <row r="521" spans="1:22" x14ac:dyDescent="0.25">
      <c r="A521" s="20">
        <v>42041</v>
      </c>
      <c r="B521" s="21">
        <v>11218</v>
      </c>
      <c r="C521" s="14" t="s">
        <v>114</v>
      </c>
      <c r="D521" s="105">
        <v>25159.07</v>
      </c>
      <c r="E521" s="23">
        <v>42041</v>
      </c>
      <c r="F521" s="106">
        <v>25159.07</v>
      </c>
      <c r="G521" s="31">
        <f t="shared" si="8"/>
        <v>0</v>
      </c>
      <c r="H521" s="39" t="s">
        <v>19</v>
      </c>
      <c r="K521" s="3"/>
      <c r="M521" s="3"/>
      <c r="N521" s="3"/>
      <c r="O521" s="3"/>
      <c r="P521" s="3"/>
      <c r="Q521" s="3"/>
      <c r="R521" s="3"/>
      <c r="S521" s="3"/>
      <c r="T521" s="3"/>
      <c r="U521" s="3"/>
      <c r="V521" s="3"/>
    </row>
    <row r="522" spans="1:22" x14ac:dyDescent="0.25">
      <c r="A522" s="20">
        <v>42041</v>
      </c>
      <c r="B522" s="21">
        <v>11219</v>
      </c>
      <c r="C522" s="14" t="s">
        <v>24</v>
      </c>
      <c r="D522" s="105">
        <v>6652.8</v>
      </c>
      <c r="E522" s="29" t="s">
        <v>576</v>
      </c>
      <c r="F522" s="106">
        <f>2206.6+4446.2</f>
        <v>6652.7999999999993</v>
      </c>
      <c r="G522" s="31">
        <f t="shared" si="8"/>
        <v>0</v>
      </c>
      <c r="H522" s="39" t="s">
        <v>19</v>
      </c>
      <c r="K522" s="3"/>
      <c r="M522" s="3"/>
      <c r="N522" s="3"/>
      <c r="O522" s="3"/>
      <c r="P522" s="3"/>
      <c r="Q522" s="3"/>
      <c r="R522" s="3"/>
      <c r="S522" s="3"/>
      <c r="T522" s="3"/>
      <c r="U522" s="3"/>
      <c r="V522" s="3"/>
    </row>
    <row r="523" spans="1:22" x14ac:dyDescent="0.25">
      <c r="A523" s="20">
        <v>42041</v>
      </c>
      <c r="B523" s="21">
        <v>11220</v>
      </c>
      <c r="C523" s="14" t="s">
        <v>413</v>
      </c>
      <c r="D523" s="105">
        <v>4242.6000000000004</v>
      </c>
      <c r="E523" s="23">
        <v>42041</v>
      </c>
      <c r="F523" s="106">
        <v>4242.6000000000004</v>
      </c>
      <c r="G523" s="31">
        <f t="shared" si="8"/>
        <v>0</v>
      </c>
      <c r="H523" s="39" t="s">
        <v>94</v>
      </c>
      <c r="K523" s="3"/>
      <c r="M523" s="3"/>
      <c r="N523" s="3"/>
      <c r="O523" s="3"/>
      <c r="P523" s="3"/>
      <c r="Q523" s="3"/>
      <c r="R523" s="3"/>
      <c r="S523" s="3"/>
      <c r="T523" s="3"/>
      <c r="U523" s="3"/>
      <c r="V523" s="3"/>
    </row>
    <row r="524" spans="1:22" x14ac:dyDescent="0.25">
      <c r="A524" s="20">
        <v>42041</v>
      </c>
      <c r="B524" s="21">
        <v>11221</v>
      </c>
      <c r="C524" s="14" t="s">
        <v>21</v>
      </c>
      <c r="D524" s="105">
        <v>3103</v>
      </c>
      <c r="E524" s="23">
        <v>42041</v>
      </c>
      <c r="F524" s="106">
        <v>3103</v>
      </c>
      <c r="G524" s="31">
        <f t="shared" si="8"/>
        <v>0</v>
      </c>
      <c r="H524" s="39" t="s">
        <v>9</v>
      </c>
      <c r="K524" s="3"/>
      <c r="M524" s="3"/>
      <c r="N524" s="3"/>
      <c r="O524" s="3"/>
      <c r="P524" s="3"/>
      <c r="Q524" s="3"/>
      <c r="R524" s="3"/>
      <c r="S524" s="3"/>
      <c r="T524" s="3"/>
      <c r="U524" s="3"/>
      <c r="V524" s="3"/>
    </row>
    <row r="525" spans="1:22" x14ac:dyDescent="0.25">
      <c r="A525" s="20">
        <v>42041</v>
      </c>
      <c r="B525" s="21">
        <v>11222</v>
      </c>
      <c r="C525" s="14" t="s">
        <v>474</v>
      </c>
      <c r="D525" s="105">
        <v>4161</v>
      </c>
      <c r="E525" s="23">
        <v>42041</v>
      </c>
      <c r="F525" s="106">
        <v>4161</v>
      </c>
      <c r="G525" s="31">
        <f t="shared" si="8"/>
        <v>0</v>
      </c>
      <c r="H525" s="39" t="s">
        <v>9</v>
      </c>
      <c r="K525" s="3"/>
      <c r="M525" s="3"/>
      <c r="N525" s="3"/>
      <c r="O525" s="3"/>
      <c r="P525" s="3"/>
      <c r="Q525" s="3"/>
      <c r="R525" s="3"/>
      <c r="S525" s="3"/>
      <c r="T525" s="3"/>
      <c r="U525" s="3"/>
      <c r="V525" s="3"/>
    </row>
    <row r="526" spans="1:22" x14ac:dyDescent="0.25">
      <c r="A526" s="20">
        <v>42041</v>
      </c>
      <c r="B526" s="21">
        <v>11223</v>
      </c>
      <c r="C526" s="14" t="s">
        <v>121</v>
      </c>
      <c r="D526" s="105">
        <v>2988</v>
      </c>
      <c r="E526" s="23">
        <v>42041</v>
      </c>
      <c r="F526" s="106">
        <v>2988</v>
      </c>
      <c r="G526" s="31">
        <f t="shared" si="8"/>
        <v>0</v>
      </c>
      <c r="H526" s="39" t="s">
        <v>9</v>
      </c>
      <c r="K526" s="3"/>
      <c r="M526" s="3"/>
      <c r="N526" s="3"/>
      <c r="O526" s="3"/>
      <c r="P526" s="3"/>
      <c r="Q526" s="3"/>
      <c r="R526" s="3"/>
      <c r="S526" s="3"/>
      <c r="T526" s="3"/>
      <c r="U526" s="3"/>
      <c r="V526" s="3"/>
    </row>
    <row r="527" spans="1:22" x14ac:dyDescent="0.25">
      <c r="A527" s="20">
        <v>42041</v>
      </c>
      <c r="B527" s="21">
        <v>11224</v>
      </c>
      <c r="C527" s="14" t="s">
        <v>140</v>
      </c>
      <c r="D527" s="105">
        <v>7019.6</v>
      </c>
      <c r="E527" s="23">
        <v>42041</v>
      </c>
      <c r="F527" s="106">
        <v>7019.6</v>
      </c>
      <c r="G527" s="31">
        <f t="shared" si="8"/>
        <v>0</v>
      </c>
      <c r="H527" s="39" t="s">
        <v>94</v>
      </c>
      <c r="K527" s="3"/>
      <c r="M527" s="3"/>
      <c r="N527" s="3"/>
      <c r="O527" s="3"/>
      <c r="P527" s="3"/>
      <c r="Q527" s="3"/>
      <c r="R527" s="3"/>
      <c r="S527" s="3"/>
      <c r="T527" s="3"/>
      <c r="U527" s="3"/>
      <c r="V527" s="3"/>
    </row>
    <row r="528" spans="1:22" x14ac:dyDescent="0.25">
      <c r="A528" s="20">
        <v>42041</v>
      </c>
      <c r="B528" s="21">
        <v>11225</v>
      </c>
      <c r="C528" s="14" t="s">
        <v>66</v>
      </c>
      <c r="D528" s="105">
        <v>3009.3</v>
      </c>
      <c r="E528" s="23">
        <v>42041</v>
      </c>
      <c r="F528" s="106">
        <v>3009.3</v>
      </c>
      <c r="G528" s="31">
        <f t="shared" si="8"/>
        <v>0</v>
      </c>
      <c r="H528" s="39" t="s">
        <v>9</v>
      </c>
      <c r="K528" s="3"/>
      <c r="M528" s="3"/>
      <c r="N528" s="3"/>
      <c r="O528" s="3"/>
      <c r="P528" s="3"/>
      <c r="Q528" s="3"/>
      <c r="R528" s="3"/>
      <c r="S528" s="3"/>
      <c r="T528" s="3"/>
      <c r="U528" s="3"/>
      <c r="V528" s="3"/>
    </row>
    <row r="529" spans="1:22" x14ac:dyDescent="0.25">
      <c r="A529" s="20">
        <v>42041</v>
      </c>
      <c r="B529" s="21">
        <v>11226</v>
      </c>
      <c r="C529" s="14" t="s">
        <v>135</v>
      </c>
      <c r="D529" s="105">
        <v>1372.8</v>
      </c>
      <c r="E529" s="23">
        <v>42041</v>
      </c>
      <c r="F529" s="106">
        <v>1372.8</v>
      </c>
      <c r="G529" s="31">
        <f t="shared" si="8"/>
        <v>0</v>
      </c>
      <c r="H529" s="39" t="s">
        <v>9</v>
      </c>
      <c r="K529" s="3"/>
      <c r="M529" s="3"/>
      <c r="N529" s="3"/>
      <c r="O529" s="3"/>
      <c r="P529" s="3"/>
      <c r="Q529" s="3"/>
      <c r="R529" s="3"/>
      <c r="S529" s="3"/>
      <c r="T529" s="3"/>
      <c r="U529" s="3"/>
      <c r="V529" s="3"/>
    </row>
    <row r="530" spans="1:22" x14ac:dyDescent="0.25">
      <c r="A530" s="20">
        <v>42041</v>
      </c>
      <c r="B530" s="21">
        <v>11227</v>
      </c>
      <c r="C530" s="14" t="s">
        <v>32</v>
      </c>
      <c r="D530" s="105">
        <v>275224.5</v>
      </c>
      <c r="E530" s="23">
        <v>42062</v>
      </c>
      <c r="F530" s="106">
        <v>275224.5</v>
      </c>
      <c r="G530" s="31">
        <f t="shared" si="8"/>
        <v>0</v>
      </c>
      <c r="H530" s="39" t="s">
        <v>19</v>
      </c>
      <c r="I530" s="3"/>
      <c r="J530" s="42"/>
      <c r="K530" s="3"/>
      <c r="M530" s="3"/>
      <c r="N530" s="3"/>
      <c r="O530" s="3"/>
      <c r="P530" s="3"/>
      <c r="Q530" s="3"/>
      <c r="R530" s="3"/>
      <c r="S530" s="3"/>
      <c r="T530" s="3"/>
      <c r="U530" s="3"/>
      <c r="V530" s="3"/>
    </row>
    <row r="531" spans="1:22" x14ac:dyDescent="0.25">
      <c r="A531" s="20">
        <v>42041</v>
      </c>
      <c r="B531" s="21">
        <v>11228</v>
      </c>
      <c r="C531" s="14" t="s">
        <v>37</v>
      </c>
      <c r="D531" s="105">
        <v>21453.119999999999</v>
      </c>
      <c r="E531" s="23">
        <v>42047</v>
      </c>
      <c r="F531" s="106">
        <v>21453.119999999999</v>
      </c>
      <c r="G531" s="31">
        <f t="shared" si="8"/>
        <v>0</v>
      </c>
      <c r="H531" s="39" t="s">
        <v>36</v>
      </c>
      <c r="I531" s="3"/>
      <c r="J531" s="42"/>
      <c r="K531" s="3"/>
      <c r="M531" s="3"/>
      <c r="N531" s="3"/>
      <c r="O531" s="3"/>
      <c r="P531" s="3"/>
      <c r="Q531" s="3"/>
      <c r="R531" s="3"/>
      <c r="S531" s="3"/>
      <c r="T531" s="3"/>
      <c r="U531" s="3"/>
      <c r="V531" s="3"/>
    </row>
    <row r="532" spans="1:22" x14ac:dyDescent="0.25">
      <c r="A532" s="20">
        <v>42041</v>
      </c>
      <c r="B532" s="21">
        <v>11229</v>
      </c>
      <c r="C532" s="14" t="s">
        <v>60</v>
      </c>
      <c r="D532" s="105">
        <v>5569.2</v>
      </c>
      <c r="E532" s="52"/>
      <c r="F532" s="111"/>
      <c r="G532" s="31">
        <f t="shared" si="8"/>
        <v>5569.2</v>
      </c>
      <c r="H532" s="39" t="s">
        <v>36</v>
      </c>
      <c r="I532" s="3"/>
      <c r="J532" s="42"/>
      <c r="K532" s="3"/>
      <c r="M532" s="3"/>
      <c r="N532" s="3"/>
      <c r="O532" s="3"/>
      <c r="P532" s="3"/>
      <c r="Q532" s="3"/>
      <c r="R532" s="3"/>
      <c r="S532" s="3"/>
      <c r="T532" s="3"/>
      <c r="U532" s="3"/>
      <c r="V532" s="3"/>
    </row>
    <row r="533" spans="1:22" x14ac:dyDescent="0.25">
      <c r="A533" s="20">
        <v>42041</v>
      </c>
      <c r="B533" s="21">
        <v>11230</v>
      </c>
      <c r="C533" s="50" t="s">
        <v>14</v>
      </c>
      <c r="D533" s="105">
        <v>111979.26</v>
      </c>
      <c r="E533" s="23">
        <v>42048</v>
      </c>
      <c r="F533" s="106">
        <v>111979.26</v>
      </c>
      <c r="G533" s="31">
        <f t="shared" si="8"/>
        <v>0</v>
      </c>
      <c r="H533" s="39" t="s">
        <v>9</v>
      </c>
      <c r="I533" s="3"/>
      <c r="J533" s="42"/>
      <c r="K533" s="3"/>
      <c r="M533" s="3"/>
      <c r="N533" s="3"/>
      <c r="O533" s="3"/>
      <c r="P533" s="3"/>
      <c r="Q533" s="3"/>
      <c r="R533" s="3"/>
      <c r="S533" s="3"/>
      <c r="T533" s="3"/>
      <c r="U533" s="3"/>
      <c r="V533" s="3"/>
    </row>
    <row r="534" spans="1:22" x14ac:dyDescent="0.25">
      <c r="A534" s="20">
        <v>42041</v>
      </c>
      <c r="B534" s="21">
        <v>11231</v>
      </c>
      <c r="C534" s="14" t="s">
        <v>228</v>
      </c>
      <c r="D534" s="105">
        <v>6293</v>
      </c>
      <c r="E534" s="23">
        <v>42041</v>
      </c>
      <c r="F534" s="106">
        <v>6293</v>
      </c>
      <c r="G534" s="31">
        <f t="shared" si="8"/>
        <v>0</v>
      </c>
      <c r="H534" s="39" t="s">
        <v>9</v>
      </c>
      <c r="I534" s="3"/>
      <c r="J534" s="42"/>
      <c r="K534" s="3"/>
      <c r="M534" s="3"/>
      <c r="N534" s="3"/>
      <c r="O534" s="3"/>
      <c r="P534" s="3"/>
      <c r="Q534" s="3"/>
      <c r="R534" s="3"/>
      <c r="S534" s="3"/>
      <c r="T534" s="3"/>
      <c r="U534" s="3"/>
      <c r="V534" s="3"/>
    </row>
    <row r="535" spans="1:22" x14ac:dyDescent="0.25">
      <c r="A535" s="20">
        <v>42041</v>
      </c>
      <c r="B535" s="21">
        <v>11232</v>
      </c>
      <c r="C535" s="14" t="s">
        <v>213</v>
      </c>
      <c r="D535" s="105">
        <v>58760.800000000003</v>
      </c>
      <c r="E535" s="23">
        <v>42041</v>
      </c>
      <c r="F535" s="106">
        <v>58760.800000000003</v>
      </c>
      <c r="G535" s="31">
        <f t="shared" si="8"/>
        <v>0</v>
      </c>
      <c r="H535" s="39" t="s">
        <v>46</v>
      </c>
      <c r="I535" s="3"/>
      <c r="J535" s="42"/>
      <c r="K535" s="3"/>
      <c r="M535" s="3"/>
      <c r="N535" s="3"/>
      <c r="O535" s="3"/>
      <c r="P535" s="3"/>
      <c r="Q535" s="3"/>
      <c r="R535" s="3"/>
      <c r="S535" s="3"/>
      <c r="T535" s="3"/>
      <c r="U535" s="3"/>
      <c r="V535" s="3"/>
    </row>
    <row r="536" spans="1:22" x14ac:dyDescent="0.25">
      <c r="A536" s="20">
        <v>42041</v>
      </c>
      <c r="B536" s="21">
        <v>11233</v>
      </c>
      <c r="C536" s="14" t="s">
        <v>118</v>
      </c>
      <c r="D536" s="105">
        <v>9840</v>
      </c>
      <c r="E536" s="30">
        <v>42069</v>
      </c>
      <c r="F536" s="144">
        <v>9840</v>
      </c>
      <c r="G536" s="31">
        <f t="shared" si="8"/>
        <v>0</v>
      </c>
      <c r="H536" s="39" t="s">
        <v>59</v>
      </c>
      <c r="I536" s="3"/>
      <c r="J536" s="42"/>
      <c r="K536" s="3"/>
      <c r="M536" s="3"/>
      <c r="N536" s="3"/>
      <c r="O536" s="3"/>
      <c r="P536" s="3"/>
      <c r="Q536" s="3"/>
      <c r="R536" s="3"/>
      <c r="S536" s="3"/>
      <c r="T536" s="3"/>
      <c r="U536" s="3"/>
      <c r="V536" s="3"/>
    </row>
    <row r="537" spans="1:22" x14ac:dyDescent="0.25">
      <c r="A537" s="20">
        <v>42041</v>
      </c>
      <c r="B537" s="21">
        <v>11234</v>
      </c>
      <c r="C537" s="14" t="s">
        <v>239</v>
      </c>
      <c r="D537" s="105">
        <v>1493.2</v>
      </c>
      <c r="E537" s="23">
        <v>42041</v>
      </c>
      <c r="F537" s="106">
        <v>1493.2</v>
      </c>
      <c r="G537" s="31">
        <f t="shared" si="8"/>
        <v>0</v>
      </c>
      <c r="H537" s="39" t="s">
        <v>9</v>
      </c>
      <c r="I537" s="3"/>
      <c r="J537" s="42"/>
      <c r="K537" s="3"/>
      <c r="M537" s="3"/>
      <c r="N537" s="3"/>
      <c r="O537" s="3"/>
      <c r="P537" s="3"/>
      <c r="Q537" s="3"/>
      <c r="R537" s="3"/>
      <c r="S537" s="3"/>
      <c r="T537" s="3"/>
      <c r="U537" s="3"/>
      <c r="V537" s="3"/>
    </row>
    <row r="538" spans="1:22" x14ac:dyDescent="0.25">
      <c r="A538" s="20">
        <v>42041</v>
      </c>
      <c r="B538" s="21">
        <v>11235</v>
      </c>
      <c r="C538" s="14" t="s">
        <v>120</v>
      </c>
      <c r="D538" s="105">
        <v>3727.6</v>
      </c>
      <c r="E538" s="23">
        <v>42041</v>
      </c>
      <c r="F538" s="106">
        <v>3727.6</v>
      </c>
      <c r="G538" s="31">
        <f t="shared" si="8"/>
        <v>0</v>
      </c>
      <c r="H538" s="39" t="s">
        <v>59</v>
      </c>
      <c r="I538" s="3"/>
      <c r="J538" s="42"/>
      <c r="K538" s="3"/>
      <c r="M538" s="3"/>
      <c r="N538" s="3"/>
      <c r="O538" s="3"/>
      <c r="P538" s="3"/>
      <c r="Q538" s="3"/>
      <c r="R538" s="3"/>
      <c r="S538" s="3"/>
      <c r="T538" s="3"/>
      <c r="U538" s="3"/>
      <c r="V538" s="3"/>
    </row>
    <row r="539" spans="1:22" x14ac:dyDescent="0.25">
      <c r="A539" s="20">
        <v>42041</v>
      </c>
      <c r="B539" s="21">
        <v>11236</v>
      </c>
      <c r="C539" s="14" t="s">
        <v>14</v>
      </c>
      <c r="D539" s="105">
        <v>4108.2</v>
      </c>
      <c r="E539" s="23">
        <v>42048</v>
      </c>
      <c r="F539" s="106">
        <v>4108.2</v>
      </c>
      <c r="G539" s="31">
        <f t="shared" si="8"/>
        <v>0</v>
      </c>
      <c r="H539" s="39" t="s">
        <v>15</v>
      </c>
      <c r="I539" s="3"/>
      <c r="J539" s="42"/>
      <c r="K539" s="3"/>
      <c r="M539" s="3"/>
      <c r="N539" s="3"/>
      <c r="O539" s="3"/>
      <c r="P539" s="3"/>
      <c r="Q539" s="3"/>
      <c r="R539" s="3"/>
      <c r="S539" s="3"/>
      <c r="T539" s="3"/>
      <c r="U539" s="3"/>
      <c r="V539" s="3"/>
    </row>
    <row r="540" spans="1:22" x14ac:dyDescent="0.25">
      <c r="A540" s="20">
        <v>42041</v>
      </c>
      <c r="B540" s="21">
        <v>11237</v>
      </c>
      <c r="C540" s="14" t="s">
        <v>292</v>
      </c>
      <c r="D540" s="105">
        <v>3203.2</v>
      </c>
      <c r="E540" s="23">
        <v>42041</v>
      </c>
      <c r="F540" s="106">
        <v>3203.2</v>
      </c>
      <c r="G540" s="31">
        <f t="shared" si="8"/>
        <v>0</v>
      </c>
      <c r="H540" s="39" t="s">
        <v>59</v>
      </c>
      <c r="I540" s="3"/>
      <c r="J540" s="42"/>
      <c r="K540" s="3"/>
      <c r="M540" s="3"/>
      <c r="N540" s="3"/>
      <c r="O540" s="3"/>
      <c r="P540" s="3"/>
      <c r="Q540" s="3"/>
      <c r="R540" s="3"/>
      <c r="S540" s="3"/>
      <c r="T540" s="3"/>
      <c r="U540" s="3"/>
      <c r="V540" s="3"/>
    </row>
    <row r="541" spans="1:22" x14ac:dyDescent="0.25">
      <c r="A541" s="20">
        <v>42041</v>
      </c>
      <c r="B541" s="21">
        <v>11238</v>
      </c>
      <c r="C541" s="14" t="s">
        <v>168</v>
      </c>
      <c r="D541" s="105">
        <v>1255.8</v>
      </c>
      <c r="E541" s="23">
        <v>42041</v>
      </c>
      <c r="F541" s="106">
        <v>1255.8</v>
      </c>
      <c r="G541" s="31">
        <f t="shared" si="8"/>
        <v>0</v>
      </c>
      <c r="H541" s="39" t="s">
        <v>59</v>
      </c>
      <c r="I541" s="3"/>
      <c r="J541" s="42"/>
      <c r="K541" s="3"/>
      <c r="M541" s="3"/>
      <c r="N541" s="3"/>
      <c r="O541" s="3"/>
      <c r="P541" s="3"/>
      <c r="Q541" s="3"/>
      <c r="R541" s="3"/>
      <c r="S541" s="3"/>
      <c r="T541" s="3"/>
      <c r="U541" s="3"/>
      <c r="V541" s="3"/>
    </row>
    <row r="542" spans="1:22" x14ac:dyDescent="0.25">
      <c r="A542" s="20">
        <v>42041</v>
      </c>
      <c r="B542" s="21">
        <v>11239</v>
      </c>
      <c r="C542" s="14" t="s">
        <v>126</v>
      </c>
      <c r="D542" s="105">
        <v>5538</v>
      </c>
      <c r="E542" s="23">
        <v>42041</v>
      </c>
      <c r="F542" s="106">
        <v>5538</v>
      </c>
      <c r="G542" s="31">
        <f t="shared" si="8"/>
        <v>0</v>
      </c>
      <c r="H542" s="39" t="s">
        <v>59</v>
      </c>
      <c r="I542" s="3"/>
      <c r="J542" s="42"/>
      <c r="K542" s="3"/>
      <c r="M542" s="3"/>
      <c r="N542" s="3"/>
      <c r="O542" s="3"/>
      <c r="P542" s="3"/>
      <c r="Q542" s="3"/>
      <c r="R542" s="3"/>
      <c r="S542" s="3"/>
      <c r="T542" s="3"/>
      <c r="U542" s="3"/>
      <c r="V542" s="3"/>
    </row>
    <row r="543" spans="1:22" x14ac:dyDescent="0.25">
      <c r="A543" s="20">
        <v>42041</v>
      </c>
      <c r="B543" s="21">
        <v>11240</v>
      </c>
      <c r="C543" s="14" t="s">
        <v>82</v>
      </c>
      <c r="D543" s="105">
        <v>7566.4</v>
      </c>
      <c r="E543" s="23">
        <v>42041</v>
      </c>
      <c r="F543" s="106">
        <v>7566.4</v>
      </c>
      <c r="G543" s="31">
        <f t="shared" si="8"/>
        <v>0</v>
      </c>
      <c r="H543" s="39" t="s">
        <v>59</v>
      </c>
      <c r="I543" s="3"/>
      <c r="J543" s="42"/>
      <c r="K543" s="3"/>
      <c r="M543" s="3"/>
      <c r="N543" s="3"/>
      <c r="O543" s="3"/>
      <c r="P543" s="3"/>
      <c r="Q543" s="3"/>
      <c r="R543" s="3"/>
      <c r="S543" s="3"/>
      <c r="T543" s="3"/>
      <c r="U543" s="3"/>
      <c r="V543" s="3"/>
    </row>
    <row r="544" spans="1:22" x14ac:dyDescent="0.25">
      <c r="A544" s="20">
        <v>42041</v>
      </c>
      <c r="B544" s="21">
        <v>11241</v>
      </c>
      <c r="C544" s="14" t="s">
        <v>53</v>
      </c>
      <c r="D544" s="105">
        <v>1244.0999999999999</v>
      </c>
      <c r="E544" s="51">
        <v>42041</v>
      </c>
      <c r="F544" s="106">
        <v>1244.0999999999999</v>
      </c>
      <c r="G544" s="31">
        <f t="shared" si="8"/>
        <v>0</v>
      </c>
      <c r="H544" s="39" t="s">
        <v>59</v>
      </c>
      <c r="I544" s="3"/>
      <c r="J544" s="42"/>
      <c r="K544" s="3"/>
      <c r="M544" s="3"/>
      <c r="N544" s="3"/>
      <c r="O544" s="3"/>
      <c r="P544" s="3"/>
      <c r="Q544" s="3"/>
      <c r="R544" s="3"/>
      <c r="S544" s="3"/>
      <c r="T544" s="3"/>
      <c r="U544" s="3"/>
      <c r="V544" s="3"/>
    </row>
    <row r="545" spans="1:22" x14ac:dyDescent="0.25">
      <c r="A545" s="20">
        <v>42041</v>
      </c>
      <c r="B545" s="21">
        <v>11242</v>
      </c>
      <c r="C545" s="14" t="s">
        <v>81</v>
      </c>
      <c r="D545" s="105">
        <v>2552.4</v>
      </c>
      <c r="E545" s="23">
        <v>42041</v>
      </c>
      <c r="F545" s="106">
        <v>2552.4</v>
      </c>
      <c r="G545" s="31">
        <f t="shared" si="8"/>
        <v>0</v>
      </c>
      <c r="H545" s="39" t="s">
        <v>59</v>
      </c>
      <c r="I545" s="3"/>
      <c r="J545" s="42"/>
      <c r="K545" s="3"/>
      <c r="M545" s="3"/>
      <c r="N545" s="3"/>
      <c r="O545" s="3"/>
      <c r="P545" s="3"/>
      <c r="Q545" s="3"/>
      <c r="R545" s="3"/>
      <c r="S545" s="3"/>
      <c r="T545" s="3"/>
      <c r="U545" s="3"/>
      <c r="V545" s="3"/>
    </row>
    <row r="546" spans="1:22" x14ac:dyDescent="0.25">
      <c r="A546" s="20">
        <v>42041</v>
      </c>
      <c r="B546" s="21">
        <v>11243</v>
      </c>
      <c r="C546" s="14" t="s">
        <v>167</v>
      </c>
      <c r="D546" s="105">
        <v>376.8</v>
      </c>
      <c r="E546" s="23">
        <v>42041</v>
      </c>
      <c r="F546" s="106">
        <v>376.8</v>
      </c>
      <c r="G546" s="31">
        <f t="shared" si="8"/>
        <v>0</v>
      </c>
      <c r="H546" s="39" t="s">
        <v>59</v>
      </c>
      <c r="I546" s="3"/>
      <c r="J546" s="42"/>
      <c r="K546" s="3"/>
      <c r="M546" s="3"/>
      <c r="N546" s="3"/>
      <c r="O546" s="3"/>
      <c r="P546" s="3"/>
      <c r="Q546" s="3"/>
      <c r="R546" s="3"/>
      <c r="S546" s="3"/>
      <c r="T546" s="3"/>
      <c r="U546" s="3"/>
      <c r="V546" s="3"/>
    </row>
    <row r="547" spans="1:22" x14ac:dyDescent="0.25">
      <c r="A547" s="20">
        <v>42041</v>
      </c>
      <c r="B547" s="21">
        <v>11244</v>
      </c>
      <c r="C547" s="14" t="s">
        <v>133</v>
      </c>
      <c r="D547" s="105">
        <v>1042.2</v>
      </c>
      <c r="E547" s="23">
        <v>42041</v>
      </c>
      <c r="F547" s="106">
        <v>1042.2</v>
      </c>
      <c r="G547" s="31">
        <f t="shared" si="8"/>
        <v>0</v>
      </c>
      <c r="H547" s="39" t="s">
        <v>9</v>
      </c>
      <c r="I547" s="3"/>
      <c r="J547" s="42"/>
      <c r="K547" s="3"/>
      <c r="M547" s="3"/>
      <c r="N547" s="3"/>
      <c r="O547" s="3"/>
      <c r="P547" s="3"/>
      <c r="Q547" s="3"/>
      <c r="R547" s="3"/>
      <c r="S547" s="3"/>
      <c r="T547" s="3"/>
      <c r="U547" s="3"/>
      <c r="V547" s="3"/>
    </row>
    <row r="548" spans="1:22" x14ac:dyDescent="0.25">
      <c r="A548" s="20">
        <v>42041</v>
      </c>
      <c r="B548" s="21">
        <v>11245</v>
      </c>
      <c r="C548" s="14" t="s">
        <v>57</v>
      </c>
      <c r="D548" s="105">
        <v>1140</v>
      </c>
      <c r="E548" s="23">
        <v>42041</v>
      </c>
      <c r="F548" s="106">
        <v>1140</v>
      </c>
      <c r="G548" s="31">
        <f t="shared" si="8"/>
        <v>0</v>
      </c>
      <c r="H548" s="39" t="s">
        <v>59</v>
      </c>
      <c r="I548" s="3"/>
      <c r="J548" s="42"/>
      <c r="K548" s="3"/>
      <c r="M548" s="3"/>
      <c r="N548" s="3"/>
      <c r="O548" s="3"/>
      <c r="P548" s="3"/>
      <c r="Q548" s="3"/>
      <c r="R548" s="3"/>
      <c r="S548" s="3"/>
      <c r="T548" s="3"/>
      <c r="U548" s="3"/>
      <c r="V548" s="3"/>
    </row>
    <row r="549" spans="1:22" x14ac:dyDescent="0.25">
      <c r="A549" s="20">
        <v>42041</v>
      </c>
      <c r="B549" s="21">
        <v>11246</v>
      </c>
      <c r="C549" s="14" t="s">
        <v>128</v>
      </c>
      <c r="D549" s="105">
        <v>5616</v>
      </c>
      <c r="E549" s="23">
        <v>42041</v>
      </c>
      <c r="F549" s="106">
        <v>5616</v>
      </c>
      <c r="G549" s="31">
        <f t="shared" si="8"/>
        <v>0</v>
      </c>
      <c r="H549" s="39" t="s">
        <v>17</v>
      </c>
      <c r="I549" s="3"/>
      <c r="J549" s="42"/>
      <c r="K549" s="3"/>
      <c r="M549" s="3"/>
      <c r="N549" s="3"/>
      <c r="O549" s="3"/>
      <c r="P549" s="3"/>
      <c r="Q549" s="3"/>
      <c r="R549" s="3"/>
      <c r="S549" s="3"/>
      <c r="T549" s="3"/>
      <c r="U549" s="3"/>
      <c r="V549" s="3"/>
    </row>
    <row r="550" spans="1:22" x14ac:dyDescent="0.25">
      <c r="A550" s="20">
        <v>42041</v>
      </c>
      <c r="B550" s="21">
        <v>11247</v>
      </c>
      <c r="C550" s="14" t="s">
        <v>214</v>
      </c>
      <c r="D550" s="105">
        <v>1140</v>
      </c>
      <c r="E550" s="23">
        <v>42041</v>
      </c>
      <c r="F550" s="106">
        <v>1140</v>
      </c>
      <c r="G550" s="31">
        <f t="shared" si="8"/>
        <v>0</v>
      </c>
      <c r="H550" s="39" t="s">
        <v>59</v>
      </c>
      <c r="I550" s="3"/>
      <c r="J550" s="42"/>
      <c r="K550" s="3"/>
      <c r="M550" s="3"/>
      <c r="N550" s="3"/>
      <c r="O550" s="3"/>
      <c r="P550" s="3"/>
      <c r="Q550" s="3"/>
      <c r="R550" s="3"/>
      <c r="S550" s="3"/>
      <c r="T550" s="3"/>
      <c r="U550" s="3"/>
      <c r="V550" s="3"/>
    </row>
    <row r="551" spans="1:22" x14ac:dyDescent="0.25">
      <c r="A551" s="20">
        <v>42041</v>
      </c>
      <c r="B551" s="21">
        <v>11248</v>
      </c>
      <c r="C551" s="14" t="s">
        <v>130</v>
      </c>
      <c r="D551" s="105">
        <v>4903.2</v>
      </c>
      <c r="E551" s="23">
        <v>42042</v>
      </c>
      <c r="F551" s="106">
        <v>4903.2</v>
      </c>
      <c r="G551" s="31">
        <f t="shared" si="8"/>
        <v>0</v>
      </c>
      <c r="H551" s="39" t="s">
        <v>17</v>
      </c>
      <c r="I551" s="3"/>
      <c r="J551" s="42"/>
      <c r="K551" s="3"/>
      <c r="M551" s="3"/>
      <c r="N551" s="3"/>
      <c r="O551" s="3"/>
      <c r="P551" s="3"/>
      <c r="Q551" s="3"/>
      <c r="R551" s="3"/>
      <c r="S551" s="3"/>
      <c r="T551" s="3"/>
      <c r="U551" s="3"/>
      <c r="V551" s="3"/>
    </row>
    <row r="552" spans="1:22" x14ac:dyDescent="0.25">
      <c r="A552" s="20">
        <v>42041</v>
      </c>
      <c r="B552" s="21">
        <v>11249</v>
      </c>
      <c r="C552" s="14" t="s">
        <v>131</v>
      </c>
      <c r="D552" s="105">
        <v>8960.7000000000007</v>
      </c>
      <c r="E552" s="23" t="s">
        <v>577</v>
      </c>
      <c r="F552" s="106">
        <f>2517.8+6442.9</f>
        <v>8960.7000000000007</v>
      </c>
      <c r="G552" s="31">
        <f t="shared" si="8"/>
        <v>0</v>
      </c>
      <c r="H552" s="39" t="s">
        <v>17</v>
      </c>
      <c r="I552" s="3"/>
      <c r="J552" s="42"/>
      <c r="K552" s="3"/>
      <c r="M552" s="3"/>
      <c r="N552" s="3"/>
      <c r="O552" s="3"/>
      <c r="P552" s="3"/>
      <c r="Q552" s="3"/>
      <c r="R552" s="3"/>
      <c r="S552" s="3"/>
      <c r="T552" s="3"/>
      <c r="U552" s="3"/>
      <c r="V552" s="3"/>
    </row>
    <row r="553" spans="1:22" x14ac:dyDescent="0.25">
      <c r="A553" s="20">
        <v>42041</v>
      </c>
      <c r="B553" s="21">
        <v>11250</v>
      </c>
      <c r="C553" s="14" t="s">
        <v>165</v>
      </c>
      <c r="D553" s="105">
        <v>2973.6</v>
      </c>
      <c r="E553" s="23">
        <v>42041</v>
      </c>
      <c r="F553" s="106">
        <v>2973.6</v>
      </c>
      <c r="G553" s="31">
        <f t="shared" si="8"/>
        <v>0</v>
      </c>
      <c r="H553" s="39" t="s">
        <v>17</v>
      </c>
      <c r="I553" s="3"/>
      <c r="J553" s="42"/>
      <c r="K553" s="3"/>
      <c r="M553" s="3"/>
      <c r="N553" s="3"/>
      <c r="O553" s="3"/>
      <c r="P553" s="3"/>
      <c r="Q553" s="3"/>
      <c r="R553" s="3"/>
      <c r="S553" s="3"/>
      <c r="T553" s="3"/>
      <c r="U553" s="3"/>
      <c r="V553" s="3"/>
    </row>
    <row r="554" spans="1:22" x14ac:dyDescent="0.25">
      <c r="A554" s="20">
        <v>42041</v>
      </c>
      <c r="B554" s="21">
        <v>11251</v>
      </c>
      <c r="C554" s="14" t="s">
        <v>83</v>
      </c>
      <c r="D554" s="105">
        <v>5335.2</v>
      </c>
      <c r="E554" s="23">
        <v>42041</v>
      </c>
      <c r="F554" s="106">
        <v>5335.2</v>
      </c>
      <c r="G554" s="31">
        <f t="shared" si="8"/>
        <v>0</v>
      </c>
      <c r="H554" s="39" t="s">
        <v>59</v>
      </c>
      <c r="I554" s="3"/>
      <c r="J554" s="42"/>
      <c r="K554" s="3"/>
      <c r="M554" s="3"/>
      <c r="N554" s="3"/>
      <c r="O554" s="3"/>
      <c r="P554" s="3"/>
      <c r="Q554" s="3"/>
      <c r="R554" s="3"/>
      <c r="S554" s="3"/>
      <c r="T554" s="3"/>
      <c r="U554" s="3"/>
      <c r="V554" s="3"/>
    </row>
    <row r="555" spans="1:22" x14ac:dyDescent="0.25">
      <c r="A555" s="20">
        <v>42041</v>
      </c>
      <c r="B555" s="21">
        <v>11252</v>
      </c>
      <c r="C555" s="26" t="s">
        <v>218</v>
      </c>
      <c r="D555" s="108">
        <v>0</v>
      </c>
      <c r="E555" s="23"/>
      <c r="F555" s="106"/>
      <c r="G555" s="31">
        <f t="shared" si="8"/>
        <v>0</v>
      </c>
      <c r="H555" s="39" t="s">
        <v>13</v>
      </c>
      <c r="I555" s="3"/>
      <c r="J555" s="42"/>
      <c r="K555" s="3"/>
      <c r="M555" s="3"/>
      <c r="N555" s="3"/>
      <c r="O555" s="3"/>
      <c r="P555" s="3"/>
      <c r="Q555" s="3"/>
      <c r="R555" s="3"/>
      <c r="S555" s="3"/>
      <c r="T555" s="3"/>
      <c r="U555" s="3"/>
      <c r="V555" s="3"/>
    </row>
    <row r="556" spans="1:22" x14ac:dyDescent="0.25">
      <c r="A556" s="20">
        <v>42041</v>
      </c>
      <c r="B556" s="21">
        <v>11253</v>
      </c>
      <c r="C556" s="14" t="s">
        <v>45</v>
      </c>
      <c r="D556" s="105">
        <v>5632.2</v>
      </c>
      <c r="E556" s="23">
        <v>42055</v>
      </c>
      <c r="F556" s="106">
        <v>5632.2</v>
      </c>
      <c r="G556" s="31">
        <f t="shared" si="8"/>
        <v>0</v>
      </c>
      <c r="H556" s="39" t="s">
        <v>59</v>
      </c>
      <c r="I556" s="3"/>
      <c r="J556" s="42"/>
      <c r="K556" s="3"/>
      <c r="M556" s="3"/>
      <c r="N556" s="3"/>
      <c r="O556" s="3"/>
      <c r="P556" s="3"/>
      <c r="Q556" s="3"/>
      <c r="R556" s="3"/>
      <c r="S556" s="3"/>
      <c r="T556" s="3"/>
      <c r="U556" s="3"/>
      <c r="V556" s="3"/>
    </row>
    <row r="557" spans="1:22" x14ac:dyDescent="0.25">
      <c r="A557" s="20">
        <v>42041</v>
      </c>
      <c r="B557" s="21">
        <v>11254</v>
      </c>
      <c r="C557" s="14" t="s">
        <v>30</v>
      </c>
      <c r="D557" s="105">
        <v>3591.6</v>
      </c>
      <c r="E557" s="23">
        <v>42041</v>
      </c>
      <c r="F557" s="106">
        <v>3591.6</v>
      </c>
      <c r="G557" s="31">
        <f t="shared" si="8"/>
        <v>0</v>
      </c>
      <c r="H557" s="39" t="s">
        <v>9</v>
      </c>
      <c r="I557" s="3"/>
      <c r="J557" s="42"/>
      <c r="K557" s="3"/>
      <c r="M557" s="3"/>
      <c r="N557" s="3"/>
      <c r="O557" s="3"/>
      <c r="P557" s="3"/>
      <c r="Q557" s="3"/>
      <c r="R557" s="3"/>
      <c r="S557" s="3"/>
      <c r="T557" s="3"/>
      <c r="U557" s="3"/>
      <c r="V557" s="3"/>
    </row>
    <row r="558" spans="1:22" x14ac:dyDescent="0.25">
      <c r="A558" s="20">
        <v>42041</v>
      </c>
      <c r="B558" s="21">
        <v>11255</v>
      </c>
      <c r="C558" s="14" t="s">
        <v>578</v>
      </c>
      <c r="D558" s="105">
        <v>3432</v>
      </c>
      <c r="E558" s="23">
        <v>42041</v>
      </c>
      <c r="F558" s="106">
        <v>3432</v>
      </c>
      <c r="G558" s="31">
        <f t="shared" si="8"/>
        <v>0</v>
      </c>
      <c r="H558" s="39" t="s">
        <v>27</v>
      </c>
      <c r="I558" s="3"/>
      <c r="J558" s="42"/>
      <c r="K558" s="3"/>
      <c r="M558" s="3"/>
      <c r="N558" s="3"/>
      <c r="O558" s="3"/>
      <c r="P558" s="3"/>
      <c r="Q558" s="3"/>
      <c r="R558" s="3"/>
      <c r="S558" s="3"/>
      <c r="T558" s="3"/>
      <c r="U558" s="3"/>
      <c r="V558" s="3"/>
    </row>
    <row r="559" spans="1:22" x14ac:dyDescent="0.25">
      <c r="A559" s="20">
        <v>42041</v>
      </c>
      <c r="B559" s="21">
        <v>11256</v>
      </c>
      <c r="C559" s="14" t="s">
        <v>34</v>
      </c>
      <c r="D559" s="105">
        <v>3792.4</v>
      </c>
      <c r="E559" s="23">
        <v>42041</v>
      </c>
      <c r="F559" s="106">
        <v>3792.4</v>
      </c>
      <c r="G559" s="31">
        <f t="shared" si="8"/>
        <v>0</v>
      </c>
      <c r="H559" s="39" t="s">
        <v>9</v>
      </c>
      <c r="I559" s="3"/>
      <c r="J559" s="42"/>
      <c r="K559" s="3"/>
      <c r="M559" s="3"/>
      <c r="N559" s="3"/>
      <c r="O559" s="3"/>
      <c r="P559" s="3"/>
      <c r="Q559" s="3"/>
      <c r="R559" s="3"/>
      <c r="S559" s="3"/>
      <c r="T559" s="3"/>
      <c r="U559" s="3"/>
      <c r="V559" s="3"/>
    </row>
    <row r="560" spans="1:22" x14ac:dyDescent="0.25">
      <c r="A560" s="20">
        <v>42041</v>
      </c>
      <c r="B560" s="21">
        <v>11257</v>
      </c>
      <c r="C560" s="14" t="s">
        <v>192</v>
      </c>
      <c r="D560" s="105">
        <v>6000</v>
      </c>
      <c r="E560" s="23">
        <v>42055</v>
      </c>
      <c r="F560" s="106">
        <v>6000</v>
      </c>
      <c r="G560" s="31">
        <f t="shared" si="8"/>
        <v>0</v>
      </c>
      <c r="H560" s="39" t="s">
        <v>17</v>
      </c>
      <c r="I560" s="3"/>
      <c r="J560" s="42"/>
      <c r="K560" s="3"/>
      <c r="M560" s="3"/>
      <c r="N560" s="3"/>
      <c r="O560" s="3"/>
      <c r="P560" s="3"/>
      <c r="Q560" s="3"/>
      <c r="R560" s="3"/>
      <c r="S560" s="3"/>
      <c r="T560" s="3"/>
      <c r="U560" s="3"/>
      <c r="V560" s="3"/>
    </row>
    <row r="561" spans="1:22" x14ac:dyDescent="0.25">
      <c r="A561" s="20">
        <v>42041</v>
      </c>
      <c r="B561" s="21">
        <v>11258</v>
      </c>
      <c r="C561" s="14" t="s">
        <v>388</v>
      </c>
      <c r="D561" s="105">
        <v>408.8</v>
      </c>
      <c r="E561" s="23">
        <v>42041</v>
      </c>
      <c r="F561" s="106">
        <v>408.8</v>
      </c>
      <c r="G561" s="31">
        <f t="shared" si="8"/>
        <v>0</v>
      </c>
      <c r="H561" s="39" t="s">
        <v>9</v>
      </c>
      <c r="I561" s="3"/>
      <c r="J561" s="42"/>
      <c r="K561" s="3"/>
      <c r="M561" s="3"/>
      <c r="N561" s="3"/>
      <c r="O561" s="3"/>
      <c r="P561" s="3"/>
      <c r="Q561" s="3"/>
      <c r="R561" s="3"/>
      <c r="S561" s="3"/>
      <c r="T561" s="3"/>
      <c r="U561" s="3"/>
      <c r="V561" s="3"/>
    </row>
    <row r="562" spans="1:22" x14ac:dyDescent="0.25">
      <c r="A562" s="20">
        <v>42041</v>
      </c>
      <c r="B562" s="21">
        <v>11259</v>
      </c>
      <c r="C562" s="14" t="s">
        <v>112</v>
      </c>
      <c r="D562" s="105">
        <v>748</v>
      </c>
      <c r="E562" s="23">
        <v>42041</v>
      </c>
      <c r="F562" s="106">
        <v>748</v>
      </c>
      <c r="G562" s="31">
        <f t="shared" si="8"/>
        <v>0</v>
      </c>
      <c r="H562" s="39" t="s">
        <v>9</v>
      </c>
      <c r="K562" s="3"/>
      <c r="M562" s="3"/>
      <c r="N562" s="3"/>
      <c r="O562" s="3"/>
      <c r="P562" s="3"/>
      <c r="Q562" s="3"/>
      <c r="R562" s="3"/>
      <c r="S562" s="3"/>
      <c r="T562" s="3"/>
      <c r="U562" s="3"/>
      <c r="V562" s="3"/>
    </row>
    <row r="563" spans="1:22" x14ac:dyDescent="0.25">
      <c r="A563" s="20">
        <v>42041</v>
      </c>
      <c r="B563" s="21">
        <v>11260</v>
      </c>
      <c r="C563" s="14" t="s">
        <v>136</v>
      </c>
      <c r="D563" s="105">
        <v>4180.8</v>
      </c>
      <c r="E563" s="23">
        <v>42041</v>
      </c>
      <c r="F563" s="106">
        <v>4180.8</v>
      </c>
      <c r="G563" s="31">
        <f t="shared" si="8"/>
        <v>0</v>
      </c>
      <c r="H563" s="39" t="s">
        <v>9</v>
      </c>
      <c r="K563" s="3"/>
      <c r="M563" s="3"/>
      <c r="N563" s="3"/>
      <c r="O563" s="3"/>
      <c r="P563" s="3"/>
      <c r="Q563" s="3"/>
      <c r="R563" s="3"/>
      <c r="S563" s="3"/>
      <c r="T563" s="3"/>
      <c r="U563" s="3"/>
      <c r="V563" s="3"/>
    </row>
    <row r="564" spans="1:22" x14ac:dyDescent="0.25">
      <c r="A564" s="20">
        <v>42041</v>
      </c>
      <c r="B564" s="21">
        <v>11261</v>
      </c>
      <c r="C564" s="14" t="s">
        <v>95</v>
      </c>
      <c r="D564" s="105">
        <v>3974.1</v>
      </c>
      <c r="E564" s="23">
        <v>42042</v>
      </c>
      <c r="F564" s="106">
        <v>3974.1</v>
      </c>
      <c r="G564" s="31">
        <f t="shared" si="8"/>
        <v>0</v>
      </c>
      <c r="H564" s="39" t="s">
        <v>19</v>
      </c>
      <c r="K564" s="3"/>
      <c r="M564" s="3"/>
      <c r="N564" s="3"/>
      <c r="O564" s="3"/>
      <c r="P564" s="3"/>
      <c r="Q564" s="3"/>
      <c r="R564" s="3"/>
      <c r="S564" s="3"/>
      <c r="T564" s="3"/>
      <c r="U564" s="3"/>
      <c r="V564" s="3"/>
    </row>
    <row r="565" spans="1:22" x14ac:dyDescent="0.25">
      <c r="A565" s="20">
        <v>42041</v>
      </c>
      <c r="B565" s="21">
        <v>11262</v>
      </c>
      <c r="C565" s="14" t="s">
        <v>93</v>
      </c>
      <c r="D565" s="105">
        <v>2203.5</v>
      </c>
      <c r="E565" s="23">
        <v>42042</v>
      </c>
      <c r="F565" s="106">
        <v>2203.5</v>
      </c>
      <c r="G565" s="31">
        <f t="shared" si="8"/>
        <v>0</v>
      </c>
      <c r="H565" s="39" t="s">
        <v>19</v>
      </c>
      <c r="K565" s="3"/>
      <c r="M565" s="3"/>
      <c r="N565" s="3"/>
      <c r="O565" s="3"/>
      <c r="P565" s="3"/>
      <c r="Q565" s="3"/>
      <c r="R565" s="3"/>
      <c r="S565" s="3"/>
      <c r="T565" s="3"/>
      <c r="U565" s="3"/>
      <c r="V565" s="3"/>
    </row>
    <row r="566" spans="1:22" x14ac:dyDescent="0.25">
      <c r="A566" s="20">
        <v>42041</v>
      </c>
      <c r="B566" s="21">
        <v>11263</v>
      </c>
      <c r="C566" s="14" t="s">
        <v>106</v>
      </c>
      <c r="D566" s="105">
        <v>2370</v>
      </c>
      <c r="E566" s="23">
        <v>42042</v>
      </c>
      <c r="F566" s="106">
        <v>2370</v>
      </c>
      <c r="G566" s="31">
        <f t="shared" si="8"/>
        <v>0</v>
      </c>
      <c r="H566" s="39" t="s">
        <v>19</v>
      </c>
      <c r="K566" s="3"/>
      <c r="M566" s="3"/>
      <c r="N566" s="3"/>
      <c r="O566" s="3"/>
      <c r="P566" s="3"/>
      <c r="Q566" s="3"/>
      <c r="R566" s="3"/>
      <c r="S566" s="3"/>
      <c r="T566" s="3"/>
      <c r="U566" s="3"/>
      <c r="V566" s="3"/>
    </row>
    <row r="567" spans="1:22" x14ac:dyDescent="0.25">
      <c r="A567" s="20">
        <v>42041</v>
      </c>
      <c r="B567" s="21">
        <v>11264</v>
      </c>
      <c r="C567" s="14" t="s">
        <v>96</v>
      </c>
      <c r="D567" s="105">
        <v>1070</v>
      </c>
      <c r="E567" s="23">
        <v>42042</v>
      </c>
      <c r="F567" s="106">
        <v>1070</v>
      </c>
      <c r="G567" s="31">
        <f t="shared" si="8"/>
        <v>0</v>
      </c>
      <c r="H567" s="39" t="s">
        <v>19</v>
      </c>
      <c r="K567" s="3"/>
      <c r="M567" s="3"/>
      <c r="N567" s="3"/>
      <c r="O567" s="3"/>
      <c r="P567" s="3"/>
      <c r="Q567" s="3"/>
      <c r="R567" s="3"/>
      <c r="S567" s="3"/>
      <c r="T567" s="3"/>
      <c r="U567" s="3"/>
      <c r="V567" s="3"/>
    </row>
    <row r="568" spans="1:22" x14ac:dyDescent="0.25">
      <c r="A568" s="20">
        <v>42041</v>
      </c>
      <c r="B568" s="21">
        <v>11265</v>
      </c>
      <c r="C568" s="14" t="s">
        <v>96</v>
      </c>
      <c r="D568" s="105">
        <v>6802.4</v>
      </c>
      <c r="E568" s="23">
        <v>42042</v>
      </c>
      <c r="F568" s="106">
        <v>6802.4</v>
      </c>
      <c r="G568" s="31">
        <f t="shared" si="8"/>
        <v>0</v>
      </c>
      <c r="H568" s="39" t="s">
        <v>19</v>
      </c>
      <c r="K568" s="3"/>
      <c r="M568" s="3"/>
      <c r="N568" s="3"/>
      <c r="O568" s="3"/>
      <c r="P568" s="3"/>
      <c r="Q568" s="3"/>
      <c r="R568" s="3"/>
      <c r="S568" s="3"/>
      <c r="T568" s="3"/>
      <c r="U568" s="3"/>
      <c r="V568" s="3"/>
    </row>
    <row r="569" spans="1:22" x14ac:dyDescent="0.25">
      <c r="A569" s="20">
        <v>42041</v>
      </c>
      <c r="B569" s="21">
        <v>11266</v>
      </c>
      <c r="C569" s="14" t="s">
        <v>155</v>
      </c>
      <c r="D569" s="105">
        <v>248.6</v>
      </c>
      <c r="E569" s="23">
        <v>42041</v>
      </c>
      <c r="F569" s="106">
        <v>248.6</v>
      </c>
      <c r="G569" s="31">
        <f t="shared" si="8"/>
        <v>0</v>
      </c>
      <c r="H569" s="39" t="s">
        <v>9</v>
      </c>
      <c r="K569" s="3"/>
      <c r="M569" s="3"/>
      <c r="N569" s="3"/>
      <c r="O569" s="3"/>
      <c r="P569" s="3"/>
      <c r="Q569" s="3"/>
      <c r="R569" s="3"/>
      <c r="S569" s="3"/>
      <c r="T569" s="3"/>
      <c r="U569" s="3"/>
      <c r="V569" s="3"/>
    </row>
    <row r="570" spans="1:22" x14ac:dyDescent="0.25">
      <c r="A570" s="20">
        <v>42041</v>
      </c>
      <c r="B570" s="21">
        <v>11267</v>
      </c>
      <c r="C570" s="14" t="s">
        <v>223</v>
      </c>
      <c r="D570" s="105">
        <v>364</v>
      </c>
      <c r="E570" s="23">
        <v>42042</v>
      </c>
      <c r="F570" s="106">
        <v>364</v>
      </c>
      <c r="G570" s="31">
        <f t="shared" si="8"/>
        <v>0</v>
      </c>
      <c r="H570" s="39" t="s">
        <v>19</v>
      </c>
      <c r="K570" s="3"/>
      <c r="M570" s="3"/>
      <c r="N570" s="3"/>
      <c r="O570" s="3"/>
      <c r="P570" s="3"/>
      <c r="Q570" s="3"/>
      <c r="R570" s="3"/>
      <c r="S570" s="3"/>
      <c r="T570" s="3"/>
      <c r="U570" s="3"/>
      <c r="V570" s="3"/>
    </row>
    <row r="571" spans="1:22" x14ac:dyDescent="0.25">
      <c r="A571" s="20">
        <v>42041</v>
      </c>
      <c r="B571" s="21">
        <v>11268</v>
      </c>
      <c r="C571" s="14" t="s">
        <v>111</v>
      </c>
      <c r="D571" s="105">
        <v>9284.1</v>
      </c>
      <c r="E571" s="23">
        <v>42049</v>
      </c>
      <c r="F571" s="106">
        <v>9284.1</v>
      </c>
      <c r="G571" s="31">
        <f t="shared" si="8"/>
        <v>0</v>
      </c>
      <c r="H571" s="39" t="s">
        <v>46</v>
      </c>
      <c r="K571" s="3"/>
      <c r="M571" s="3"/>
      <c r="N571" s="3"/>
      <c r="O571" s="3"/>
      <c r="P571" s="3"/>
      <c r="Q571" s="3"/>
      <c r="R571" s="3"/>
      <c r="S571" s="3"/>
      <c r="T571" s="3"/>
      <c r="U571" s="3"/>
      <c r="V571" s="3"/>
    </row>
    <row r="572" spans="1:22" x14ac:dyDescent="0.25">
      <c r="A572" s="20">
        <v>42041</v>
      </c>
      <c r="B572" s="21">
        <v>11269</v>
      </c>
      <c r="C572" s="14" t="s">
        <v>44</v>
      </c>
      <c r="D572" s="105">
        <v>732</v>
      </c>
      <c r="E572" s="23">
        <v>42041</v>
      </c>
      <c r="F572" s="106">
        <v>732</v>
      </c>
      <c r="G572" s="31">
        <f t="shared" si="8"/>
        <v>0</v>
      </c>
      <c r="H572" s="39" t="s">
        <v>9</v>
      </c>
      <c r="K572" s="3"/>
      <c r="M572" s="3"/>
      <c r="N572" s="3"/>
      <c r="O572" s="3"/>
      <c r="P572" s="3"/>
      <c r="Q572" s="3"/>
      <c r="R572" s="3"/>
      <c r="S572" s="3"/>
      <c r="T572" s="3"/>
      <c r="U572" s="3"/>
      <c r="V572" s="3"/>
    </row>
    <row r="573" spans="1:22" x14ac:dyDescent="0.25">
      <c r="A573" s="20">
        <v>42041</v>
      </c>
      <c r="B573" s="21">
        <v>11270</v>
      </c>
      <c r="C573" s="14" t="s">
        <v>179</v>
      </c>
      <c r="D573" s="105">
        <v>4873.5</v>
      </c>
      <c r="E573" s="23">
        <v>42042</v>
      </c>
      <c r="F573" s="106">
        <v>4873.5</v>
      </c>
      <c r="G573" s="31">
        <f t="shared" si="8"/>
        <v>0</v>
      </c>
      <c r="H573" s="39" t="s">
        <v>9</v>
      </c>
      <c r="J573" s="107"/>
      <c r="K573" s="3"/>
      <c r="M573" s="3"/>
      <c r="N573" s="3"/>
      <c r="O573" s="3"/>
      <c r="P573" s="3"/>
      <c r="Q573" s="3"/>
      <c r="R573" s="3"/>
      <c r="S573" s="3"/>
      <c r="T573" s="3"/>
      <c r="U573" s="3"/>
      <c r="V573" s="3"/>
    </row>
    <row r="574" spans="1:22" x14ac:dyDescent="0.25">
      <c r="A574" s="20">
        <v>42041</v>
      </c>
      <c r="B574" s="21">
        <v>11271</v>
      </c>
      <c r="C574" s="14" t="s">
        <v>137</v>
      </c>
      <c r="D574" s="105">
        <v>298.7</v>
      </c>
      <c r="E574" s="23">
        <v>42041</v>
      </c>
      <c r="F574" s="106">
        <v>298.7</v>
      </c>
      <c r="G574" s="31">
        <f t="shared" si="8"/>
        <v>0</v>
      </c>
      <c r="H574" s="39" t="s">
        <v>9</v>
      </c>
      <c r="K574" s="3"/>
      <c r="M574" s="3"/>
      <c r="N574" s="3"/>
      <c r="O574" s="3"/>
      <c r="P574" s="3"/>
      <c r="Q574" s="3"/>
      <c r="R574" s="3"/>
      <c r="S574" s="3"/>
      <c r="T574" s="3"/>
      <c r="U574" s="3"/>
      <c r="V574" s="3"/>
    </row>
    <row r="575" spans="1:22" x14ac:dyDescent="0.25">
      <c r="A575" s="20">
        <v>42041</v>
      </c>
      <c r="B575" s="21">
        <v>11272</v>
      </c>
      <c r="C575" s="14" t="s">
        <v>98</v>
      </c>
      <c r="D575" s="105">
        <v>3197.9</v>
      </c>
      <c r="E575" s="23">
        <v>42042</v>
      </c>
      <c r="F575" s="106">
        <v>3197.9</v>
      </c>
      <c r="G575" s="31">
        <f t="shared" si="8"/>
        <v>0</v>
      </c>
      <c r="H575" s="39" t="s">
        <v>19</v>
      </c>
      <c r="K575" s="3"/>
      <c r="M575" s="3"/>
      <c r="N575" s="3"/>
      <c r="O575" s="3"/>
      <c r="P575" s="3"/>
      <c r="Q575" s="3"/>
      <c r="R575" s="3"/>
      <c r="S575" s="3"/>
      <c r="T575" s="3"/>
      <c r="U575" s="3"/>
      <c r="V575" s="3"/>
    </row>
    <row r="576" spans="1:22" x14ac:dyDescent="0.25">
      <c r="A576" s="20">
        <v>42041</v>
      </c>
      <c r="B576" s="21">
        <v>11273</v>
      </c>
      <c r="C576" s="14" t="s">
        <v>50</v>
      </c>
      <c r="D576" s="105">
        <v>2948.6</v>
      </c>
      <c r="E576" s="23">
        <v>42041</v>
      </c>
      <c r="F576" s="106">
        <v>2948.6</v>
      </c>
      <c r="G576" s="31">
        <f t="shared" si="8"/>
        <v>0</v>
      </c>
      <c r="H576" s="39" t="s">
        <v>94</v>
      </c>
      <c r="K576" s="3"/>
      <c r="M576" s="3"/>
      <c r="N576" s="3"/>
      <c r="O576" s="3"/>
      <c r="P576" s="3"/>
      <c r="Q576" s="3"/>
      <c r="R576" s="3"/>
      <c r="S576" s="3"/>
      <c r="T576" s="3"/>
      <c r="U576" s="3"/>
      <c r="V576" s="3"/>
    </row>
    <row r="577" spans="1:22" x14ac:dyDescent="0.25">
      <c r="A577" s="20">
        <v>42041</v>
      </c>
      <c r="B577" s="21">
        <v>11274</v>
      </c>
      <c r="C577" s="14" t="s">
        <v>141</v>
      </c>
      <c r="D577" s="105">
        <v>9391.7999999999993</v>
      </c>
      <c r="E577" s="23">
        <v>42050</v>
      </c>
      <c r="F577" s="106">
        <v>9391.7999999999993</v>
      </c>
      <c r="G577" s="31">
        <f t="shared" si="8"/>
        <v>0</v>
      </c>
      <c r="H577" s="39" t="s">
        <v>94</v>
      </c>
      <c r="K577" s="3"/>
      <c r="M577" s="3"/>
      <c r="N577" s="3"/>
      <c r="O577" s="3"/>
      <c r="P577" s="3"/>
      <c r="Q577" s="3"/>
      <c r="R577" s="3"/>
      <c r="S577" s="3"/>
      <c r="T577" s="3"/>
      <c r="U577" s="3"/>
      <c r="V577" s="3"/>
    </row>
    <row r="578" spans="1:22" x14ac:dyDescent="0.25">
      <c r="A578" s="20">
        <v>42041</v>
      </c>
      <c r="B578" s="21">
        <v>11275</v>
      </c>
      <c r="C578" s="14" t="s">
        <v>190</v>
      </c>
      <c r="D578" s="105">
        <v>3770</v>
      </c>
      <c r="E578" s="23">
        <v>42042</v>
      </c>
      <c r="F578" s="106">
        <v>3770</v>
      </c>
      <c r="G578" s="31">
        <f t="shared" si="8"/>
        <v>0</v>
      </c>
      <c r="H578" s="39" t="s">
        <v>19</v>
      </c>
      <c r="I578" s="3"/>
      <c r="J578" s="42"/>
      <c r="K578" s="3"/>
      <c r="M578" s="3"/>
      <c r="N578" s="3"/>
      <c r="O578" s="3"/>
      <c r="P578" s="3"/>
      <c r="Q578" s="3"/>
      <c r="R578" s="3"/>
      <c r="S578" s="3"/>
      <c r="T578" s="3"/>
      <c r="U578" s="3"/>
      <c r="V578" s="3"/>
    </row>
    <row r="579" spans="1:22" x14ac:dyDescent="0.25">
      <c r="A579" s="20">
        <v>42041</v>
      </c>
      <c r="B579" s="21">
        <v>11276</v>
      </c>
      <c r="C579" s="14" t="s">
        <v>579</v>
      </c>
      <c r="D579" s="105">
        <v>620</v>
      </c>
      <c r="E579" s="23">
        <v>42041</v>
      </c>
      <c r="F579" s="106">
        <v>620</v>
      </c>
      <c r="G579" s="31">
        <f t="shared" ref="G579:G642" si="9">D579-F579</f>
        <v>0</v>
      </c>
      <c r="H579" s="39" t="s">
        <v>9</v>
      </c>
      <c r="I579" s="3"/>
      <c r="J579" s="42"/>
      <c r="K579" s="3"/>
      <c r="M579" s="3"/>
      <c r="N579" s="3"/>
      <c r="O579" s="3"/>
      <c r="P579" s="3"/>
      <c r="Q579" s="3"/>
      <c r="R579" s="3"/>
      <c r="S579" s="3"/>
      <c r="T579" s="3"/>
      <c r="U579" s="3"/>
      <c r="V579" s="3"/>
    </row>
    <row r="580" spans="1:22" x14ac:dyDescent="0.25">
      <c r="A580" s="20">
        <v>42041</v>
      </c>
      <c r="B580" s="21">
        <v>11277</v>
      </c>
      <c r="C580" s="14" t="s">
        <v>100</v>
      </c>
      <c r="D580" s="105">
        <v>2944.8</v>
      </c>
      <c r="E580" s="23">
        <v>42041</v>
      </c>
      <c r="F580" s="106">
        <v>2944.8</v>
      </c>
      <c r="G580" s="31">
        <f t="shared" si="9"/>
        <v>0</v>
      </c>
      <c r="H580" s="39" t="s">
        <v>9</v>
      </c>
      <c r="I580" s="3"/>
      <c r="J580" s="42"/>
      <c r="K580" s="3"/>
      <c r="M580" s="3"/>
      <c r="N580" s="3"/>
      <c r="O580" s="3"/>
      <c r="P580" s="3"/>
      <c r="Q580" s="3"/>
      <c r="R580" s="3"/>
      <c r="S580" s="3"/>
      <c r="T580" s="3"/>
      <c r="U580" s="3"/>
      <c r="V580" s="3"/>
    </row>
    <row r="581" spans="1:22" x14ac:dyDescent="0.25">
      <c r="A581" s="20">
        <v>42041</v>
      </c>
      <c r="B581" s="21">
        <v>11278</v>
      </c>
      <c r="C581" s="14" t="s">
        <v>173</v>
      </c>
      <c r="D581" s="105">
        <v>41144</v>
      </c>
      <c r="E581" s="30" t="s">
        <v>580</v>
      </c>
      <c r="F581" s="106">
        <v>41144</v>
      </c>
      <c r="G581" s="31">
        <f t="shared" si="9"/>
        <v>0</v>
      </c>
      <c r="H581" s="39" t="s">
        <v>62</v>
      </c>
      <c r="I581" s="3"/>
      <c r="J581" s="42"/>
      <c r="K581" s="3"/>
      <c r="M581" s="3"/>
      <c r="N581" s="3"/>
      <c r="O581" s="3"/>
      <c r="P581" s="3"/>
      <c r="Q581" s="3"/>
      <c r="R581" s="3"/>
      <c r="S581" s="3"/>
      <c r="T581" s="3"/>
      <c r="U581" s="3"/>
      <c r="V581" s="3"/>
    </row>
    <row r="582" spans="1:22" x14ac:dyDescent="0.25">
      <c r="A582" s="20">
        <v>42041</v>
      </c>
      <c r="B582" s="21">
        <v>11279</v>
      </c>
      <c r="C582" s="14" t="s">
        <v>190</v>
      </c>
      <c r="D582" s="105">
        <v>5482.3</v>
      </c>
      <c r="E582" s="23">
        <v>42042</v>
      </c>
      <c r="F582" s="106">
        <v>5482.3</v>
      </c>
      <c r="G582" s="31">
        <f t="shared" si="9"/>
        <v>0</v>
      </c>
      <c r="H582" s="39" t="s">
        <v>19</v>
      </c>
      <c r="I582" s="3"/>
      <c r="J582" s="42"/>
      <c r="K582" s="3"/>
      <c r="M582" s="3"/>
      <c r="N582" s="3"/>
      <c r="O582" s="3"/>
      <c r="P582" s="3"/>
      <c r="Q582" s="3"/>
      <c r="R582" s="3"/>
      <c r="S582" s="3"/>
      <c r="T582" s="3"/>
      <c r="U582" s="3"/>
      <c r="V582" s="3"/>
    </row>
    <row r="583" spans="1:22" x14ac:dyDescent="0.25">
      <c r="A583" s="20">
        <v>42041</v>
      </c>
      <c r="B583" s="21">
        <v>11280</v>
      </c>
      <c r="C583" s="14" t="s">
        <v>64</v>
      </c>
      <c r="D583" s="105">
        <v>738</v>
      </c>
      <c r="E583" s="23">
        <v>42041</v>
      </c>
      <c r="F583" s="106">
        <v>738</v>
      </c>
      <c r="G583" s="31">
        <f t="shared" si="9"/>
        <v>0</v>
      </c>
      <c r="H583" s="39" t="s">
        <v>9</v>
      </c>
      <c r="I583" s="3"/>
      <c r="J583" s="42"/>
      <c r="K583" s="3"/>
      <c r="M583" s="3"/>
      <c r="N583" s="3"/>
      <c r="O583" s="3"/>
      <c r="P583" s="3"/>
      <c r="Q583" s="3"/>
      <c r="R583" s="3"/>
      <c r="S583" s="3"/>
      <c r="T583" s="3"/>
      <c r="U583" s="3"/>
      <c r="V583" s="3"/>
    </row>
    <row r="584" spans="1:22" x14ac:dyDescent="0.25">
      <c r="A584" s="20">
        <v>42041</v>
      </c>
      <c r="B584" s="21">
        <v>11281</v>
      </c>
      <c r="C584" s="26" t="s">
        <v>218</v>
      </c>
      <c r="D584" s="108">
        <v>0</v>
      </c>
      <c r="E584" s="23"/>
      <c r="F584" s="106"/>
      <c r="G584" s="31">
        <f t="shared" si="9"/>
        <v>0</v>
      </c>
      <c r="H584" s="39" t="s">
        <v>13</v>
      </c>
      <c r="I584" s="3"/>
      <c r="J584" s="42"/>
      <c r="K584" s="3"/>
      <c r="M584" s="3"/>
      <c r="N584" s="3"/>
      <c r="O584" s="3"/>
      <c r="P584" s="3"/>
      <c r="Q584" s="3"/>
      <c r="R584" s="3"/>
      <c r="S584" s="3"/>
      <c r="T584" s="3"/>
      <c r="U584" s="3"/>
      <c r="V584" s="3"/>
    </row>
    <row r="585" spans="1:22" x14ac:dyDescent="0.25">
      <c r="A585" s="20">
        <v>42041</v>
      </c>
      <c r="B585" s="21">
        <v>11282</v>
      </c>
      <c r="C585" s="14" t="s">
        <v>84</v>
      </c>
      <c r="D585" s="105">
        <v>15789.6</v>
      </c>
      <c r="E585" s="30" t="s">
        <v>581</v>
      </c>
      <c r="F585" s="106">
        <v>15789.6</v>
      </c>
      <c r="G585" s="31">
        <f t="shared" si="9"/>
        <v>0</v>
      </c>
      <c r="H585" s="39" t="s">
        <v>62</v>
      </c>
      <c r="I585" s="3"/>
      <c r="J585" s="42"/>
      <c r="K585" s="3"/>
      <c r="M585" s="3"/>
      <c r="N585" s="3"/>
      <c r="O585" s="3"/>
      <c r="P585" s="3"/>
      <c r="Q585" s="3"/>
      <c r="R585" s="3"/>
      <c r="S585" s="3"/>
      <c r="T585" s="3"/>
      <c r="U585" s="3"/>
      <c r="V585" s="3"/>
    </row>
    <row r="586" spans="1:22" x14ac:dyDescent="0.25">
      <c r="A586" s="20">
        <v>42041</v>
      </c>
      <c r="B586" s="21">
        <v>11283</v>
      </c>
      <c r="C586" s="14" t="s">
        <v>141</v>
      </c>
      <c r="D586" s="105">
        <v>9531.6</v>
      </c>
      <c r="E586" s="23">
        <v>42050</v>
      </c>
      <c r="F586" s="106">
        <v>9531.6</v>
      </c>
      <c r="G586" s="31">
        <f t="shared" si="9"/>
        <v>0</v>
      </c>
      <c r="H586" s="39" t="s">
        <v>94</v>
      </c>
      <c r="I586" s="3"/>
      <c r="J586" s="42"/>
      <c r="K586" s="3"/>
      <c r="M586" s="3"/>
      <c r="N586" s="3"/>
      <c r="O586" s="3"/>
      <c r="P586" s="3"/>
      <c r="Q586" s="3"/>
      <c r="R586" s="3"/>
      <c r="S586" s="3"/>
      <c r="T586" s="3"/>
      <c r="U586" s="3"/>
      <c r="V586" s="3"/>
    </row>
    <row r="587" spans="1:22" x14ac:dyDescent="0.25">
      <c r="A587" s="20">
        <v>42041</v>
      </c>
      <c r="B587" s="21">
        <v>11284</v>
      </c>
      <c r="C587" s="14" t="s">
        <v>176</v>
      </c>
      <c r="D587" s="105">
        <v>2822.4</v>
      </c>
      <c r="E587" s="30" t="s">
        <v>582</v>
      </c>
      <c r="F587" s="106">
        <v>2822.4</v>
      </c>
      <c r="G587" s="31">
        <f t="shared" si="9"/>
        <v>0</v>
      </c>
      <c r="H587" s="39" t="s">
        <v>62</v>
      </c>
      <c r="I587" s="3"/>
      <c r="J587" s="42"/>
      <c r="K587" s="3"/>
      <c r="M587" s="3"/>
      <c r="N587" s="3"/>
      <c r="O587" s="3"/>
      <c r="P587" s="3"/>
      <c r="Q587" s="3"/>
      <c r="R587" s="3"/>
      <c r="S587" s="3"/>
      <c r="T587" s="3"/>
      <c r="U587" s="3"/>
      <c r="V587" s="3"/>
    </row>
    <row r="588" spans="1:22" x14ac:dyDescent="0.25">
      <c r="A588" s="20">
        <v>42041</v>
      </c>
      <c r="B588" s="21">
        <v>11285</v>
      </c>
      <c r="C588" s="14" t="s">
        <v>352</v>
      </c>
      <c r="D588" s="105">
        <v>13429</v>
      </c>
      <c r="E588" s="23">
        <v>42043</v>
      </c>
      <c r="F588" s="106">
        <v>13429</v>
      </c>
      <c r="G588" s="31">
        <f t="shared" si="9"/>
        <v>0</v>
      </c>
      <c r="H588" s="39" t="s">
        <v>62</v>
      </c>
      <c r="I588" s="3"/>
      <c r="J588" s="42"/>
      <c r="K588" s="3"/>
      <c r="M588" s="3"/>
      <c r="N588" s="3"/>
      <c r="O588" s="3"/>
      <c r="P588" s="3"/>
      <c r="Q588" s="3"/>
      <c r="R588" s="3"/>
      <c r="S588" s="3"/>
      <c r="T588" s="3"/>
      <c r="U588" s="3"/>
      <c r="V588" s="3"/>
    </row>
    <row r="589" spans="1:22" x14ac:dyDescent="0.25">
      <c r="A589" s="20">
        <v>42041</v>
      </c>
      <c r="B589" s="21">
        <v>11286</v>
      </c>
      <c r="C589" s="14" t="s">
        <v>65</v>
      </c>
      <c r="D589" s="105">
        <v>21910.400000000001</v>
      </c>
      <c r="E589" s="23">
        <v>42043</v>
      </c>
      <c r="F589" s="106">
        <v>21910.400000000001</v>
      </c>
      <c r="G589" s="31">
        <f t="shared" si="9"/>
        <v>0</v>
      </c>
      <c r="H589" s="39" t="s">
        <v>62</v>
      </c>
      <c r="I589" s="3"/>
      <c r="J589" s="42"/>
      <c r="K589" s="3"/>
      <c r="M589" s="3"/>
      <c r="N589" s="3"/>
      <c r="O589" s="3"/>
      <c r="P589" s="3"/>
      <c r="Q589" s="3"/>
      <c r="R589" s="3"/>
      <c r="S589" s="3"/>
      <c r="T589" s="3"/>
      <c r="U589" s="3"/>
      <c r="V589" s="3"/>
    </row>
    <row r="590" spans="1:22" x14ac:dyDescent="0.25">
      <c r="A590" s="20">
        <v>42041</v>
      </c>
      <c r="B590" s="21">
        <v>11287</v>
      </c>
      <c r="C590" s="14" t="s">
        <v>78</v>
      </c>
      <c r="D590" s="105">
        <v>8684</v>
      </c>
      <c r="E590" s="23">
        <v>42043</v>
      </c>
      <c r="F590" s="106">
        <v>8684</v>
      </c>
      <c r="G590" s="31">
        <f t="shared" si="9"/>
        <v>0</v>
      </c>
      <c r="H590" s="39" t="s">
        <v>62</v>
      </c>
      <c r="I590" s="3"/>
      <c r="J590" s="42"/>
      <c r="K590" s="3"/>
      <c r="M590" s="3"/>
      <c r="N590" s="3"/>
      <c r="O590" s="3"/>
      <c r="P590" s="3"/>
      <c r="Q590" s="3"/>
      <c r="R590" s="3"/>
      <c r="S590" s="3"/>
      <c r="T590" s="3"/>
      <c r="U590" s="3"/>
      <c r="V590" s="3"/>
    </row>
    <row r="591" spans="1:22" x14ac:dyDescent="0.25">
      <c r="A591" s="20">
        <v>42041</v>
      </c>
      <c r="B591" s="21">
        <v>11288</v>
      </c>
      <c r="C591" s="26" t="s">
        <v>218</v>
      </c>
      <c r="D591" s="108">
        <v>0</v>
      </c>
      <c r="E591" s="23"/>
      <c r="F591" s="106"/>
      <c r="G591" s="31">
        <f t="shared" si="9"/>
        <v>0</v>
      </c>
      <c r="H591" s="39" t="s">
        <v>13</v>
      </c>
      <c r="I591" s="3"/>
      <c r="J591" s="42"/>
      <c r="K591" s="3"/>
      <c r="M591" s="3"/>
      <c r="N591" s="3"/>
      <c r="O591" s="3"/>
      <c r="P591" s="3"/>
      <c r="Q591" s="3"/>
      <c r="R591" s="3"/>
      <c r="S591" s="3"/>
      <c r="T591" s="3"/>
      <c r="U591" s="3"/>
      <c r="V591" s="3"/>
    </row>
    <row r="592" spans="1:22" x14ac:dyDescent="0.25">
      <c r="A592" s="20">
        <v>42041</v>
      </c>
      <c r="B592" s="21">
        <v>11289</v>
      </c>
      <c r="C592" s="14" t="s">
        <v>67</v>
      </c>
      <c r="D592" s="105">
        <v>4964</v>
      </c>
      <c r="E592" s="23">
        <v>42043</v>
      </c>
      <c r="F592" s="106">
        <v>4964</v>
      </c>
      <c r="G592" s="31">
        <f t="shared" si="9"/>
        <v>0</v>
      </c>
      <c r="H592" s="39" t="s">
        <v>62</v>
      </c>
      <c r="I592" s="3"/>
      <c r="J592" s="42"/>
      <c r="K592" s="3"/>
      <c r="M592" s="3"/>
      <c r="N592" s="3"/>
      <c r="O592" s="3"/>
      <c r="P592" s="3"/>
      <c r="Q592" s="3"/>
      <c r="R592" s="3"/>
      <c r="S592" s="3"/>
      <c r="T592" s="3"/>
      <c r="U592" s="3"/>
      <c r="V592" s="3"/>
    </row>
    <row r="593" spans="1:22" x14ac:dyDescent="0.25">
      <c r="A593" s="20">
        <v>42041</v>
      </c>
      <c r="B593" s="21">
        <v>11290</v>
      </c>
      <c r="C593" s="14" t="s">
        <v>391</v>
      </c>
      <c r="D593" s="105">
        <v>1541</v>
      </c>
      <c r="E593" s="23">
        <v>42041</v>
      </c>
      <c r="F593" s="106">
        <v>1541</v>
      </c>
      <c r="G593" s="31">
        <f t="shared" si="9"/>
        <v>0</v>
      </c>
      <c r="H593" s="39" t="s">
        <v>9</v>
      </c>
      <c r="I593" s="3"/>
      <c r="J593" s="42"/>
      <c r="K593" s="3"/>
      <c r="M593" s="3"/>
      <c r="N593" s="3"/>
      <c r="O593" s="3"/>
      <c r="P593" s="3"/>
      <c r="Q593" s="3"/>
      <c r="R593" s="3"/>
      <c r="S593" s="3"/>
      <c r="T593" s="3"/>
      <c r="U593" s="3"/>
      <c r="V593" s="3"/>
    </row>
    <row r="594" spans="1:22" x14ac:dyDescent="0.25">
      <c r="A594" s="20">
        <v>42041</v>
      </c>
      <c r="B594" s="21">
        <v>11291</v>
      </c>
      <c r="C594" s="14" t="s">
        <v>84</v>
      </c>
      <c r="D594" s="105">
        <v>42711.199999999997</v>
      </c>
      <c r="E594" s="30" t="s">
        <v>583</v>
      </c>
      <c r="F594" s="106">
        <v>42711.199999999997</v>
      </c>
      <c r="G594" s="31">
        <f t="shared" si="9"/>
        <v>0</v>
      </c>
      <c r="H594" s="39" t="s">
        <v>62</v>
      </c>
      <c r="K594" s="3"/>
      <c r="M594" s="3"/>
      <c r="N594" s="3"/>
      <c r="O594" s="3"/>
      <c r="P594" s="3"/>
      <c r="Q594" s="3"/>
      <c r="R594" s="3"/>
      <c r="S594" s="3"/>
      <c r="T594" s="3"/>
      <c r="U594" s="3"/>
      <c r="V594" s="3"/>
    </row>
    <row r="595" spans="1:22" x14ac:dyDescent="0.25">
      <c r="A595" s="20">
        <v>42041</v>
      </c>
      <c r="B595" s="21">
        <v>11292</v>
      </c>
      <c r="C595" s="14" t="s">
        <v>170</v>
      </c>
      <c r="D595" s="105">
        <v>2088</v>
      </c>
      <c r="E595" s="23">
        <v>42043</v>
      </c>
      <c r="F595" s="106">
        <v>2088</v>
      </c>
      <c r="G595" s="31">
        <f t="shared" si="9"/>
        <v>0</v>
      </c>
      <c r="H595" s="39" t="s">
        <v>62</v>
      </c>
      <c r="K595" s="3"/>
      <c r="M595" s="3"/>
      <c r="N595" s="3"/>
      <c r="O595" s="3"/>
      <c r="P595" s="3"/>
      <c r="Q595" s="3"/>
      <c r="R595" s="3"/>
      <c r="S595" s="3"/>
      <c r="T595" s="3"/>
      <c r="U595" s="3"/>
      <c r="V595" s="3"/>
    </row>
    <row r="596" spans="1:22" x14ac:dyDescent="0.25">
      <c r="A596" s="20">
        <v>42041</v>
      </c>
      <c r="B596" s="21">
        <v>11293</v>
      </c>
      <c r="C596" s="14" t="s">
        <v>77</v>
      </c>
      <c r="D596" s="105">
        <v>4456</v>
      </c>
      <c r="E596" s="23">
        <v>42043</v>
      </c>
      <c r="F596" s="106">
        <v>4456</v>
      </c>
      <c r="G596" s="31">
        <f t="shared" si="9"/>
        <v>0</v>
      </c>
      <c r="H596" s="39" t="s">
        <v>62</v>
      </c>
      <c r="K596" s="3"/>
      <c r="M596" s="3"/>
      <c r="N596" s="3"/>
      <c r="O596" s="3"/>
      <c r="P596" s="3"/>
      <c r="Q596" s="3"/>
      <c r="R596" s="3"/>
      <c r="S596" s="3"/>
      <c r="T596" s="3"/>
      <c r="U596" s="3"/>
      <c r="V596" s="3"/>
    </row>
    <row r="597" spans="1:22" x14ac:dyDescent="0.25">
      <c r="A597" s="20">
        <v>42041</v>
      </c>
      <c r="B597" s="21">
        <v>11294</v>
      </c>
      <c r="C597" s="14" t="s">
        <v>89</v>
      </c>
      <c r="D597" s="105">
        <v>8610.6</v>
      </c>
      <c r="E597" s="23">
        <v>42041</v>
      </c>
      <c r="F597" s="106">
        <v>8610.6</v>
      </c>
      <c r="G597" s="31">
        <f t="shared" si="9"/>
        <v>0</v>
      </c>
      <c r="H597" s="39" t="s">
        <v>9</v>
      </c>
      <c r="K597" s="3"/>
      <c r="M597" s="3"/>
      <c r="N597" s="3"/>
      <c r="O597" s="3"/>
      <c r="P597" s="3"/>
      <c r="Q597" s="3"/>
      <c r="R597" s="3"/>
      <c r="S597" s="3"/>
      <c r="T597" s="3"/>
      <c r="U597" s="3"/>
      <c r="V597" s="3"/>
    </row>
    <row r="598" spans="1:22" x14ac:dyDescent="0.25">
      <c r="A598" s="20">
        <v>42041</v>
      </c>
      <c r="B598" s="21">
        <v>11295</v>
      </c>
      <c r="C598" s="14" t="s">
        <v>140</v>
      </c>
      <c r="D598" s="105">
        <v>720</v>
      </c>
      <c r="E598" s="23">
        <v>42041</v>
      </c>
      <c r="F598" s="106">
        <v>720</v>
      </c>
      <c r="G598" s="31">
        <f t="shared" si="9"/>
        <v>0</v>
      </c>
      <c r="H598" s="39" t="s">
        <v>9</v>
      </c>
      <c r="K598" s="3"/>
      <c r="M598" s="3"/>
      <c r="N598" s="3"/>
      <c r="O598" s="3"/>
      <c r="P598" s="3"/>
      <c r="Q598" s="3"/>
      <c r="R598" s="3"/>
      <c r="S598" s="3"/>
      <c r="T598" s="3"/>
      <c r="U598" s="3"/>
      <c r="V598" s="3"/>
    </row>
    <row r="599" spans="1:22" x14ac:dyDescent="0.25">
      <c r="A599" s="20">
        <v>42041</v>
      </c>
      <c r="B599" s="21">
        <v>11296</v>
      </c>
      <c r="C599" s="14" t="s">
        <v>86</v>
      </c>
      <c r="D599" s="105">
        <v>284.2</v>
      </c>
      <c r="E599" s="23">
        <v>42041</v>
      </c>
      <c r="F599" s="106">
        <v>284.2</v>
      </c>
      <c r="G599" s="31">
        <f t="shared" si="9"/>
        <v>0</v>
      </c>
      <c r="H599" s="39" t="s">
        <v>9</v>
      </c>
      <c r="K599" s="3"/>
      <c r="M599" s="3"/>
      <c r="N599" s="3"/>
      <c r="O599" s="3"/>
      <c r="P599" s="3"/>
      <c r="Q599" s="3"/>
      <c r="R599" s="3"/>
      <c r="S599" s="3"/>
      <c r="T599" s="3"/>
      <c r="U599" s="3"/>
      <c r="V599" s="3"/>
    </row>
    <row r="600" spans="1:22" x14ac:dyDescent="0.25">
      <c r="A600" s="20">
        <v>42041</v>
      </c>
      <c r="B600" s="21">
        <v>11297</v>
      </c>
      <c r="C600" s="14" t="s">
        <v>102</v>
      </c>
      <c r="D600" s="105">
        <v>3744</v>
      </c>
      <c r="E600" s="23">
        <v>42041</v>
      </c>
      <c r="F600" s="106">
        <v>3744</v>
      </c>
      <c r="G600" s="31">
        <f t="shared" si="9"/>
        <v>0</v>
      </c>
      <c r="H600" s="39" t="s">
        <v>62</v>
      </c>
      <c r="K600" s="3"/>
      <c r="M600" s="3"/>
      <c r="N600" s="3"/>
      <c r="O600" s="3"/>
      <c r="P600" s="3"/>
      <c r="Q600" s="3"/>
      <c r="R600" s="3"/>
      <c r="S600" s="3"/>
      <c r="T600" s="3"/>
      <c r="U600" s="3"/>
      <c r="V600" s="3"/>
    </row>
    <row r="601" spans="1:22" x14ac:dyDescent="0.25">
      <c r="A601" s="20">
        <v>42041</v>
      </c>
      <c r="B601" s="21">
        <v>11298</v>
      </c>
      <c r="C601" s="14" t="s">
        <v>110</v>
      </c>
      <c r="D601" s="105">
        <v>7361.6</v>
      </c>
      <c r="E601" s="23">
        <v>42048</v>
      </c>
      <c r="F601" s="106">
        <v>7361.6</v>
      </c>
      <c r="G601" s="31">
        <f t="shared" si="9"/>
        <v>0</v>
      </c>
      <c r="H601" s="39" t="s">
        <v>36</v>
      </c>
      <c r="J601" s="107"/>
      <c r="K601" s="3"/>
      <c r="M601" s="3"/>
      <c r="N601" s="3"/>
      <c r="O601" s="3"/>
      <c r="P601" s="3"/>
      <c r="Q601" s="3"/>
      <c r="R601" s="3"/>
      <c r="S601" s="3"/>
      <c r="T601" s="3"/>
      <c r="U601" s="3"/>
      <c r="V601" s="3"/>
    </row>
    <row r="602" spans="1:22" x14ac:dyDescent="0.25">
      <c r="A602" s="20">
        <v>42041</v>
      </c>
      <c r="B602" s="21">
        <v>11299</v>
      </c>
      <c r="C602" s="14" t="s">
        <v>75</v>
      </c>
      <c r="D602" s="105">
        <v>17440.8</v>
      </c>
      <c r="E602" s="23">
        <v>42043</v>
      </c>
      <c r="F602" s="106">
        <v>17440.8</v>
      </c>
      <c r="G602" s="31">
        <f t="shared" si="9"/>
        <v>0</v>
      </c>
      <c r="H602" s="39" t="s">
        <v>62</v>
      </c>
      <c r="K602" s="3"/>
      <c r="M602" s="3"/>
      <c r="N602" s="3"/>
      <c r="O602" s="3"/>
      <c r="P602" s="3"/>
      <c r="Q602" s="3"/>
      <c r="R602" s="3"/>
      <c r="S602" s="3"/>
      <c r="T602" s="3"/>
      <c r="U602" s="3"/>
      <c r="V602" s="3"/>
    </row>
    <row r="603" spans="1:22" x14ac:dyDescent="0.25">
      <c r="A603" s="20">
        <v>42041</v>
      </c>
      <c r="B603" s="21">
        <v>11300</v>
      </c>
      <c r="C603" s="14" t="s">
        <v>61</v>
      </c>
      <c r="D603" s="105">
        <v>20639.599999999999</v>
      </c>
      <c r="E603" s="23">
        <v>42043</v>
      </c>
      <c r="F603" s="106">
        <v>20639.599999999999</v>
      </c>
      <c r="G603" s="31">
        <f t="shared" si="9"/>
        <v>0</v>
      </c>
      <c r="H603" s="39" t="s">
        <v>62</v>
      </c>
      <c r="K603" s="3"/>
      <c r="M603" s="3"/>
      <c r="N603" s="3"/>
      <c r="O603" s="3"/>
      <c r="P603" s="3"/>
      <c r="Q603" s="3"/>
      <c r="R603" s="3"/>
      <c r="S603" s="3"/>
      <c r="T603" s="3"/>
      <c r="U603" s="3"/>
      <c r="V603" s="3"/>
    </row>
    <row r="604" spans="1:22" x14ac:dyDescent="0.25">
      <c r="A604" s="20">
        <v>42041</v>
      </c>
      <c r="B604" s="21">
        <v>11301</v>
      </c>
      <c r="C604" s="14" t="s">
        <v>18</v>
      </c>
      <c r="D604" s="105">
        <v>187000</v>
      </c>
      <c r="E604" s="29" t="s">
        <v>584</v>
      </c>
      <c r="F604" s="106">
        <f>64000+2750+120250</f>
        <v>187000</v>
      </c>
      <c r="G604" s="31">
        <f t="shared" si="9"/>
        <v>0</v>
      </c>
      <c r="H604" s="39" t="s">
        <v>9</v>
      </c>
      <c r="K604" s="3"/>
      <c r="M604" s="3"/>
      <c r="N604" s="3"/>
      <c r="O604" s="3"/>
      <c r="P604" s="3"/>
      <c r="Q604" s="3"/>
      <c r="R604" s="3"/>
      <c r="S604" s="3"/>
      <c r="T604" s="3"/>
      <c r="U604" s="3"/>
      <c r="V604" s="3"/>
    </row>
    <row r="605" spans="1:22" x14ac:dyDescent="0.25">
      <c r="A605" s="20">
        <v>42041</v>
      </c>
      <c r="B605" s="21">
        <v>11302</v>
      </c>
      <c r="C605" s="14" t="s">
        <v>370</v>
      </c>
      <c r="D605" s="105">
        <v>8227.7999999999993</v>
      </c>
      <c r="E605" s="23">
        <v>42041</v>
      </c>
      <c r="F605" s="106">
        <v>8227.7999999999993</v>
      </c>
      <c r="G605" s="31">
        <f t="shared" si="9"/>
        <v>0</v>
      </c>
      <c r="H605" s="39" t="s">
        <v>9</v>
      </c>
      <c r="K605" s="3"/>
      <c r="M605" s="3"/>
      <c r="N605" s="3"/>
      <c r="O605" s="3"/>
      <c r="P605" s="3"/>
      <c r="Q605" s="3"/>
      <c r="R605" s="3"/>
      <c r="S605" s="3"/>
      <c r="T605" s="3"/>
      <c r="U605" s="3"/>
      <c r="V605" s="3"/>
    </row>
    <row r="606" spans="1:22" x14ac:dyDescent="0.25">
      <c r="A606" s="20">
        <v>42041</v>
      </c>
      <c r="B606" s="21">
        <v>11303</v>
      </c>
      <c r="C606" s="14" t="s">
        <v>133</v>
      </c>
      <c r="D606" s="105">
        <v>29281.4</v>
      </c>
      <c r="E606" s="23">
        <v>42041</v>
      </c>
      <c r="F606" s="106">
        <v>29281.4</v>
      </c>
      <c r="G606" s="31">
        <f t="shared" si="9"/>
        <v>0</v>
      </c>
      <c r="H606" s="39" t="s">
        <v>9</v>
      </c>
      <c r="K606" s="3"/>
      <c r="M606" s="3"/>
      <c r="N606" s="3"/>
      <c r="O606" s="3"/>
      <c r="P606" s="3"/>
      <c r="Q606" s="3"/>
      <c r="R606" s="3"/>
      <c r="S606" s="3"/>
      <c r="T606" s="3"/>
      <c r="U606" s="3"/>
      <c r="V606" s="3"/>
    </row>
    <row r="607" spans="1:22" x14ac:dyDescent="0.25">
      <c r="A607" s="20">
        <v>42041</v>
      </c>
      <c r="B607" s="21">
        <v>11304</v>
      </c>
      <c r="C607" s="14" t="s">
        <v>585</v>
      </c>
      <c r="D607" s="105">
        <v>3009.6</v>
      </c>
      <c r="E607" s="23">
        <v>42041</v>
      </c>
      <c r="F607" s="106">
        <v>3009.6</v>
      </c>
      <c r="G607" s="31">
        <f t="shared" si="9"/>
        <v>0</v>
      </c>
      <c r="H607" s="39" t="s">
        <v>9</v>
      </c>
      <c r="K607" s="3"/>
      <c r="M607" s="3"/>
      <c r="N607" s="3"/>
      <c r="O607" s="3"/>
      <c r="P607" s="3"/>
      <c r="Q607" s="3"/>
      <c r="R607" s="3"/>
      <c r="S607" s="3"/>
      <c r="T607" s="3"/>
      <c r="U607" s="3"/>
      <c r="V607" s="3"/>
    </row>
    <row r="608" spans="1:22" x14ac:dyDescent="0.25">
      <c r="A608" s="20">
        <v>42041</v>
      </c>
      <c r="B608" s="21">
        <v>11305</v>
      </c>
      <c r="C608" s="14" t="s">
        <v>47</v>
      </c>
      <c r="D608" s="105">
        <v>26300.799999999999</v>
      </c>
      <c r="E608" s="23">
        <v>42041</v>
      </c>
      <c r="F608" s="106">
        <v>26300.799999999999</v>
      </c>
      <c r="G608" s="31">
        <f t="shared" si="9"/>
        <v>0</v>
      </c>
      <c r="H608" s="39" t="s">
        <v>36</v>
      </c>
      <c r="K608" s="3"/>
      <c r="M608" s="3"/>
      <c r="N608" s="3"/>
      <c r="O608" s="3"/>
      <c r="P608" s="3"/>
      <c r="Q608" s="3"/>
      <c r="R608" s="3"/>
      <c r="S608" s="3"/>
      <c r="T608" s="3"/>
      <c r="U608" s="3"/>
      <c r="V608" s="3"/>
    </row>
    <row r="609" spans="1:22" x14ac:dyDescent="0.25">
      <c r="A609" s="20">
        <v>42041</v>
      </c>
      <c r="B609" s="21">
        <v>11306</v>
      </c>
      <c r="C609" s="14" t="s">
        <v>24</v>
      </c>
      <c r="D609" s="105">
        <v>247456.1</v>
      </c>
      <c r="E609" s="23">
        <v>42062</v>
      </c>
      <c r="F609" s="106">
        <v>247456.1</v>
      </c>
      <c r="G609" s="31">
        <f t="shared" si="9"/>
        <v>0</v>
      </c>
      <c r="H609" s="39" t="s">
        <v>46</v>
      </c>
      <c r="K609" s="3"/>
      <c r="M609" s="3"/>
      <c r="N609" s="3"/>
      <c r="O609" s="3"/>
      <c r="P609" s="3"/>
      <c r="Q609" s="3"/>
      <c r="R609" s="3"/>
      <c r="S609" s="3"/>
      <c r="T609" s="3"/>
      <c r="U609" s="3"/>
      <c r="V609" s="3"/>
    </row>
    <row r="610" spans="1:22" x14ac:dyDescent="0.25">
      <c r="A610" s="20">
        <v>42041</v>
      </c>
      <c r="B610" s="21">
        <v>11307</v>
      </c>
      <c r="C610" s="14" t="s">
        <v>367</v>
      </c>
      <c r="D610" s="105">
        <v>177140</v>
      </c>
      <c r="E610" s="23">
        <v>42047</v>
      </c>
      <c r="F610" s="106">
        <v>177140</v>
      </c>
      <c r="G610" s="31">
        <f t="shared" si="9"/>
        <v>0</v>
      </c>
      <c r="H610" s="39" t="s">
        <v>9</v>
      </c>
      <c r="K610" s="3"/>
      <c r="M610" s="3"/>
      <c r="N610" s="3"/>
      <c r="O610" s="3"/>
      <c r="P610" s="3"/>
      <c r="Q610" s="3"/>
      <c r="R610" s="3"/>
      <c r="S610" s="3"/>
      <c r="T610" s="3"/>
      <c r="U610" s="3"/>
      <c r="V610" s="3"/>
    </row>
    <row r="611" spans="1:22" x14ac:dyDescent="0.25">
      <c r="A611" s="20">
        <v>42041</v>
      </c>
      <c r="B611" s="21">
        <v>11308</v>
      </c>
      <c r="C611" s="14" t="s">
        <v>112</v>
      </c>
      <c r="D611" s="105">
        <v>45680.2</v>
      </c>
      <c r="E611" s="29" t="s">
        <v>586</v>
      </c>
      <c r="F611" s="106">
        <f>35400+10280.2</f>
        <v>45680.2</v>
      </c>
      <c r="G611" s="31">
        <f t="shared" si="9"/>
        <v>0</v>
      </c>
      <c r="H611" s="39" t="s">
        <v>9</v>
      </c>
      <c r="K611" s="3"/>
      <c r="M611" s="3"/>
      <c r="N611" s="3"/>
      <c r="O611" s="3"/>
      <c r="P611" s="3"/>
      <c r="Q611" s="3"/>
      <c r="R611" s="3"/>
      <c r="S611" s="3"/>
      <c r="T611" s="3"/>
      <c r="U611" s="3"/>
      <c r="V611" s="3"/>
    </row>
    <row r="612" spans="1:22" x14ac:dyDescent="0.25">
      <c r="A612" s="20">
        <v>42041</v>
      </c>
      <c r="B612" s="21">
        <v>11309</v>
      </c>
      <c r="C612" s="14" t="s">
        <v>14</v>
      </c>
      <c r="D612" s="105">
        <v>3250.8</v>
      </c>
      <c r="E612" s="23">
        <v>42048</v>
      </c>
      <c r="F612" s="106">
        <v>3250.8</v>
      </c>
      <c r="G612" s="31">
        <f t="shared" si="9"/>
        <v>0</v>
      </c>
      <c r="H612" s="39" t="s">
        <v>15</v>
      </c>
      <c r="K612" s="3"/>
      <c r="M612" s="3"/>
      <c r="N612" s="3"/>
      <c r="O612" s="3"/>
      <c r="P612" s="3"/>
      <c r="Q612" s="3"/>
      <c r="R612" s="3"/>
      <c r="S612" s="3"/>
      <c r="T612" s="3"/>
      <c r="U612" s="3"/>
      <c r="V612" s="3"/>
    </row>
    <row r="613" spans="1:22" x14ac:dyDescent="0.25">
      <c r="A613" s="20">
        <v>42041</v>
      </c>
      <c r="B613" s="21">
        <v>11310</v>
      </c>
      <c r="C613" s="14" t="s">
        <v>24</v>
      </c>
      <c r="D613" s="105">
        <v>69874.600000000006</v>
      </c>
      <c r="E613" s="23">
        <v>42062</v>
      </c>
      <c r="F613" s="106">
        <v>69874.600000000006</v>
      </c>
      <c r="G613" s="31">
        <f t="shared" si="9"/>
        <v>0</v>
      </c>
      <c r="H613" s="39" t="s">
        <v>17</v>
      </c>
      <c r="K613" s="3"/>
      <c r="M613" s="3"/>
      <c r="N613" s="3"/>
      <c r="O613" s="3"/>
      <c r="P613" s="3"/>
      <c r="Q613" s="3"/>
      <c r="R613" s="3"/>
      <c r="S613" s="3"/>
      <c r="T613" s="3"/>
      <c r="U613" s="3"/>
      <c r="V613" s="3"/>
    </row>
    <row r="614" spans="1:22" x14ac:dyDescent="0.25">
      <c r="A614" s="20">
        <v>42041</v>
      </c>
      <c r="B614" s="21">
        <v>11311</v>
      </c>
      <c r="C614" s="14" t="s">
        <v>103</v>
      </c>
      <c r="D614" s="105">
        <v>34974.6</v>
      </c>
      <c r="E614" s="23">
        <v>42041</v>
      </c>
      <c r="F614" s="106">
        <v>34974.6</v>
      </c>
      <c r="G614" s="31">
        <f t="shared" si="9"/>
        <v>0</v>
      </c>
      <c r="H614" s="39" t="s">
        <v>9</v>
      </c>
      <c r="J614" s="107"/>
      <c r="K614" s="3"/>
      <c r="M614" s="3"/>
      <c r="N614" s="3"/>
      <c r="O614" s="3"/>
      <c r="P614" s="3"/>
      <c r="Q614" s="3"/>
      <c r="R614" s="3"/>
      <c r="S614" s="3"/>
      <c r="T614" s="3"/>
      <c r="U614" s="3"/>
      <c r="V614" s="3"/>
    </row>
    <row r="615" spans="1:22" x14ac:dyDescent="0.25">
      <c r="A615" s="20">
        <v>42041</v>
      </c>
      <c r="B615" s="21">
        <v>11312</v>
      </c>
      <c r="C615" s="14" t="s">
        <v>90</v>
      </c>
      <c r="D615" s="105">
        <v>513</v>
      </c>
      <c r="E615" s="23">
        <v>42041</v>
      </c>
      <c r="F615" s="106">
        <v>513</v>
      </c>
      <c r="G615" s="31">
        <f t="shared" si="9"/>
        <v>0</v>
      </c>
      <c r="H615" s="39" t="s">
        <v>9</v>
      </c>
      <c r="K615" s="3"/>
      <c r="M615" s="3"/>
      <c r="N615" s="3"/>
      <c r="O615" s="3"/>
      <c r="P615" s="3"/>
      <c r="Q615" s="3"/>
      <c r="R615" s="3"/>
      <c r="S615" s="3"/>
      <c r="T615" s="3"/>
      <c r="U615" s="3"/>
      <c r="V615" s="3"/>
    </row>
    <row r="616" spans="1:22" x14ac:dyDescent="0.25">
      <c r="A616" s="20">
        <v>42041</v>
      </c>
      <c r="B616" s="21">
        <v>11313</v>
      </c>
      <c r="C616" s="14" t="s">
        <v>11</v>
      </c>
      <c r="D616" s="105">
        <v>2036</v>
      </c>
      <c r="E616" s="23">
        <v>42041</v>
      </c>
      <c r="F616" s="106">
        <v>2036</v>
      </c>
      <c r="G616" s="31">
        <f t="shared" si="9"/>
        <v>0</v>
      </c>
      <c r="H616" s="39" t="s">
        <v>9</v>
      </c>
      <c r="J616" s="107"/>
      <c r="K616" s="3"/>
      <c r="M616" s="3"/>
      <c r="N616" s="3"/>
      <c r="O616" s="3"/>
      <c r="P616" s="3"/>
      <c r="Q616" s="3"/>
      <c r="R616" s="3"/>
      <c r="S616" s="3"/>
      <c r="T616" s="3"/>
      <c r="U616" s="3"/>
      <c r="V616" s="3"/>
    </row>
    <row r="617" spans="1:22" x14ac:dyDescent="0.25">
      <c r="A617" s="20">
        <v>42041</v>
      </c>
      <c r="B617" s="21">
        <v>11314</v>
      </c>
      <c r="C617" s="14" t="s">
        <v>587</v>
      </c>
      <c r="D617" s="105">
        <v>39483.5</v>
      </c>
      <c r="E617" s="23">
        <v>42041</v>
      </c>
      <c r="F617" s="106">
        <v>39483.5</v>
      </c>
      <c r="G617" s="31">
        <f t="shared" si="9"/>
        <v>0</v>
      </c>
      <c r="H617" s="39" t="s">
        <v>59</v>
      </c>
      <c r="K617" s="3"/>
      <c r="M617" s="3"/>
      <c r="N617" s="3"/>
      <c r="O617" s="3"/>
      <c r="P617" s="3"/>
      <c r="Q617" s="3"/>
      <c r="R617" s="3"/>
      <c r="S617" s="3"/>
      <c r="T617" s="3"/>
      <c r="U617" s="3"/>
      <c r="V617" s="3"/>
    </row>
    <row r="618" spans="1:22" x14ac:dyDescent="0.25">
      <c r="A618" s="20">
        <v>42041</v>
      </c>
      <c r="B618" s="21">
        <v>11315</v>
      </c>
      <c r="C618" s="14" t="s">
        <v>24</v>
      </c>
      <c r="D618" s="105">
        <v>12143.6</v>
      </c>
      <c r="E618" s="23">
        <v>42062</v>
      </c>
      <c r="F618" s="106">
        <v>12143.6</v>
      </c>
      <c r="G618" s="31">
        <f t="shared" si="9"/>
        <v>0</v>
      </c>
      <c r="H618" s="39" t="s">
        <v>36</v>
      </c>
      <c r="K618" s="3"/>
      <c r="M618" s="3"/>
      <c r="N618" s="3"/>
      <c r="O618" s="3"/>
      <c r="P618" s="3"/>
      <c r="Q618" s="3"/>
      <c r="R618" s="3"/>
      <c r="S618" s="3"/>
      <c r="T618" s="3"/>
      <c r="U618" s="3"/>
      <c r="V618" s="3"/>
    </row>
    <row r="619" spans="1:22" x14ac:dyDescent="0.25">
      <c r="A619" s="20">
        <v>42041</v>
      </c>
      <c r="B619" s="21">
        <v>11316</v>
      </c>
      <c r="C619" s="14" t="s">
        <v>45</v>
      </c>
      <c r="D619" s="105">
        <v>54303.14</v>
      </c>
      <c r="E619" s="23">
        <v>42055</v>
      </c>
      <c r="F619" s="106">
        <v>54303.14</v>
      </c>
      <c r="G619" s="31">
        <f t="shared" si="9"/>
        <v>0</v>
      </c>
      <c r="H619" s="39" t="s">
        <v>46</v>
      </c>
      <c r="K619" s="3"/>
      <c r="M619" s="3"/>
      <c r="N619" s="3"/>
      <c r="O619" s="3"/>
      <c r="P619" s="3"/>
      <c r="Q619" s="3"/>
      <c r="R619" s="3"/>
      <c r="S619" s="3"/>
      <c r="T619" s="3"/>
      <c r="U619" s="3"/>
      <c r="V619" s="3"/>
    </row>
    <row r="620" spans="1:22" x14ac:dyDescent="0.25">
      <c r="A620" s="20">
        <v>42041</v>
      </c>
      <c r="B620" s="21">
        <v>11317</v>
      </c>
      <c r="C620" s="14" t="s">
        <v>110</v>
      </c>
      <c r="D620" s="105">
        <v>48049.65</v>
      </c>
      <c r="E620" s="29" t="s">
        <v>588</v>
      </c>
      <c r="F620" s="106">
        <f>29750+18299.65</f>
        <v>48049.65</v>
      </c>
      <c r="G620" s="31">
        <f t="shared" si="9"/>
        <v>0</v>
      </c>
      <c r="H620" s="39" t="s">
        <v>46</v>
      </c>
      <c r="K620" s="3"/>
      <c r="M620" s="3"/>
      <c r="N620" s="3"/>
      <c r="O620" s="3"/>
      <c r="P620" s="3"/>
      <c r="Q620" s="3"/>
      <c r="R620" s="3"/>
      <c r="S620" s="3"/>
      <c r="T620" s="3"/>
      <c r="U620" s="3"/>
      <c r="V620" s="3"/>
    </row>
    <row r="621" spans="1:22" x14ac:dyDescent="0.25">
      <c r="A621" s="20">
        <v>42041</v>
      </c>
      <c r="B621" s="21">
        <v>11318</v>
      </c>
      <c r="C621" s="14" t="s">
        <v>267</v>
      </c>
      <c r="D621" s="105">
        <v>5049.6000000000004</v>
      </c>
      <c r="E621" s="23">
        <v>42042</v>
      </c>
      <c r="F621" s="106">
        <v>5049.6000000000004</v>
      </c>
      <c r="G621" s="31">
        <f t="shared" si="9"/>
        <v>0</v>
      </c>
      <c r="H621" s="39" t="s">
        <v>36</v>
      </c>
      <c r="K621" s="3"/>
      <c r="M621" s="3"/>
      <c r="N621" s="3"/>
      <c r="O621" s="3"/>
      <c r="P621" s="3"/>
      <c r="Q621" s="3"/>
      <c r="R621" s="3"/>
      <c r="S621" s="3"/>
      <c r="T621" s="3"/>
      <c r="U621" s="3"/>
      <c r="V621" s="3"/>
    </row>
    <row r="622" spans="1:22" x14ac:dyDescent="0.25">
      <c r="A622" s="20">
        <v>42041</v>
      </c>
      <c r="B622" s="21">
        <v>11319</v>
      </c>
      <c r="C622" s="14" t="s">
        <v>64</v>
      </c>
      <c r="D622" s="105">
        <v>660.1</v>
      </c>
      <c r="E622" s="23">
        <v>42041</v>
      </c>
      <c r="F622" s="106">
        <v>660.1</v>
      </c>
      <c r="G622" s="31">
        <f t="shared" si="9"/>
        <v>0</v>
      </c>
      <c r="H622" s="39" t="s">
        <v>62</v>
      </c>
      <c r="K622" s="3"/>
      <c r="M622" s="3"/>
      <c r="N622" s="3"/>
      <c r="O622" s="3"/>
      <c r="P622" s="3"/>
      <c r="Q622" s="3"/>
      <c r="R622" s="3"/>
      <c r="S622" s="3"/>
      <c r="T622" s="3"/>
      <c r="U622" s="3"/>
      <c r="V622" s="3"/>
    </row>
    <row r="623" spans="1:22" x14ac:dyDescent="0.25">
      <c r="A623" s="20">
        <v>42042</v>
      </c>
      <c r="B623" s="21">
        <v>11320</v>
      </c>
      <c r="C623" s="14" t="s">
        <v>16</v>
      </c>
      <c r="D623" s="105">
        <v>9824.4</v>
      </c>
      <c r="E623" s="23">
        <v>42042</v>
      </c>
      <c r="F623" s="106">
        <v>9824.4</v>
      </c>
      <c r="G623" s="31">
        <f t="shared" si="9"/>
        <v>0</v>
      </c>
      <c r="H623" s="39" t="s">
        <v>17</v>
      </c>
      <c r="K623" s="3"/>
      <c r="M623" s="3"/>
      <c r="N623" s="3"/>
      <c r="O623" s="3"/>
      <c r="P623" s="3"/>
      <c r="Q623" s="3"/>
      <c r="R623" s="3"/>
      <c r="S623" s="3"/>
      <c r="T623" s="3"/>
      <c r="U623" s="3"/>
      <c r="V623" s="3"/>
    </row>
    <row r="624" spans="1:22" x14ac:dyDescent="0.25">
      <c r="A624" s="20">
        <v>42042</v>
      </c>
      <c r="B624" s="21">
        <v>11321</v>
      </c>
      <c r="C624" s="14" t="s">
        <v>18</v>
      </c>
      <c r="D624" s="105">
        <v>43457.48</v>
      </c>
      <c r="E624" s="23">
        <v>42052</v>
      </c>
      <c r="F624" s="106">
        <v>43457.48</v>
      </c>
      <c r="G624" s="31">
        <f t="shared" si="9"/>
        <v>0</v>
      </c>
      <c r="H624" s="39" t="s">
        <v>9</v>
      </c>
      <c r="K624" s="3"/>
      <c r="M624" s="3"/>
      <c r="N624" s="3"/>
      <c r="O624" s="3"/>
      <c r="P624" s="3"/>
      <c r="Q624" s="3"/>
      <c r="R624" s="3"/>
      <c r="S624" s="3"/>
      <c r="T624" s="3"/>
      <c r="U624" s="3"/>
      <c r="V624" s="3"/>
    </row>
    <row r="625" spans="1:22" x14ac:dyDescent="0.25">
      <c r="A625" s="20">
        <v>42042</v>
      </c>
      <c r="B625" s="21">
        <v>11322</v>
      </c>
      <c r="C625" s="14" t="s">
        <v>58</v>
      </c>
      <c r="D625" s="105">
        <v>570</v>
      </c>
      <c r="E625" s="23">
        <v>42042</v>
      </c>
      <c r="F625" s="106">
        <v>570</v>
      </c>
      <c r="G625" s="31">
        <f t="shared" si="9"/>
        <v>0</v>
      </c>
      <c r="H625" s="39" t="s">
        <v>59</v>
      </c>
      <c r="K625" s="3"/>
      <c r="M625" s="3"/>
      <c r="N625" s="3"/>
      <c r="O625" s="3"/>
      <c r="P625" s="3"/>
      <c r="Q625" s="3"/>
      <c r="R625" s="3"/>
      <c r="S625" s="3"/>
      <c r="T625" s="3"/>
      <c r="U625" s="3"/>
      <c r="V625" s="3"/>
    </row>
    <row r="626" spans="1:22" x14ac:dyDescent="0.25">
      <c r="A626" s="20">
        <v>42042</v>
      </c>
      <c r="B626" s="21">
        <v>11323</v>
      </c>
      <c r="C626" s="14" t="s">
        <v>214</v>
      </c>
      <c r="D626" s="105">
        <v>1330</v>
      </c>
      <c r="E626" s="23">
        <v>42042</v>
      </c>
      <c r="F626" s="106">
        <v>1330</v>
      </c>
      <c r="G626" s="31">
        <f t="shared" si="9"/>
        <v>0</v>
      </c>
      <c r="H626" s="39" t="s">
        <v>59</v>
      </c>
      <c r="I626" s="3"/>
      <c r="J626" s="42"/>
      <c r="K626" s="3"/>
      <c r="M626" s="3"/>
      <c r="N626" s="3"/>
      <c r="O626" s="3"/>
      <c r="P626" s="3"/>
      <c r="Q626" s="3"/>
      <c r="R626" s="3"/>
      <c r="S626" s="3"/>
      <c r="T626" s="3"/>
      <c r="U626" s="3"/>
      <c r="V626" s="3"/>
    </row>
    <row r="627" spans="1:22" x14ac:dyDescent="0.25">
      <c r="A627" s="20">
        <v>42042</v>
      </c>
      <c r="B627" s="21">
        <v>11324</v>
      </c>
      <c r="C627" s="110">
        <v>105</v>
      </c>
      <c r="D627" s="105">
        <v>798</v>
      </c>
      <c r="E627" s="23">
        <v>42042</v>
      </c>
      <c r="F627" s="106">
        <v>798</v>
      </c>
      <c r="G627" s="31">
        <f t="shared" si="9"/>
        <v>0</v>
      </c>
      <c r="H627" s="39" t="s">
        <v>59</v>
      </c>
      <c r="I627" s="3"/>
      <c r="J627" s="42"/>
      <c r="K627" s="3"/>
      <c r="M627" s="3"/>
      <c r="N627" s="3"/>
      <c r="O627" s="3"/>
      <c r="P627" s="3"/>
      <c r="Q627" s="3"/>
      <c r="R627" s="3"/>
      <c r="S627" s="3"/>
      <c r="T627" s="3"/>
      <c r="U627" s="3"/>
      <c r="V627" s="3"/>
    </row>
    <row r="628" spans="1:22" x14ac:dyDescent="0.25">
      <c r="A628" s="20">
        <v>42042</v>
      </c>
      <c r="B628" s="21">
        <v>11325</v>
      </c>
      <c r="C628" s="14" t="s">
        <v>589</v>
      </c>
      <c r="D628" s="105">
        <v>24329.65</v>
      </c>
      <c r="E628" s="23">
        <v>42042</v>
      </c>
      <c r="F628" s="106">
        <v>24329.65</v>
      </c>
      <c r="G628" s="31">
        <f t="shared" si="9"/>
        <v>0</v>
      </c>
      <c r="H628" s="39" t="s">
        <v>17</v>
      </c>
      <c r="I628" s="3"/>
      <c r="J628" s="42"/>
      <c r="K628" s="3"/>
      <c r="M628" s="3"/>
      <c r="N628" s="3"/>
      <c r="O628" s="3"/>
      <c r="P628" s="3"/>
      <c r="Q628" s="3"/>
      <c r="R628" s="3"/>
      <c r="S628" s="3"/>
      <c r="T628" s="3"/>
      <c r="U628" s="3"/>
      <c r="V628" s="3"/>
    </row>
    <row r="629" spans="1:22" x14ac:dyDescent="0.25">
      <c r="A629" s="20">
        <v>42042</v>
      </c>
      <c r="B629" s="21">
        <v>11326</v>
      </c>
      <c r="C629" s="26" t="s">
        <v>218</v>
      </c>
      <c r="D629" s="108">
        <v>0</v>
      </c>
      <c r="E629" s="23"/>
      <c r="F629" s="106"/>
      <c r="G629" s="31">
        <f t="shared" si="9"/>
        <v>0</v>
      </c>
      <c r="H629" s="39" t="s">
        <v>13</v>
      </c>
      <c r="I629" s="3"/>
      <c r="J629" s="42"/>
      <c r="K629" s="3"/>
      <c r="M629" s="3"/>
      <c r="N629" s="3"/>
      <c r="O629" s="3"/>
      <c r="P629" s="3"/>
      <c r="Q629" s="3"/>
      <c r="R629" s="3"/>
      <c r="S629" s="3"/>
      <c r="T629" s="3"/>
      <c r="U629" s="3"/>
      <c r="V629" s="3"/>
    </row>
    <row r="630" spans="1:22" x14ac:dyDescent="0.25">
      <c r="A630" s="20">
        <v>42042</v>
      </c>
      <c r="B630" s="21">
        <v>11327</v>
      </c>
      <c r="C630" s="14" t="s">
        <v>232</v>
      </c>
      <c r="D630" s="105">
        <v>18984.599999999999</v>
      </c>
      <c r="E630" s="23">
        <v>42042</v>
      </c>
      <c r="F630" s="106">
        <v>18984.599999999999</v>
      </c>
      <c r="G630" s="31">
        <f t="shared" si="9"/>
        <v>0</v>
      </c>
      <c r="H630" s="39" t="s">
        <v>9</v>
      </c>
      <c r="I630" s="3"/>
      <c r="J630" s="42"/>
      <c r="K630" s="3"/>
      <c r="M630" s="3"/>
      <c r="N630" s="3"/>
      <c r="O630" s="3"/>
      <c r="P630" s="3"/>
      <c r="Q630" s="3"/>
      <c r="R630" s="3"/>
      <c r="S630" s="3"/>
      <c r="T630" s="3"/>
      <c r="U630" s="3"/>
      <c r="V630" s="3"/>
    </row>
    <row r="631" spans="1:22" x14ac:dyDescent="0.25">
      <c r="A631" s="20">
        <v>42042</v>
      </c>
      <c r="B631" s="21">
        <v>11328</v>
      </c>
      <c r="C631" s="14" t="s">
        <v>14</v>
      </c>
      <c r="D631" s="105">
        <v>16839.2</v>
      </c>
      <c r="E631" s="23">
        <v>42048</v>
      </c>
      <c r="F631" s="106">
        <v>16839.2</v>
      </c>
      <c r="G631" s="31">
        <f t="shared" si="9"/>
        <v>0</v>
      </c>
      <c r="H631" s="39" t="s">
        <v>9</v>
      </c>
      <c r="I631" s="3"/>
      <c r="J631" s="42"/>
      <c r="K631" s="3"/>
      <c r="M631" s="3"/>
      <c r="N631" s="3"/>
      <c r="O631" s="3"/>
      <c r="P631" s="3"/>
      <c r="Q631" s="3"/>
      <c r="R631" s="3"/>
      <c r="S631" s="3"/>
      <c r="T631" s="3"/>
      <c r="U631" s="3"/>
      <c r="V631" s="3"/>
    </row>
    <row r="632" spans="1:22" x14ac:dyDescent="0.25">
      <c r="A632" s="20">
        <v>42042</v>
      </c>
      <c r="B632" s="21">
        <v>11329</v>
      </c>
      <c r="C632" s="14" t="s">
        <v>158</v>
      </c>
      <c r="D632" s="105">
        <v>8105.6</v>
      </c>
      <c r="E632" s="23">
        <v>42042</v>
      </c>
      <c r="F632" s="106">
        <v>8105.6</v>
      </c>
      <c r="G632" s="31">
        <f t="shared" si="9"/>
        <v>0</v>
      </c>
      <c r="H632" s="39" t="s">
        <v>9</v>
      </c>
      <c r="I632" s="3"/>
      <c r="J632" s="42"/>
      <c r="K632" s="3"/>
      <c r="M632" s="3"/>
      <c r="N632" s="3"/>
      <c r="O632" s="3"/>
      <c r="P632" s="3"/>
      <c r="Q632" s="3"/>
      <c r="R632" s="3"/>
      <c r="S632" s="3"/>
      <c r="T632" s="3"/>
      <c r="U632" s="3"/>
      <c r="V632" s="3"/>
    </row>
    <row r="633" spans="1:22" x14ac:dyDescent="0.25">
      <c r="A633" s="20">
        <v>42042</v>
      </c>
      <c r="B633" s="21">
        <v>11330</v>
      </c>
      <c r="C633" s="14" t="s">
        <v>11</v>
      </c>
      <c r="D633" s="105">
        <v>12837.3</v>
      </c>
      <c r="E633" s="23">
        <v>42042</v>
      </c>
      <c r="F633" s="106">
        <v>12837.3</v>
      </c>
      <c r="G633" s="31">
        <f t="shared" si="9"/>
        <v>0</v>
      </c>
      <c r="H633" s="39" t="s">
        <v>9</v>
      </c>
      <c r="I633" s="3"/>
      <c r="J633" s="42"/>
      <c r="K633" s="3"/>
      <c r="M633" s="3"/>
      <c r="N633" s="3"/>
      <c r="O633" s="3"/>
      <c r="P633" s="3"/>
      <c r="Q633" s="3"/>
      <c r="R633" s="3"/>
      <c r="S633" s="3"/>
      <c r="T633" s="3"/>
      <c r="U633" s="3"/>
      <c r="V633" s="3"/>
    </row>
    <row r="634" spans="1:22" x14ac:dyDescent="0.25">
      <c r="A634" s="20">
        <v>42042</v>
      </c>
      <c r="B634" s="21">
        <v>11331</v>
      </c>
      <c r="C634" s="14" t="s">
        <v>121</v>
      </c>
      <c r="D634" s="105">
        <v>4572.3999999999996</v>
      </c>
      <c r="E634" s="23">
        <v>42042</v>
      </c>
      <c r="F634" s="106">
        <v>4572.3999999999996</v>
      </c>
      <c r="G634" s="31">
        <f t="shared" si="9"/>
        <v>0</v>
      </c>
      <c r="H634" s="39" t="s">
        <v>9</v>
      </c>
      <c r="I634" s="3"/>
      <c r="J634" s="42"/>
      <c r="K634" s="3"/>
      <c r="M634" s="3"/>
      <c r="N634" s="3"/>
      <c r="O634" s="3"/>
      <c r="P634" s="3"/>
      <c r="Q634" s="3"/>
      <c r="R634" s="3"/>
      <c r="S634" s="3"/>
      <c r="T634" s="3"/>
      <c r="U634" s="3"/>
      <c r="V634" s="3"/>
    </row>
    <row r="635" spans="1:22" x14ac:dyDescent="0.25">
      <c r="A635" s="20">
        <v>42042</v>
      </c>
      <c r="B635" s="21">
        <v>11332</v>
      </c>
      <c r="C635" s="14" t="s">
        <v>590</v>
      </c>
      <c r="D635" s="105">
        <v>16614.5</v>
      </c>
      <c r="E635" s="23">
        <v>42044</v>
      </c>
      <c r="F635" s="106">
        <v>16614.5</v>
      </c>
      <c r="G635" s="31">
        <f t="shared" si="9"/>
        <v>0</v>
      </c>
      <c r="H635" s="39" t="s">
        <v>94</v>
      </c>
      <c r="I635" s="3"/>
      <c r="J635" s="42"/>
      <c r="K635" s="3"/>
      <c r="M635" s="3"/>
      <c r="N635" s="3"/>
      <c r="O635" s="3"/>
      <c r="P635" s="3"/>
      <c r="Q635" s="3"/>
      <c r="R635" s="3"/>
      <c r="S635" s="3"/>
      <c r="T635" s="3"/>
      <c r="U635" s="3"/>
      <c r="V635" s="3"/>
    </row>
    <row r="636" spans="1:22" x14ac:dyDescent="0.25">
      <c r="A636" s="20">
        <v>42042</v>
      </c>
      <c r="B636" s="21">
        <v>11333</v>
      </c>
      <c r="C636" s="14" t="s">
        <v>20</v>
      </c>
      <c r="D636" s="105">
        <v>22526</v>
      </c>
      <c r="E636" s="23">
        <v>42044</v>
      </c>
      <c r="F636" s="106">
        <v>22526</v>
      </c>
      <c r="G636" s="31">
        <f t="shared" si="9"/>
        <v>0</v>
      </c>
      <c r="H636" s="39" t="s">
        <v>94</v>
      </c>
      <c r="I636" s="3"/>
      <c r="J636" s="42"/>
      <c r="K636" s="3"/>
      <c r="M636" s="3"/>
      <c r="N636" s="3"/>
      <c r="O636" s="3"/>
      <c r="P636" s="3"/>
      <c r="Q636" s="3"/>
      <c r="R636" s="3"/>
      <c r="S636" s="3"/>
      <c r="T636" s="3"/>
      <c r="U636" s="3"/>
      <c r="V636" s="3"/>
    </row>
    <row r="637" spans="1:22" x14ac:dyDescent="0.25">
      <c r="A637" s="20">
        <v>42042</v>
      </c>
      <c r="B637" s="21">
        <v>11334</v>
      </c>
      <c r="C637" s="14" t="s">
        <v>128</v>
      </c>
      <c r="D637" s="105">
        <v>2272.4</v>
      </c>
      <c r="E637" s="23">
        <v>42044</v>
      </c>
      <c r="F637" s="106">
        <v>2272.4</v>
      </c>
      <c r="G637" s="31">
        <f t="shared" si="9"/>
        <v>0</v>
      </c>
      <c r="H637" s="39" t="s">
        <v>17</v>
      </c>
      <c r="I637" s="3"/>
      <c r="J637" s="42"/>
      <c r="K637" s="3"/>
      <c r="M637" s="3"/>
      <c r="N637" s="3"/>
      <c r="O637" s="3"/>
      <c r="P637" s="3"/>
      <c r="Q637" s="3"/>
      <c r="R637" s="3"/>
      <c r="S637" s="3"/>
      <c r="T637" s="3"/>
      <c r="U637" s="3"/>
      <c r="V637" s="3"/>
    </row>
    <row r="638" spans="1:22" x14ac:dyDescent="0.25">
      <c r="A638" s="20">
        <v>42042</v>
      </c>
      <c r="B638" s="21">
        <v>11335</v>
      </c>
      <c r="C638" s="14" t="s">
        <v>57</v>
      </c>
      <c r="D638" s="105">
        <v>1520</v>
      </c>
      <c r="E638" s="23">
        <v>42042</v>
      </c>
      <c r="F638" s="106">
        <v>1520</v>
      </c>
      <c r="G638" s="31">
        <f t="shared" si="9"/>
        <v>0</v>
      </c>
      <c r="H638" s="39" t="s">
        <v>59</v>
      </c>
      <c r="I638" s="3"/>
      <c r="J638" s="42"/>
      <c r="K638" s="3"/>
      <c r="M638" s="3"/>
      <c r="N638" s="3"/>
      <c r="O638" s="3"/>
      <c r="P638" s="3"/>
      <c r="Q638" s="3"/>
      <c r="R638" s="3"/>
      <c r="S638" s="3"/>
      <c r="T638" s="3"/>
      <c r="U638" s="3"/>
      <c r="V638" s="3"/>
    </row>
    <row r="639" spans="1:22" x14ac:dyDescent="0.25">
      <c r="A639" s="20">
        <v>42042</v>
      </c>
      <c r="B639" s="21">
        <v>11336</v>
      </c>
      <c r="C639" s="14" t="s">
        <v>148</v>
      </c>
      <c r="D639" s="105">
        <v>5288.8</v>
      </c>
      <c r="E639" s="23">
        <v>42042</v>
      </c>
      <c r="F639" s="106">
        <v>5288.8</v>
      </c>
      <c r="G639" s="31">
        <f t="shared" si="9"/>
        <v>0</v>
      </c>
      <c r="H639" s="39" t="s">
        <v>9</v>
      </c>
      <c r="I639" s="3"/>
      <c r="J639" s="42"/>
      <c r="K639" s="3"/>
      <c r="M639" s="3"/>
      <c r="N639" s="3"/>
      <c r="O639" s="3"/>
      <c r="P639" s="3"/>
      <c r="Q639" s="3"/>
      <c r="R639" s="3"/>
      <c r="S639" s="3"/>
      <c r="T639" s="3"/>
      <c r="U639" s="3"/>
      <c r="V639" s="3"/>
    </row>
    <row r="640" spans="1:22" x14ac:dyDescent="0.25">
      <c r="A640" s="20">
        <v>42042</v>
      </c>
      <c r="B640" s="21">
        <v>11337</v>
      </c>
      <c r="C640" s="14" t="s">
        <v>26</v>
      </c>
      <c r="D640" s="105">
        <v>3144</v>
      </c>
      <c r="E640" s="23">
        <v>42042</v>
      </c>
      <c r="F640" s="106">
        <v>3144</v>
      </c>
      <c r="G640" s="31">
        <f t="shared" si="9"/>
        <v>0</v>
      </c>
      <c r="H640" s="39" t="s">
        <v>27</v>
      </c>
      <c r="I640" s="3"/>
      <c r="J640" s="42"/>
      <c r="K640" s="3"/>
      <c r="M640" s="3"/>
      <c r="N640" s="3"/>
      <c r="O640" s="3"/>
      <c r="P640" s="3"/>
      <c r="Q640" s="3"/>
      <c r="R640" s="3"/>
      <c r="S640" s="3"/>
      <c r="T640" s="3"/>
      <c r="U640" s="3"/>
      <c r="V640" s="3"/>
    </row>
    <row r="641" spans="1:22" x14ac:dyDescent="0.25">
      <c r="A641" s="20">
        <v>42042</v>
      </c>
      <c r="B641" s="21">
        <v>11338</v>
      </c>
      <c r="C641" s="14" t="s">
        <v>49</v>
      </c>
      <c r="D641" s="105">
        <v>2088</v>
      </c>
      <c r="E641" s="23">
        <v>42044</v>
      </c>
      <c r="F641" s="106">
        <v>2088</v>
      </c>
      <c r="G641" s="31">
        <f t="shared" si="9"/>
        <v>0</v>
      </c>
      <c r="H641" s="39" t="s">
        <v>94</v>
      </c>
      <c r="I641" s="3"/>
      <c r="J641" s="42"/>
      <c r="K641" s="3"/>
      <c r="M641" s="3"/>
      <c r="N641" s="3"/>
      <c r="O641" s="3"/>
      <c r="P641" s="3"/>
      <c r="Q641" s="3"/>
      <c r="R641" s="3"/>
      <c r="S641" s="3"/>
      <c r="T641" s="3"/>
      <c r="U641" s="3"/>
      <c r="V641" s="3"/>
    </row>
    <row r="642" spans="1:22" x14ac:dyDescent="0.25">
      <c r="A642" s="20">
        <v>42042</v>
      </c>
      <c r="B642" s="21">
        <v>11339</v>
      </c>
      <c r="C642" s="14" t="s">
        <v>413</v>
      </c>
      <c r="D642" s="105">
        <v>4534.8</v>
      </c>
      <c r="E642" s="23">
        <v>42044</v>
      </c>
      <c r="F642" s="106">
        <v>4534.8</v>
      </c>
      <c r="G642" s="31">
        <f t="shared" si="9"/>
        <v>0</v>
      </c>
      <c r="H642" s="39" t="s">
        <v>94</v>
      </c>
      <c r="K642" s="3"/>
      <c r="M642" s="3"/>
      <c r="N642" s="3"/>
      <c r="O642" s="3"/>
      <c r="P642" s="3"/>
      <c r="Q642" s="3"/>
      <c r="R642" s="3"/>
      <c r="S642" s="3"/>
      <c r="T642" s="3"/>
      <c r="U642" s="3"/>
      <c r="V642" s="3"/>
    </row>
    <row r="643" spans="1:22" x14ac:dyDescent="0.25">
      <c r="A643" s="20">
        <v>42042</v>
      </c>
      <c r="B643" s="21">
        <v>11340</v>
      </c>
      <c r="C643" s="14" t="s">
        <v>161</v>
      </c>
      <c r="D643" s="105">
        <v>3335.5</v>
      </c>
      <c r="E643" s="23">
        <v>42042</v>
      </c>
      <c r="F643" s="106">
        <v>3335.5</v>
      </c>
      <c r="G643" s="31">
        <f t="shared" ref="G643:G706" si="10">D643-F643</f>
        <v>0</v>
      </c>
      <c r="H643" s="39" t="s">
        <v>9</v>
      </c>
      <c r="K643" s="3"/>
      <c r="M643" s="3"/>
      <c r="N643" s="3"/>
      <c r="O643" s="3"/>
      <c r="P643" s="3"/>
      <c r="Q643" s="3"/>
      <c r="R643" s="3"/>
      <c r="S643" s="3"/>
      <c r="T643" s="3"/>
      <c r="U643" s="3"/>
      <c r="V643" s="3"/>
    </row>
    <row r="644" spans="1:22" x14ac:dyDescent="0.25">
      <c r="A644" s="20">
        <v>42042</v>
      </c>
      <c r="B644" s="21">
        <v>11341</v>
      </c>
      <c r="C644" s="14" t="s">
        <v>91</v>
      </c>
      <c r="D644" s="105">
        <v>24317.8</v>
      </c>
      <c r="E644" s="23">
        <v>42042</v>
      </c>
      <c r="F644" s="106">
        <v>24317.8</v>
      </c>
      <c r="G644" s="31">
        <f t="shared" si="10"/>
        <v>0</v>
      </c>
      <c r="H644" s="39" t="s">
        <v>59</v>
      </c>
      <c r="K644" s="3"/>
      <c r="M644" s="3"/>
      <c r="N644" s="3"/>
      <c r="O644" s="3"/>
      <c r="P644" s="3"/>
      <c r="Q644" s="3"/>
      <c r="R644" s="3"/>
      <c r="S644" s="3"/>
      <c r="T644" s="3"/>
      <c r="U644" s="3"/>
      <c r="V644" s="3"/>
    </row>
    <row r="645" spans="1:22" x14ac:dyDescent="0.25">
      <c r="A645" s="20">
        <v>42042</v>
      </c>
      <c r="B645" s="21">
        <v>11342</v>
      </c>
      <c r="C645" s="14" t="s">
        <v>290</v>
      </c>
      <c r="D645" s="105">
        <v>160</v>
      </c>
      <c r="E645" s="23">
        <v>42042</v>
      </c>
      <c r="F645" s="106">
        <v>160</v>
      </c>
      <c r="G645" s="31">
        <f t="shared" si="10"/>
        <v>0</v>
      </c>
      <c r="H645" s="39" t="s">
        <v>9</v>
      </c>
      <c r="K645" s="3"/>
      <c r="M645" s="3"/>
      <c r="N645" s="3"/>
      <c r="O645" s="3"/>
      <c r="P645" s="3"/>
      <c r="Q645" s="3"/>
      <c r="R645" s="3"/>
      <c r="S645" s="3"/>
      <c r="T645" s="3"/>
      <c r="U645" s="3"/>
      <c r="V645" s="3"/>
    </row>
    <row r="646" spans="1:22" x14ac:dyDescent="0.25">
      <c r="A646" s="20">
        <v>42042</v>
      </c>
      <c r="B646" s="21">
        <v>11343</v>
      </c>
      <c r="C646" s="14" t="s">
        <v>21</v>
      </c>
      <c r="D646" s="105">
        <v>3365.6</v>
      </c>
      <c r="E646" s="23">
        <v>42042</v>
      </c>
      <c r="F646" s="106">
        <v>3365.6</v>
      </c>
      <c r="G646" s="31">
        <f t="shared" si="10"/>
        <v>0</v>
      </c>
      <c r="H646" s="39" t="s">
        <v>9</v>
      </c>
      <c r="K646" s="3"/>
      <c r="M646" s="3"/>
      <c r="N646" s="3"/>
      <c r="O646" s="3"/>
      <c r="P646" s="3"/>
      <c r="Q646" s="3"/>
      <c r="R646" s="3"/>
      <c r="S646" s="3"/>
      <c r="T646" s="3"/>
      <c r="U646" s="3"/>
      <c r="V646" s="3"/>
    </row>
    <row r="647" spans="1:22" x14ac:dyDescent="0.25">
      <c r="A647" s="20">
        <v>42042</v>
      </c>
      <c r="B647" s="21">
        <v>11344</v>
      </c>
      <c r="C647" s="14" t="s">
        <v>83</v>
      </c>
      <c r="D647" s="105">
        <v>9528.6</v>
      </c>
      <c r="E647" s="23">
        <v>42042</v>
      </c>
      <c r="F647" s="106">
        <v>9528.6</v>
      </c>
      <c r="G647" s="31">
        <f t="shared" si="10"/>
        <v>0</v>
      </c>
      <c r="H647" s="39" t="s">
        <v>59</v>
      </c>
      <c r="K647" s="3"/>
      <c r="M647" s="3"/>
      <c r="N647" s="3"/>
      <c r="O647" s="3"/>
      <c r="P647" s="3"/>
      <c r="Q647" s="3"/>
      <c r="R647" s="3"/>
      <c r="S647" s="3"/>
      <c r="T647" s="3"/>
      <c r="U647" s="3"/>
      <c r="V647" s="3"/>
    </row>
    <row r="648" spans="1:22" x14ac:dyDescent="0.25">
      <c r="A648" s="20">
        <v>42042</v>
      </c>
      <c r="B648" s="21">
        <v>11345</v>
      </c>
      <c r="C648" s="14" t="s">
        <v>591</v>
      </c>
      <c r="D648" s="105">
        <v>11496.9</v>
      </c>
      <c r="E648" s="23">
        <v>42042</v>
      </c>
      <c r="F648" s="106">
        <v>11496.9</v>
      </c>
      <c r="G648" s="31">
        <f t="shared" si="10"/>
        <v>0</v>
      </c>
      <c r="H648" s="39" t="s">
        <v>36</v>
      </c>
      <c r="J648" s="107"/>
      <c r="K648" s="3"/>
      <c r="M648" s="3"/>
      <c r="N648" s="3"/>
      <c r="O648" s="3"/>
      <c r="P648" s="3"/>
      <c r="Q648" s="3"/>
      <c r="R648" s="3"/>
      <c r="S648" s="3"/>
      <c r="T648" s="3"/>
      <c r="U648" s="3"/>
      <c r="V648" s="3"/>
    </row>
    <row r="649" spans="1:22" x14ac:dyDescent="0.25">
      <c r="A649" s="20">
        <v>42042</v>
      </c>
      <c r="B649" s="21">
        <v>11346</v>
      </c>
      <c r="C649" s="14" t="s">
        <v>294</v>
      </c>
      <c r="D649" s="105">
        <v>2119.1999999999998</v>
      </c>
      <c r="E649" s="23">
        <v>42042</v>
      </c>
      <c r="F649" s="106">
        <v>2119.1999999999998</v>
      </c>
      <c r="G649" s="31">
        <f t="shared" si="10"/>
        <v>0</v>
      </c>
      <c r="H649" s="39" t="s">
        <v>9</v>
      </c>
      <c r="K649" s="3"/>
      <c r="M649" s="3"/>
      <c r="N649" s="3"/>
      <c r="O649" s="3"/>
      <c r="P649" s="3"/>
      <c r="Q649" s="3"/>
      <c r="R649" s="3"/>
      <c r="S649" s="3"/>
      <c r="T649" s="3"/>
      <c r="U649" s="3"/>
      <c r="V649" s="3"/>
    </row>
    <row r="650" spans="1:22" x14ac:dyDescent="0.25">
      <c r="A650" s="20">
        <v>42042</v>
      </c>
      <c r="B650" s="21">
        <v>11347</v>
      </c>
      <c r="C650" s="14" t="s">
        <v>151</v>
      </c>
      <c r="D650" s="105">
        <v>4870.7</v>
      </c>
      <c r="E650" s="23">
        <v>42042</v>
      </c>
      <c r="F650" s="106">
        <v>4870.7</v>
      </c>
      <c r="G650" s="31">
        <f t="shared" si="10"/>
        <v>0</v>
      </c>
      <c r="H650" s="39" t="s">
        <v>9</v>
      </c>
      <c r="K650" s="3"/>
      <c r="M650" s="3"/>
      <c r="N650" s="3"/>
      <c r="O650" s="3"/>
      <c r="P650" s="3"/>
      <c r="Q650" s="3"/>
      <c r="R650" s="3"/>
      <c r="S650" s="3"/>
      <c r="T650" s="3"/>
      <c r="U650" s="3"/>
      <c r="V650" s="3"/>
    </row>
    <row r="651" spans="1:22" x14ac:dyDescent="0.25">
      <c r="A651" s="20">
        <v>42042</v>
      </c>
      <c r="B651" s="21">
        <v>11348</v>
      </c>
      <c r="C651" s="14" t="s">
        <v>116</v>
      </c>
      <c r="D651" s="105">
        <v>13506</v>
      </c>
      <c r="E651" s="23">
        <v>42042</v>
      </c>
      <c r="F651" s="106">
        <v>13506</v>
      </c>
      <c r="G651" s="31">
        <f t="shared" si="10"/>
        <v>0</v>
      </c>
      <c r="H651" s="39" t="s">
        <v>9</v>
      </c>
      <c r="K651" s="3"/>
      <c r="M651" s="3"/>
      <c r="N651" s="3"/>
      <c r="O651" s="3"/>
      <c r="P651" s="3"/>
      <c r="Q651" s="3"/>
      <c r="R651" s="3"/>
      <c r="S651" s="3"/>
      <c r="T651" s="3"/>
      <c r="U651" s="3"/>
      <c r="V651" s="3"/>
    </row>
    <row r="652" spans="1:22" x14ac:dyDescent="0.25">
      <c r="A652" s="20">
        <v>42042</v>
      </c>
      <c r="B652" s="21">
        <v>11349</v>
      </c>
      <c r="C652" s="14" t="s">
        <v>47</v>
      </c>
      <c r="D652" s="105">
        <v>20984.6</v>
      </c>
      <c r="E652" s="23">
        <v>42042</v>
      </c>
      <c r="F652" s="106">
        <v>20984.6</v>
      </c>
      <c r="G652" s="31">
        <f t="shared" si="10"/>
        <v>0</v>
      </c>
      <c r="H652" s="39" t="s">
        <v>36</v>
      </c>
      <c r="K652" s="3"/>
      <c r="M652" s="3"/>
      <c r="N652" s="3"/>
      <c r="O652" s="3"/>
      <c r="P652" s="3"/>
      <c r="Q652" s="3"/>
      <c r="R652" s="3"/>
      <c r="S652" s="3"/>
      <c r="T652" s="3"/>
      <c r="U652" s="3"/>
      <c r="V652" s="3"/>
    </row>
    <row r="653" spans="1:22" x14ac:dyDescent="0.25">
      <c r="A653" s="20">
        <v>42042</v>
      </c>
      <c r="B653" s="21">
        <v>11350</v>
      </c>
      <c r="C653" s="14" t="s">
        <v>88</v>
      </c>
      <c r="D653" s="105">
        <v>1644.5</v>
      </c>
      <c r="E653" s="23">
        <v>42042</v>
      </c>
      <c r="F653" s="106">
        <v>1644.5</v>
      </c>
      <c r="G653" s="31">
        <f t="shared" si="10"/>
        <v>0</v>
      </c>
      <c r="H653" s="39" t="s">
        <v>9</v>
      </c>
      <c r="K653" s="3"/>
      <c r="M653" s="3"/>
      <c r="N653" s="3"/>
      <c r="O653" s="3"/>
      <c r="P653" s="3"/>
      <c r="Q653" s="3"/>
      <c r="R653" s="3"/>
      <c r="S653" s="3"/>
      <c r="T653" s="3"/>
      <c r="U653" s="3"/>
      <c r="V653" s="3"/>
    </row>
    <row r="654" spans="1:22" x14ac:dyDescent="0.25">
      <c r="A654" s="20">
        <v>42042</v>
      </c>
      <c r="B654" s="21">
        <v>11351</v>
      </c>
      <c r="C654" s="14" t="s">
        <v>56</v>
      </c>
      <c r="D654" s="105">
        <v>16335</v>
      </c>
      <c r="E654" s="23">
        <v>42042</v>
      </c>
      <c r="F654" s="106">
        <v>16335</v>
      </c>
      <c r="G654" s="31">
        <f t="shared" si="10"/>
        <v>0</v>
      </c>
      <c r="H654" s="39" t="s">
        <v>36</v>
      </c>
      <c r="K654" s="3"/>
      <c r="M654" s="3"/>
      <c r="N654" s="3"/>
      <c r="O654" s="3"/>
      <c r="P654" s="3"/>
      <c r="Q654" s="3"/>
      <c r="R654" s="3"/>
      <c r="S654" s="3"/>
      <c r="T654" s="3"/>
      <c r="U654" s="3"/>
      <c r="V654" s="3"/>
    </row>
    <row r="655" spans="1:22" x14ac:dyDescent="0.25">
      <c r="A655" s="20">
        <v>42042</v>
      </c>
      <c r="B655" s="21">
        <v>11352</v>
      </c>
      <c r="C655" s="14" t="s">
        <v>45</v>
      </c>
      <c r="D655" s="105">
        <v>5875.2</v>
      </c>
      <c r="E655" s="23">
        <v>42055</v>
      </c>
      <c r="F655" s="106">
        <v>5875.2</v>
      </c>
      <c r="G655" s="31">
        <f t="shared" si="10"/>
        <v>0</v>
      </c>
      <c r="H655" s="39" t="s">
        <v>59</v>
      </c>
      <c r="K655" s="3"/>
      <c r="M655" s="3"/>
      <c r="N655" s="3"/>
      <c r="O655" s="3"/>
      <c r="P655" s="3"/>
      <c r="Q655" s="3"/>
      <c r="R655" s="3"/>
      <c r="S655" s="3"/>
      <c r="T655" s="3"/>
      <c r="U655" s="3"/>
      <c r="V655" s="3"/>
    </row>
    <row r="656" spans="1:22" x14ac:dyDescent="0.25">
      <c r="A656" s="20">
        <v>42042</v>
      </c>
      <c r="B656" s="21">
        <v>11353</v>
      </c>
      <c r="C656" s="14" t="s">
        <v>60</v>
      </c>
      <c r="D656" s="105">
        <v>5368</v>
      </c>
      <c r="E656" s="23">
        <v>42042</v>
      </c>
      <c r="F656" s="106">
        <v>5368</v>
      </c>
      <c r="G656" s="31">
        <f t="shared" si="10"/>
        <v>0</v>
      </c>
      <c r="H656" s="39" t="s">
        <v>36</v>
      </c>
      <c r="K656" s="3"/>
      <c r="M656" s="3"/>
      <c r="N656" s="3"/>
      <c r="O656" s="3"/>
      <c r="P656" s="3"/>
      <c r="Q656" s="3"/>
      <c r="R656" s="3"/>
      <c r="S656" s="3"/>
      <c r="T656" s="3"/>
      <c r="U656" s="3"/>
      <c r="V656" s="3"/>
    </row>
    <row r="657" spans="1:22" x14ac:dyDescent="0.25">
      <c r="A657" s="20">
        <v>42042</v>
      </c>
      <c r="B657" s="21">
        <v>11354</v>
      </c>
      <c r="C657" s="14" t="s">
        <v>53</v>
      </c>
      <c r="D657" s="105">
        <v>2554.8000000000002</v>
      </c>
      <c r="E657" s="23">
        <v>42042</v>
      </c>
      <c r="F657" s="106">
        <v>2554.8000000000002</v>
      </c>
      <c r="G657" s="31">
        <f t="shared" si="10"/>
        <v>0</v>
      </c>
      <c r="H657" s="39" t="s">
        <v>59</v>
      </c>
      <c r="K657" s="3"/>
      <c r="M657" s="3"/>
      <c r="N657" s="3"/>
      <c r="O657" s="3"/>
      <c r="P657" s="3"/>
      <c r="Q657" s="3"/>
      <c r="R657" s="3"/>
      <c r="S657" s="3"/>
      <c r="T657" s="3"/>
      <c r="U657" s="3"/>
      <c r="V657" s="3"/>
    </row>
    <row r="658" spans="1:22" x14ac:dyDescent="0.25">
      <c r="A658" s="20">
        <v>42042</v>
      </c>
      <c r="B658" s="21">
        <v>11355</v>
      </c>
      <c r="C658" s="14" t="s">
        <v>81</v>
      </c>
      <c r="D658" s="105">
        <v>2938.8</v>
      </c>
      <c r="E658" s="23">
        <v>42042</v>
      </c>
      <c r="F658" s="106">
        <v>2938.8</v>
      </c>
      <c r="G658" s="31">
        <f t="shared" si="10"/>
        <v>0</v>
      </c>
      <c r="H658" s="39" t="s">
        <v>59</v>
      </c>
      <c r="K658" s="3"/>
      <c r="M658" s="3"/>
      <c r="N658" s="3"/>
      <c r="O658" s="3"/>
      <c r="P658" s="3"/>
      <c r="Q658" s="3"/>
      <c r="R658" s="3"/>
      <c r="S658" s="3"/>
      <c r="T658" s="3"/>
      <c r="U658" s="3"/>
      <c r="V658" s="3"/>
    </row>
    <row r="659" spans="1:22" x14ac:dyDescent="0.25">
      <c r="A659" s="20">
        <v>42042</v>
      </c>
      <c r="B659" s="21">
        <v>11356</v>
      </c>
      <c r="C659" s="14" t="s">
        <v>82</v>
      </c>
      <c r="D659" s="105">
        <v>2832</v>
      </c>
      <c r="E659" s="23">
        <v>42042</v>
      </c>
      <c r="F659" s="106">
        <v>2832</v>
      </c>
      <c r="G659" s="31">
        <f t="shared" si="10"/>
        <v>0</v>
      </c>
      <c r="H659" s="39" t="s">
        <v>59</v>
      </c>
      <c r="J659" s="107"/>
      <c r="K659" s="3"/>
      <c r="M659" s="3"/>
      <c r="N659" s="3"/>
      <c r="O659" s="3"/>
      <c r="P659" s="3"/>
      <c r="Q659" s="3"/>
      <c r="R659" s="3"/>
      <c r="S659" s="3"/>
      <c r="T659" s="3"/>
      <c r="U659" s="3"/>
      <c r="V659" s="3"/>
    </row>
    <row r="660" spans="1:22" x14ac:dyDescent="0.25">
      <c r="A660" s="20">
        <v>42042</v>
      </c>
      <c r="B660" s="21">
        <v>11357</v>
      </c>
      <c r="C660" s="14" t="s">
        <v>55</v>
      </c>
      <c r="D660" s="105">
        <v>24861.599999999999</v>
      </c>
      <c r="E660" s="23">
        <v>42042</v>
      </c>
      <c r="F660" s="106">
        <v>24861.599999999999</v>
      </c>
      <c r="G660" s="31">
        <f t="shared" si="10"/>
        <v>0</v>
      </c>
      <c r="H660" s="39" t="s">
        <v>36</v>
      </c>
      <c r="K660" s="3"/>
      <c r="M660" s="3"/>
      <c r="N660" s="3"/>
      <c r="O660" s="3"/>
      <c r="P660" s="3"/>
      <c r="Q660" s="3"/>
      <c r="R660" s="3"/>
      <c r="S660" s="3"/>
      <c r="T660" s="3"/>
      <c r="U660" s="3"/>
      <c r="V660" s="3"/>
    </row>
    <row r="661" spans="1:22" x14ac:dyDescent="0.25">
      <c r="A661" s="20">
        <v>42042</v>
      </c>
      <c r="B661" s="21">
        <v>11358</v>
      </c>
      <c r="C661" s="14" t="s">
        <v>375</v>
      </c>
      <c r="D661" s="105">
        <v>804</v>
      </c>
      <c r="E661" s="23">
        <v>42042</v>
      </c>
      <c r="F661" s="106">
        <v>804</v>
      </c>
      <c r="G661" s="31">
        <f t="shared" si="10"/>
        <v>0</v>
      </c>
      <c r="H661" s="39" t="s">
        <v>9</v>
      </c>
      <c r="K661" s="3"/>
      <c r="M661" s="3"/>
      <c r="N661" s="3"/>
      <c r="O661" s="3"/>
      <c r="P661" s="3"/>
      <c r="Q661" s="3"/>
      <c r="R661" s="3"/>
      <c r="S661" s="3"/>
      <c r="T661" s="3"/>
      <c r="U661" s="3"/>
      <c r="V661" s="3"/>
    </row>
    <row r="662" spans="1:22" x14ac:dyDescent="0.25">
      <c r="A662" s="20">
        <v>42042</v>
      </c>
      <c r="B662" s="21">
        <v>11359</v>
      </c>
      <c r="C662" s="14" t="s">
        <v>477</v>
      </c>
      <c r="D662" s="105">
        <v>194.4</v>
      </c>
      <c r="E662" s="23">
        <v>42042</v>
      </c>
      <c r="F662" s="106">
        <v>194.4</v>
      </c>
      <c r="G662" s="31">
        <f t="shared" si="10"/>
        <v>0</v>
      </c>
      <c r="H662" s="39" t="s">
        <v>9</v>
      </c>
      <c r="K662" s="3"/>
      <c r="M662" s="3"/>
      <c r="N662" s="3"/>
      <c r="O662" s="3"/>
      <c r="P662" s="3"/>
      <c r="Q662" s="3"/>
      <c r="R662" s="3"/>
      <c r="S662" s="3"/>
      <c r="T662" s="3"/>
      <c r="U662" s="3"/>
      <c r="V662" s="3"/>
    </row>
    <row r="663" spans="1:22" x14ac:dyDescent="0.25">
      <c r="A663" s="20">
        <v>42042</v>
      </c>
      <c r="B663" s="21">
        <v>11360</v>
      </c>
      <c r="C663" s="14" t="s">
        <v>155</v>
      </c>
      <c r="D663" s="105">
        <v>1176</v>
      </c>
      <c r="E663" s="23">
        <v>42042</v>
      </c>
      <c r="F663" s="106">
        <v>1176</v>
      </c>
      <c r="G663" s="31">
        <f t="shared" si="10"/>
        <v>0</v>
      </c>
      <c r="H663" s="39" t="s">
        <v>59</v>
      </c>
      <c r="K663" s="3"/>
      <c r="M663" s="3"/>
      <c r="N663" s="3"/>
      <c r="O663" s="3"/>
      <c r="P663" s="3"/>
      <c r="Q663" s="3"/>
      <c r="R663" s="3"/>
      <c r="S663" s="3"/>
      <c r="T663" s="3"/>
      <c r="U663" s="3"/>
      <c r="V663" s="3"/>
    </row>
    <row r="664" spans="1:22" x14ac:dyDescent="0.25">
      <c r="A664" s="20">
        <v>42042</v>
      </c>
      <c r="B664" s="21">
        <v>11361</v>
      </c>
      <c r="C664" s="14" t="s">
        <v>37</v>
      </c>
      <c r="D664" s="105">
        <v>23137.4</v>
      </c>
      <c r="E664" s="23">
        <v>42047</v>
      </c>
      <c r="F664" s="106">
        <v>23137.4</v>
      </c>
      <c r="G664" s="31">
        <f t="shared" si="10"/>
        <v>0</v>
      </c>
      <c r="H664" s="39" t="s">
        <v>36</v>
      </c>
      <c r="K664" s="3"/>
      <c r="M664" s="3"/>
      <c r="N664" s="3"/>
      <c r="O664" s="3"/>
      <c r="P664" s="3"/>
      <c r="Q664" s="3"/>
      <c r="R664" s="3"/>
      <c r="S664" s="3"/>
      <c r="T664" s="3"/>
      <c r="U664" s="3"/>
      <c r="V664" s="3"/>
    </row>
    <row r="665" spans="1:22" x14ac:dyDescent="0.25">
      <c r="A665" s="20">
        <v>42042</v>
      </c>
      <c r="B665" s="21">
        <v>11362</v>
      </c>
      <c r="C665" s="14" t="s">
        <v>126</v>
      </c>
      <c r="D665" s="105">
        <v>720</v>
      </c>
      <c r="E665" s="23">
        <v>42042</v>
      </c>
      <c r="F665" s="106">
        <v>720</v>
      </c>
      <c r="G665" s="31">
        <f t="shared" si="10"/>
        <v>0</v>
      </c>
      <c r="H665" s="19" t="s">
        <v>59</v>
      </c>
      <c r="K665" s="3"/>
      <c r="M665" s="3"/>
      <c r="N665" s="3"/>
      <c r="O665" s="3"/>
      <c r="P665" s="3"/>
      <c r="Q665" s="3"/>
      <c r="R665" s="3"/>
      <c r="S665" s="3"/>
      <c r="T665" s="3"/>
      <c r="U665" s="3"/>
      <c r="V665" s="3"/>
    </row>
    <row r="666" spans="1:22" x14ac:dyDescent="0.25">
      <c r="A666" s="20">
        <v>42042</v>
      </c>
      <c r="B666" s="21">
        <v>11363</v>
      </c>
      <c r="C666" s="14" t="s">
        <v>239</v>
      </c>
      <c r="D666" s="105">
        <v>571.29999999999995</v>
      </c>
      <c r="E666" s="23">
        <v>42043</v>
      </c>
      <c r="F666" s="106">
        <v>571.29999999999995</v>
      </c>
      <c r="G666" s="31">
        <f t="shared" si="10"/>
        <v>0</v>
      </c>
      <c r="H666" s="19" t="s">
        <v>9</v>
      </c>
      <c r="K666" s="3"/>
      <c r="M666" s="3"/>
      <c r="N666" s="3"/>
      <c r="O666" s="3"/>
      <c r="P666" s="3"/>
      <c r="Q666" s="3"/>
      <c r="R666" s="3"/>
      <c r="S666" s="3"/>
      <c r="T666" s="3"/>
      <c r="U666" s="3"/>
      <c r="V666" s="3"/>
    </row>
    <row r="667" spans="1:22" x14ac:dyDescent="0.25">
      <c r="A667" s="20">
        <v>42042</v>
      </c>
      <c r="B667" s="21">
        <v>11364</v>
      </c>
      <c r="C667" s="14" t="s">
        <v>30</v>
      </c>
      <c r="D667" s="105">
        <v>6076.8</v>
      </c>
      <c r="E667" s="23">
        <v>42042</v>
      </c>
      <c r="F667" s="106">
        <v>6076.8</v>
      </c>
      <c r="G667" s="31">
        <f t="shared" si="10"/>
        <v>0</v>
      </c>
      <c r="H667" s="19" t="s">
        <v>9</v>
      </c>
      <c r="K667" s="3"/>
      <c r="M667" s="3"/>
      <c r="N667" s="3"/>
      <c r="O667" s="3"/>
      <c r="P667" s="3"/>
      <c r="Q667" s="3"/>
      <c r="R667" s="3"/>
      <c r="S667" s="3"/>
      <c r="T667" s="3"/>
      <c r="U667" s="3"/>
      <c r="V667" s="3"/>
    </row>
    <row r="668" spans="1:22" x14ac:dyDescent="0.25">
      <c r="A668" s="20">
        <v>42042</v>
      </c>
      <c r="B668" s="21">
        <v>11365</v>
      </c>
      <c r="C668" s="26" t="s">
        <v>592</v>
      </c>
      <c r="D668" s="105">
        <v>0</v>
      </c>
      <c r="E668" s="116" t="s">
        <v>593</v>
      </c>
      <c r="F668" s="117"/>
      <c r="G668" s="31">
        <f t="shared" si="10"/>
        <v>0</v>
      </c>
      <c r="H668" s="19" t="s">
        <v>19</v>
      </c>
      <c r="K668" s="3"/>
      <c r="M668" s="3"/>
      <c r="N668" s="3"/>
      <c r="O668" s="3"/>
      <c r="P668" s="3"/>
      <c r="Q668" s="3"/>
      <c r="R668" s="3"/>
      <c r="S668" s="3"/>
      <c r="T668" s="3"/>
      <c r="U668" s="3"/>
      <c r="V668" s="3"/>
    </row>
    <row r="669" spans="1:22" x14ac:dyDescent="0.25">
      <c r="A669" s="20">
        <v>42042</v>
      </c>
      <c r="B669" s="21">
        <v>11366</v>
      </c>
      <c r="C669" s="14" t="s">
        <v>60</v>
      </c>
      <c r="D669" s="105">
        <v>2631.2</v>
      </c>
      <c r="E669" s="23">
        <v>42042</v>
      </c>
      <c r="F669" s="106">
        <v>2631.2</v>
      </c>
      <c r="G669" s="31">
        <f t="shared" si="10"/>
        <v>0</v>
      </c>
      <c r="H669" s="19" t="s">
        <v>36</v>
      </c>
      <c r="K669" s="3"/>
      <c r="M669" s="3"/>
      <c r="N669" s="3"/>
      <c r="O669" s="3"/>
      <c r="P669" s="3"/>
      <c r="Q669" s="3"/>
      <c r="R669" s="3"/>
      <c r="S669" s="3"/>
      <c r="T669" s="3"/>
      <c r="U669" s="3"/>
      <c r="V669" s="3"/>
    </row>
    <row r="670" spans="1:22" x14ac:dyDescent="0.25">
      <c r="A670" s="20">
        <v>42042</v>
      </c>
      <c r="B670" s="21">
        <v>11367</v>
      </c>
      <c r="C670" s="14" t="s">
        <v>296</v>
      </c>
      <c r="D670" s="105">
        <v>702.8</v>
      </c>
      <c r="E670" s="23">
        <v>42042</v>
      </c>
      <c r="F670" s="106">
        <v>702.8</v>
      </c>
      <c r="G670" s="31">
        <f t="shared" si="10"/>
        <v>0</v>
      </c>
      <c r="H670" s="19" t="s">
        <v>9</v>
      </c>
      <c r="K670" s="3"/>
      <c r="M670" s="3"/>
      <c r="N670" s="3"/>
      <c r="O670" s="3"/>
      <c r="P670" s="3"/>
      <c r="Q670" s="3"/>
      <c r="R670" s="3"/>
      <c r="S670" s="3"/>
      <c r="T670" s="3"/>
      <c r="U670" s="3"/>
      <c r="V670" s="3"/>
    </row>
    <row r="671" spans="1:22" x14ac:dyDescent="0.25">
      <c r="A671" s="20">
        <v>42042</v>
      </c>
      <c r="B671" s="21">
        <v>11368</v>
      </c>
      <c r="C671" s="14" t="s">
        <v>14</v>
      </c>
      <c r="D671" s="105">
        <v>132318.63</v>
      </c>
      <c r="E671" s="23">
        <v>42048</v>
      </c>
      <c r="F671" s="106">
        <v>132318.63</v>
      </c>
      <c r="G671" s="31">
        <f t="shared" si="10"/>
        <v>0</v>
      </c>
      <c r="H671" s="19" t="s">
        <v>183</v>
      </c>
      <c r="K671" s="3"/>
      <c r="M671" s="3"/>
      <c r="N671" s="3"/>
      <c r="O671" s="3"/>
      <c r="P671" s="3"/>
      <c r="Q671" s="3"/>
      <c r="R671" s="3"/>
      <c r="S671" s="3"/>
      <c r="T671" s="3"/>
      <c r="U671" s="3"/>
      <c r="V671" s="3"/>
    </row>
    <row r="672" spans="1:22" x14ac:dyDescent="0.25">
      <c r="A672" s="20">
        <v>42042</v>
      </c>
      <c r="B672" s="21">
        <v>11369</v>
      </c>
      <c r="C672" s="14" t="s">
        <v>137</v>
      </c>
      <c r="D672" s="105">
        <v>1461.4</v>
      </c>
      <c r="E672" s="23">
        <v>42042</v>
      </c>
      <c r="F672" s="106">
        <v>1461.4</v>
      </c>
      <c r="G672" s="31">
        <f t="shared" si="10"/>
        <v>0</v>
      </c>
      <c r="H672" s="19" t="s">
        <v>9</v>
      </c>
      <c r="K672" s="3"/>
      <c r="M672" s="3"/>
      <c r="N672" s="3"/>
      <c r="O672" s="3"/>
      <c r="P672" s="3"/>
      <c r="Q672" s="3"/>
      <c r="R672" s="3"/>
      <c r="S672" s="3"/>
      <c r="T672" s="3"/>
      <c r="U672" s="3"/>
      <c r="V672" s="3"/>
    </row>
    <row r="673" spans="1:22" x14ac:dyDescent="0.25">
      <c r="A673" s="20">
        <v>42042</v>
      </c>
      <c r="B673" s="21">
        <v>11370</v>
      </c>
      <c r="C673" s="14" t="s">
        <v>292</v>
      </c>
      <c r="D673" s="105">
        <v>2886.4</v>
      </c>
      <c r="E673" s="23">
        <v>42042</v>
      </c>
      <c r="F673" s="106">
        <v>2886.4</v>
      </c>
      <c r="G673" s="31">
        <f t="shared" si="10"/>
        <v>0</v>
      </c>
      <c r="H673" s="19" t="s">
        <v>59</v>
      </c>
      <c r="K673" s="3"/>
      <c r="M673" s="3"/>
      <c r="N673" s="3"/>
      <c r="O673" s="3"/>
      <c r="P673" s="3"/>
      <c r="Q673" s="3"/>
      <c r="R673" s="3"/>
      <c r="S673" s="3"/>
      <c r="T673" s="3"/>
      <c r="U673" s="3"/>
      <c r="V673" s="3"/>
    </row>
    <row r="674" spans="1:22" x14ac:dyDescent="0.25">
      <c r="A674" s="20">
        <v>42042</v>
      </c>
      <c r="B674" s="21">
        <v>11371</v>
      </c>
      <c r="C674" s="14" t="s">
        <v>24</v>
      </c>
      <c r="D674" s="105">
        <v>1716</v>
      </c>
      <c r="E674" s="23">
        <v>42051</v>
      </c>
      <c r="F674" s="106">
        <v>1716</v>
      </c>
      <c r="G674" s="31">
        <f t="shared" si="10"/>
        <v>0</v>
      </c>
      <c r="H674" s="19" t="s">
        <v>9</v>
      </c>
      <c r="I674" s="3"/>
      <c r="J674" s="42"/>
      <c r="K674" s="3"/>
      <c r="M674" s="3"/>
      <c r="N674" s="3"/>
      <c r="O674" s="3"/>
      <c r="P674" s="3"/>
      <c r="Q674" s="3"/>
      <c r="R674" s="3"/>
      <c r="S674" s="3"/>
      <c r="T674" s="3"/>
      <c r="U674" s="3"/>
      <c r="V674" s="3"/>
    </row>
    <row r="675" spans="1:22" x14ac:dyDescent="0.25">
      <c r="A675" s="20">
        <v>42042</v>
      </c>
      <c r="B675" s="21">
        <v>11372</v>
      </c>
      <c r="C675" s="14" t="s">
        <v>34</v>
      </c>
      <c r="D675" s="105">
        <v>3800</v>
      </c>
      <c r="E675" s="23">
        <v>42042</v>
      </c>
      <c r="F675" s="106">
        <v>3800</v>
      </c>
      <c r="G675" s="31">
        <f t="shared" si="10"/>
        <v>0</v>
      </c>
      <c r="H675" s="19" t="s">
        <v>9</v>
      </c>
      <c r="I675" s="3"/>
      <c r="J675" s="42"/>
      <c r="K675" s="3"/>
      <c r="M675" s="3"/>
      <c r="N675" s="3"/>
      <c r="O675" s="3"/>
      <c r="P675" s="3"/>
      <c r="Q675" s="3"/>
      <c r="R675" s="3"/>
      <c r="S675" s="3"/>
      <c r="T675" s="3"/>
      <c r="U675" s="3"/>
      <c r="V675" s="3"/>
    </row>
    <row r="676" spans="1:22" x14ac:dyDescent="0.25">
      <c r="A676" s="20">
        <v>42042</v>
      </c>
      <c r="B676" s="21">
        <v>11373</v>
      </c>
      <c r="C676" s="14" t="s">
        <v>24</v>
      </c>
      <c r="D676" s="105">
        <v>198447.53</v>
      </c>
      <c r="E676" s="29" t="s">
        <v>594</v>
      </c>
      <c r="F676" s="106">
        <f>4264.99+194182.54</f>
        <v>198447.53</v>
      </c>
      <c r="G676" s="31">
        <f t="shared" si="10"/>
        <v>0</v>
      </c>
      <c r="H676" s="19" t="s">
        <v>46</v>
      </c>
      <c r="I676" s="3"/>
      <c r="J676" s="42"/>
      <c r="K676" s="3"/>
      <c r="M676" s="3"/>
      <c r="N676" s="3"/>
      <c r="O676" s="3"/>
      <c r="P676" s="3"/>
      <c r="Q676" s="3"/>
      <c r="R676" s="3"/>
      <c r="S676" s="3"/>
      <c r="T676" s="3"/>
      <c r="U676" s="3"/>
      <c r="V676" s="3"/>
    </row>
    <row r="677" spans="1:22" x14ac:dyDescent="0.25">
      <c r="A677" s="20">
        <v>42042</v>
      </c>
      <c r="B677" s="21">
        <v>11374</v>
      </c>
      <c r="C677" s="14" t="s">
        <v>225</v>
      </c>
      <c r="D677" s="105">
        <v>2860</v>
      </c>
      <c r="E677" s="23">
        <v>42042</v>
      </c>
      <c r="F677" s="106">
        <v>2860</v>
      </c>
      <c r="G677" s="31">
        <f t="shared" si="10"/>
        <v>0</v>
      </c>
      <c r="H677" s="19" t="s">
        <v>9</v>
      </c>
      <c r="I677" s="3"/>
      <c r="J677" s="42"/>
      <c r="K677" s="3"/>
      <c r="M677" s="3"/>
      <c r="N677" s="3"/>
      <c r="O677" s="3"/>
      <c r="P677" s="3"/>
      <c r="Q677" s="3"/>
      <c r="R677" s="3"/>
      <c r="S677" s="3"/>
      <c r="T677" s="3"/>
      <c r="U677" s="3"/>
      <c r="V677" s="3"/>
    </row>
    <row r="678" spans="1:22" x14ac:dyDescent="0.25">
      <c r="A678" s="20">
        <v>42042</v>
      </c>
      <c r="B678" s="21">
        <v>11375</v>
      </c>
      <c r="C678" s="14" t="s">
        <v>125</v>
      </c>
      <c r="D678" s="105">
        <v>41781.1</v>
      </c>
      <c r="E678" s="29" t="s">
        <v>595</v>
      </c>
      <c r="F678" s="106">
        <f>25000+16781.1</f>
        <v>41781.1</v>
      </c>
      <c r="G678" s="31">
        <f t="shared" si="10"/>
        <v>0</v>
      </c>
      <c r="H678" s="19" t="s">
        <v>9</v>
      </c>
      <c r="I678" s="3"/>
      <c r="J678" s="42"/>
      <c r="K678" s="3"/>
      <c r="M678" s="3"/>
      <c r="N678" s="3"/>
      <c r="O678" s="3"/>
      <c r="P678" s="3"/>
      <c r="Q678" s="3"/>
      <c r="R678" s="3"/>
      <c r="S678" s="3"/>
      <c r="T678" s="3"/>
      <c r="U678" s="3"/>
      <c r="V678" s="3"/>
    </row>
    <row r="679" spans="1:22" x14ac:dyDescent="0.25">
      <c r="A679" s="20">
        <v>42042</v>
      </c>
      <c r="B679" s="21">
        <v>11376</v>
      </c>
      <c r="C679" s="14" t="s">
        <v>596</v>
      </c>
      <c r="D679" s="105">
        <v>6265.22</v>
      </c>
      <c r="E679" s="23">
        <v>42042</v>
      </c>
      <c r="F679" s="106">
        <v>6265.22</v>
      </c>
      <c r="G679" s="31">
        <f t="shared" si="10"/>
        <v>0</v>
      </c>
      <c r="H679" s="19" t="s">
        <v>9</v>
      </c>
      <c r="I679" s="3"/>
      <c r="J679" s="42"/>
      <c r="K679" s="3"/>
      <c r="M679" s="3"/>
      <c r="N679" s="3"/>
      <c r="O679" s="3"/>
      <c r="P679" s="3"/>
      <c r="Q679" s="3"/>
      <c r="R679" s="3"/>
      <c r="S679" s="3"/>
      <c r="T679" s="3"/>
      <c r="U679" s="3"/>
      <c r="V679" s="3"/>
    </row>
    <row r="680" spans="1:22" x14ac:dyDescent="0.25">
      <c r="A680" s="20">
        <v>42042</v>
      </c>
      <c r="B680" s="21">
        <v>11377</v>
      </c>
      <c r="C680" s="14" t="s">
        <v>131</v>
      </c>
      <c r="D680" s="105">
        <v>13034.9</v>
      </c>
      <c r="E680" s="23">
        <v>42044</v>
      </c>
      <c r="F680" s="106">
        <v>13034.9</v>
      </c>
      <c r="G680" s="31">
        <f t="shared" si="10"/>
        <v>0</v>
      </c>
      <c r="H680" s="19" t="s">
        <v>17</v>
      </c>
      <c r="I680" s="3"/>
      <c r="J680" s="42"/>
      <c r="K680" s="3"/>
      <c r="M680" s="3"/>
      <c r="N680" s="3"/>
      <c r="O680" s="3"/>
      <c r="P680" s="3"/>
      <c r="Q680" s="3"/>
      <c r="R680" s="3"/>
      <c r="S680" s="3"/>
      <c r="T680" s="3"/>
      <c r="U680" s="3"/>
      <c r="V680" s="3"/>
    </row>
    <row r="681" spans="1:22" x14ac:dyDescent="0.25">
      <c r="A681" s="20">
        <v>42042</v>
      </c>
      <c r="B681" s="21">
        <v>11378</v>
      </c>
      <c r="C681" s="14" t="s">
        <v>215</v>
      </c>
      <c r="D681" s="105">
        <v>20539.7</v>
      </c>
      <c r="E681" s="23">
        <v>42042</v>
      </c>
      <c r="F681" s="106">
        <v>20539.7</v>
      </c>
      <c r="G681" s="31">
        <f t="shared" si="10"/>
        <v>0</v>
      </c>
      <c r="H681" s="19" t="s">
        <v>9</v>
      </c>
      <c r="I681" s="3"/>
      <c r="J681" s="42"/>
      <c r="K681" s="3"/>
      <c r="M681" s="3"/>
      <c r="N681" s="3"/>
      <c r="O681" s="3"/>
      <c r="P681" s="3"/>
      <c r="Q681" s="3"/>
      <c r="R681" s="3"/>
      <c r="S681" s="3"/>
      <c r="T681" s="3"/>
      <c r="U681" s="3"/>
      <c r="V681" s="3"/>
    </row>
    <row r="682" spans="1:22" x14ac:dyDescent="0.25">
      <c r="A682" s="20">
        <v>42042</v>
      </c>
      <c r="B682" s="21">
        <v>11379</v>
      </c>
      <c r="C682" s="14" t="s">
        <v>14</v>
      </c>
      <c r="D682" s="105">
        <v>8467.2000000000007</v>
      </c>
      <c r="E682" s="23">
        <v>42048</v>
      </c>
      <c r="F682" s="106">
        <v>8467.2000000000007</v>
      </c>
      <c r="G682" s="31">
        <f t="shared" si="10"/>
        <v>0</v>
      </c>
      <c r="H682" s="19" t="s">
        <v>15</v>
      </c>
      <c r="I682" s="3"/>
      <c r="J682" s="42"/>
      <c r="K682" s="3"/>
      <c r="M682" s="3"/>
      <c r="N682" s="3"/>
      <c r="O682" s="3"/>
      <c r="P682" s="3"/>
      <c r="Q682" s="3"/>
      <c r="R682" s="3"/>
      <c r="S682" s="3"/>
      <c r="T682" s="3"/>
      <c r="U682" s="3"/>
      <c r="V682" s="3"/>
    </row>
    <row r="683" spans="1:22" x14ac:dyDescent="0.25">
      <c r="A683" s="20">
        <v>42042</v>
      </c>
      <c r="B683" s="21">
        <v>11380</v>
      </c>
      <c r="C683" s="14" t="s">
        <v>32</v>
      </c>
      <c r="D683" s="105">
        <v>23797.8</v>
      </c>
      <c r="E683" s="23">
        <v>42062</v>
      </c>
      <c r="F683" s="106">
        <v>23797.8</v>
      </c>
      <c r="G683" s="31">
        <f t="shared" si="10"/>
        <v>0</v>
      </c>
      <c r="H683" s="19" t="s">
        <v>187</v>
      </c>
      <c r="I683" s="3"/>
      <c r="J683" s="42"/>
      <c r="K683" s="3"/>
      <c r="M683" s="3"/>
      <c r="N683" s="3"/>
      <c r="O683" s="3"/>
      <c r="P683" s="3"/>
      <c r="Q683" s="3"/>
      <c r="R683" s="3"/>
      <c r="S683" s="3"/>
      <c r="T683" s="3"/>
      <c r="U683" s="3"/>
      <c r="V683" s="3"/>
    </row>
    <row r="684" spans="1:22" x14ac:dyDescent="0.25">
      <c r="A684" s="20">
        <v>42042</v>
      </c>
      <c r="B684" s="21">
        <v>11381</v>
      </c>
      <c r="C684" s="14" t="s">
        <v>165</v>
      </c>
      <c r="D684" s="105">
        <v>3573.5</v>
      </c>
      <c r="E684" s="23">
        <v>42042</v>
      </c>
      <c r="F684" s="106">
        <v>3573.5</v>
      </c>
      <c r="G684" s="31">
        <f t="shared" si="10"/>
        <v>0</v>
      </c>
      <c r="H684" s="19" t="s">
        <v>17</v>
      </c>
      <c r="I684" s="3"/>
      <c r="J684" s="42"/>
      <c r="K684" s="3"/>
      <c r="M684" s="3"/>
      <c r="N684" s="3"/>
      <c r="O684" s="3"/>
      <c r="P684" s="3"/>
      <c r="Q684" s="3"/>
      <c r="R684" s="3"/>
      <c r="S684" s="3"/>
      <c r="T684" s="3"/>
      <c r="U684" s="3"/>
      <c r="V684" s="3"/>
    </row>
    <row r="685" spans="1:22" x14ac:dyDescent="0.25">
      <c r="A685" s="20">
        <v>42042</v>
      </c>
      <c r="B685" s="21">
        <v>11382</v>
      </c>
      <c r="C685" s="14" t="s">
        <v>130</v>
      </c>
      <c r="D685" s="105">
        <v>8987.7999999999993</v>
      </c>
      <c r="E685" s="23">
        <v>42045</v>
      </c>
      <c r="F685" s="106">
        <v>8987.7999999999993</v>
      </c>
      <c r="G685" s="31">
        <f t="shared" si="10"/>
        <v>0</v>
      </c>
      <c r="H685" s="19" t="s">
        <v>9</v>
      </c>
      <c r="I685" s="3"/>
      <c r="J685" s="42"/>
      <c r="K685" s="3"/>
      <c r="M685" s="3"/>
      <c r="N685" s="3"/>
      <c r="O685" s="3"/>
      <c r="P685" s="3"/>
      <c r="Q685" s="3"/>
      <c r="R685" s="3"/>
      <c r="S685" s="3"/>
      <c r="T685" s="3"/>
      <c r="U685" s="3"/>
      <c r="V685" s="3"/>
    </row>
    <row r="686" spans="1:22" x14ac:dyDescent="0.25">
      <c r="A686" s="20">
        <v>42042</v>
      </c>
      <c r="B686" s="21">
        <v>11383</v>
      </c>
      <c r="C686" s="14" t="s">
        <v>132</v>
      </c>
      <c r="D686" s="105">
        <v>864</v>
      </c>
      <c r="E686" s="23">
        <v>42042</v>
      </c>
      <c r="F686" s="106">
        <v>864</v>
      </c>
      <c r="G686" s="31">
        <f t="shared" si="10"/>
        <v>0</v>
      </c>
      <c r="H686" s="19" t="s">
        <v>17</v>
      </c>
      <c r="I686" s="3"/>
      <c r="J686" s="42"/>
      <c r="K686" s="3"/>
      <c r="M686" s="3"/>
      <c r="N686" s="3"/>
      <c r="O686" s="3"/>
      <c r="P686" s="3"/>
      <c r="Q686" s="3"/>
      <c r="R686" s="3"/>
      <c r="S686" s="3"/>
      <c r="T686" s="3"/>
      <c r="U686" s="3"/>
      <c r="V686" s="3"/>
    </row>
    <row r="687" spans="1:22" x14ac:dyDescent="0.25">
      <c r="A687" s="20">
        <v>42042</v>
      </c>
      <c r="B687" s="21">
        <v>11384</v>
      </c>
      <c r="C687" s="14" t="s">
        <v>597</v>
      </c>
      <c r="D687" s="105">
        <v>13204.4</v>
      </c>
      <c r="E687" s="23">
        <v>42042</v>
      </c>
      <c r="F687" s="106">
        <v>13204.4</v>
      </c>
      <c r="G687" s="31">
        <f t="shared" si="10"/>
        <v>0</v>
      </c>
      <c r="H687" s="19" t="s">
        <v>9</v>
      </c>
      <c r="I687" s="3"/>
      <c r="J687" s="42"/>
      <c r="K687" s="3"/>
      <c r="M687" s="3"/>
      <c r="N687" s="3"/>
      <c r="O687" s="3"/>
      <c r="P687" s="3"/>
      <c r="Q687" s="3"/>
      <c r="R687" s="3"/>
      <c r="S687" s="3"/>
      <c r="T687" s="3"/>
      <c r="U687" s="3"/>
      <c r="V687" s="3"/>
    </row>
    <row r="688" spans="1:22" x14ac:dyDescent="0.25">
      <c r="A688" s="20">
        <v>42042</v>
      </c>
      <c r="B688" s="21">
        <v>11385</v>
      </c>
      <c r="C688" s="14" t="s">
        <v>265</v>
      </c>
      <c r="D688" s="105">
        <v>1231.5999999999999</v>
      </c>
      <c r="E688" s="23">
        <v>42042</v>
      </c>
      <c r="F688" s="106">
        <v>1231.5999999999999</v>
      </c>
      <c r="G688" s="31">
        <f t="shared" si="10"/>
        <v>0</v>
      </c>
      <c r="H688" s="19" t="s">
        <v>9</v>
      </c>
      <c r="I688" s="3"/>
      <c r="J688" s="42"/>
      <c r="K688" s="3"/>
      <c r="M688" s="3"/>
      <c r="N688" s="3"/>
      <c r="O688" s="3"/>
      <c r="P688" s="3"/>
      <c r="Q688" s="3"/>
      <c r="R688" s="3"/>
      <c r="S688" s="3"/>
      <c r="T688" s="3"/>
      <c r="U688" s="3"/>
      <c r="V688" s="3"/>
    </row>
    <row r="689" spans="1:22" x14ac:dyDescent="0.25">
      <c r="A689" s="20">
        <v>42042</v>
      </c>
      <c r="B689" s="21">
        <v>11386</v>
      </c>
      <c r="C689" s="14" t="s">
        <v>38</v>
      </c>
      <c r="D689" s="105">
        <v>36187.199999999997</v>
      </c>
      <c r="E689" s="23">
        <v>42060</v>
      </c>
      <c r="F689" s="106">
        <v>36187.199999999997</v>
      </c>
      <c r="G689" s="31">
        <f t="shared" si="10"/>
        <v>0</v>
      </c>
      <c r="H689" s="19" t="s">
        <v>149</v>
      </c>
      <c r="I689" s="3"/>
      <c r="J689" s="42"/>
      <c r="K689" s="3"/>
      <c r="M689" s="3"/>
      <c r="N689" s="3"/>
      <c r="O689" s="3"/>
      <c r="P689" s="3"/>
      <c r="Q689" s="3"/>
      <c r="R689" s="3"/>
      <c r="S689" s="3"/>
      <c r="T689" s="3"/>
      <c r="U689" s="3"/>
      <c r="V689" s="3"/>
    </row>
    <row r="690" spans="1:22" x14ac:dyDescent="0.25">
      <c r="A690" s="20">
        <v>42042</v>
      </c>
      <c r="B690" s="21">
        <v>11387</v>
      </c>
      <c r="C690" s="14" t="s">
        <v>135</v>
      </c>
      <c r="D690" s="105">
        <v>19642.2</v>
      </c>
      <c r="E690" s="23">
        <v>42042</v>
      </c>
      <c r="F690" s="106">
        <v>19642.2</v>
      </c>
      <c r="G690" s="31">
        <f t="shared" si="10"/>
        <v>0</v>
      </c>
      <c r="H690" s="19" t="s">
        <v>9</v>
      </c>
      <c r="I690" s="3"/>
      <c r="J690" s="42"/>
      <c r="K690" s="3"/>
      <c r="M690" s="3"/>
      <c r="N690" s="3"/>
      <c r="O690" s="3"/>
      <c r="P690" s="3"/>
      <c r="Q690" s="3"/>
      <c r="R690" s="3"/>
      <c r="S690" s="3"/>
      <c r="T690" s="3"/>
      <c r="U690" s="3"/>
      <c r="V690" s="3"/>
    </row>
    <row r="691" spans="1:22" x14ac:dyDescent="0.25">
      <c r="A691" s="20">
        <v>42042</v>
      </c>
      <c r="B691" s="21">
        <v>11388</v>
      </c>
      <c r="C691" s="14" t="s">
        <v>236</v>
      </c>
      <c r="D691" s="105">
        <v>34893.14</v>
      </c>
      <c r="E691" s="29" t="s">
        <v>598</v>
      </c>
      <c r="F691" s="106">
        <f>9318.6+15000+10574.54</f>
        <v>34893.14</v>
      </c>
      <c r="G691" s="31">
        <f t="shared" si="10"/>
        <v>0</v>
      </c>
      <c r="H691" s="19" t="s">
        <v>19</v>
      </c>
      <c r="I691" s="3"/>
      <c r="J691" s="42"/>
      <c r="K691" s="3"/>
      <c r="M691" s="3"/>
      <c r="N691" s="3"/>
      <c r="O691" s="3"/>
      <c r="P691" s="3"/>
      <c r="Q691" s="3"/>
      <c r="R691" s="3"/>
      <c r="S691" s="3"/>
      <c r="T691" s="3"/>
      <c r="U691" s="3"/>
      <c r="V691" s="3"/>
    </row>
    <row r="692" spans="1:22" x14ac:dyDescent="0.25">
      <c r="A692" s="20">
        <v>42042</v>
      </c>
      <c r="B692" s="21">
        <v>11389</v>
      </c>
      <c r="C692" s="14" t="s">
        <v>102</v>
      </c>
      <c r="D692" s="105">
        <v>2679.6</v>
      </c>
      <c r="E692" s="23">
        <v>42042</v>
      </c>
      <c r="F692" s="106">
        <v>2679.6</v>
      </c>
      <c r="G692" s="31">
        <f t="shared" si="10"/>
        <v>0</v>
      </c>
      <c r="H692" s="19" t="s">
        <v>9</v>
      </c>
      <c r="I692" s="3"/>
      <c r="J692" s="42"/>
      <c r="K692" s="3"/>
      <c r="M692" s="3"/>
      <c r="N692" s="3"/>
      <c r="O692" s="3"/>
      <c r="P692" s="3"/>
      <c r="Q692" s="3"/>
      <c r="R692" s="3"/>
      <c r="S692" s="3"/>
      <c r="T692" s="3"/>
      <c r="U692" s="3"/>
      <c r="V692" s="3"/>
    </row>
    <row r="693" spans="1:22" x14ac:dyDescent="0.25">
      <c r="A693" s="20">
        <v>42042</v>
      </c>
      <c r="B693" s="21">
        <v>11390</v>
      </c>
      <c r="C693" s="14" t="s">
        <v>232</v>
      </c>
      <c r="D693" s="105">
        <v>38868.800000000003</v>
      </c>
      <c r="E693" s="23">
        <v>42042</v>
      </c>
      <c r="F693" s="106">
        <v>38868.800000000003</v>
      </c>
      <c r="G693" s="31">
        <f t="shared" si="10"/>
        <v>0</v>
      </c>
      <c r="H693" s="19" t="s">
        <v>9</v>
      </c>
      <c r="I693" s="3"/>
      <c r="J693" s="42"/>
      <c r="K693" s="3"/>
      <c r="M693" s="3"/>
      <c r="N693" s="3"/>
      <c r="O693" s="3"/>
      <c r="P693" s="3"/>
      <c r="Q693" s="3"/>
      <c r="R693" s="3"/>
      <c r="S693" s="3"/>
      <c r="T693" s="3"/>
      <c r="U693" s="3"/>
      <c r="V693" s="3"/>
    </row>
    <row r="694" spans="1:22" x14ac:dyDescent="0.25">
      <c r="A694" s="20">
        <v>42042</v>
      </c>
      <c r="B694" s="21">
        <v>11391</v>
      </c>
      <c r="C694" s="14" t="s">
        <v>104</v>
      </c>
      <c r="D694" s="105">
        <v>13357.4</v>
      </c>
      <c r="E694" s="23">
        <v>42044</v>
      </c>
      <c r="F694" s="106">
        <v>13357.4</v>
      </c>
      <c r="G694" s="31">
        <f t="shared" si="10"/>
        <v>0</v>
      </c>
      <c r="H694" s="19" t="s">
        <v>9</v>
      </c>
      <c r="I694" s="3"/>
      <c r="J694" s="42"/>
      <c r="K694" s="3"/>
      <c r="M694" s="3"/>
      <c r="N694" s="3"/>
      <c r="O694" s="3"/>
      <c r="P694" s="3"/>
      <c r="Q694" s="3"/>
      <c r="R694" s="3"/>
      <c r="S694" s="3"/>
      <c r="T694" s="3"/>
      <c r="U694" s="3"/>
      <c r="V694" s="3"/>
    </row>
    <row r="695" spans="1:22" x14ac:dyDescent="0.25">
      <c r="A695" s="20">
        <v>42042</v>
      </c>
      <c r="B695" s="21">
        <v>11392</v>
      </c>
      <c r="C695" s="14" t="s">
        <v>89</v>
      </c>
      <c r="D695" s="105">
        <v>2739.9</v>
      </c>
      <c r="E695" s="23">
        <v>42042</v>
      </c>
      <c r="F695" s="106">
        <v>2739.9</v>
      </c>
      <c r="G695" s="31">
        <f t="shared" si="10"/>
        <v>0</v>
      </c>
      <c r="H695" s="19" t="s">
        <v>62</v>
      </c>
      <c r="I695" s="3"/>
      <c r="J695" s="42"/>
      <c r="K695" s="3"/>
      <c r="M695" s="3"/>
      <c r="N695" s="3"/>
      <c r="O695" s="3"/>
      <c r="P695" s="3"/>
      <c r="Q695" s="3"/>
      <c r="R695" s="3"/>
      <c r="S695" s="3"/>
      <c r="T695" s="3"/>
      <c r="U695" s="3"/>
      <c r="V695" s="3"/>
    </row>
    <row r="696" spans="1:22" x14ac:dyDescent="0.25">
      <c r="A696" s="20">
        <v>42042</v>
      </c>
      <c r="B696" s="21">
        <v>11393</v>
      </c>
      <c r="C696" s="14" t="s">
        <v>392</v>
      </c>
      <c r="D696" s="105">
        <v>5810.2</v>
      </c>
      <c r="E696" s="23">
        <v>42044</v>
      </c>
      <c r="F696" s="106">
        <v>5810.2</v>
      </c>
      <c r="G696" s="31">
        <f t="shared" si="10"/>
        <v>0</v>
      </c>
      <c r="H696" s="19" t="s">
        <v>94</v>
      </c>
      <c r="I696" s="3"/>
      <c r="J696" s="42"/>
      <c r="K696" s="3"/>
      <c r="M696" s="3"/>
      <c r="N696" s="3"/>
      <c r="O696" s="3"/>
      <c r="P696" s="3"/>
      <c r="Q696" s="3"/>
      <c r="R696" s="3"/>
      <c r="S696" s="3"/>
      <c r="T696" s="3"/>
      <c r="U696" s="3"/>
      <c r="V696" s="3"/>
    </row>
    <row r="697" spans="1:22" x14ac:dyDescent="0.25">
      <c r="A697" s="20">
        <v>42042</v>
      </c>
      <c r="B697" s="21">
        <v>11394</v>
      </c>
      <c r="C697" s="14" t="s">
        <v>136</v>
      </c>
      <c r="D697" s="105">
        <v>37821.4</v>
      </c>
      <c r="E697" s="29" t="s">
        <v>599</v>
      </c>
      <c r="F697" s="106">
        <f>8200+29621.4</f>
        <v>37821.4</v>
      </c>
      <c r="G697" s="31">
        <f t="shared" si="10"/>
        <v>0</v>
      </c>
      <c r="H697" s="19" t="s">
        <v>9</v>
      </c>
      <c r="I697" s="3"/>
      <c r="J697" s="42"/>
      <c r="K697" s="3"/>
      <c r="M697" s="3"/>
      <c r="N697" s="3"/>
      <c r="O697" s="3"/>
      <c r="P697" s="3"/>
      <c r="Q697" s="3"/>
      <c r="R697" s="3"/>
      <c r="S697" s="3"/>
      <c r="T697" s="3"/>
      <c r="U697" s="3"/>
      <c r="V697" s="3"/>
    </row>
    <row r="698" spans="1:22" x14ac:dyDescent="0.25">
      <c r="A698" s="20">
        <v>42042</v>
      </c>
      <c r="B698" s="21">
        <v>11395</v>
      </c>
      <c r="C698" s="14" t="s">
        <v>93</v>
      </c>
      <c r="D698" s="105">
        <v>3149.4</v>
      </c>
      <c r="E698" s="23">
        <v>42044</v>
      </c>
      <c r="F698" s="106">
        <v>3149.4</v>
      </c>
      <c r="G698" s="31">
        <f t="shared" si="10"/>
        <v>0</v>
      </c>
      <c r="H698" s="19" t="s">
        <v>600</v>
      </c>
      <c r="I698" s="3"/>
      <c r="J698" s="42"/>
      <c r="K698" s="3"/>
      <c r="M698" s="3"/>
      <c r="N698" s="3"/>
      <c r="O698" s="3"/>
      <c r="P698" s="3"/>
      <c r="Q698" s="3"/>
      <c r="R698" s="3"/>
      <c r="S698" s="3"/>
      <c r="T698" s="3"/>
      <c r="U698" s="3"/>
      <c r="V698" s="3"/>
    </row>
    <row r="699" spans="1:22" x14ac:dyDescent="0.25">
      <c r="A699" s="20">
        <v>42042</v>
      </c>
      <c r="B699" s="21">
        <v>11396</v>
      </c>
      <c r="C699" s="14" t="s">
        <v>98</v>
      </c>
      <c r="D699" s="105">
        <v>1455.6</v>
      </c>
      <c r="E699" s="23">
        <v>42044</v>
      </c>
      <c r="F699" s="106">
        <v>1455.6</v>
      </c>
      <c r="G699" s="31">
        <f t="shared" si="10"/>
        <v>0</v>
      </c>
      <c r="H699" s="19" t="s">
        <v>94</v>
      </c>
      <c r="I699" s="3"/>
      <c r="J699" s="42"/>
      <c r="K699" s="3"/>
      <c r="M699" s="3"/>
      <c r="N699" s="3"/>
      <c r="O699" s="3"/>
      <c r="P699" s="3"/>
      <c r="Q699" s="3"/>
      <c r="R699" s="3"/>
      <c r="S699" s="3"/>
      <c r="T699" s="3"/>
      <c r="U699" s="3"/>
      <c r="V699" s="3"/>
    </row>
    <row r="700" spans="1:22" x14ac:dyDescent="0.25">
      <c r="A700" s="20">
        <v>42042</v>
      </c>
      <c r="B700" s="21">
        <v>11397</v>
      </c>
      <c r="C700" s="14" t="s">
        <v>111</v>
      </c>
      <c r="D700" s="105">
        <v>149600</v>
      </c>
      <c r="E700" s="23">
        <v>42046</v>
      </c>
      <c r="F700" s="106">
        <v>149600</v>
      </c>
      <c r="G700" s="31">
        <f t="shared" si="10"/>
        <v>0</v>
      </c>
      <c r="H700" s="19" t="s">
        <v>9</v>
      </c>
      <c r="I700" s="3"/>
      <c r="J700" s="42"/>
      <c r="K700" s="3"/>
      <c r="M700" s="3"/>
      <c r="N700" s="3"/>
      <c r="O700" s="3"/>
      <c r="P700" s="3"/>
      <c r="Q700" s="3"/>
      <c r="R700" s="3"/>
      <c r="S700" s="3"/>
      <c r="T700" s="3"/>
      <c r="U700" s="3"/>
      <c r="V700" s="3"/>
    </row>
    <row r="701" spans="1:22" x14ac:dyDescent="0.25">
      <c r="A701" s="20">
        <v>42042</v>
      </c>
      <c r="B701" s="21">
        <v>11398</v>
      </c>
      <c r="C701" s="14" t="s">
        <v>14</v>
      </c>
      <c r="D701" s="105">
        <v>64147.5</v>
      </c>
      <c r="E701" s="23">
        <v>42048</v>
      </c>
      <c r="F701" s="106">
        <v>64147.5</v>
      </c>
      <c r="G701" s="31">
        <f t="shared" si="10"/>
        <v>0</v>
      </c>
      <c r="H701" s="19" t="s">
        <v>183</v>
      </c>
      <c r="I701" s="3"/>
      <c r="J701" s="42"/>
      <c r="K701" s="3"/>
      <c r="M701" s="3"/>
      <c r="N701" s="3"/>
      <c r="O701" s="3"/>
      <c r="P701" s="3"/>
      <c r="Q701" s="3"/>
      <c r="R701" s="3"/>
      <c r="S701" s="3"/>
      <c r="T701" s="3"/>
      <c r="U701" s="3"/>
      <c r="V701" s="3"/>
    </row>
    <row r="702" spans="1:22" x14ac:dyDescent="0.25">
      <c r="A702" s="20">
        <v>42042</v>
      </c>
      <c r="B702" s="21">
        <v>11399</v>
      </c>
      <c r="C702" s="14" t="s">
        <v>110</v>
      </c>
      <c r="D702" s="105">
        <v>85674.76</v>
      </c>
      <c r="E702" s="23">
        <v>42051</v>
      </c>
      <c r="F702" s="106">
        <v>85674.76</v>
      </c>
      <c r="G702" s="31">
        <f t="shared" si="10"/>
        <v>0</v>
      </c>
      <c r="H702" s="19" t="s">
        <v>183</v>
      </c>
      <c r="I702" s="3"/>
      <c r="J702" s="42"/>
      <c r="K702" s="3"/>
      <c r="M702" s="3"/>
      <c r="N702" s="3"/>
      <c r="O702" s="3"/>
      <c r="P702" s="3"/>
      <c r="Q702" s="3"/>
      <c r="R702" s="3"/>
      <c r="S702" s="3"/>
      <c r="T702" s="3"/>
      <c r="U702" s="3"/>
      <c r="V702" s="3"/>
    </row>
    <row r="703" spans="1:22" x14ac:dyDescent="0.25">
      <c r="A703" s="20">
        <v>42042</v>
      </c>
      <c r="B703" s="21">
        <v>11400</v>
      </c>
      <c r="C703" s="14" t="s">
        <v>250</v>
      </c>
      <c r="D703" s="105">
        <v>5602.2</v>
      </c>
      <c r="E703" s="23">
        <v>42044</v>
      </c>
      <c r="F703" s="106">
        <v>5602.2</v>
      </c>
      <c r="G703" s="31">
        <f t="shared" si="10"/>
        <v>0</v>
      </c>
      <c r="H703" s="19" t="s">
        <v>94</v>
      </c>
      <c r="I703" s="3"/>
      <c r="J703" s="42"/>
      <c r="K703" s="3"/>
      <c r="M703" s="3"/>
      <c r="N703" s="3"/>
      <c r="O703" s="3"/>
      <c r="P703" s="3"/>
      <c r="Q703" s="3"/>
      <c r="R703" s="3"/>
      <c r="S703" s="3"/>
      <c r="T703" s="3"/>
      <c r="U703" s="3"/>
      <c r="V703" s="3"/>
    </row>
    <row r="704" spans="1:22" x14ac:dyDescent="0.25">
      <c r="A704" s="20">
        <v>42042</v>
      </c>
      <c r="B704" s="21">
        <v>11401</v>
      </c>
      <c r="C704" s="14" t="s">
        <v>50</v>
      </c>
      <c r="D704" s="105">
        <v>3941</v>
      </c>
      <c r="E704" s="23">
        <v>42044</v>
      </c>
      <c r="F704" s="106">
        <v>3941</v>
      </c>
      <c r="G704" s="31">
        <f t="shared" si="10"/>
        <v>0</v>
      </c>
      <c r="H704" s="19" t="s">
        <v>94</v>
      </c>
      <c r="I704" s="3"/>
      <c r="J704" s="42"/>
      <c r="K704" s="3"/>
      <c r="M704" s="3"/>
      <c r="N704" s="3"/>
      <c r="O704" s="3"/>
      <c r="P704" s="3"/>
      <c r="Q704" s="3"/>
      <c r="R704" s="3"/>
      <c r="S704" s="3"/>
      <c r="T704" s="3"/>
      <c r="U704" s="3"/>
      <c r="V704" s="3"/>
    </row>
    <row r="705" spans="1:22" x14ac:dyDescent="0.25">
      <c r="A705" s="20">
        <v>42042</v>
      </c>
      <c r="B705" s="21">
        <v>11402</v>
      </c>
      <c r="C705" s="14" t="s">
        <v>48</v>
      </c>
      <c r="D705" s="105">
        <v>593.4</v>
      </c>
      <c r="E705" s="23">
        <v>42044</v>
      </c>
      <c r="F705" s="106">
        <v>593.4</v>
      </c>
      <c r="G705" s="31">
        <f t="shared" si="10"/>
        <v>0</v>
      </c>
      <c r="H705" s="19" t="s">
        <v>94</v>
      </c>
      <c r="I705" s="3"/>
      <c r="J705" s="42"/>
      <c r="K705" s="3"/>
      <c r="M705" s="3"/>
      <c r="N705" s="3"/>
      <c r="O705" s="3"/>
      <c r="P705" s="3"/>
      <c r="Q705" s="3"/>
      <c r="R705" s="3"/>
      <c r="S705" s="3"/>
      <c r="T705" s="3"/>
      <c r="U705" s="3"/>
      <c r="V705" s="3"/>
    </row>
    <row r="706" spans="1:22" x14ac:dyDescent="0.25">
      <c r="A706" s="20">
        <v>42042</v>
      </c>
      <c r="B706" s="21">
        <v>11403</v>
      </c>
      <c r="C706" s="14" t="s">
        <v>140</v>
      </c>
      <c r="D706" s="105">
        <v>6390.2</v>
      </c>
      <c r="E706" s="23">
        <v>42044</v>
      </c>
      <c r="F706" s="106">
        <v>6390.2</v>
      </c>
      <c r="G706" s="31">
        <f t="shared" si="10"/>
        <v>0</v>
      </c>
      <c r="H706" s="19" t="s">
        <v>94</v>
      </c>
      <c r="I706" s="3"/>
      <c r="J706" s="42"/>
      <c r="K706" s="3"/>
      <c r="M706" s="3"/>
      <c r="N706" s="3"/>
      <c r="O706" s="3"/>
      <c r="P706" s="3"/>
      <c r="Q706" s="3"/>
      <c r="R706" s="3"/>
      <c r="S706" s="3"/>
      <c r="T706" s="3"/>
      <c r="U706" s="3"/>
      <c r="V706" s="3"/>
    </row>
    <row r="707" spans="1:22" x14ac:dyDescent="0.25">
      <c r="A707" s="20">
        <v>42042</v>
      </c>
      <c r="B707" s="21">
        <v>11404</v>
      </c>
      <c r="C707" s="14" t="s">
        <v>45</v>
      </c>
      <c r="D707" s="105">
        <v>46068.75</v>
      </c>
      <c r="E707" s="23">
        <v>42055</v>
      </c>
      <c r="F707" s="106">
        <v>46068.75</v>
      </c>
      <c r="G707" s="31">
        <f t="shared" ref="G707:G770" si="11">D707-F707</f>
        <v>0</v>
      </c>
      <c r="H707" s="19" t="s">
        <v>46</v>
      </c>
      <c r="I707" s="3"/>
      <c r="J707" s="42"/>
      <c r="K707" s="3"/>
      <c r="M707" s="3"/>
      <c r="N707" s="3"/>
      <c r="O707" s="3"/>
      <c r="P707" s="3"/>
      <c r="Q707" s="3"/>
      <c r="R707" s="3"/>
      <c r="S707" s="3"/>
      <c r="T707" s="3"/>
      <c r="U707" s="3"/>
      <c r="V707" s="3"/>
    </row>
    <row r="708" spans="1:22" x14ac:dyDescent="0.25">
      <c r="A708" s="20">
        <v>42042</v>
      </c>
      <c r="B708" s="21">
        <v>11405</v>
      </c>
      <c r="C708" s="14" t="s">
        <v>87</v>
      </c>
      <c r="D708" s="105">
        <v>3916.8</v>
      </c>
      <c r="E708" s="23">
        <v>42044</v>
      </c>
      <c r="F708" s="106">
        <v>3916.8</v>
      </c>
      <c r="G708" s="31">
        <f t="shared" si="11"/>
        <v>0</v>
      </c>
      <c r="H708" s="19" t="s">
        <v>94</v>
      </c>
      <c r="I708" s="3"/>
      <c r="J708" s="42"/>
      <c r="K708" s="3"/>
      <c r="M708" s="3"/>
      <c r="N708" s="3"/>
      <c r="O708" s="3"/>
      <c r="P708" s="3"/>
      <c r="Q708" s="3"/>
      <c r="R708" s="3"/>
      <c r="S708" s="3"/>
      <c r="T708" s="3"/>
      <c r="U708" s="3"/>
      <c r="V708" s="3"/>
    </row>
    <row r="709" spans="1:22" x14ac:dyDescent="0.25">
      <c r="A709" s="20">
        <v>42042</v>
      </c>
      <c r="B709" s="21">
        <v>11406</v>
      </c>
      <c r="C709" s="14" t="s">
        <v>601</v>
      </c>
      <c r="D709" s="105">
        <v>8863.2000000000007</v>
      </c>
      <c r="E709" s="23">
        <v>42042</v>
      </c>
      <c r="F709" s="106">
        <v>8863.2000000000007</v>
      </c>
      <c r="G709" s="31">
        <f t="shared" si="11"/>
        <v>0</v>
      </c>
      <c r="H709" s="19" t="s">
        <v>9</v>
      </c>
      <c r="I709" s="3"/>
      <c r="J709" s="42"/>
      <c r="K709" s="3"/>
      <c r="M709" s="3"/>
      <c r="N709" s="3"/>
      <c r="O709" s="3"/>
      <c r="P709" s="3"/>
      <c r="Q709" s="3"/>
      <c r="R709" s="3"/>
      <c r="S709" s="3"/>
      <c r="T709" s="3"/>
      <c r="U709" s="3"/>
      <c r="V709" s="3"/>
    </row>
    <row r="710" spans="1:22" x14ac:dyDescent="0.25">
      <c r="A710" s="20">
        <v>42042</v>
      </c>
      <c r="B710" s="21">
        <v>11407</v>
      </c>
      <c r="C710" s="14" t="s">
        <v>136</v>
      </c>
      <c r="D710" s="105">
        <v>626.4</v>
      </c>
      <c r="E710" s="23">
        <v>42044</v>
      </c>
      <c r="F710" s="106">
        <v>626.4</v>
      </c>
      <c r="G710" s="31">
        <f t="shared" si="11"/>
        <v>0</v>
      </c>
      <c r="H710" s="19" t="s">
        <v>9</v>
      </c>
      <c r="I710" s="3"/>
      <c r="J710" s="42"/>
      <c r="K710" s="3"/>
      <c r="M710" s="3"/>
      <c r="N710" s="3"/>
      <c r="O710" s="3"/>
      <c r="P710" s="3"/>
      <c r="Q710" s="3"/>
      <c r="R710" s="3"/>
      <c r="S710" s="3"/>
      <c r="T710" s="3"/>
      <c r="U710" s="3"/>
      <c r="V710" s="3"/>
    </row>
    <row r="711" spans="1:22" x14ac:dyDescent="0.25">
      <c r="A711" s="20">
        <v>42042</v>
      </c>
      <c r="B711" s="21">
        <v>11408</v>
      </c>
      <c r="C711" s="14" t="s">
        <v>127</v>
      </c>
      <c r="D711" s="105">
        <v>4582.8</v>
      </c>
      <c r="E711" s="23">
        <v>42042</v>
      </c>
      <c r="F711" s="106">
        <v>4582.8</v>
      </c>
      <c r="G711" s="31">
        <f t="shared" si="11"/>
        <v>0</v>
      </c>
      <c r="H711" s="19" t="s">
        <v>9</v>
      </c>
      <c r="I711" s="3"/>
      <c r="J711" s="42"/>
      <c r="K711" s="3"/>
      <c r="M711" s="3"/>
      <c r="N711" s="3"/>
      <c r="O711" s="3"/>
      <c r="P711" s="3"/>
      <c r="Q711" s="3"/>
      <c r="R711" s="3"/>
      <c r="S711" s="3"/>
      <c r="T711" s="3"/>
      <c r="U711" s="3"/>
      <c r="V711" s="3"/>
    </row>
    <row r="712" spans="1:22" x14ac:dyDescent="0.25">
      <c r="A712" s="20">
        <v>42042</v>
      </c>
      <c r="B712" s="21">
        <v>11409</v>
      </c>
      <c r="C712" s="14" t="s">
        <v>143</v>
      </c>
      <c r="D712" s="105">
        <v>13122</v>
      </c>
      <c r="E712" s="23">
        <v>42044</v>
      </c>
      <c r="F712" s="106">
        <v>13122</v>
      </c>
      <c r="G712" s="31">
        <f t="shared" si="11"/>
        <v>0</v>
      </c>
      <c r="H712" s="19" t="s">
        <v>187</v>
      </c>
      <c r="I712" s="3"/>
      <c r="J712" s="42"/>
      <c r="K712" s="3"/>
      <c r="M712" s="3"/>
      <c r="N712" s="3"/>
      <c r="O712" s="3"/>
      <c r="P712" s="3"/>
      <c r="Q712" s="3"/>
      <c r="R712" s="3"/>
      <c r="S712" s="3"/>
      <c r="T712" s="3"/>
      <c r="U712" s="3"/>
      <c r="V712" s="3"/>
    </row>
    <row r="713" spans="1:22" x14ac:dyDescent="0.25">
      <c r="A713" s="20">
        <v>42042</v>
      </c>
      <c r="B713" s="21">
        <v>11410</v>
      </c>
      <c r="C713" s="14" t="s">
        <v>125</v>
      </c>
      <c r="D713" s="105">
        <v>4888.8</v>
      </c>
      <c r="E713" s="23">
        <v>42049</v>
      </c>
      <c r="F713" s="106">
        <v>4888.8</v>
      </c>
      <c r="G713" s="31">
        <f t="shared" si="11"/>
        <v>0</v>
      </c>
      <c r="H713" s="19" t="s">
        <v>15</v>
      </c>
      <c r="I713" s="3"/>
      <c r="J713" s="42"/>
      <c r="K713" s="3"/>
      <c r="M713" s="3"/>
      <c r="N713" s="3"/>
      <c r="O713" s="3"/>
      <c r="P713" s="3"/>
      <c r="Q713" s="3"/>
      <c r="R713" s="3"/>
      <c r="S713" s="3"/>
      <c r="T713" s="3"/>
      <c r="U713" s="3"/>
      <c r="V713" s="3"/>
    </row>
    <row r="714" spans="1:22" x14ac:dyDescent="0.25">
      <c r="A714" s="20">
        <v>42042</v>
      </c>
      <c r="B714" s="21">
        <v>11411</v>
      </c>
      <c r="C714" s="14" t="s">
        <v>411</v>
      </c>
      <c r="D714" s="105">
        <v>2394.7800000000002</v>
      </c>
      <c r="E714" s="23">
        <v>42042</v>
      </c>
      <c r="F714" s="106">
        <v>2394.7800000000002</v>
      </c>
      <c r="G714" s="31">
        <f t="shared" si="11"/>
        <v>0</v>
      </c>
      <c r="H714" s="19" t="s">
        <v>9</v>
      </c>
      <c r="I714" s="3"/>
      <c r="J714" s="42"/>
      <c r="K714" s="3"/>
      <c r="M714" s="3"/>
      <c r="N714" s="3"/>
      <c r="O714" s="3"/>
      <c r="P714" s="3"/>
      <c r="Q714" s="3"/>
      <c r="R714" s="3"/>
      <c r="S714" s="3"/>
      <c r="T714" s="3"/>
      <c r="U714" s="3"/>
      <c r="V714" s="3"/>
    </row>
    <row r="715" spans="1:22" x14ac:dyDescent="0.25">
      <c r="A715" s="20">
        <v>42042</v>
      </c>
      <c r="B715" s="21">
        <v>11412</v>
      </c>
      <c r="C715" s="14" t="s">
        <v>64</v>
      </c>
      <c r="D715" s="105">
        <v>769.8</v>
      </c>
      <c r="E715" s="23">
        <v>42042</v>
      </c>
      <c r="F715" s="106">
        <v>769.8</v>
      </c>
      <c r="G715" s="31">
        <f t="shared" si="11"/>
        <v>0</v>
      </c>
      <c r="H715" s="19" t="s">
        <v>9</v>
      </c>
      <c r="I715" s="3"/>
      <c r="J715" s="42"/>
      <c r="K715" s="3"/>
      <c r="M715" s="3"/>
      <c r="N715" s="3"/>
      <c r="O715" s="3"/>
      <c r="P715" s="3"/>
      <c r="Q715" s="3"/>
      <c r="R715" s="3"/>
      <c r="S715" s="3"/>
      <c r="T715" s="3"/>
      <c r="U715" s="3"/>
      <c r="V715" s="3"/>
    </row>
    <row r="716" spans="1:22" x14ac:dyDescent="0.25">
      <c r="A716" s="20">
        <v>42042</v>
      </c>
      <c r="B716" s="21">
        <v>11413</v>
      </c>
      <c r="C716" s="14" t="s">
        <v>602</v>
      </c>
      <c r="D716" s="105">
        <v>20877.2</v>
      </c>
      <c r="E716" s="23">
        <v>42049</v>
      </c>
      <c r="F716" s="106">
        <v>20877.2</v>
      </c>
      <c r="G716" s="31">
        <f t="shared" si="11"/>
        <v>0</v>
      </c>
      <c r="H716" s="19" t="s">
        <v>9</v>
      </c>
      <c r="I716" s="3"/>
      <c r="J716" s="42"/>
      <c r="K716" s="3"/>
      <c r="M716" s="3"/>
      <c r="N716" s="3"/>
      <c r="O716" s="3"/>
      <c r="P716" s="3"/>
      <c r="Q716" s="3"/>
      <c r="R716" s="3"/>
      <c r="S716" s="3"/>
      <c r="T716" s="3"/>
      <c r="U716" s="3"/>
      <c r="V716" s="3"/>
    </row>
    <row r="717" spans="1:22" x14ac:dyDescent="0.25">
      <c r="A717" s="20">
        <v>42042</v>
      </c>
      <c r="B717" s="21">
        <v>11414</v>
      </c>
      <c r="C717" s="14" t="s">
        <v>110</v>
      </c>
      <c r="D717" s="105">
        <v>5162.8999999999996</v>
      </c>
      <c r="E717" s="29" t="s">
        <v>603</v>
      </c>
      <c r="F717" s="106">
        <f>500+4662.9</f>
        <v>5162.8999999999996</v>
      </c>
      <c r="G717" s="31">
        <f t="shared" si="11"/>
        <v>0</v>
      </c>
      <c r="H717" s="19" t="s">
        <v>149</v>
      </c>
      <c r="I717" s="3"/>
      <c r="J717" s="42"/>
      <c r="K717" s="3"/>
      <c r="M717" s="3"/>
      <c r="N717" s="3"/>
      <c r="O717" s="3"/>
      <c r="P717" s="3"/>
      <c r="Q717" s="3"/>
      <c r="R717" s="3"/>
      <c r="S717" s="3"/>
      <c r="T717" s="3"/>
      <c r="U717" s="3"/>
      <c r="V717" s="3"/>
    </row>
    <row r="718" spans="1:22" x14ac:dyDescent="0.25">
      <c r="A718" s="20">
        <v>42042</v>
      </c>
      <c r="B718" s="21">
        <v>11415</v>
      </c>
      <c r="C718" s="14" t="s">
        <v>14</v>
      </c>
      <c r="D718" s="105">
        <v>39565.199999999997</v>
      </c>
      <c r="E718" s="23">
        <v>42048</v>
      </c>
      <c r="F718" s="106">
        <v>39565.199999999997</v>
      </c>
      <c r="G718" s="31">
        <f t="shared" si="11"/>
        <v>0</v>
      </c>
      <c r="H718" s="19" t="s">
        <v>9</v>
      </c>
      <c r="I718" s="3"/>
      <c r="J718" s="42"/>
      <c r="K718" s="3"/>
      <c r="M718" s="3"/>
      <c r="N718" s="3"/>
      <c r="O718" s="3"/>
      <c r="P718" s="3"/>
      <c r="Q718" s="3"/>
      <c r="R718" s="3"/>
      <c r="S718" s="3"/>
      <c r="T718" s="3"/>
      <c r="U718" s="3"/>
      <c r="V718" s="3"/>
    </row>
    <row r="719" spans="1:22" x14ac:dyDescent="0.25">
      <c r="A719" s="20">
        <v>42042</v>
      </c>
      <c r="B719" s="21">
        <v>11416</v>
      </c>
      <c r="C719" s="14" t="s">
        <v>145</v>
      </c>
      <c r="D719" s="105">
        <v>3936</v>
      </c>
      <c r="E719" s="23">
        <v>42042</v>
      </c>
      <c r="F719" s="106">
        <v>3936</v>
      </c>
      <c r="G719" s="31">
        <f t="shared" si="11"/>
        <v>0</v>
      </c>
      <c r="H719" s="19" t="s">
        <v>9</v>
      </c>
      <c r="I719" s="3"/>
      <c r="J719" s="42"/>
      <c r="K719" s="3"/>
      <c r="M719" s="3"/>
      <c r="N719" s="3"/>
      <c r="O719" s="3"/>
      <c r="P719" s="3"/>
      <c r="Q719" s="3"/>
      <c r="R719" s="3"/>
      <c r="S719" s="3"/>
      <c r="T719" s="3"/>
      <c r="U719" s="3"/>
      <c r="V719" s="3"/>
    </row>
    <row r="720" spans="1:22" x14ac:dyDescent="0.25">
      <c r="A720" s="20">
        <v>42042</v>
      </c>
      <c r="B720" s="21">
        <v>11417</v>
      </c>
      <c r="C720" s="14" t="s">
        <v>235</v>
      </c>
      <c r="D720" s="105">
        <v>2141.4</v>
      </c>
      <c r="E720" s="23">
        <v>42044</v>
      </c>
      <c r="F720" s="106">
        <v>2141.4</v>
      </c>
      <c r="G720" s="31">
        <f t="shared" si="11"/>
        <v>0</v>
      </c>
      <c r="H720" s="19" t="s">
        <v>17</v>
      </c>
      <c r="I720" s="3"/>
      <c r="J720" s="42"/>
      <c r="K720" s="3"/>
      <c r="M720" s="3"/>
      <c r="N720" s="3"/>
      <c r="O720" s="3"/>
      <c r="P720" s="3"/>
      <c r="Q720" s="3"/>
      <c r="R720" s="3"/>
      <c r="S720" s="3"/>
      <c r="T720" s="3"/>
      <c r="U720" s="3"/>
      <c r="V720" s="3"/>
    </row>
    <row r="721" spans="1:22" x14ac:dyDescent="0.25">
      <c r="A721" s="20">
        <v>42042</v>
      </c>
      <c r="B721" s="21">
        <v>11418</v>
      </c>
      <c r="C721" s="14" t="s">
        <v>267</v>
      </c>
      <c r="D721" s="105">
        <v>3740.53</v>
      </c>
      <c r="E721" s="23">
        <v>42044</v>
      </c>
      <c r="F721" s="106">
        <v>3740.53</v>
      </c>
      <c r="G721" s="31">
        <f t="shared" si="11"/>
        <v>0</v>
      </c>
      <c r="H721" s="19" t="s">
        <v>17</v>
      </c>
      <c r="I721" s="3"/>
      <c r="J721" s="42"/>
      <c r="K721" s="3"/>
      <c r="M721" s="3"/>
      <c r="N721" s="3"/>
      <c r="O721" s="3"/>
      <c r="P721" s="3"/>
      <c r="Q721" s="3"/>
      <c r="R721" s="3"/>
      <c r="S721" s="3"/>
      <c r="T721" s="3"/>
      <c r="U721" s="3"/>
      <c r="V721" s="3"/>
    </row>
    <row r="722" spans="1:22" x14ac:dyDescent="0.25">
      <c r="A722" s="20">
        <v>42043</v>
      </c>
      <c r="B722" s="21">
        <v>11419</v>
      </c>
      <c r="C722" s="14" t="s">
        <v>112</v>
      </c>
      <c r="D722" s="105">
        <v>5034.3999999999996</v>
      </c>
      <c r="E722" s="23">
        <v>42043</v>
      </c>
      <c r="F722" s="106">
        <v>5034.3999999999996</v>
      </c>
      <c r="G722" s="31">
        <f t="shared" si="11"/>
        <v>0</v>
      </c>
      <c r="H722" s="19" t="s">
        <v>9</v>
      </c>
      <c r="I722" s="3"/>
      <c r="J722" s="42"/>
      <c r="K722" s="3"/>
      <c r="M722" s="3"/>
      <c r="N722" s="3"/>
      <c r="O722" s="3"/>
      <c r="P722" s="3"/>
      <c r="Q722" s="3"/>
      <c r="R722" s="3"/>
      <c r="S722" s="3"/>
      <c r="T722" s="3"/>
      <c r="U722" s="3"/>
      <c r="V722" s="3"/>
    </row>
    <row r="723" spans="1:22" x14ac:dyDescent="0.25">
      <c r="A723" s="20">
        <v>42043</v>
      </c>
      <c r="B723" s="21">
        <v>11420</v>
      </c>
      <c r="C723" s="14" t="s">
        <v>121</v>
      </c>
      <c r="D723" s="105">
        <v>1245.9000000000001</v>
      </c>
      <c r="E723" s="23">
        <v>42043</v>
      </c>
      <c r="F723" s="106">
        <v>1245.9000000000001</v>
      </c>
      <c r="G723" s="31">
        <f t="shared" si="11"/>
        <v>0</v>
      </c>
      <c r="H723" s="19" t="s">
        <v>9</v>
      </c>
      <c r="I723" s="3"/>
      <c r="J723" s="42"/>
      <c r="K723" s="3"/>
      <c r="M723" s="3"/>
      <c r="N723" s="3"/>
      <c r="O723" s="3"/>
      <c r="P723" s="3"/>
      <c r="Q723" s="3"/>
      <c r="R723" s="3"/>
      <c r="S723" s="3"/>
      <c r="T723" s="3"/>
      <c r="U723" s="3"/>
      <c r="V723" s="3"/>
    </row>
    <row r="724" spans="1:22" x14ac:dyDescent="0.25">
      <c r="A724" s="20">
        <v>42043</v>
      </c>
      <c r="B724" s="21">
        <v>11421</v>
      </c>
      <c r="C724" s="14" t="s">
        <v>16</v>
      </c>
      <c r="D724" s="105">
        <v>11809</v>
      </c>
      <c r="E724" s="23">
        <v>42044</v>
      </c>
      <c r="F724" s="106">
        <v>11809</v>
      </c>
      <c r="G724" s="31">
        <f t="shared" si="11"/>
        <v>0</v>
      </c>
      <c r="H724" s="19" t="s">
        <v>17</v>
      </c>
      <c r="I724" s="3"/>
      <c r="J724" s="42"/>
      <c r="K724" s="3"/>
      <c r="M724" s="3"/>
      <c r="N724" s="3"/>
      <c r="O724" s="3"/>
      <c r="P724" s="3"/>
      <c r="Q724" s="3"/>
      <c r="R724" s="3"/>
      <c r="S724" s="3"/>
      <c r="T724" s="3"/>
      <c r="U724" s="3"/>
      <c r="V724" s="3"/>
    </row>
    <row r="725" spans="1:22" x14ac:dyDescent="0.25">
      <c r="A725" s="20">
        <v>42043</v>
      </c>
      <c r="B725" s="21">
        <v>11422</v>
      </c>
      <c r="C725" s="14" t="s">
        <v>14</v>
      </c>
      <c r="D725" s="105">
        <v>32515.4</v>
      </c>
      <c r="E725" s="23">
        <v>42048</v>
      </c>
      <c r="F725" s="106">
        <v>32515.4</v>
      </c>
      <c r="G725" s="31">
        <f t="shared" si="11"/>
        <v>0</v>
      </c>
      <c r="H725" s="19" t="s">
        <v>62</v>
      </c>
      <c r="I725" s="3"/>
      <c r="J725" s="42"/>
      <c r="K725" s="3"/>
      <c r="M725" s="3"/>
      <c r="N725" s="3"/>
      <c r="O725" s="3"/>
      <c r="P725" s="3"/>
      <c r="Q725" s="3"/>
      <c r="R725" s="3"/>
      <c r="S725" s="3"/>
      <c r="T725" s="3"/>
      <c r="U725" s="3"/>
      <c r="V725" s="3"/>
    </row>
    <row r="726" spans="1:22" x14ac:dyDescent="0.25">
      <c r="A726" s="20">
        <v>42043</v>
      </c>
      <c r="B726" s="21">
        <v>11423</v>
      </c>
      <c r="C726" s="14" t="s">
        <v>148</v>
      </c>
      <c r="D726" s="105">
        <v>5693.6</v>
      </c>
      <c r="E726" s="23">
        <v>42044</v>
      </c>
      <c r="F726" s="106">
        <v>5693.6</v>
      </c>
      <c r="G726" s="31">
        <f t="shared" si="11"/>
        <v>0</v>
      </c>
      <c r="H726" s="19" t="s">
        <v>9</v>
      </c>
      <c r="I726" s="3"/>
      <c r="J726" s="42"/>
      <c r="K726" s="3"/>
      <c r="M726" s="3"/>
      <c r="N726" s="3"/>
      <c r="O726" s="3"/>
      <c r="P726" s="3"/>
      <c r="Q726" s="3"/>
      <c r="R726" s="3"/>
      <c r="S726" s="3"/>
      <c r="T726" s="3"/>
      <c r="U726" s="3"/>
      <c r="V726" s="3"/>
    </row>
    <row r="727" spans="1:22" x14ac:dyDescent="0.25">
      <c r="A727" s="20">
        <v>42043</v>
      </c>
      <c r="B727" s="21">
        <v>11424</v>
      </c>
      <c r="C727" s="14" t="s">
        <v>21</v>
      </c>
      <c r="D727" s="105">
        <v>2783.2</v>
      </c>
      <c r="E727" s="23">
        <v>42043</v>
      </c>
      <c r="F727" s="106">
        <v>2783.2</v>
      </c>
      <c r="G727" s="31">
        <f t="shared" si="11"/>
        <v>0</v>
      </c>
      <c r="H727" s="19" t="s">
        <v>9</v>
      </c>
      <c r="I727" s="3"/>
      <c r="J727" s="42"/>
      <c r="K727" s="3"/>
      <c r="M727" s="3"/>
      <c r="N727" s="3"/>
      <c r="O727" s="3"/>
      <c r="P727" s="3"/>
      <c r="Q727" s="3"/>
      <c r="R727" s="3"/>
      <c r="S727" s="3"/>
      <c r="T727" s="3"/>
      <c r="U727" s="3"/>
      <c r="V727" s="3"/>
    </row>
    <row r="728" spans="1:22" x14ac:dyDescent="0.25">
      <c r="A728" s="20">
        <v>42043</v>
      </c>
      <c r="B728" s="21">
        <v>11425</v>
      </c>
      <c r="C728" s="14" t="s">
        <v>24</v>
      </c>
      <c r="D728" s="105">
        <v>69667.199999999997</v>
      </c>
      <c r="E728" s="23">
        <v>42063</v>
      </c>
      <c r="F728" s="106">
        <v>69667.199999999997</v>
      </c>
      <c r="G728" s="31">
        <f t="shared" si="11"/>
        <v>0</v>
      </c>
      <c r="H728" s="19" t="s">
        <v>9</v>
      </c>
      <c r="I728" s="3"/>
      <c r="J728" s="42"/>
      <c r="K728" s="3"/>
      <c r="M728" s="3"/>
      <c r="N728" s="3"/>
      <c r="O728" s="3"/>
      <c r="P728" s="3"/>
      <c r="Q728" s="3"/>
      <c r="R728" s="3"/>
      <c r="S728" s="3"/>
      <c r="T728" s="3"/>
      <c r="U728" s="3"/>
      <c r="V728" s="3"/>
    </row>
    <row r="729" spans="1:22" x14ac:dyDescent="0.25">
      <c r="A729" s="20">
        <v>42043</v>
      </c>
      <c r="B729" s="21">
        <v>11426</v>
      </c>
      <c r="C729" s="14" t="s">
        <v>20</v>
      </c>
      <c r="D729" s="105">
        <v>15498</v>
      </c>
      <c r="E729" s="23">
        <v>42044</v>
      </c>
      <c r="F729" s="106">
        <v>15498</v>
      </c>
      <c r="G729" s="31">
        <f t="shared" si="11"/>
        <v>0</v>
      </c>
      <c r="H729" s="19" t="s">
        <v>17</v>
      </c>
      <c r="I729" s="3"/>
      <c r="J729" s="42"/>
      <c r="K729" s="3"/>
      <c r="M729" s="3"/>
      <c r="N729" s="3"/>
      <c r="O729" s="3"/>
      <c r="P729" s="3"/>
      <c r="Q729" s="3"/>
      <c r="R729" s="3"/>
      <c r="S729" s="3"/>
      <c r="T729" s="3"/>
      <c r="U729" s="3"/>
      <c r="V729" s="3"/>
    </row>
    <row r="730" spans="1:22" x14ac:dyDescent="0.25">
      <c r="A730" s="20">
        <v>42043</v>
      </c>
      <c r="B730" s="21">
        <v>11427</v>
      </c>
      <c r="C730" s="14" t="s">
        <v>86</v>
      </c>
      <c r="D730" s="105">
        <v>500.2</v>
      </c>
      <c r="E730" s="23">
        <v>42043</v>
      </c>
      <c r="F730" s="106">
        <v>500.2</v>
      </c>
      <c r="G730" s="31">
        <f t="shared" si="11"/>
        <v>0</v>
      </c>
      <c r="H730" s="19" t="s">
        <v>9</v>
      </c>
      <c r="I730" s="3"/>
      <c r="J730" s="42"/>
      <c r="K730" s="3"/>
      <c r="M730" s="3"/>
      <c r="N730" s="3"/>
      <c r="O730" s="3"/>
      <c r="P730" s="3"/>
      <c r="Q730" s="3"/>
      <c r="R730" s="3"/>
      <c r="S730" s="3"/>
      <c r="T730" s="3"/>
      <c r="U730" s="3"/>
      <c r="V730" s="3"/>
    </row>
    <row r="731" spans="1:22" x14ac:dyDescent="0.25">
      <c r="A731" s="20">
        <v>42043</v>
      </c>
      <c r="B731" s="21">
        <v>11428</v>
      </c>
      <c r="C731" s="14" t="s">
        <v>215</v>
      </c>
      <c r="D731" s="105">
        <v>18145.2</v>
      </c>
      <c r="E731" s="23">
        <v>42043</v>
      </c>
      <c r="F731" s="106">
        <v>18145.2</v>
      </c>
      <c r="G731" s="31">
        <f t="shared" si="11"/>
        <v>0</v>
      </c>
      <c r="H731" s="19" t="s">
        <v>9</v>
      </c>
      <c r="I731" s="3"/>
      <c r="J731" s="42"/>
      <c r="K731" s="3"/>
      <c r="M731" s="3"/>
      <c r="N731" s="3"/>
      <c r="O731" s="3"/>
      <c r="P731" s="3"/>
      <c r="Q731" s="3"/>
      <c r="R731" s="3"/>
      <c r="S731" s="3"/>
      <c r="T731" s="3"/>
      <c r="U731" s="3"/>
      <c r="V731" s="3"/>
    </row>
    <row r="732" spans="1:22" x14ac:dyDescent="0.25">
      <c r="A732" s="20">
        <v>42043</v>
      </c>
      <c r="B732" s="21">
        <v>11429</v>
      </c>
      <c r="C732" s="14" t="s">
        <v>604</v>
      </c>
      <c r="D732" s="105">
        <v>2516.4</v>
      </c>
      <c r="E732" s="23">
        <v>42043</v>
      </c>
      <c r="F732" s="106">
        <v>2516.4</v>
      </c>
      <c r="G732" s="31">
        <f t="shared" si="11"/>
        <v>0</v>
      </c>
      <c r="H732" s="39" t="s">
        <v>9</v>
      </c>
      <c r="I732" s="3"/>
      <c r="J732" s="42"/>
      <c r="K732" s="3"/>
      <c r="M732" s="3"/>
      <c r="N732" s="3"/>
      <c r="O732" s="3"/>
      <c r="P732" s="3"/>
      <c r="Q732" s="3"/>
      <c r="R732" s="3"/>
      <c r="S732" s="3"/>
      <c r="T732" s="3"/>
      <c r="U732" s="3"/>
      <c r="V732" s="3"/>
    </row>
    <row r="733" spans="1:22" x14ac:dyDescent="0.25">
      <c r="A733" s="20">
        <v>42043</v>
      </c>
      <c r="B733" s="21">
        <v>11430</v>
      </c>
      <c r="C733" s="14" t="s">
        <v>233</v>
      </c>
      <c r="D733" s="105">
        <v>18862.8</v>
      </c>
      <c r="E733" s="23">
        <v>42044</v>
      </c>
      <c r="F733" s="106">
        <v>18862.8</v>
      </c>
      <c r="G733" s="31">
        <f t="shared" si="11"/>
        <v>0</v>
      </c>
      <c r="H733" s="39" t="s">
        <v>36</v>
      </c>
      <c r="I733" s="3"/>
      <c r="J733" s="42"/>
      <c r="K733" s="3"/>
      <c r="M733" s="3"/>
      <c r="N733" s="3"/>
      <c r="O733" s="3"/>
      <c r="P733" s="3"/>
      <c r="Q733" s="3"/>
      <c r="R733" s="3"/>
      <c r="S733" s="3"/>
      <c r="T733" s="3"/>
      <c r="U733" s="3"/>
      <c r="V733" s="3"/>
    </row>
    <row r="734" spans="1:22" x14ac:dyDescent="0.25">
      <c r="A734" s="20">
        <v>42043</v>
      </c>
      <c r="B734" s="21">
        <v>11431</v>
      </c>
      <c r="C734" s="14" t="s">
        <v>43</v>
      </c>
      <c r="D734" s="105">
        <v>17627.2</v>
      </c>
      <c r="E734" s="23">
        <v>42043</v>
      </c>
      <c r="F734" s="106">
        <v>17627.2</v>
      </c>
      <c r="G734" s="31">
        <f t="shared" si="11"/>
        <v>0</v>
      </c>
      <c r="H734" s="39" t="s">
        <v>9</v>
      </c>
      <c r="I734" s="3"/>
      <c r="J734" s="42"/>
      <c r="K734" s="3"/>
      <c r="M734" s="3"/>
      <c r="N734" s="3"/>
      <c r="O734" s="3"/>
      <c r="P734" s="3"/>
      <c r="Q734" s="3"/>
      <c r="R734" s="3"/>
      <c r="S734" s="3"/>
      <c r="T734" s="3"/>
      <c r="U734" s="3"/>
      <c r="V734" s="3"/>
    </row>
    <row r="735" spans="1:22" x14ac:dyDescent="0.25">
      <c r="A735" s="20">
        <v>42043</v>
      </c>
      <c r="B735" s="21">
        <v>11432</v>
      </c>
      <c r="C735" s="14" t="s">
        <v>60</v>
      </c>
      <c r="D735" s="105">
        <v>9749.7999999999993</v>
      </c>
      <c r="E735" s="23">
        <v>42044</v>
      </c>
      <c r="F735" s="106">
        <v>9749.7999999999993</v>
      </c>
      <c r="G735" s="31">
        <f t="shared" si="11"/>
        <v>0</v>
      </c>
      <c r="H735" s="39" t="s">
        <v>36</v>
      </c>
      <c r="I735" s="3"/>
      <c r="J735" s="42"/>
      <c r="K735" s="3"/>
      <c r="M735" s="3"/>
      <c r="N735" s="3"/>
      <c r="O735" s="3"/>
      <c r="P735" s="3"/>
      <c r="Q735" s="3"/>
      <c r="R735" s="3"/>
      <c r="S735" s="3"/>
      <c r="T735" s="3"/>
      <c r="U735" s="3"/>
      <c r="V735" s="3"/>
    </row>
    <row r="736" spans="1:22" x14ac:dyDescent="0.25">
      <c r="A736" s="20">
        <v>42043</v>
      </c>
      <c r="B736" s="21">
        <v>11433</v>
      </c>
      <c r="C736" s="14" t="s">
        <v>56</v>
      </c>
      <c r="D736" s="105">
        <v>4647.8</v>
      </c>
      <c r="E736" s="23">
        <v>42044</v>
      </c>
      <c r="F736" s="106">
        <v>4647.8</v>
      </c>
      <c r="G736" s="31">
        <f t="shared" si="11"/>
        <v>0</v>
      </c>
      <c r="H736" s="39" t="s">
        <v>36</v>
      </c>
      <c r="I736" s="3"/>
      <c r="J736" s="42"/>
      <c r="K736" s="3"/>
      <c r="M736" s="3"/>
      <c r="N736" s="3"/>
      <c r="O736" s="3"/>
      <c r="P736" s="3"/>
      <c r="Q736" s="3"/>
      <c r="R736" s="3"/>
      <c r="S736" s="3"/>
      <c r="T736" s="3"/>
      <c r="U736" s="3"/>
      <c r="V736" s="3"/>
    </row>
    <row r="737" spans="1:22" x14ac:dyDescent="0.25">
      <c r="A737" s="20">
        <v>42043</v>
      </c>
      <c r="B737" s="21">
        <v>11434</v>
      </c>
      <c r="C737" s="14" t="s">
        <v>35</v>
      </c>
      <c r="D737" s="105">
        <v>24601.200000000001</v>
      </c>
      <c r="E737" s="23">
        <v>42044</v>
      </c>
      <c r="F737" s="106">
        <v>24601.200000000001</v>
      </c>
      <c r="G737" s="31">
        <f t="shared" si="11"/>
        <v>0</v>
      </c>
      <c r="H737" s="39" t="s">
        <v>36</v>
      </c>
      <c r="I737" s="3"/>
      <c r="J737" s="42"/>
      <c r="K737" s="3"/>
      <c r="M737" s="3"/>
      <c r="N737" s="3"/>
      <c r="O737" s="3"/>
      <c r="P737" s="3"/>
      <c r="Q737" s="3"/>
      <c r="R737" s="3"/>
      <c r="S737" s="3"/>
      <c r="T737" s="3"/>
      <c r="U737" s="3"/>
      <c r="V737" s="3"/>
    </row>
    <row r="738" spans="1:22" x14ac:dyDescent="0.25">
      <c r="A738" s="20">
        <v>42043</v>
      </c>
      <c r="B738" s="21">
        <v>11435</v>
      </c>
      <c r="C738" s="14" t="s">
        <v>55</v>
      </c>
      <c r="D738" s="105">
        <v>8575.6</v>
      </c>
      <c r="E738" s="23">
        <v>42044</v>
      </c>
      <c r="F738" s="106">
        <v>8575.6</v>
      </c>
      <c r="G738" s="31">
        <f t="shared" si="11"/>
        <v>0</v>
      </c>
      <c r="H738" s="39" t="s">
        <v>36</v>
      </c>
      <c r="I738" s="3"/>
      <c r="J738" s="42"/>
      <c r="K738" s="3"/>
      <c r="M738" s="3"/>
      <c r="N738" s="3"/>
      <c r="O738" s="3"/>
      <c r="P738" s="3"/>
      <c r="Q738" s="3"/>
      <c r="R738" s="3"/>
      <c r="S738" s="3"/>
      <c r="T738" s="3"/>
      <c r="U738" s="3"/>
      <c r="V738" s="3"/>
    </row>
    <row r="739" spans="1:22" x14ac:dyDescent="0.25">
      <c r="A739" s="20">
        <v>42043</v>
      </c>
      <c r="B739" s="21">
        <v>11436</v>
      </c>
      <c r="C739" s="14" t="s">
        <v>605</v>
      </c>
      <c r="D739" s="105">
        <v>7725</v>
      </c>
      <c r="E739" s="23">
        <v>42044</v>
      </c>
      <c r="F739" s="106">
        <v>7725</v>
      </c>
      <c r="G739" s="31">
        <f t="shared" si="11"/>
        <v>0</v>
      </c>
      <c r="H739" s="39" t="s">
        <v>59</v>
      </c>
      <c r="I739" s="3"/>
      <c r="J739" s="42"/>
      <c r="K739" s="3"/>
      <c r="M739" s="3"/>
      <c r="N739" s="3"/>
      <c r="O739" s="3"/>
      <c r="P739" s="3"/>
      <c r="Q739" s="3"/>
      <c r="R739" s="3"/>
      <c r="S739" s="3"/>
      <c r="T739" s="3"/>
      <c r="U739" s="3"/>
      <c r="V739" s="3"/>
    </row>
    <row r="740" spans="1:22" x14ac:dyDescent="0.25">
      <c r="A740" s="20">
        <v>42043</v>
      </c>
      <c r="B740" s="21">
        <v>11437</v>
      </c>
      <c r="C740" s="14" t="s">
        <v>82</v>
      </c>
      <c r="D740" s="105">
        <v>4397.3999999999996</v>
      </c>
      <c r="E740" s="23">
        <v>42044</v>
      </c>
      <c r="F740" s="106">
        <v>4397.3999999999996</v>
      </c>
      <c r="G740" s="31">
        <f t="shared" si="11"/>
        <v>0</v>
      </c>
      <c r="H740" s="39" t="s">
        <v>59</v>
      </c>
      <c r="I740" s="3"/>
      <c r="J740" s="42"/>
      <c r="K740" s="3"/>
      <c r="M740" s="3"/>
      <c r="N740" s="3"/>
      <c r="O740" s="3"/>
      <c r="P740" s="3"/>
      <c r="Q740" s="3"/>
      <c r="R740" s="3"/>
      <c r="S740" s="3"/>
      <c r="T740" s="3"/>
      <c r="U740" s="3"/>
      <c r="V740" s="3"/>
    </row>
    <row r="741" spans="1:22" x14ac:dyDescent="0.25">
      <c r="A741" s="20">
        <v>42043</v>
      </c>
      <c r="B741" s="21">
        <v>11438</v>
      </c>
      <c r="C741" s="14" t="s">
        <v>45</v>
      </c>
      <c r="D741" s="105">
        <v>5312</v>
      </c>
      <c r="E741" s="23">
        <v>42055</v>
      </c>
      <c r="F741" s="106">
        <v>5312</v>
      </c>
      <c r="G741" s="31">
        <f t="shared" si="11"/>
        <v>0</v>
      </c>
      <c r="H741" s="39" t="s">
        <v>59</v>
      </c>
      <c r="I741" s="3"/>
      <c r="J741" s="42"/>
      <c r="K741" s="3"/>
      <c r="M741" s="3"/>
      <c r="N741" s="3"/>
      <c r="O741" s="3"/>
      <c r="P741" s="3"/>
      <c r="Q741" s="3"/>
      <c r="R741" s="3"/>
      <c r="S741" s="3"/>
      <c r="T741" s="3"/>
      <c r="U741" s="3"/>
      <c r="V741" s="3"/>
    </row>
    <row r="742" spans="1:22" x14ac:dyDescent="0.25">
      <c r="A742" s="20">
        <v>42043</v>
      </c>
      <c r="B742" s="21">
        <v>11439</v>
      </c>
      <c r="C742" s="14" t="s">
        <v>151</v>
      </c>
      <c r="D742" s="105">
        <v>6116.2</v>
      </c>
      <c r="E742" s="23">
        <v>42044</v>
      </c>
      <c r="F742" s="106">
        <v>6116.2</v>
      </c>
      <c r="G742" s="31">
        <f t="shared" si="11"/>
        <v>0</v>
      </c>
      <c r="H742" s="39" t="s">
        <v>9</v>
      </c>
      <c r="I742" s="3"/>
      <c r="J742" s="42"/>
      <c r="K742" s="3"/>
      <c r="M742" s="3"/>
      <c r="N742" s="3"/>
      <c r="O742" s="3"/>
      <c r="P742" s="3"/>
      <c r="Q742" s="3"/>
      <c r="R742" s="3"/>
      <c r="S742" s="3"/>
      <c r="T742" s="3"/>
      <c r="U742" s="3"/>
      <c r="V742" s="3"/>
    </row>
    <row r="743" spans="1:22" x14ac:dyDescent="0.25">
      <c r="A743" s="20">
        <v>42043</v>
      </c>
      <c r="B743" s="21">
        <v>11440</v>
      </c>
      <c r="C743" s="14" t="s">
        <v>53</v>
      </c>
      <c r="D743" s="105">
        <v>2048.1999999999998</v>
      </c>
      <c r="E743" s="23">
        <v>42044</v>
      </c>
      <c r="F743" s="106">
        <v>2048.1999999999998</v>
      </c>
      <c r="G743" s="31">
        <f t="shared" si="11"/>
        <v>0</v>
      </c>
      <c r="H743" s="39" t="s">
        <v>59</v>
      </c>
      <c r="I743" s="3"/>
      <c r="J743" s="42"/>
      <c r="K743" s="3"/>
      <c r="M743" s="3"/>
      <c r="N743" s="3"/>
      <c r="O743" s="3"/>
      <c r="P743" s="3"/>
      <c r="Q743" s="3"/>
      <c r="R743" s="3"/>
      <c r="S743" s="3"/>
      <c r="T743" s="3"/>
      <c r="U743" s="3"/>
      <c r="V743" s="3"/>
    </row>
    <row r="744" spans="1:22" x14ac:dyDescent="0.25">
      <c r="A744" s="20">
        <v>42043</v>
      </c>
      <c r="B744" s="21">
        <v>11441</v>
      </c>
      <c r="C744" s="14" t="s">
        <v>120</v>
      </c>
      <c r="D744" s="105">
        <v>1251.3</v>
      </c>
      <c r="E744" s="23">
        <v>42044</v>
      </c>
      <c r="F744" s="106">
        <v>1251.3</v>
      </c>
      <c r="G744" s="31">
        <f t="shared" si="11"/>
        <v>0</v>
      </c>
      <c r="H744" s="39" t="s">
        <v>59</v>
      </c>
      <c r="I744" s="3"/>
      <c r="J744" s="42"/>
      <c r="K744" s="3"/>
      <c r="M744" s="3"/>
      <c r="N744" s="3"/>
      <c r="O744" s="3"/>
      <c r="P744" s="3"/>
      <c r="Q744" s="3"/>
      <c r="R744" s="3"/>
      <c r="S744" s="3"/>
      <c r="T744" s="3"/>
      <c r="U744" s="3"/>
      <c r="V744" s="3"/>
    </row>
    <row r="745" spans="1:22" x14ac:dyDescent="0.25">
      <c r="A745" s="20">
        <v>42043</v>
      </c>
      <c r="B745" s="21">
        <v>11442</v>
      </c>
      <c r="C745" s="14" t="s">
        <v>292</v>
      </c>
      <c r="D745" s="105">
        <v>3156.2</v>
      </c>
      <c r="E745" s="23">
        <v>42044</v>
      </c>
      <c r="F745" s="106">
        <v>3156.2</v>
      </c>
      <c r="G745" s="31">
        <f t="shared" si="11"/>
        <v>0</v>
      </c>
      <c r="H745" s="39" t="s">
        <v>59</v>
      </c>
      <c r="I745" s="3"/>
      <c r="J745" s="42"/>
      <c r="K745" s="3"/>
      <c r="M745" s="3"/>
      <c r="N745" s="3"/>
      <c r="O745" s="3"/>
      <c r="P745" s="3"/>
      <c r="Q745" s="3"/>
      <c r="R745" s="3"/>
      <c r="S745" s="3"/>
      <c r="T745" s="3"/>
      <c r="U745" s="3"/>
      <c r="V745" s="3"/>
    </row>
    <row r="746" spans="1:22" x14ac:dyDescent="0.25">
      <c r="A746" s="20">
        <v>42043</v>
      </c>
      <c r="B746" s="21">
        <v>11443</v>
      </c>
      <c r="C746" s="14" t="s">
        <v>256</v>
      </c>
      <c r="D746" s="105">
        <v>4518.2</v>
      </c>
      <c r="E746" s="23">
        <v>42044</v>
      </c>
      <c r="F746" s="106">
        <v>4518.2</v>
      </c>
      <c r="G746" s="31">
        <f t="shared" si="11"/>
        <v>0</v>
      </c>
      <c r="H746" s="39" t="s">
        <v>36</v>
      </c>
      <c r="I746" s="3"/>
      <c r="J746" s="42"/>
      <c r="K746" s="3"/>
      <c r="M746" s="3"/>
      <c r="N746" s="3"/>
      <c r="O746" s="3"/>
      <c r="P746" s="3"/>
      <c r="Q746" s="3"/>
      <c r="R746" s="3"/>
      <c r="S746" s="3"/>
      <c r="T746" s="3"/>
      <c r="U746" s="3"/>
      <c r="V746" s="3"/>
    </row>
    <row r="747" spans="1:22" x14ac:dyDescent="0.25">
      <c r="A747" s="20">
        <v>42043</v>
      </c>
      <c r="B747" s="21">
        <v>11444</v>
      </c>
      <c r="C747" s="14" t="s">
        <v>31</v>
      </c>
      <c r="D747" s="105">
        <v>4604.6000000000004</v>
      </c>
      <c r="E747" s="23">
        <v>42044</v>
      </c>
      <c r="F747" s="106">
        <v>4604.6000000000004</v>
      </c>
      <c r="G747" s="31">
        <f t="shared" si="11"/>
        <v>0</v>
      </c>
      <c r="H747" s="39" t="s">
        <v>59</v>
      </c>
      <c r="I747" s="3"/>
      <c r="J747" s="42"/>
      <c r="K747" s="3"/>
      <c r="M747" s="3"/>
      <c r="N747" s="3"/>
      <c r="O747" s="3"/>
      <c r="P747" s="3"/>
      <c r="Q747" s="3"/>
      <c r="R747" s="3"/>
      <c r="S747" s="3"/>
      <c r="T747" s="3"/>
      <c r="U747" s="3"/>
      <c r="V747" s="3"/>
    </row>
    <row r="748" spans="1:22" x14ac:dyDescent="0.25">
      <c r="A748" s="20">
        <v>42043</v>
      </c>
      <c r="B748" s="21">
        <v>11445</v>
      </c>
      <c r="C748" s="14" t="s">
        <v>58</v>
      </c>
      <c r="D748" s="105">
        <v>380</v>
      </c>
      <c r="E748" s="23">
        <v>42044</v>
      </c>
      <c r="F748" s="106">
        <v>380</v>
      </c>
      <c r="G748" s="31">
        <f t="shared" si="11"/>
        <v>0</v>
      </c>
      <c r="H748" s="39" t="s">
        <v>59</v>
      </c>
      <c r="I748" s="3"/>
      <c r="J748" s="42"/>
      <c r="K748" s="3"/>
      <c r="M748" s="3"/>
      <c r="N748" s="3"/>
      <c r="O748" s="3"/>
      <c r="P748" s="3"/>
      <c r="Q748" s="3"/>
      <c r="R748" s="3"/>
      <c r="S748" s="3"/>
      <c r="T748" s="3"/>
      <c r="U748" s="3"/>
      <c r="V748" s="3"/>
    </row>
    <row r="749" spans="1:22" x14ac:dyDescent="0.25">
      <c r="A749" s="20">
        <v>42043</v>
      </c>
      <c r="B749" s="21">
        <v>11446</v>
      </c>
      <c r="C749" s="110">
        <v>105</v>
      </c>
      <c r="D749" s="105">
        <v>950</v>
      </c>
      <c r="E749" s="23">
        <v>42044</v>
      </c>
      <c r="F749" s="106">
        <v>950</v>
      </c>
      <c r="G749" s="31">
        <f t="shared" si="11"/>
        <v>0</v>
      </c>
      <c r="H749" s="39" t="s">
        <v>59</v>
      </c>
      <c r="I749" s="3"/>
      <c r="J749" s="42"/>
      <c r="K749" s="3"/>
      <c r="M749" s="3"/>
      <c r="N749" s="3"/>
      <c r="O749" s="3"/>
      <c r="P749" s="3"/>
      <c r="Q749" s="3"/>
      <c r="R749" s="3"/>
      <c r="S749" s="3"/>
      <c r="T749" s="3"/>
      <c r="U749" s="3"/>
      <c r="V749" s="3"/>
    </row>
    <row r="750" spans="1:22" x14ac:dyDescent="0.25">
      <c r="A750" s="20">
        <v>42043</v>
      </c>
      <c r="B750" s="21">
        <v>11447</v>
      </c>
      <c r="C750" s="14" t="s">
        <v>214</v>
      </c>
      <c r="D750" s="105">
        <v>1330</v>
      </c>
      <c r="E750" s="23">
        <v>42044</v>
      </c>
      <c r="F750" s="106">
        <v>1330</v>
      </c>
      <c r="G750" s="31">
        <f t="shared" si="11"/>
        <v>0</v>
      </c>
      <c r="H750" s="39" t="s">
        <v>9</v>
      </c>
      <c r="I750" s="3"/>
      <c r="J750" s="42"/>
      <c r="K750" s="3"/>
      <c r="M750" s="3"/>
      <c r="N750" s="3"/>
      <c r="O750" s="3"/>
      <c r="P750" s="3"/>
      <c r="Q750" s="3"/>
      <c r="R750" s="3"/>
      <c r="S750" s="3"/>
      <c r="T750" s="3"/>
      <c r="U750" s="3"/>
      <c r="V750" s="3"/>
    </row>
    <row r="751" spans="1:22" x14ac:dyDescent="0.25">
      <c r="A751" s="20">
        <v>42043</v>
      </c>
      <c r="B751" s="21">
        <v>11448</v>
      </c>
      <c r="C751" s="14" t="s">
        <v>34</v>
      </c>
      <c r="D751" s="105">
        <v>4652.8</v>
      </c>
      <c r="E751" s="23">
        <v>42043</v>
      </c>
      <c r="F751" s="106">
        <v>4652.8</v>
      </c>
      <c r="G751" s="31">
        <f t="shared" si="11"/>
        <v>0</v>
      </c>
      <c r="H751" s="39" t="s">
        <v>9</v>
      </c>
      <c r="I751" s="3"/>
      <c r="J751" s="42"/>
      <c r="K751" s="3"/>
      <c r="M751" s="3"/>
      <c r="N751" s="3"/>
      <c r="O751" s="3"/>
      <c r="P751" s="3"/>
      <c r="Q751" s="3"/>
      <c r="R751" s="3"/>
      <c r="S751" s="3"/>
      <c r="T751" s="3"/>
      <c r="U751" s="3"/>
      <c r="V751" s="3"/>
    </row>
    <row r="752" spans="1:22" x14ac:dyDescent="0.25">
      <c r="A752" s="20">
        <v>42043</v>
      </c>
      <c r="B752" s="21">
        <v>11449</v>
      </c>
      <c r="C752" s="14" t="s">
        <v>305</v>
      </c>
      <c r="D752" s="105">
        <v>2335.1999999999998</v>
      </c>
      <c r="E752" s="23">
        <v>42043</v>
      </c>
      <c r="F752" s="106">
        <v>2335.1999999999998</v>
      </c>
      <c r="G752" s="31">
        <f t="shared" si="11"/>
        <v>0</v>
      </c>
      <c r="H752" s="39" t="s">
        <v>9</v>
      </c>
      <c r="I752" s="3"/>
      <c r="J752" s="42"/>
      <c r="K752" s="3"/>
      <c r="M752" s="3"/>
      <c r="N752" s="3"/>
      <c r="O752" s="3"/>
      <c r="P752" s="3"/>
      <c r="Q752" s="3"/>
      <c r="R752" s="3"/>
      <c r="S752" s="3"/>
      <c r="T752" s="3"/>
      <c r="U752" s="3"/>
      <c r="V752" s="3"/>
    </row>
    <row r="753" spans="1:22" x14ac:dyDescent="0.25">
      <c r="A753" s="20">
        <v>42043</v>
      </c>
      <c r="B753" s="21">
        <v>11450</v>
      </c>
      <c r="C753" s="14" t="s">
        <v>168</v>
      </c>
      <c r="D753" s="105">
        <v>10640.6</v>
      </c>
      <c r="E753" s="23">
        <v>42044</v>
      </c>
      <c r="F753" s="106">
        <v>10640.6</v>
      </c>
      <c r="G753" s="31">
        <f t="shared" si="11"/>
        <v>0</v>
      </c>
      <c r="H753" s="39" t="s">
        <v>59</v>
      </c>
      <c r="I753" s="3"/>
      <c r="J753" s="42"/>
      <c r="K753" s="3"/>
      <c r="M753" s="3"/>
      <c r="N753" s="3"/>
      <c r="O753" s="3"/>
      <c r="P753" s="3"/>
      <c r="Q753" s="3"/>
      <c r="R753" s="3"/>
      <c r="S753" s="3"/>
      <c r="T753" s="3"/>
      <c r="U753" s="3"/>
      <c r="V753" s="3"/>
    </row>
    <row r="754" spans="1:22" x14ac:dyDescent="0.25">
      <c r="A754" s="20">
        <v>42043</v>
      </c>
      <c r="B754" s="21">
        <v>11451</v>
      </c>
      <c r="C754" s="14" t="s">
        <v>215</v>
      </c>
      <c r="D754" s="105">
        <v>23597.599999999999</v>
      </c>
      <c r="E754" s="23">
        <v>42043</v>
      </c>
      <c r="F754" s="106">
        <v>23597.599999999999</v>
      </c>
      <c r="G754" s="31">
        <f t="shared" si="11"/>
        <v>0</v>
      </c>
      <c r="H754" s="39" t="s">
        <v>62</v>
      </c>
      <c r="I754" s="3"/>
      <c r="J754" s="42"/>
      <c r="K754" s="3"/>
      <c r="M754" s="3"/>
      <c r="N754" s="3"/>
      <c r="O754" s="3"/>
      <c r="P754" s="3"/>
      <c r="Q754" s="3"/>
      <c r="R754" s="3"/>
      <c r="S754" s="3"/>
      <c r="T754" s="3"/>
      <c r="U754" s="3"/>
      <c r="V754" s="3"/>
    </row>
    <row r="755" spans="1:22" x14ac:dyDescent="0.25">
      <c r="A755" s="20">
        <v>42043</v>
      </c>
      <c r="B755" s="21">
        <v>11452</v>
      </c>
      <c r="C755" s="14" t="s">
        <v>66</v>
      </c>
      <c r="D755" s="105">
        <v>2138.9</v>
      </c>
      <c r="E755" s="23">
        <v>42043</v>
      </c>
      <c r="F755" s="106">
        <v>2138.9</v>
      </c>
      <c r="G755" s="31">
        <f t="shared" si="11"/>
        <v>0</v>
      </c>
      <c r="H755" s="39" t="s">
        <v>9</v>
      </c>
      <c r="I755" s="3"/>
      <c r="J755" s="42"/>
      <c r="K755" s="3"/>
      <c r="M755" s="3"/>
      <c r="N755" s="3"/>
      <c r="O755" s="3"/>
      <c r="P755" s="3"/>
      <c r="Q755" s="3"/>
      <c r="R755" s="3"/>
      <c r="S755" s="3"/>
      <c r="T755" s="3"/>
      <c r="U755" s="3"/>
      <c r="V755" s="3"/>
    </row>
    <row r="756" spans="1:22" x14ac:dyDescent="0.25">
      <c r="A756" s="20">
        <v>42043</v>
      </c>
      <c r="B756" s="21">
        <v>11453</v>
      </c>
      <c r="C756" s="14" t="s">
        <v>229</v>
      </c>
      <c r="D756" s="105">
        <v>4534.8</v>
      </c>
      <c r="E756" s="23">
        <v>42043</v>
      </c>
      <c r="F756" s="106">
        <v>4534.8</v>
      </c>
      <c r="G756" s="31">
        <f t="shared" si="11"/>
        <v>0</v>
      </c>
      <c r="H756" s="39" t="s">
        <v>9</v>
      </c>
      <c r="I756" s="3"/>
      <c r="J756" s="42"/>
      <c r="K756" s="3"/>
      <c r="M756" s="3"/>
      <c r="N756" s="3"/>
      <c r="O756" s="3"/>
      <c r="P756" s="3"/>
      <c r="Q756" s="3"/>
      <c r="R756" s="3"/>
      <c r="S756" s="3"/>
      <c r="T756" s="3"/>
      <c r="U756" s="3"/>
      <c r="V756" s="3"/>
    </row>
    <row r="757" spans="1:22" x14ac:dyDescent="0.25">
      <c r="A757" s="20">
        <v>42043</v>
      </c>
      <c r="B757" s="21">
        <v>11454</v>
      </c>
      <c r="C757" s="14" t="s">
        <v>112</v>
      </c>
      <c r="D757" s="105">
        <v>4706.3999999999996</v>
      </c>
      <c r="E757" s="23">
        <v>42043</v>
      </c>
      <c r="F757" s="106">
        <v>4706.3999999999996</v>
      </c>
      <c r="G757" s="31">
        <f t="shared" si="11"/>
        <v>0</v>
      </c>
      <c r="H757" s="39" t="s">
        <v>9</v>
      </c>
      <c r="I757" s="3"/>
      <c r="J757" s="42"/>
      <c r="K757" s="3"/>
      <c r="M757" s="3"/>
      <c r="N757" s="3"/>
      <c r="O757" s="3"/>
      <c r="P757" s="3"/>
      <c r="Q757" s="3"/>
      <c r="R757" s="3"/>
      <c r="S757" s="3"/>
      <c r="T757" s="3"/>
      <c r="U757" s="3"/>
      <c r="V757" s="3"/>
    </row>
    <row r="758" spans="1:22" x14ac:dyDescent="0.25">
      <c r="A758" s="20">
        <v>42043</v>
      </c>
      <c r="B758" s="21">
        <v>11455</v>
      </c>
      <c r="C758" s="14" t="s">
        <v>229</v>
      </c>
      <c r="D758" s="105">
        <v>3700.8</v>
      </c>
      <c r="E758" s="23">
        <v>42043</v>
      </c>
      <c r="F758" s="106">
        <v>3700.8</v>
      </c>
      <c r="G758" s="31">
        <f t="shared" si="11"/>
        <v>0</v>
      </c>
      <c r="H758" s="39" t="s">
        <v>9</v>
      </c>
      <c r="I758" s="3"/>
      <c r="J758" s="42"/>
      <c r="K758" s="3"/>
      <c r="M758" s="3"/>
      <c r="N758" s="3"/>
      <c r="O758" s="3"/>
      <c r="P758" s="3"/>
      <c r="Q758" s="3"/>
      <c r="R758" s="3"/>
      <c r="S758" s="3"/>
      <c r="T758" s="3"/>
      <c r="U758" s="3"/>
      <c r="V758" s="3"/>
    </row>
    <row r="759" spans="1:22" x14ac:dyDescent="0.25">
      <c r="A759" s="20">
        <v>42043</v>
      </c>
      <c r="B759" s="21">
        <v>11456</v>
      </c>
      <c r="C759" s="14" t="s">
        <v>125</v>
      </c>
      <c r="D759" s="105">
        <v>10104.799999999999</v>
      </c>
      <c r="E759" s="23">
        <v>42043</v>
      </c>
      <c r="F759" s="106">
        <v>10104.799999999999</v>
      </c>
      <c r="G759" s="31">
        <f t="shared" si="11"/>
        <v>0</v>
      </c>
      <c r="H759" s="39" t="s">
        <v>62</v>
      </c>
      <c r="I759" s="3"/>
      <c r="J759" s="42"/>
      <c r="K759" s="3"/>
      <c r="M759" s="3"/>
      <c r="N759" s="3"/>
      <c r="O759" s="3"/>
      <c r="P759" s="3"/>
      <c r="Q759" s="3"/>
      <c r="R759" s="3"/>
      <c r="S759" s="3"/>
      <c r="T759" s="3"/>
      <c r="U759" s="3"/>
      <c r="V759" s="3"/>
    </row>
    <row r="760" spans="1:22" x14ac:dyDescent="0.25">
      <c r="A760" s="20">
        <v>42043</v>
      </c>
      <c r="B760" s="21">
        <v>11457</v>
      </c>
      <c r="C760" s="14" t="s">
        <v>165</v>
      </c>
      <c r="D760" s="105">
        <v>4495.3999999999996</v>
      </c>
      <c r="E760" s="23">
        <v>42044</v>
      </c>
      <c r="F760" s="106">
        <v>4495.3999999999996</v>
      </c>
      <c r="G760" s="31">
        <f t="shared" si="11"/>
        <v>0</v>
      </c>
      <c r="H760" s="19" t="s">
        <v>17</v>
      </c>
      <c r="I760" s="3"/>
      <c r="J760" s="42"/>
      <c r="K760" s="3"/>
      <c r="M760" s="3"/>
      <c r="N760" s="3"/>
      <c r="O760" s="3"/>
      <c r="P760" s="3"/>
      <c r="Q760" s="3"/>
      <c r="R760" s="3"/>
      <c r="S760" s="3"/>
      <c r="T760" s="3"/>
      <c r="U760" s="3"/>
      <c r="V760" s="3"/>
    </row>
    <row r="761" spans="1:22" x14ac:dyDescent="0.25">
      <c r="A761" s="20">
        <v>42043</v>
      </c>
      <c r="B761" s="21">
        <v>11458</v>
      </c>
      <c r="C761" s="14" t="s">
        <v>130</v>
      </c>
      <c r="D761" s="105">
        <v>16695.099999999999</v>
      </c>
      <c r="E761" s="23">
        <v>42045</v>
      </c>
      <c r="F761" s="106">
        <v>16695.099999999999</v>
      </c>
      <c r="G761" s="31">
        <f t="shared" si="11"/>
        <v>0</v>
      </c>
      <c r="H761" s="19" t="s">
        <v>17</v>
      </c>
      <c r="I761" s="3"/>
      <c r="J761" s="42"/>
      <c r="K761" s="3"/>
      <c r="M761" s="3"/>
      <c r="N761" s="3"/>
      <c r="O761" s="3"/>
      <c r="P761" s="3"/>
      <c r="Q761" s="3"/>
      <c r="R761" s="3"/>
      <c r="S761" s="3"/>
      <c r="T761" s="3"/>
      <c r="U761" s="3"/>
      <c r="V761" s="3"/>
    </row>
    <row r="762" spans="1:22" x14ac:dyDescent="0.25">
      <c r="A762" s="20">
        <v>42043</v>
      </c>
      <c r="B762" s="21">
        <v>11459</v>
      </c>
      <c r="C762" s="14" t="s">
        <v>131</v>
      </c>
      <c r="D762" s="105">
        <v>20625.400000000001</v>
      </c>
      <c r="E762" s="23">
        <v>42044</v>
      </c>
      <c r="F762" s="106">
        <v>20625.400000000001</v>
      </c>
      <c r="G762" s="31">
        <f t="shared" si="11"/>
        <v>0</v>
      </c>
      <c r="H762" s="19" t="s">
        <v>17</v>
      </c>
      <c r="I762" s="3"/>
      <c r="J762" s="42"/>
      <c r="K762" s="3"/>
      <c r="M762" s="3"/>
      <c r="N762" s="3"/>
      <c r="O762" s="3"/>
      <c r="P762" s="3"/>
      <c r="Q762" s="3"/>
      <c r="R762" s="3"/>
      <c r="S762" s="3"/>
      <c r="T762" s="3"/>
      <c r="U762" s="3"/>
      <c r="V762" s="3"/>
    </row>
    <row r="763" spans="1:22" x14ac:dyDescent="0.25">
      <c r="A763" s="20">
        <v>42043</v>
      </c>
      <c r="B763" s="21">
        <v>11460</v>
      </c>
      <c r="C763" s="14" t="s">
        <v>137</v>
      </c>
      <c r="D763" s="105">
        <v>264</v>
      </c>
      <c r="E763" s="23">
        <v>42043</v>
      </c>
      <c r="F763" s="106">
        <v>264</v>
      </c>
      <c r="G763" s="31">
        <f t="shared" si="11"/>
        <v>0</v>
      </c>
      <c r="H763" s="19" t="s">
        <v>9</v>
      </c>
      <c r="I763" s="3"/>
      <c r="J763" s="42"/>
      <c r="K763" s="3"/>
      <c r="M763" s="3"/>
      <c r="N763" s="3"/>
      <c r="O763" s="3"/>
      <c r="P763" s="3"/>
      <c r="Q763" s="3"/>
      <c r="R763" s="3"/>
      <c r="S763" s="3"/>
      <c r="T763" s="3"/>
      <c r="U763" s="3"/>
      <c r="V763" s="3"/>
    </row>
    <row r="764" spans="1:22" x14ac:dyDescent="0.25">
      <c r="A764" s="20">
        <v>42043</v>
      </c>
      <c r="B764" s="21">
        <v>11461</v>
      </c>
      <c r="C764" s="14" t="s">
        <v>21</v>
      </c>
      <c r="D764" s="105">
        <v>5362</v>
      </c>
      <c r="E764" s="23">
        <v>42043</v>
      </c>
      <c r="F764" s="106">
        <v>5362</v>
      </c>
      <c r="G764" s="31">
        <f t="shared" si="11"/>
        <v>0</v>
      </c>
      <c r="H764" s="19" t="s">
        <v>9</v>
      </c>
      <c r="I764" s="3"/>
      <c r="J764" s="42"/>
      <c r="K764" s="3"/>
      <c r="M764" s="3"/>
      <c r="N764" s="3"/>
      <c r="O764" s="3"/>
      <c r="P764" s="3"/>
      <c r="Q764" s="3"/>
      <c r="R764" s="3"/>
      <c r="S764" s="3"/>
      <c r="T764" s="3"/>
      <c r="U764" s="3"/>
      <c r="V764" s="3"/>
    </row>
    <row r="765" spans="1:22" x14ac:dyDescent="0.25">
      <c r="A765" s="20">
        <v>42043</v>
      </c>
      <c r="B765" s="21">
        <v>11462</v>
      </c>
      <c r="C765" s="14" t="s">
        <v>239</v>
      </c>
      <c r="D765" s="105">
        <v>628</v>
      </c>
      <c r="E765" s="23">
        <v>42043</v>
      </c>
      <c r="F765" s="106">
        <v>628</v>
      </c>
      <c r="G765" s="31">
        <f t="shared" si="11"/>
        <v>0</v>
      </c>
      <c r="H765" s="19" t="s">
        <v>9</v>
      </c>
      <c r="I765" s="3"/>
      <c r="J765" s="42"/>
      <c r="K765" s="3"/>
      <c r="M765" s="3"/>
      <c r="N765" s="3"/>
      <c r="O765" s="3"/>
      <c r="P765" s="3"/>
      <c r="Q765" s="3"/>
      <c r="R765" s="3"/>
      <c r="S765" s="3"/>
      <c r="T765" s="3"/>
      <c r="U765" s="3"/>
      <c r="V765" s="3"/>
    </row>
    <row r="766" spans="1:22" x14ac:dyDescent="0.25">
      <c r="A766" s="20">
        <v>42043</v>
      </c>
      <c r="B766" s="21">
        <v>11463</v>
      </c>
      <c r="C766" s="14" t="s">
        <v>30</v>
      </c>
      <c r="D766" s="105">
        <v>3989.5</v>
      </c>
      <c r="E766" s="23">
        <v>42043</v>
      </c>
      <c r="F766" s="106">
        <v>3989.5</v>
      </c>
      <c r="G766" s="31">
        <f t="shared" si="11"/>
        <v>0</v>
      </c>
      <c r="H766" s="19" t="s">
        <v>9</v>
      </c>
      <c r="I766" s="3"/>
      <c r="J766" s="42"/>
      <c r="K766" s="3"/>
      <c r="M766" s="3"/>
      <c r="N766" s="3"/>
      <c r="O766" s="3"/>
      <c r="P766" s="3"/>
      <c r="Q766" s="3"/>
      <c r="R766" s="3"/>
      <c r="S766" s="3"/>
      <c r="T766" s="3"/>
      <c r="U766" s="3"/>
      <c r="V766" s="3"/>
    </row>
    <row r="767" spans="1:22" x14ac:dyDescent="0.25">
      <c r="A767" s="20">
        <v>42043</v>
      </c>
      <c r="B767" s="21">
        <v>11464</v>
      </c>
      <c r="C767" s="14" t="s">
        <v>89</v>
      </c>
      <c r="D767" s="105">
        <v>3199.4</v>
      </c>
      <c r="E767" s="23">
        <v>42043</v>
      </c>
      <c r="F767" s="106">
        <v>3199.4</v>
      </c>
      <c r="G767" s="31">
        <f t="shared" si="11"/>
        <v>0</v>
      </c>
      <c r="H767" s="19" t="s">
        <v>9</v>
      </c>
      <c r="I767" s="3"/>
      <c r="J767" s="42"/>
      <c r="K767" s="3"/>
      <c r="M767" s="3"/>
      <c r="N767" s="3"/>
      <c r="O767" s="3"/>
      <c r="P767" s="3"/>
      <c r="Q767" s="3"/>
      <c r="R767" s="3"/>
      <c r="S767" s="3"/>
      <c r="T767" s="3"/>
      <c r="U767" s="3"/>
      <c r="V767" s="3"/>
    </row>
    <row r="768" spans="1:22" x14ac:dyDescent="0.25">
      <c r="A768" s="20">
        <v>42043</v>
      </c>
      <c r="B768" s="21">
        <v>11465</v>
      </c>
      <c r="C768" s="14" t="s">
        <v>191</v>
      </c>
      <c r="D768" s="105">
        <v>12372.5</v>
      </c>
      <c r="E768" s="23">
        <v>42043</v>
      </c>
      <c r="F768" s="106">
        <v>12372.5</v>
      </c>
      <c r="G768" s="31">
        <f t="shared" si="11"/>
        <v>0</v>
      </c>
      <c r="H768" s="19" t="s">
        <v>9</v>
      </c>
      <c r="I768" s="3"/>
      <c r="J768" s="42"/>
      <c r="K768" s="3"/>
      <c r="M768" s="3"/>
      <c r="N768" s="3"/>
      <c r="O768" s="3"/>
      <c r="P768" s="3"/>
      <c r="Q768" s="3"/>
      <c r="R768" s="3"/>
      <c r="S768" s="3"/>
      <c r="T768" s="3"/>
      <c r="U768" s="3"/>
      <c r="V768" s="3"/>
    </row>
    <row r="769" spans="1:22" x14ac:dyDescent="0.25">
      <c r="A769" s="20">
        <v>42043</v>
      </c>
      <c r="B769" s="21">
        <v>11466</v>
      </c>
      <c r="C769" s="14" t="s">
        <v>110</v>
      </c>
      <c r="D769" s="105">
        <v>10189</v>
      </c>
      <c r="E769" s="23">
        <v>42051</v>
      </c>
      <c r="F769" s="106">
        <v>10189</v>
      </c>
      <c r="G769" s="31">
        <f t="shared" si="11"/>
        <v>0</v>
      </c>
      <c r="H769" s="19" t="s">
        <v>187</v>
      </c>
      <c r="I769" s="3"/>
      <c r="J769" s="42"/>
      <c r="K769" s="3"/>
      <c r="M769" s="3"/>
      <c r="N769" s="3"/>
      <c r="O769" s="3"/>
      <c r="P769" s="3"/>
      <c r="Q769" s="3"/>
      <c r="R769" s="3"/>
      <c r="S769" s="3"/>
      <c r="T769" s="3"/>
      <c r="U769" s="3"/>
      <c r="V769" s="3"/>
    </row>
    <row r="770" spans="1:22" x14ac:dyDescent="0.25">
      <c r="A770" s="20">
        <v>42043</v>
      </c>
      <c r="B770" s="21">
        <v>11467</v>
      </c>
      <c r="C770" s="14" t="s">
        <v>141</v>
      </c>
      <c r="D770" s="105">
        <v>5322.99</v>
      </c>
      <c r="E770" s="23">
        <v>42043</v>
      </c>
      <c r="F770" s="106">
        <v>5322.99</v>
      </c>
      <c r="G770" s="31">
        <f t="shared" si="11"/>
        <v>0</v>
      </c>
      <c r="H770" s="19" t="s">
        <v>187</v>
      </c>
      <c r="K770" s="3"/>
      <c r="M770" s="3"/>
      <c r="N770" s="3"/>
      <c r="O770" s="3"/>
      <c r="P770" s="3"/>
      <c r="Q770" s="3"/>
      <c r="R770" s="3"/>
      <c r="S770" s="3"/>
      <c r="T770" s="3"/>
      <c r="U770" s="3"/>
      <c r="V770" s="3"/>
    </row>
    <row r="771" spans="1:22" x14ac:dyDescent="0.25">
      <c r="A771" s="20">
        <v>42043</v>
      </c>
      <c r="B771" s="21">
        <v>11468</v>
      </c>
      <c r="C771" s="14" t="s">
        <v>136</v>
      </c>
      <c r="D771" s="105">
        <v>38854.400000000001</v>
      </c>
      <c r="E771" s="29" t="s">
        <v>606</v>
      </c>
      <c r="F771" s="106">
        <f>28400+10454.4</f>
        <v>38854.400000000001</v>
      </c>
      <c r="G771" s="31">
        <f t="shared" ref="G771:G834" si="12">D771-F771</f>
        <v>0</v>
      </c>
      <c r="H771" s="19" t="s">
        <v>9</v>
      </c>
      <c r="K771" s="3"/>
      <c r="M771" s="3"/>
      <c r="N771" s="3"/>
      <c r="O771" s="3"/>
      <c r="P771" s="3"/>
      <c r="Q771" s="3"/>
      <c r="R771" s="3"/>
      <c r="S771" s="3"/>
      <c r="T771" s="3"/>
      <c r="U771" s="3"/>
      <c r="V771" s="3"/>
    </row>
    <row r="772" spans="1:22" x14ac:dyDescent="0.25">
      <c r="A772" s="20">
        <v>42043</v>
      </c>
      <c r="B772" s="21">
        <v>11469</v>
      </c>
      <c r="C772" s="14" t="s">
        <v>87</v>
      </c>
      <c r="D772" s="105">
        <v>1210</v>
      </c>
      <c r="E772" s="29" t="s">
        <v>607</v>
      </c>
      <c r="F772" s="106">
        <v>1210</v>
      </c>
      <c r="G772" s="31">
        <f t="shared" si="12"/>
        <v>0</v>
      </c>
      <c r="H772" s="19" t="s">
        <v>9</v>
      </c>
      <c r="K772" s="3"/>
      <c r="M772" s="3"/>
      <c r="N772" s="3"/>
      <c r="O772" s="3"/>
      <c r="P772" s="3"/>
      <c r="Q772" s="3"/>
      <c r="R772" s="3"/>
      <c r="S772" s="3"/>
      <c r="T772" s="3"/>
      <c r="U772" s="3"/>
      <c r="V772" s="3"/>
    </row>
    <row r="773" spans="1:22" x14ac:dyDescent="0.25">
      <c r="A773" s="20">
        <v>42043</v>
      </c>
      <c r="B773" s="21">
        <v>11470</v>
      </c>
      <c r="C773" s="14" t="s">
        <v>159</v>
      </c>
      <c r="D773" s="105">
        <v>5607</v>
      </c>
      <c r="E773" s="23">
        <v>42043</v>
      </c>
      <c r="F773" s="106">
        <v>5607</v>
      </c>
      <c r="G773" s="31">
        <f t="shared" si="12"/>
        <v>0</v>
      </c>
      <c r="H773" s="19" t="s">
        <v>9</v>
      </c>
      <c r="K773" s="3"/>
      <c r="M773" s="3"/>
      <c r="N773" s="3"/>
      <c r="O773" s="3"/>
      <c r="P773" s="3"/>
      <c r="Q773" s="3"/>
      <c r="R773" s="3"/>
      <c r="S773" s="3"/>
      <c r="T773" s="3"/>
      <c r="U773" s="3"/>
      <c r="V773" s="3"/>
    </row>
    <row r="774" spans="1:22" x14ac:dyDescent="0.25">
      <c r="A774" s="20">
        <v>42043</v>
      </c>
      <c r="B774" s="21">
        <v>11471</v>
      </c>
      <c r="C774" s="14" t="s">
        <v>440</v>
      </c>
      <c r="D774" s="105">
        <v>12588</v>
      </c>
      <c r="E774" s="23">
        <v>42043</v>
      </c>
      <c r="F774" s="106">
        <v>12588</v>
      </c>
      <c r="G774" s="31">
        <f t="shared" si="12"/>
        <v>0</v>
      </c>
      <c r="H774" s="19" t="s">
        <v>9</v>
      </c>
      <c r="K774" s="3"/>
      <c r="M774" s="3"/>
      <c r="N774" s="3"/>
      <c r="O774" s="3"/>
      <c r="P774" s="3"/>
      <c r="Q774" s="3"/>
      <c r="R774" s="3"/>
      <c r="S774" s="3"/>
      <c r="T774" s="3"/>
      <c r="U774" s="3"/>
      <c r="V774" s="3"/>
    </row>
    <row r="775" spans="1:22" x14ac:dyDescent="0.25">
      <c r="A775" s="20">
        <v>42043</v>
      </c>
      <c r="B775" s="21">
        <v>11472</v>
      </c>
      <c r="C775" s="14" t="s">
        <v>122</v>
      </c>
      <c r="D775" s="105">
        <v>16167.6</v>
      </c>
      <c r="E775" s="23">
        <v>42043</v>
      </c>
      <c r="F775" s="106">
        <v>16167.6</v>
      </c>
      <c r="G775" s="31">
        <f t="shared" si="12"/>
        <v>0</v>
      </c>
      <c r="H775" s="19" t="s">
        <v>9</v>
      </c>
      <c r="K775" s="3"/>
      <c r="M775" s="3"/>
      <c r="N775" s="3"/>
      <c r="O775" s="3"/>
      <c r="P775" s="3"/>
      <c r="Q775" s="3"/>
      <c r="R775" s="3"/>
      <c r="S775" s="3"/>
      <c r="T775" s="3"/>
      <c r="U775" s="3"/>
      <c r="V775" s="3"/>
    </row>
    <row r="776" spans="1:22" x14ac:dyDescent="0.25">
      <c r="A776" s="20">
        <v>42043</v>
      </c>
      <c r="B776" s="21">
        <v>11473</v>
      </c>
      <c r="C776" s="14" t="s">
        <v>42</v>
      </c>
      <c r="D776" s="105">
        <v>371</v>
      </c>
      <c r="E776" s="23">
        <v>42043</v>
      </c>
      <c r="F776" s="106">
        <v>371</v>
      </c>
      <c r="G776" s="31">
        <f t="shared" si="12"/>
        <v>0</v>
      </c>
      <c r="H776" s="19" t="s">
        <v>9</v>
      </c>
      <c r="K776" s="3"/>
      <c r="M776" s="3"/>
      <c r="N776" s="3"/>
      <c r="O776" s="3"/>
      <c r="P776" s="3"/>
      <c r="Q776" s="3"/>
      <c r="R776" s="3"/>
      <c r="S776" s="3"/>
      <c r="T776" s="3"/>
      <c r="U776" s="3"/>
      <c r="V776" s="3"/>
    </row>
    <row r="777" spans="1:22" x14ac:dyDescent="0.25">
      <c r="A777" s="20">
        <v>42043</v>
      </c>
      <c r="B777" s="21">
        <v>11474</v>
      </c>
      <c r="C777" s="14" t="s">
        <v>143</v>
      </c>
      <c r="D777" s="105">
        <v>3661</v>
      </c>
      <c r="E777" s="23">
        <v>42044</v>
      </c>
      <c r="F777" s="106">
        <v>3661</v>
      </c>
      <c r="G777" s="31">
        <f t="shared" si="12"/>
        <v>0</v>
      </c>
      <c r="H777" s="19" t="s">
        <v>17</v>
      </c>
      <c r="K777" s="3"/>
      <c r="M777" s="3"/>
      <c r="N777" s="3"/>
      <c r="O777" s="3"/>
      <c r="P777" s="3"/>
      <c r="Q777" s="3"/>
      <c r="R777" s="3"/>
      <c r="S777" s="3"/>
      <c r="T777" s="3"/>
      <c r="U777" s="3"/>
      <c r="V777" s="3"/>
    </row>
    <row r="778" spans="1:22" x14ac:dyDescent="0.25">
      <c r="A778" s="20">
        <v>42043</v>
      </c>
      <c r="B778" s="21">
        <v>11475</v>
      </c>
      <c r="C778" s="14" t="s">
        <v>24</v>
      </c>
      <c r="D778" s="105">
        <v>69010.78</v>
      </c>
      <c r="E778" s="23">
        <v>42063</v>
      </c>
      <c r="F778" s="106">
        <v>69010.78</v>
      </c>
      <c r="G778" s="31">
        <f t="shared" si="12"/>
        <v>0</v>
      </c>
      <c r="H778" s="19" t="s">
        <v>62</v>
      </c>
      <c r="J778" s="107"/>
      <c r="K778" s="3"/>
      <c r="M778" s="3"/>
      <c r="N778" s="3"/>
      <c r="O778" s="3"/>
      <c r="P778" s="3"/>
      <c r="Q778" s="3"/>
      <c r="R778" s="3"/>
      <c r="S778" s="3"/>
      <c r="T778" s="3"/>
      <c r="U778" s="3"/>
      <c r="V778" s="3"/>
    </row>
    <row r="779" spans="1:22" x14ac:dyDescent="0.25">
      <c r="A779" s="20">
        <v>42043</v>
      </c>
      <c r="B779" s="21">
        <v>11476</v>
      </c>
      <c r="C779" s="14" t="s">
        <v>105</v>
      </c>
      <c r="D779" s="105">
        <v>777.2</v>
      </c>
      <c r="E779" s="23">
        <v>42044</v>
      </c>
      <c r="F779" s="106">
        <v>777.2</v>
      </c>
      <c r="G779" s="31">
        <f t="shared" si="12"/>
        <v>0</v>
      </c>
      <c r="H779" s="19" t="s">
        <v>9</v>
      </c>
      <c r="K779" s="3"/>
      <c r="M779" s="3"/>
      <c r="N779" s="3"/>
      <c r="O779" s="3"/>
      <c r="P779" s="3"/>
      <c r="Q779" s="3"/>
      <c r="R779" s="3"/>
      <c r="S779" s="3"/>
      <c r="T779" s="3"/>
      <c r="U779" s="3"/>
      <c r="V779" s="3"/>
    </row>
    <row r="780" spans="1:22" x14ac:dyDescent="0.25">
      <c r="A780" s="20">
        <v>42044</v>
      </c>
      <c r="B780" s="21">
        <v>11477</v>
      </c>
      <c r="C780" s="14" t="s">
        <v>18</v>
      </c>
      <c r="D780" s="105">
        <v>47798.400000000001</v>
      </c>
      <c r="E780" s="23">
        <v>42052</v>
      </c>
      <c r="F780" s="106">
        <v>47798.400000000001</v>
      </c>
      <c r="G780" s="31">
        <f t="shared" si="12"/>
        <v>0</v>
      </c>
      <c r="H780" s="19" t="s">
        <v>9</v>
      </c>
      <c r="K780" s="3"/>
      <c r="M780" s="3"/>
      <c r="N780" s="3"/>
      <c r="O780" s="3"/>
      <c r="P780" s="3"/>
      <c r="Q780" s="3"/>
      <c r="R780" s="3"/>
      <c r="S780" s="3"/>
      <c r="T780" s="3"/>
      <c r="U780" s="3"/>
      <c r="V780" s="3"/>
    </row>
    <row r="781" spans="1:22" x14ac:dyDescent="0.25">
      <c r="A781" s="20">
        <v>42044</v>
      </c>
      <c r="B781" s="21">
        <v>11478</v>
      </c>
      <c r="C781" s="14" t="s">
        <v>11</v>
      </c>
      <c r="D781" s="105">
        <v>6453.4</v>
      </c>
      <c r="E781" s="23">
        <v>42044</v>
      </c>
      <c r="F781" s="106">
        <v>6453.4</v>
      </c>
      <c r="G781" s="31">
        <f t="shared" si="12"/>
        <v>0</v>
      </c>
      <c r="H781" s="19" t="s">
        <v>9</v>
      </c>
      <c r="K781" s="3"/>
      <c r="M781" s="3"/>
      <c r="N781" s="3"/>
      <c r="O781" s="3"/>
      <c r="P781" s="3"/>
      <c r="Q781" s="3"/>
      <c r="R781" s="3"/>
      <c r="S781" s="3"/>
      <c r="T781" s="3"/>
      <c r="U781" s="3"/>
      <c r="V781" s="3"/>
    </row>
    <row r="782" spans="1:22" x14ac:dyDescent="0.25">
      <c r="A782" s="20">
        <v>42044</v>
      </c>
      <c r="B782" s="21">
        <v>11479</v>
      </c>
      <c r="C782" s="14" t="s">
        <v>91</v>
      </c>
      <c r="D782" s="105">
        <v>24707.8</v>
      </c>
      <c r="E782" s="23">
        <v>42044</v>
      </c>
      <c r="F782" s="106">
        <v>24707.8</v>
      </c>
      <c r="G782" s="31">
        <f t="shared" si="12"/>
        <v>0</v>
      </c>
      <c r="H782" s="19" t="s">
        <v>19</v>
      </c>
      <c r="K782" s="3"/>
      <c r="M782" s="3"/>
      <c r="N782" s="3"/>
      <c r="O782" s="3"/>
      <c r="P782" s="3"/>
      <c r="Q782" s="3"/>
      <c r="R782" s="3"/>
      <c r="S782" s="3"/>
      <c r="T782" s="3"/>
      <c r="U782" s="3"/>
      <c r="V782" s="3"/>
    </row>
    <row r="783" spans="1:22" x14ac:dyDescent="0.25">
      <c r="A783" s="20">
        <v>42044</v>
      </c>
      <c r="B783" s="21">
        <v>11480</v>
      </c>
      <c r="C783" s="14" t="s">
        <v>158</v>
      </c>
      <c r="D783" s="105">
        <v>3892</v>
      </c>
      <c r="E783" s="23">
        <v>42044</v>
      </c>
      <c r="F783" s="106">
        <v>3892</v>
      </c>
      <c r="G783" s="31">
        <f t="shared" si="12"/>
        <v>0</v>
      </c>
      <c r="H783" s="19" t="s">
        <v>9</v>
      </c>
      <c r="K783" s="3"/>
      <c r="M783" s="3"/>
      <c r="N783" s="3"/>
      <c r="O783" s="3"/>
      <c r="P783" s="3"/>
      <c r="Q783" s="3"/>
      <c r="R783" s="3"/>
      <c r="S783" s="3"/>
      <c r="T783" s="3"/>
      <c r="U783" s="3"/>
      <c r="V783" s="3"/>
    </row>
    <row r="784" spans="1:22" x14ac:dyDescent="0.25">
      <c r="A784" s="20">
        <v>42044</v>
      </c>
      <c r="B784" s="21">
        <v>11481</v>
      </c>
      <c r="C784" s="14" t="s">
        <v>16</v>
      </c>
      <c r="D784" s="105">
        <v>9093</v>
      </c>
      <c r="E784" s="23">
        <v>42044</v>
      </c>
      <c r="F784" s="106">
        <v>9093</v>
      </c>
      <c r="G784" s="31">
        <f t="shared" si="12"/>
        <v>0</v>
      </c>
      <c r="H784" s="19" t="s">
        <v>19</v>
      </c>
      <c r="K784" s="3"/>
      <c r="M784" s="3"/>
      <c r="N784" s="3"/>
      <c r="O784" s="3"/>
      <c r="P784" s="3"/>
      <c r="Q784" s="3"/>
      <c r="R784" s="3"/>
      <c r="S784" s="3"/>
      <c r="T784" s="3"/>
      <c r="U784" s="3"/>
      <c r="V784" s="3"/>
    </row>
    <row r="785" spans="1:22" x14ac:dyDescent="0.25">
      <c r="A785" s="20">
        <v>42044</v>
      </c>
      <c r="B785" s="21">
        <v>11482</v>
      </c>
      <c r="C785" s="14" t="s">
        <v>16</v>
      </c>
      <c r="D785" s="105">
        <v>180</v>
      </c>
      <c r="E785" s="23">
        <v>42044</v>
      </c>
      <c r="F785" s="106">
        <v>180</v>
      </c>
      <c r="G785" s="31">
        <f t="shared" si="12"/>
        <v>0</v>
      </c>
      <c r="H785" s="19" t="s">
        <v>19</v>
      </c>
      <c r="K785" s="3"/>
      <c r="M785" s="3"/>
      <c r="N785" s="3"/>
      <c r="O785" s="3"/>
      <c r="P785" s="3"/>
      <c r="Q785" s="3"/>
      <c r="R785" s="3"/>
      <c r="S785" s="3"/>
      <c r="T785" s="3"/>
      <c r="U785" s="3"/>
      <c r="V785" s="3"/>
    </row>
    <row r="786" spans="1:22" x14ac:dyDescent="0.25">
      <c r="A786" s="20">
        <v>42044</v>
      </c>
      <c r="B786" s="21">
        <v>11483</v>
      </c>
      <c r="C786" s="14" t="s">
        <v>105</v>
      </c>
      <c r="D786" s="105">
        <v>6561.1</v>
      </c>
      <c r="E786" s="23">
        <v>42044</v>
      </c>
      <c r="F786" s="106">
        <v>6561.1</v>
      </c>
      <c r="G786" s="31">
        <f t="shared" si="12"/>
        <v>0</v>
      </c>
      <c r="H786" s="19" t="s">
        <v>9</v>
      </c>
      <c r="K786" s="3"/>
      <c r="M786" s="3"/>
      <c r="N786" s="3"/>
      <c r="O786" s="3"/>
      <c r="P786" s="3"/>
      <c r="Q786" s="3"/>
      <c r="R786" s="3"/>
      <c r="S786" s="3"/>
      <c r="T786" s="3"/>
      <c r="U786" s="3"/>
      <c r="V786" s="3"/>
    </row>
    <row r="787" spans="1:22" x14ac:dyDescent="0.25">
      <c r="A787" s="20">
        <v>42044</v>
      </c>
      <c r="B787" s="21">
        <v>11484</v>
      </c>
      <c r="C787" s="14" t="s">
        <v>14</v>
      </c>
      <c r="D787" s="105">
        <v>31950.2</v>
      </c>
      <c r="E787" s="23">
        <v>42048</v>
      </c>
      <c r="F787" s="106">
        <v>31950.2</v>
      </c>
      <c r="G787" s="31">
        <f t="shared" si="12"/>
        <v>0</v>
      </c>
      <c r="H787" s="19" t="s">
        <v>187</v>
      </c>
      <c r="J787" s="107"/>
      <c r="K787" s="3"/>
      <c r="M787" s="3"/>
      <c r="N787" s="3"/>
      <c r="O787" s="3"/>
      <c r="P787" s="3"/>
      <c r="Q787" s="3"/>
      <c r="R787" s="3"/>
      <c r="S787" s="3"/>
      <c r="T787" s="3"/>
      <c r="U787" s="3"/>
      <c r="V787" s="3"/>
    </row>
    <row r="788" spans="1:22" x14ac:dyDescent="0.25">
      <c r="A788" s="20">
        <v>42044</v>
      </c>
      <c r="B788" s="21">
        <v>11485</v>
      </c>
      <c r="C788" s="14" t="s">
        <v>148</v>
      </c>
      <c r="D788" s="105">
        <v>3861</v>
      </c>
      <c r="E788" s="23">
        <v>42044</v>
      </c>
      <c r="F788" s="106">
        <v>3861</v>
      </c>
      <c r="G788" s="31">
        <f t="shared" si="12"/>
        <v>0</v>
      </c>
      <c r="H788" s="19" t="s">
        <v>9</v>
      </c>
      <c r="K788" s="3"/>
      <c r="M788" s="3"/>
      <c r="N788" s="3"/>
      <c r="O788" s="3"/>
      <c r="P788" s="3"/>
      <c r="Q788" s="3"/>
      <c r="R788" s="3"/>
      <c r="S788" s="3"/>
      <c r="T788" s="3"/>
      <c r="U788" s="3"/>
      <c r="V788" s="3"/>
    </row>
    <row r="789" spans="1:22" x14ac:dyDescent="0.25">
      <c r="A789" s="20">
        <v>42044</v>
      </c>
      <c r="B789" s="21">
        <v>11486</v>
      </c>
      <c r="C789" s="14" t="s">
        <v>21</v>
      </c>
      <c r="D789" s="105">
        <v>6065.5</v>
      </c>
      <c r="E789" s="23">
        <v>42044</v>
      </c>
      <c r="F789" s="106">
        <v>6065.5</v>
      </c>
      <c r="G789" s="31">
        <f t="shared" si="12"/>
        <v>0</v>
      </c>
      <c r="H789" s="19" t="s">
        <v>9</v>
      </c>
      <c r="K789" s="3"/>
      <c r="M789" s="3"/>
      <c r="N789" s="3"/>
      <c r="O789" s="3"/>
      <c r="P789" s="3"/>
      <c r="Q789" s="3"/>
      <c r="R789" s="3"/>
      <c r="S789" s="3"/>
      <c r="T789" s="3"/>
      <c r="U789" s="3"/>
      <c r="V789" s="3"/>
    </row>
    <row r="790" spans="1:22" x14ac:dyDescent="0.25">
      <c r="A790" s="20">
        <v>42044</v>
      </c>
      <c r="B790" s="21">
        <v>11487</v>
      </c>
      <c r="C790" s="14" t="s">
        <v>22</v>
      </c>
      <c r="D790" s="105">
        <v>2256.4</v>
      </c>
      <c r="E790" s="23">
        <v>42044</v>
      </c>
      <c r="F790" s="106">
        <v>2256.4</v>
      </c>
      <c r="G790" s="31">
        <f t="shared" si="12"/>
        <v>0</v>
      </c>
      <c r="H790" s="19" t="s">
        <v>9</v>
      </c>
      <c r="K790" s="3"/>
      <c r="M790" s="3"/>
      <c r="N790" s="3"/>
      <c r="O790" s="3"/>
      <c r="P790" s="3"/>
      <c r="Q790" s="3"/>
      <c r="R790" s="3"/>
      <c r="S790" s="3"/>
      <c r="T790" s="3"/>
      <c r="U790" s="3"/>
      <c r="V790" s="3"/>
    </row>
    <row r="791" spans="1:22" x14ac:dyDescent="0.25">
      <c r="A791" s="20">
        <v>42044</v>
      </c>
      <c r="B791" s="21">
        <v>11488</v>
      </c>
      <c r="C791" s="14" t="s">
        <v>137</v>
      </c>
      <c r="D791" s="105">
        <v>2842.4</v>
      </c>
      <c r="E791" s="23">
        <v>42044</v>
      </c>
      <c r="F791" s="106">
        <v>2842.4</v>
      </c>
      <c r="G791" s="31">
        <f t="shared" si="12"/>
        <v>0</v>
      </c>
      <c r="H791" s="19" t="s">
        <v>9</v>
      </c>
      <c r="K791" s="3"/>
      <c r="M791" s="3"/>
      <c r="N791" s="3"/>
      <c r="O791" s="3"/>
      <c r="P791" s="3"/>
      <c r="Q791" s="3"/>
      <c r="R791" s="3"/>
      <c r="S791" s="3"/>
      <c r="T791" s="3"/>
      <c r="U791" s="3"/>
      <c r="V791" s="3"/>
    </row>
    <row r="792" spans="1:22" x14ac:dyDescent="0.25">
      <c r="A792" s="20">
        <v>42044</v>
      </c>
      <c r="B792" s="21">
        <v>11489</v>
      </c>
      <c r="C792" s="14" t="s">
        <v>413</v>
      </c>
      <c r="D792" s="105">
        <v>3848.7</v>
      </c>
      <c r="E792" s="23">
        <v>42044</v>
      </c>
      <c r="F792" s="106">
        <v>3848.7</v>
      </c>
      <c r="G792" s="31">
        <f t="shared" si="12"/>
        <v>0</v>
      </c>
      <c r="H792" s="19" t="s">
        <v>94</v>
      </c>
      <c r="K792" s="3"/>
      <c r="M792" s="3"/>
      <c r="N792" s="3"/>
      <c r="O792" s="3"/>
      <c r="P792" s="3"/>
      <c r="Q792" s="3"/>
      <c r="R792" s="3"/>
      <c r="S792" s="3"/>
      <c r="T792" s="3"/>
      <c r="U792" s="3"/>
      <c r="V792" s="3"/>
    </row>
    <row r="793" spans="1:22" x14ac:dyDescent="0.25">
      <c r="A793" s="20">
        <v>42044</v>
      </c>
      <c r="B793" s="21">
        <v>11490</v>
      </c>
      <c r="C793" s="14" t="s">
        <v>20</v>
      </c>
      <c r="D793" s="105">
        <v>14069.2</v>
      </c>
      <c r="E793" s="23">
        <v>42044</v>
      </c>
      <c r="F793" s="106">
        <v>14069.2</v>
      </c>
      <c r="G793" s="31">
        <f t="shared" si="12"/>
        <v>0</v>
      </c>
      <c r="H793" s="19" t="s">
        <v>94</v>
      </c>
      <c r="K793" s="3"/>
      <c r="M793" s="3"/>
      <c r="N793" s="3"/>
      <c r="O793" s="3"/>
      <c r="P793" s="3"/>
      <c r="Q793" s="3"/>
      <c r="R793" s="3"/>
      <c r="S793" s="3"/>
      <c r="T793" s="3"/>
      <c r="U793" s="3"/>
      <c r="V793" s="3"/>
    </row>
    <row r="794" spans="1:22" x14ac:dyDescent="0.25">
      <c r="A794" s="20">
        <v>42044</v>
      </c>
      <c r="B794" s="21">
        <v>11491</v>
      </c>
      <c r="C794" s="14" t="s">
        <v>135</v>
      </c>
      <c r="D794" s="105">
        <v>5814</v>
      </c>
      <c r="E794" s="23">
        <v>42044</v>
      </c>
      <c r="F794" s="106">
        <v>5814</v>
      </c>
      <c r="G794" s="31">
        <f t="shared" si="12"/>
        <v>0</v>
      </c>
      <c r="H794" s="19" t="s">
        <v>9</v>
      </c>
      <c r="K794" s="3"/>
      <c r="M794" s="3"/>
      <c r="N794" s="3"/>
      <c r="O794" s="3"/>
      <c r="P794" s="3"/>
      <c r="Q794" s="3"/>
      <c r="R794" s="3"/>
      <c r="S794" s="3"/>
      <c r="T794" s="3"/>
      <c r="U794" s="3"/>
      <c r="V794" s="3"/>
    </row>
    <row r="795" spans="1:22" x14ac:dyDescent="0.25">
      <c r="A795" s="20">
        <v>42044</v>
      </c>
      <c r="B795" s="21">
        <v>11492</v>
      </c>
      <c r="C795" s="14" t="s">
        <v>161</v>
      </c>
      <c r="D795" s="105">
        <v>2492</v>
      </c>
      <c r="E795" s="23">
        <v>42044</v>
      </c>
      <c r="F795" s="106">
        <v>2492</v>
      </c>
      <c r="G795" s="31">
        <f t="shared" si="12"/>
        <v>0</v>
      </c>
      <c r="H795" s="19" t="s">
        <v>9</v>
      </c>
      <c r="K795" s="3"/>
      <c r="M795" s="3"/>
      <c r="N795" s="3"/>
      <c r="O795" s="3"/>
      <c r="P795" s="3"/>
      <c r="Q795" s="3"/>
      <c r="R795" s="3"/>
      <c r="S795" s="3"/>
      <c r="T795" s="3"/>
      <c r="U795" s="3"/>
      <c r="V795" s="3"/>
    </row>
    <row r="796" spans="1:22" x14ac:dyDescent="0.25">
      <c r="A796" s="20">
        <v>42044</v>
      </c>
      <c r="B796" s="21">
        <v>11493</v>
      </c>
      <c r="C796" s="14" t="s">
        <v>151</v>
      </c>
      <c r="D796" s="105">
        <v>4347</v>
      </c>
      <c r="E796" s="23">
        <v>42045</v>
      </c>
      <c r="F796" s="106">
        <v>4347</v>
      </c>
      <c r="G796" s="31">
        <f t="shared" si="12"/>
        <v>0</v>
      </c>
      <c r="H796" s="19" t="s">
        <v>9</v>
      </c>
      <c r="K796" s="3"/>
      <c r="M796" s="3"/>
      <c r="N796" s="3"/>
      <c r="O796" s="3"/>
      <c r="P796" s="3"/>
      <c r="Q796" s="3"/>
      <c r="R796" s="3"/>
      <c r="S796" s="3"/>
      <c r="T796" s="3"/>
      <c r="U796" s="3"/>
      <c r="V796" s="3"/>
    </row>
    <row r="797" spans="1:22" x14ac:dyDescent="0.25">
      <c r="A797" s="20">
        <v>42044</v>
      </c>
      <c r="B797" s="21">
        <v>11494</v>
      </c>
      <c r="C797" s="14" t="s">
        <v>32</v>
      </c>
      <c r="D797" s="105">
        <v>125473.05</v>
      </c>
      <c r="E797" s="23">
        <v>42062</v>
      </c>
      <c r="F797" s="106">
        <v>125473.05</v>
      </c>
      <c r="G797" s="31">
        <f t="shared" si="12"/>
        <v>0</v>
      </c>
      <c r="H797" s="19" t="s">
        <v>149</v>
      </c>
      <c r="K797" s="3"/>
      <c r="M797" s="3"/>
      <c r="N797" s="3"/>
      <c r="O797" s="3"/>
      <c r="P797" s="3"/>
      <c r="Q797" s="3"/>
      <c r="R797" s="3"/>
      <c r="S797" s="3"/>
      <c r="T797" s="3"/>
      <c r="U797" s="3"/>
      <c r="V797" s="3"/>
    </row>
    <row r="798" spans="1:22" x14ac:dyDescent="0.25">
      <c r="A798" s="20">
        <v>42044</v>
      </c>
      <c r="B798" s="21">
        <v>11495</v>
      </c>
      <c r="C798" s="14" t="s">
        <v>24</v>
      </c>
      <c r="D798" s="105">
        <v>167236.96</v>
      </c>
      <c r="E798" s="47" t="s">
        <v>760</v>
      </c>
      <c r="F798" s="106">
        <f>135.98+48977.6+118123.38</f>
        <v>167236.96000000002</v>
      </c>
      <c r="G798" s="31">
        <f t="shared" si="12"/>
        <v>0</v>
      </c>
      <c r="H798" s="19" t="s">
        <v>183</v>
      </c>
      <c r="K798" s="3"/>
      <c r="M798" s="3"/>
      <c r="N798" s="3"/>
      <c r="O798" s="3"/>
      <c r="P798" s="3"/>
      <c r="Q798" s="3"/>
      <c r="R798" s="3"/>
      <c r="S798" s="3"/>
      <c r="T798" s="3"/>
      <c r="U798" s="3"/>
      <c r="V798" s="3"/>
    </row>
    <row r="799" spans="1:22" x14ac:dyDescent="0.25">
      <c r="A799" s="20">
        <v>42044</v>
      </c>
      <c r="B799" s="21">
        <v>11496</v>
      </c>
      <c r="C799" s="14" t="s">
        <v>37</v>
      </c>
      <c r="D799" s="105">
        <v>27195.95</v>
      </c>
      <c r="E799" s="23">
        <v>42054</v>
      </c>
      <c r="F799" s="106">
        <v>27195.95</v>
      </c>
      <c r="G799" s="31">
        <f t="shared" si="12"/>
        <v>0</v>
      </c>
      <c r="H799" s="19" t="s">
        <v>36</v>
      </c>
      <c r="K799" s="3"/>
      <c r="M799" s="3"/>
      <c r="N799" s="3"/>
      <c r="O799" s="3"/>
      <c r="P799" s="3"/>
      <c r="Q799" s="3"/>
      <c r="R799" s="3"/>
      <c r="S799" s="3"/>
      <c r="T799" s="3"/>
      <c r="U799" s="3"/>
      <c r="V799" s="3"/>
    </row>
    <row r="800" spans="1:22" x14ac:dyDescent="0.25">
      <c r="A800" s="20">
        <v>42044</v>
      </c>
      <c r="B800" s="21">
        <v>11497</v>
      </c>
      <c r="C800" s="14" t="s">
        <v>34</v>
      </c>
      <c r="D800" s="105">
        <v>5415.2</v>
      </c>
      <c r="E800" s="23">
        <v>42044</v>
      </c>
      <c r="F800" s="106">
        <v>5415.2</v>
      </c>
      <c r="G800" s="31">
        <f t="shared" si="12"/>
        <v>0</v>
      </c>
      <c r="H800" s="19" t="s">
        <v>9</v>
      </c>
      <c r="K800" s="3"/>
      <c r="M800" s="3"/>
      <c r="N800" s="3"/>
      <c r="O800" s="3"/>
      <c r="P800" s="3"/>
      <c r="Q800" s="3"/>
      <c r="R800" s="3"/>
      <c r="S800" s="3"/>
      <c r="T800" s="3"/>
      <c r="U800" s="3"/>
      <c r="V800" s="3"/>
    </row>
    <row r="801" spans="1:22" x14ac:dyDescent="0.25">
      <c r="A801" s="20">
        <v>42044</v>
      </c>
      <c r="B801" s="21">
        <v>11498</v>
      </c>
      <c r="C801" s="14" t="s">
        <v>111</v>
      </c>
      <c r="D801" s="105">
        <v>22500</v>
      </c>
      <c r="E801" s="23">
        <v>42049</v>
      </c>
      <c r="F801" s="106">
        <v>22500</v>
      </c>
      <c r="G801" s="31">
        <f t="shared" si="12"/>
        <v>0</v>
      </c>
      <c r="H801" s="19" t="s">
        <v>36</v>
      </c>
      <c r="I801" s="3"/>
      <c r="J801" s="42"/>
      <c r="K801" s="3"/>
      <c r="M801" s="3"/>
      <c r="N801" s="3"/>
      <c r="O801" s="3"/>
      <c r="P801" s="3"/>
      <c r="Q801" s="3"/>
      <c r="R801" s="3"/>
      <c r="S801" s="3"/>
      <c r="T801" s="3"/>
      <c r="U801" s="3"/>
      <c r="V801" s="3"/>
    </row>
    <row r="802" spans="1:22" x14ac:dyDescent="0.25">
      <c r="A802" s="20">
        <v>42044</v>
      </c>
      <c r="B802" s="21">
        <v>11499</v>
      </c>
      <c r="C802" s="14" t="s">
        <v>256</v>
      </c>
      <c r="D802" s="105">
        <v>4944.8</v>
      </c>
      <c r="E802" s="23">
        <v>42044</v>
      </c>
      <c r="F802" s="106">
        <v>4944.8</v>
      </c>
      <c r="G802" s="31">
        <f t="shared" si="12"/>
        <v>0</v>
      </c>
      <c r="H802" s="19" t="s">
        <v>36</v>
      </c>
      <c r="I802" s="3"/>
      <c r="J802" s="42"/>
      <c r="K802" s="3"/>
      <c r="M802" s="3"/>
      <c r="N802" s="3"/>
      <c r="O802" s="3"/>
      <c r="P802" s="3"/>
      <c r="Q802" s="3"/>
      <c r="R802" s="3"/>
      <c r="S802" s="3"/>
      <c r="T802" s="3"/>
      <c r="U802" s="3"/>
      <c r="V802" s="3"/>
    </row>
    <row r="803" spans="1:22" x14ac:dyDescent="0.25">
      <c r="A803" s="20">
        <v>42044</v>
      </c>
      <c r="B803" s="21">
        <v>11500</v>
      </c>
      <c r="C803" s="14" t="s">
        <v>608</v>
      </c>
      <c r="D803" s="105">
        <v>404.2</v>
      </c>
      <c r="E803" s="23">
        <v>42044</v>
      </c>
      <c r="F803" s="106">
        <v>404.2</v>
      </c>
      <c r="G803" s="31">
        <f t="shared" si="12"/>
        <v>0</v>
      </c>
      <c r="H803" s="19" t="s">
        <v>59</v>
      </c>
      <c r="I803" s="3"/>
      <c r="J803" s="42"/>
      <c r="K803" s="3"/>
      <c r="M803" s="3"/>
      <c r="N803" s="3"/>
      <c r="O803" s="3"/>
      <c r="P803" s="3"/>
      <c r="Q803" s="3"/>
      <c r="R803" s="3"/>
      <c r="S803" s="3"/>
      <c r="T803" s="3"/>
      <c r="U803" s="3"/>
      <c r="V803" s="3"/>
    </row>
    <row r="804" spans="1:22" x14ac:dyDescent="0.25">
      <c r="A804" s="20">
        <v>42044</v>
      </c>
      <c r="B804" s="21">
        <v>11501</v>
      </c>
      <c r="C804" s="14" t="s">
        <v>270</v>
      </c>
      <c r="D804" s="105">
        <v>290.2</v>
      </c>
      <c r="E804" s="23">
        <v>42044</v>
      </c>
      <c r="F804" s="106">
        <v>290.2</v>
      </c>
      <c r="G804" s="31">
        <f t="shared" si="12"/>
        <v>0</v>
      </c>
      <c r="H804" s="19" t="s">
        <v>9</v>
      </c>
      <c r="I804" s="3"/>
      <c r="J804" s="42"/>
      <c r="K804" s="3"/>
      <c r="M804" s="3"/>
      <c r="N804" s="3"/>
      <c r="O804" s="3"/>
      <c r="P804" s="3"/>
      <c r="Q804" s="3"/>
      <c r="R804" s="3"/>
      <c r="S804" s="3"/>
      <c r="T804" s="3"/>
      <c r="U804" s="3"/>
      <c r="V804" s="3"/>
    </row>
    <row r="805" spans="1:22" x14ac:dyDescent="0.25">
      <c r="A805" s="20">
        <v>42044</v>
      </c>
      <c r="B805" s="21">
        <v>11502</v>
      </c>
      <c r="C805" s="14" t="s">
        <v>125</v>
      </c>
      <c r="D805" s="105">
        <v>41243.9</v>
      </c>
      <c r="E805" s="29" t="s">
        <v>609</v>
      </c>
      <c r="F805" s="106">
        <f>7000+22000+12243.9</f>
        <v>41243.9</v>
      </c>
      <c r="G805" s="31">
        <f t="shared" si="12"/>
        <v>0</v>
      </c>
      <c r="H805" s="19" t="s">
        <v>9</v>
      </c>
      <c r="I805" s="3"/>
      <c r="J805" s="42"/>
      <c r="K805" s="3"/>
      <c r="M805" s="3"/>
      <c r="N805" s="3"/>
      <c r="O805" s="3"/>
      <c r="P805" s="3"/>
      <c r="Q805" s="3"/>
      <c r="R805" s="3"/>
      <c r="S805" s="3"/>
      <c r="T805" s="3"/>
      <c r="U805" s="3"/>
      <c r="V805" s="3"/>
    </row>
    <row r="806" spans="1:22" x14ac:dyDescent="0.25">
      <c r="A806" s="20">
        <v>42044</v>
      </c>
      <c r="B806" s="21">
        <v>11503</v>
      </c>
      <c r="C806" s="14" t="s">
        <v>45</v>
      </c>
      <c r="D806" s="105">
        <v>11924.3</v>
      </c>
      <c r="E806" s="23">
        <v>42055</v>
      </c>
      <c r="F806" s="106">
        <v>11924.3</v>
      </c>
      <c r="G806" s="31">
        <f t="shared" si="12"/>
        <v>0</v>
      </c>
      <c r="H806" s="19" t="s">
        <v>59</v>
      </c>
      <c r="I806" s="3"/>
      <c r="J806" s="42"/>
      <c r="K806" s="3"/>
      <c r="M806" s="3"/>
      <c r="N806" s="3"/>
      <c r="O806" s="3"/>
      <c r="P806" s="3"/>
      <c r="Q806" s="3"/>
      <c r="R806" s="3"/>
      <c r="S806" s="3"/>
      <c r="T806" s="3"/>
      <c r="U806" s="3"/>
      <c r="V806" s="3"/>
    </row>
    <row r="807" spans="1:22" x14ac:dyDescent="0.25">
      <c r="A807" s="20">
        <v>42044</v>
      </c>
      <c r="B807" s="21">
        <v>11504</v>
      </c>
      <c r="C807" s="14" t="s">
        <v>118</v>
      </c>
      <c r="D807" s="105">
        <v>7455.6</v>
      </c>
      <c r="E807" s="23">
        <v>42053</v>
      </c>
      <c r="F807" s="106">
        <v>7455.6</v>
      </c>
      <c r="G807" s="31">
        <f t="shared" si="12"/>
        <v>0</v>
      </c>
      <c r="H807" s="19" t="s">
        <v>59</v>
      </c>
      <c r="I807" s="3"/>
      <c r="J807" s="42"/>
      <c r="K807" s="3"/>
      <c r="M807" s="3"/>
      <c r="N807" s="3"/>
      <c r="O807" s="3"/>
      <c r="P807" s="3"/>
      <c r="Q807" s="3"/>
      <c r="R807" s="3"/>
      <c r="S807" s="3"/>
      <c r="T807" s="3"/>
      <c r="U807" s="3"/>
      <c r="V807" s="3"/>
    </row>
    <row r="808" spans="1:22" x14ac:dyDescent="0.25">
      <c r="A808" s="20">
        <v>42044</v>
      </c>
      <c r="B808" s="21">
        <v>11505</v>
      </c>
      <c r="C808" s="14" t="s">
        <v>431</v>
      </c>
      <c r="D808" s="105">
        <v>4259.6000000000004</v>
      </c>
      <c r="E808" s="23">
        <v>42044</v>
      </c>
      <c r="F808" s="106">
        <v>4259.6000000000004</v>
      </c>
      <c r="G808" s="31">
        <f t="shared" si="12"/>
        <v>0</v>
      </c>
      <c r="H808" s="19" t="s">
        <v>9</v>
      </c>
      <c r="I808" s="3"/>
      <c r="J808" s="42"/>
      <c r="K808" s="3"/>
      <c r="M808" s="3"/>
      <c r="N808" s="3"/>
      <c r="O808" s="3"/>
      <c r="P808" s="3"/>
      <c r="Q808" s="3"/>
      <c r="R808" s="3"/>
      <c r="S808" s="3"/>
      <c r="T808" s="3"/>
      <c r="U808" s="3"/>
      <c r="V808" s="3"/>
    </row>
    <row r="809" spans="1:22" x14ac:dyDescent="0.25">
      <c r="A809" s="20">
        <v>42044</v>
      </c>
      <c r="B809" s="21">
        <v>11506</v>
      </c>
      <c r="C809" s="14" t="s">
        <v>399</v>
      </c>
      <c r="D809" s="105">
        <v>6467.6</v>
      </c>
      <c r="E809" s="23">
        <v>42044</v>
      </c>
      <c r="F809" s="106">
        <v>6467.6</v>
      </c>
      <c r="G809" s="31">
        <f t="shared" si="12"/>
        <v>0</v>
      </c>
      <c r="H809" s="19" t="s">
        <v>59</v>
      </c>
      <c r="I809" s="3"/>
      <c r="J809" s="42"/>
      <c r="K809" s="3"/>
      <c r="M809" s="3"/>
      <c r="N809" s="3"/>
      <c r="O809" s="3"/>
      <c r="P809" s="3"/>
      <c r="Q809" s="3"/>
      <c r="R809" s="3"/>
      <c r="S809" s="3"/>
      <c r="T809" s="3"/>
      <c r="U809" s="3"/>
      <c r="V809" s="3"/>
    </row>
    <row r="810" spans="1:22" x14ac:dyDescent="0.25">
      <c r="A810" s="20">
        <v>42044</v>
      </c>
      <c r="B810" s="21">
        <v>11507</v>
      </c>
      <c r="C810" s="14" t="s">
        <v>431</v>
      </c>
      <c r="D810" s="105">
        <v>404</v>
      </c>
      <c r="E810" s="23">
        <v>42044</v>
      </c>
      <c r="F810" s="106">
        <v>404</v>
      </c>
      <c r="G810" s="31">
        <f t="shared" si="12"/>
        <v>0</v>
      </c>
      <c r="H810" s="19" t="s">
        <v>9</v>
      </c>
      <c r="I810" s="3"/>
      <c r="J810" s="42"/>
      <c r="K810" s="3"/>
      <c r="M810" s="3"/>
      <c r="N810" s="3"/>
      <c r="O810" s="3"/>
      <c r="P810" s="3"/>
      <c r="Q810" s="3"/>
      <c r="R810" s="3"/>
      <c r="S810" s="3"/>
      <c r="T810" s="3"/>
      <c r="U810" s="3"/>
      <c r="V810" s="3"/>
    </row>
    <row r="811" spans="1:22" x14ac:dyDescent="0.25">
      <c r="A811" s="20">
        <v>42044</v>
      </c>
      <c r="B811" s="21">
        <v>11508</v>
      </c>
      <c r="C811" s="14" t="s">
        <v>292</v>
      </c>
      <c r="D811" s="105">
        <v>2795</v>
      </c>
      <c r="E811" s="23">
        <v>42044</v>
      </c>
      <c r="F811" s="106">
        <v>2795</v>
      </c>
      <c r="G811" s="31">
        <f t="shared" si="12"/>
        <v>0</v>
      </c>
      <c r="H811" s="19" t="s">
        <v>59</v>
      </c>
      <c r="I811" s="3"/>
      <c r="J811" s="42"/>
      <c r="K811" s="3"/>
      <c r="M811" s="3"/>
      <c r="N811" s="3"/>
      <c r="O811" s="3"/>
      <c r="P811" s="3"/>
      <c r="Q811" s="3"/>
      <c r="R811" s="3"/>
      <c r="S811" s="3"/>
      <c r="T811" s="3"/>
      <c r="U811" s="3"/>
      <c r="V811" s="3"/>
    </row>
    <row r="812" spans="1:22" x14ac:dyDescent="0.25">
      <c r="A812" s="20">
        <v>42044</v>
      </c>
      <c r="B812" s="21">
        <v>11509</v>
      </c>
      <c r="C812" s="14" t="s">
        <v>82</v>
      </c>
      <c r="D812" s="105">
        <v>3988.6</v>
      </c>
      <c r="E812" s="23">
        <v>42044</v>
      </c>
      <c r="F812" s="106">
        <v>3988.6</v>
      </c>
      <c r="G812" s="31">
        <f t="shared" si="12"/>
        <v>0</v>
      </c>
      <c r="H812" s="19" t="s">
        <v>59</v>
      </c>
      <c r="I812" s="3"/>
      <c r="J812" s="42"/>
      <c r="K812" s="3"/>
      <c r="M812" s="3"/>
      <c r="N812" s="3"/>
      <c r="O812" s="3"/>
      <c r="P812" s="3"/>
      <c r="Q812" s="3"/>
      <c r="R812" s="3"/>
      <c r="S812" s="3"/>
      <c r="T812" s="3"/>
      <c r="U812" s="3"/>
      <c r="V812" s="3"/>
    </row>
    <row r="813" spans="1:22" x14ac:dyDescent="0.25">
      <c r="A813" s="20">
        <v>42044</v>
      </c>
      <c r="B813" s="21">
        <v>11510</v>
      </c>
      <c r="C813" s="14" t="s">
        <v>53</v>
      </c>
      <c r="D813" s="105">
        <v>1174.2</v>
      </c>
      <c r="E813" s="23">
        <v>42044</v>
      </c>
      <c r="F813" s="106">
        <v>1174.2</v>
      </c>
      <c r="G813" s="31">
        <f t="shared" si="12"/>
        <v>0</v>
      </c>
      <c r="H813" s="19" t="s">
        <v>59</v>
      </c>
      <c r="I813" s="3"/>
      <c r="J813" s="42"/>
      <c r="K813" s="3"/>
      <c r="M813" s="3"/>
      <c r="N813" s="3"/>
      <c r="O813" s="3"/>
      <c r="P813" s="3"/>
      <c r="Q813" s="3"/>
      <c r="R813" s="3"/>
      <c r="S813" s="3"/>
      <c r="T813" s="3"/>
      <c r="U813" s="3"/>
      <c r="V813" s="3"/>
    </row>
    <row r="814" spans="1:22" x14ac:dyDescent="0.25">
      <c r="A814" s="20">
        <v>42044</v>
      </c>
      <c r="B814" s="21">
        <v>11511</v>
      </c>
      <c r="C814" s="14" t="s">
        <v>81</v>
      </c>
      <c r="D814" s="105">
        <v>1497.9</v>
      </c>
      <c r="E814" s="23">
        <v>42044</v>
      </c>
      <c r="F814" s="106">
        <v>1497.9</v>
      </c>
      <c r="G814" s="31">
        <f t="shared" si="12"/>
        <v>0</v>
      </c>
      <c r="H814" s="19" t="s">
        <v>59</v>
      </c>
      <c r="I814" s="3"/>
      <c r="J814" s="42"/>
      <c r="K814" s="3"/>
      <c r="M814" s="3"/>
      <c r="N814" s="3"/>
      <c r="O814" s="3"/>
      <c r="P814" s="3"/>
      <c r="Q814" s="3"/>
      <c r="R814" s="3"/>
      <c r="S814" s="3"/>
      <c r="T814" s="3"/>
      <c r="U814" s="3"/>
      <c r="V814" s="3"/>
    </row>
    <row r="815" spans="1:22" x14ac:dyDescent="0.25">
      <c r="A815" s="20">
        <v>42044</v>
      </c>
      <c r="B815" s="21">
        <v>11512</v>
      </c>
      <c r="C815" s="14" t="s">
        <v>221</v>
      </c>
      <c r="D815" s="105">
        <v>1683.6</v>
      </c>
      <c r="E815" s="23">
        <v>42044</v>
      </c>
      <c r="F815" s="106">
        <v>1683.6</v>
      </c>
      <c r="G815" s="31">
        <f t="shared" si="12"/>
        <v>0</v>
      </c>
      <c r="H815" s="19" t="s">
        <v>59</v>
      </c>
      <c r="I815" s="3"/>
      <c r="J815" s="42"/>
      <c r="K815" s="3"/>
      <c r="M815" s="3"/>
      <c r="N815" s="3"/>
      <c r="O815" s="3"/>
      <c r="P815" s="3"/>
      <c r="Q815" s="3"/>
      <c r="R815" s="3"/>
      <c r="S815" s="3"/>
      <c r="T815" s="3"/>
      <c r="U815" s="3"/>
      <c r="V815" s="3"/>
    </row>
    <row r="816" spans="1:22" x14ac:dyDescent="0.25">
      <c r="A816" s="20">
        <v>42044</v>
      </c>
      <c r="B816" s="21">
        <v>11513</v>
      </c>
      <c r="C816" s="14" t="s">
        <v>57</v>
      </c>
      <c r="D816" s="105">
        <v>1140</v>
      </c>
      <c r="E816" s="23">
        <v>42044</v>
      </c>
      <c r="F816" s="106">
        <v>1140</v>
      </c>
      <c r="G816" s="31">
        <f t="shared" si="12"/>
        <v>0</v>
      </c>
      <c r="H816" s="19" t="s">
        <v>59</v>
      </c>
      <c r="I816" s="3"/>
      <c r="J816" s="42"/>
      <c r="K816" s="3"/>
      <c r="M816" s="3"/>
      <c r="N816" s="3"/>
      <c r="O816" s="3"/>
      <c r="P816" s="3"/>
      <c r="Q816" s="3"/>
      <c r="R816" s="3"/>
      <c r="S816" s="3"/>
      <c r="T816" s="3"/>
      <c r="U816" s="3"/>
      <c r="V816" s="3"/>
    </row>
    <row r="817" spans="1:22" x14ac:dyDescent="0.25">
      <c r="A817" s="20">
        <v>42044</v>
      </c>
      <c r="B817" s="21">
        <v>11514</v>
      </c>
      <c r="C817" s="110">
        <v>105</v>
      </c>
      <c r="D817" s="105">
        <v>760</v>
      </c>
      <c r="E817" s="23">
        <v>42044</v>
      </c>
      <c r="F817" s="106">
        <v>760</v>
      </c>
      <c r="G817" s="31">
        <f t="shared" si="12"/>
        <v>0</v>
      </c>
      <c r="H817" s="19" t="s">
        <v>59</v>
      </c>
      <c r="J817" s="107"/>
      <c r="K817" s="3"/>
      <c r="M817" s="3"/>
      <c r="N817" s="3"/>
      <c r="O817" s="3"/>
      <c r="P817" s="3"/>
      <c r="Q817" s="3"/>
      <c r="R817" s="3"/>
      <c r="S817" s="3"/>
      <c r="T817" s="3"/>
      <c r="U817" s="3"/>
      <c r="V817" s="3"/>
    </row>
    <row r="818" spans="1:22" x14ac:dyDescent="0.25">
      <c r="A818" s="20">
        <v>42044</v>
      </c>
      <c r="B818" s="21">
        <v>11515</v>
      </c>
      <c r="C818" s="14" t="s">
        <v>214</v>
      </c>
      <c r="D818" s="105">
        <v>950</v>
      </c>
      <c r="E818" s="23">
        <v>42044</v>
      </c>
      <c r="F818" s="106">
        <v>950</v>
      </c>
      <c r="G818" s="31">
        <f t="shared" si="12"/>
        <v>0</v>
      </c>
      <c r="H818" s="19" t="s">
        <v>59</v>
      </c>
      <c r="K818" s="3"/>
      <c r="M818" s="3"/>
      <c r="N818" s="3"/>
      <c r="O818" s="3"/>
      <c r="P818" s="3"/>
      <c r="Q818" s="3"/>
      <c r="R818" s="3"/>
      <c r="S818" s="3"/>
      <c r="T818" s="3"/>
      <c r="U818" s="3"/>
      <c r="V818" s="3"/>
    </row>
    <row r="819" spans="1:22" x14ac:dyDescent="0.25">
      <c r="A819" s="20">
        <v>42044</v>
      </c>
      <c r="B819" s="21">
        <v>11516</v>
      </c>
      <c r="C819" s="14" t="s">
        <v>58</v>
      </c>
      <c r="D819" s="105">
        <v>380</v>
      </c>
      <c r="E819" s="23">
        <v>42044</v>
      </c>
      <c r="F819" s="106">
        <v>380</v>
      </c>
      <c r="G819" s="31">
        <f t="shared" si="12"/>
        <v>0</v>
      </c>
      <c r="H819" s="19" t="s">
        <v>59</v>
      </c>
      <c r="K819" s="3"/>
      <c r="M819" s="3"/>
      <c r="N819" s="3"/>
      <c r="O819" s="3"/>
      <c r="P819" s="3"/>
      <c r="Q819" s="3"/>
      <c r="R819" s="3"/>
      <c r="S819" s="3"/>
      <c r="T819" s="3"/>
      <c r="U819" s="3"/>
      <c r="V819" s="3"/>
    </row>
    <row r="820" spans="1:22" x14ac:dyDescent="0.25">
      <c r="A820" s="20">
        <v>42044</v>
      </c>
      <c r="B820" s="21">
        <v>11517</v>
      </c>
      <c r="C820" s="14" t="s">
        <v>141</v>
      </c>
      <c r="D820" s="105">
        <v>3925.9</v>
      </c>
      <c r="E820" s="23">
        <v>42046</v>
      </c>
      <c r="F820" s="106">
        <v>3925.9</v>
      </c>
      <c r="G820" s="31">
        <f t="shared" si="12"/>
        <v>0</v>
      </c>
      <c r="H820" s="19" t="s">
        <v>9</v>
      </c>
      <c r="K820" s="3"/>
      <c r="M820" s="3"/>
      <c r="N820" s="3"/>
      <c r="O820" s="3"/>
      <c r="P820" s="3"/>
      <c r="Q820" s="3"/>
      <c r="R820" s="3"/>
      <c r="S820" s="3"/>
      <c r="T820" s="3"/>
      <c r="U820" s="3"/>
      <c r="V820" s="3"/>
    </row>
    <row r="821" spans="1:22" x14ac:dyDescent="0.25">
      <c r="A821" s="20">
        <v>42044</v>
      </c>
      <c r="B821" s="21">
        <v>11518</v>
      </c>
      <c r="C821" s="14" t="s">
        <v>120</v>
      </c>
      <c r="D821" s="105">
        <v>1277.0999999999999</v>
      </c>
      <c r="E821" s="23">
        <v>42044</v>
      </c>
      <c r="F821" s="106">
        <v>1277.0999999999999</v>
      </c>
      <c r="G821" s="31">
        <f t="shared" si="12"/>
        <v>0</v>
      </c>
      <c r="H821" s="19" t="s">
        <v>59</v>
      </c>
      <c r="K821" s="3"/>
      <c r="M821" s="3"/>
      <c r="N821" s="3"/>
      <c r="O821" s="3"/>
      <c r="P821" s="3"/>
      <c r="Q821" s="3"/>
      <c r="R821" s="3"/>
      <c r="S821" s="3"/>
      <c r="T821" s="3"/>
      <c r="U821" s="3"/>
      <c r="V821" s="3"/>
    </row>
    <row r="822" spans="1:22" x14ac:dyDescent="0.25">
      <c r="A822" s="20">
        <v>42044</v>
      </c>
      <c r="B822" s="21">
        <v>11519</v>
      </c>
      <c r="C822" s="14" t="s">
        <v>22</v>
      </c>
      <c r="D822" s="105">
        <v>1022.4</v>
      </c>
      <c r="E822" s="23">
        <v>42044</v>
      </c>
      <c r="F822" s="106">
        <v>1022.4</v>
      </c>
      <c r="G822" s="31">
        <f t="shared" si="12"/>
        <v>0</v>
      </c>
      <c r="H822" s="19" t="s">
        <v>9</v>
      </c>
      <c r="K822" s="3"/>
      <c r="M822" s="3"/>
      <c r="N822" s="3"/>
      <c r="O822" s="3"/>
      <c r="P822" s="3"/>
      <c r="Q822" s="3"/>
      <c r="R822" s="3"/>
      <c r="S822" s="3"/>
      <c r="T822" s="3"/>
      <c r="U822" s="3"/>
      <c r="V822" s="3"/>
    </row>
    <row r="823" spans="1:22" x14ac:dyDescent="0.25">
      <c r="A823" s="20">
        <v>42044</v>
      </c>
      <c r="B823" s="21">
        <v>11520</v>
      </c>
      <c r="C823" s="14" t="s">
        <v>78</v>
      </c>
      <c r="D823" s="105">
        <v>8796</v>
      </c>
      <c r="E823" s="23">
        <v>42046</v>
      </c>
      <c r="F823" s="106">
        <v>8796</v>
      </c>
      <c r="G823" s="31">
        <f t="shared" si="12"/>
        <v>0</v>
      </c>
      <c r="H823" s="19" t="s">
        <v>62</v>
      </c>
      <c r="K823" s="3"/>
      <c r="M823" s="3"/>
      <c r="N823" s="3"/>
      <c r="O823" s="3"/>
      <c r="P823" s="3"/>
      <c r="Q823" s="3"/>
      <c r="R823" s="3"/>
      <c r="S823" s="3"/>
      <c r="T823" s="3"/>
      <c r="U823" s="3"/>
      <c r="V823" s="3"/>
    </row>
    <row r="824" spans="1:22" x14ac:dyDescent="0.25">
      <c r="A824" s="20">
        <v>42044</v>
      </c>
      <c r="B824" s="21">
        <v>11521</v>
      </c>
      <c r="C824" s="14" t="s">
        <v>67</v>
      </c>
      <c r="D824" s="105">
        <v>3280</v>
      </c>
      <c r="E824" s="23">
        <v>42046</v>
      </c>
      <c r="F824" s="106">
        <v>3280</v>
      </c>
      <c r="G824" s="31">
        <f t="shared" si="12"/>
        <v>0</v>
      </c>
      <c r="H824" s="19" t="s">
        <v>62</v>
      </c>
      <c r="K824" s="3"/>
      <c r="M824" s="3"/>
      <c r="N824" s="3"/>
      <c r="O824" s="3"/>
      <c r="P824" s="3"/>
      <c r="Q824" s="3"/>
      <c r="R824" s="3"/>
      <c r="S824" s="3"/>
      <c r="T824" s="3"/>
      <c r="U824" s="3"/>
      <c r="V824" s="3"/>
    </row>
    <row r="825" spans="1:22" x14ac:dyDescent="0.25">
      <c r="A825" s="20">
        <v>42044</v>
      </c>
      <c r="B825" s="21">
        <v>11522</v>
      </c>
      <c r="C825" s="14" t="s">
        <v>168</v>
      </c>
      <c r="D825" s="105">
        <v>9328.4</v>
      </c>
      <c r="E825" s="23">
        <v>42044</v>
      </c>
      <c r="F825" s="106">
        <v>9328.4</v>
      </c>
      <c r="G825" s="31">
        <f t="shared" si="12"/>
        <v>0</v>
      </c>
      <c r="H825" s="19" t="s">
        <v>59</v>
      </c>
      <c r="K825" s="3"/>
      <c r="M825" s="3"/>
      <c r="N825" s="3"/>
      <c r="O825" s="3"/>
      <c r="P825" s="3"/>
      <c r="Q825" s="3"/>
      <c r="R825" s="3"/>
      <c r="S825" s="3"/>
      <c r="T825" s="3"/>
      <c r="U825" s="3"/>
      <c r="V825" s="3"/>
    </row>
    <row r="826" spans="1:22" x14ac:dyDescent="0.25">
      <c r="A826" s="20">
        <v>42044</v>
      </c>
      <c r="B826" s="21">
        <v>11523</v>
      </c>
      <c r="C826" s="14" t="s">
        <v>170</v>
      </c>
      <c r="D826" s="105">
        <v>5618.4</v>
      </c>
      <c r="E826" s="23">
        <v>42046</v>
      </c>
      <c r="F826" s="106">
        <v>5618.4</v>
      </c>
      <c r="G826" s="31">
        <f t="shared" si="12"/>
        <v>0</v>
      </c>
      <c r="H826" s="19" t="s">
        <v>62</v>
      </c>
      <c r="K826" s="3"/>
      <c r="M826" s="3"/>
      <c r="N826" s="3"/>
      <c r="O826" s="3"/>
      <c r="P826" s="3"/>
      <c r="Q826" s="3"/>
      <c r="R826" s="3"/>
      <c r="S826" s="3"/>
      <c r="T826" s="3"/>
      <c r="U826" s="3"/>
      <c r="V826" s="3"/>
    </row>
    <row r="827" spans="1:22" x14ac:dyDescent="0.25">
      <c r="A827" s="20">
        <v>42044</v>
      </c>
      <c r="B827" s="21">
        <v>11524</v>
      </c>
      <c r="C827" s="14" t="s">
        <v>131</v>
      </c>
      <c r="D827" s="105">
        <v>9767.1</v>
      </c>
      <c r="E827" s="23">
        <v>42045</v>
      </c>
      <c r="F827" s="106">
        <v>9767.1</v>
      </c>
      <c r="G827" s="31">
        <f t="shared" si="12"/>
        <v>0</v>
      </c>
      <c r="H827" s="19" t="s">
        <v>17</v>
      </c>
      <c r="K827" s="3"/>
      <c r="M827" s="3"/>
      <c r="N827" s="3"/>
      <c r="O827" s="3"/>
      <c r="P827" s="3"/>
      <c r="Q827" s="3"/>
      <c r="R827" s="3"/>
      <c r="S827" s="3"/>
      <c r="T827" s="3"/>
      <c r="U827" s="3"/>
      <c r="V827" s="3"/>
    </row>
    <row r="828" spans="1:22" x14ac:dyDescent="0.25">
      <c r="A828" s="20">
        <v>42044</v>
      </c>
      <c r="B828" s="21">
        <v>11525</v>
      </c>
      <c r="C828" s="14" t="s">
        <v>132</v>
      </c>
      <c r="D828" s="105">
        <v>795.6</v>
      </c>
      <c r="E828" s="23">
        <v>42044</v>
      </c>
      <c r="F828" s="106">
        <v>795.6</v>
      </c>
      <c r="G828" s="31">
        <f t="shared" si="12"/>
        <v>0</v>
      </c>
      <c r="H828" s="19" t="s">
        <v>17</v>
      </c>
      <c r="J828" s="107"/>
      <c r="K828" s="3"/>
      <c r="M828" s="3"/>
      <c r="N828" s="3"/>
      <c r="O828" s="3"/>
      <c r="P828" s="3"/>
      <c r="Q828" s="3"/>
      <c r="R828" s="3"/>
      <c r="S828" s="3"/>
      <c r="T828" s="3"/>
      <c r="U828" s="3"/>
      <c r="V828" s="3"/>
    </row>
    <row r="829" spans="1:22" x14ac:dyDescent="0.25">
      <c r="A829" s="20">
        <v>42044</v>
      </c>
      <c r="B829" s="21">
        <v>11526</v>
      </c>
      <c r="C829" s="14" t="s">
        <v>65</v>
      </c>
      <c r="D829" s="105">
        <v>21988.400000000001</v>
      </c>
      <c r="E829" s="23">
        <v>42046</v>
      </c>
      <c r="F829" s="106">
        <v>21988.400000000001</v>
      </c>
      <c r="G829" s="31">
        <f t="shared" si="12"/>
        <v>0</v>
      </c>
      <c r="H829" s="19" t="s">
        <v>62</v>
      </c>
      <c r="K829" s="3"/>
      <c r="M829" s="3"/>
      <c r="N829" s="3"/>
      <c r="O829" s="3"/>
      <c r="P829" s="3"/>
      <c r="Q829" s="3"/>
      <c r="R829" s="3"/>
      <c r="S829" s="3"/>
      <c r="T829" s="3"/>
      <c r="U829" s="3"/>
      <c r="V829" s="3"/>
    </row>
    <row r="830" spans="1:22" x14ac:dyDescent="0.25">
      <c r="A830" s="20">
        <v>42044</v>
      </c>
      <c r="B830" s="21">
        <v>11527</v>
      </c>
      <c r="C830" s="14" t="s">
        <v>165</v>
      </c>
      <c r="D830" s="105">
        <v>2695</v>
      </c>
      <c r="E830" s="23">
        <v>42044</v>
      </c>
      <c r="F830" s="106">
        <v>2695</v>
      </c>
      <c r="G830" s="31">
        <f t="shared" si="12"/>
        <v>0</v>
      </c>
      <c r="H830" s="19" t="s">
        <v>17</v>
      </c>
      <c r="K830" s="3"/>
      <c r="M830" s="3"/>
      <c r="N830" s="3"/>
      <c r="O830" s="3"/>
      <c r="P830" s="3"/>
      <c r="Q830" s="3"/>
      <c r="R830" s="3"/>
      <c r="S830" s="3"/>
      <c r="T830" s="3"/>
      <c r="U830" s="3"/>
      <c r="V830" s="3"/>
    </row>
    <row r="831" spans="1:22" x14ac:dyDescent="0.25">
      <c r="A831" s="20">
        <v>42044</v>
      </c>
      <c r="B831" s="21">
        <v>11528</v>
      </c>
      <c r="C831" s="14" t="s">
        <v>130</v>
      </c>
      <c r="D831" s="105">
        <v>3788.3</v>
      </c>
      <c r="E831" s="23">
        <v>42045</v>
      </c>
      <c r="F831" s="106">
        <v>3788.3</v>
      </c>
      <c r="G831" s="31">
        <f t="shared" si="12"/>
        <v>0</v>
      </c>
      <c r="H831" s="19" t="s">
        <v>17</v>
      </c>
      <c r="K831" s="3"/>
      <c r="M831" s="3"/>
      <c r="N831" s="3"/>
      <c r="O831" s="3"/>
      <c r="P831" s="3"/>
      <c r="Q831" s="3"/>
      <c r="R831" s="3"/>
      <c r="S831" s="3"/>
      <c r="T831" s="3"/>
      <c r="U831" s="3"/>
      <c r="V831" s="3"/>
    </row>
    <row r="832" spans="1:22" x14ac:dyDescent="0.25">
      <c r="A832" s="20">
        <v>42044</v>
      </c>
      <c r="B832" s="21">
        <v>11529</v>
      </c>
      <c r="C832" s="14" t="s">
        <v>239</v>
      </c>
      <c r="D832" s="105">
        <v>910</v>
      </c>
      <c r="E832" s="23">
        <v>42044</v>
      </c>
      <c r="F832" s="106">
        <v>910</v>
      </c>
      <c r="G832" s="31">
        <f t="shared" si="12"/>
        <v>0</v>
      </c>
      <c r="H832" s="19" t="s">
        <v>9</v>
      </c>
      <c r="K832" s="3"/>
      <c r="M832" s="3"/>
      <c r="N832" s="3"/>
      <c r="O832" s="3"/>
      <c r="P832" s="3"/>
      <c r="Q832" s="3"/>
      <c r="R832" s="3"/>
      <c r="S832" s="3"/>
      <c r="T832" s="3"/>
      <c r="U832" s="3"/>
      <c r="V832" s="3"/>
    </row>
    <row r="833" spans="1:22" x14ac:dyDescent="0.25">
      <c r="A833" s="20">
        <v>42044</v>
      </c>
      <c r="B833" s="21">
        <v>11530</v>
      </c>
      <c r="C833" s="14" t="s">
        <v>128</v>
      </c>
      <c r="D833" s="105">
        <v>5288.4</v>
      </c>
      <c r="E833" s="23">
        <v>42044</v>
      </c>
      <c r="F833" s="106">
        <v>5288.4</v>
      </c>
      <c r="G833" s="31">
        <f t="shared" si="12"/>
        <v>0</v>
      </c>
      <c r="H833" s="19" t="s">
        <v>17</v>
      </c>
      <c r="K833" s="3"/>
      <c r="M833" s="3"/>
      <c r="N833" s="3"/>
      <c r="O833" s="3"/>
      <c r="P833" s="3"/>
      <c r="Q833" s="3"/>
      <c r="R833" s="3"/>
      <c r="S833" s="3"/>
      <c r="T833" s="3"/>
      <c r="U833" s="3"/>
      <c r="V833" s="3"/>
    </row>
    <row r="834" spans="1:22" x14ac:dyDescent="0.25">
      <c r="A834" s="20">
        <v>42044</v>
      </c>
      <c r="B834" s="21">
        <v>11531</v>
      </c>
      <c r="C834" s="14" t="s">
        <v>84</v>
      </c>
      <c r="D834" s="105">
        <v>50808.7</v>
      </c>
      <c r="E834" s="30" t="s">
        <v>610</v>
      </c>
      <c r="F834" s="106">
        <v>50808.7</v>
      </c>
      <c r="G834" s="31">
        <f t="shared" si="12"/>
        <v>0</v>
      </c>
      <c r="H834" s="19" t="s">
        <v>62</v>
      </c>
      <c r="I834" s="3"/>
      <c r="J834" s="42"/>
      <c r="K834" s="3"/>
      <c r="M834" s="3"/>
      <c r="N834" s="3"/>
      <c r="O834" s="3"/>
      <c r="P834" s="3"/>
      <c r="Q834" s="3"/>
      <c r="R834" s="3"/>
      <c r="S834" s="3"/>
      <c r="T834" s="3"/>
      <c r="U834" s="3"/>
      <c r="V834" s="3"/>
    </row>
    <row r="835" spans="1:22" x14ac:dyDescent="0.25">
      <c r="A835" s="20">
        <v>42044</v>
      </c>
      <c r="B835" s="21">
        <v>11532</v>
      </c>
      <c r="C835" s="14" t="s">
        <v>243</v>
      </c>
      <c r="D835" s="105">
        <v>1307.52</v>
      </c>
      <c r="E835" s="23">
        <v>42046</v>
      </c>
      <c r="F835" s="106">
        <v>1307.52</v>
      </c>
      <c r="G835" s="31">
        <f t="shared" ref="G835:G898" si="13">D835-F835</f>
        <v>0</v>
      </c>
      <c r="H835" s="19" t="s">
        <v>62</v>
      </c>
      <c r="I835" s="3"/>
      <c r="J835" s="42"/>
      <c r="K835" s="3"/>
      <c r="M835" s="3"/>
      <c r="N835" s="3"/>
      <c r="O835" s="3"/>
      <c r="P835" s="3"/>
      <c r="Q835" s="3"/>
      <c r="R835" s="3"/>
      <c r="S835" s="3"/>
      <c r="T835" s="3"/>
      <c r="U835" s="3"/>
      <c r="V835" s="3"/>
    </row>
    <row r="836" spans="1:22" x14ac:dyDescent="0.25">
      <c r="A836" s="20">
        <v>42044</v>
      </c>
      <c r="B836" s="21">
        <v>11533</v>
      </c>
      <c r="C836" s="14" t="s">
        <v>75</v>
      </c>
      <c r="D836" s="105">
        <v>16665</v>
      </c>
      <c r="E836" s="23">
        <v>42046</v>
      </c>
      <c r="F836" s="106">
        <v>16665</v>
      </c>
      <c r="G836" s="31">
        <f t="shared" si="13"/>
        <v>0</v>
      </c>
      <c r="H836" s="19" t="s">
        <v>62</v>
      </c>
      <c r="I836" s="3"/>
      <c r="J836" s="42"/>
      <c r="K836" s="3"/>
      <c r="M836" s="3"/>
      <c r="N836" s="3"/>
      <c r="O836" s="3"/>
      <c r="P836" s="3"/>
      <c r="Q836" s="3"/>
      <c r="R836" s="3"/>
      <c r="S836" s="3"/>
      <c r="T836" s="3"/>
      <c r="U836" s="3"/>
      <c r="V836" s="3"/>
    </row>
    <row r="837" spans="1:22" x14ac:dyDescent="0.25">
      <c r="A837" s="20">
        <v>42044</v>
      </c>
      <c r="B837" s="21">
        <v>11534</v>
      </c>
      <c r="C837" s="14" t="s">
        <v>108</v>
      </c>
      <c r="D837" s="105">
        <v>47435.1</v>
      </c>
      <c r="E837" s="29" t="s">
        <v>611</v>
      </c>
      <c r="F837" s="106">
        <f>15844+31591.1</f>
        <v>47435.1</v>
      </c>
      <c r="G837" s="31">
        <f t="shared" si="13"/>
        <v>0</v>
      </c>
      <c r="H837" s="19" t="s">
        <v>94</v>
      </c>
      <c r="I837" s="3"/>
      <c r="J837" s="42"/>
      <c r="K837" s="3"/>
      <c r="M837" s="3"/>
      <c r="N837" s="3"/>
      <c r="O837" s="3"/>
      <c r="P837" s="3"/>
      <c r="Q837" s="3"/>
      <c r="R837" s="3"/>
      <c r="S837" s="3"/>
      <c r="T837" s="3"/>
      <c r="U837" s="3"/>
      <c r="V837" s="3"/>
    </row>
    <row r="838" spans="1:22" x14ac:dyDescent="0.25">
      <c r="A838" s="20">
        <v>42044</v>
      </c>
      <c r="B838" s="21">
        <v>11535</v>
      </c>
      <c r="C838" s="14" t="s">
        <v>178</v>
      </c>
      <c r="D838" s="105">
        <v>4518</v>
      </c>
      <c r="E838" s="23">
        <v>42046</v>
      </c>
      <c r="F838" s="106">
        <v>4518</v>
      </c>
      <c r="G838" s="31">
        <f t="shared" si="13"/>
        <v>0</v>
      </c>
      <c r="H838" s="19" t="s">
        <v>62</v>
      </c>
      <c r="I838" s="3"/>
      <c r="J838" s="42"/>
      <c r="K838" s="3"/>
      <c r="M838" s="3"/>
      <c r="N838" s="3"/>
      <c r="O838" s="3"/>
      <c r="P838" s="3"/>
      <c r="Q838" s="3"/>
      <c r="R838" s="3"/>
      <c r="S838" s="3"/>
      <c r="T838" s="3"/>
      <c r="U838" s="3"/>
      <c r="V838" s="3"/>
    </row>
    <row r="839" spans="1:22" x14ac:dyDescent="0.25">
      <c r="A839" s="20">
        <v>42044</v>
      </c>
      <c r="B839" s="21">
        <v>11536</v>
      </c>
      <c r="C839" s="14" t="s">
        <v>136</v>
      </c>
      <c r="D839" s="105">
        <v>18951.400000000001</v>
      </c>
      <c r="E839" s="29" t="s">
        <v>612</v>
      </c>
      <c r="F839" s="106">
        <f>16000+2951.4</f>
        <v>18951.400000000001</v>
      </c>
      <c r="G839" s="31">
        <f t="shared" si="13"/>
        <v>0</v>
      </c>
      <c r="H839" s="19" t="s">
        <v>9</v>
      </c>
      <c r="I839" s="3"/>
      <c r="J839" s="42"/>
      <c r="K839" s="3"/>
      <c r="M839" s="3"/>
      <c r="N839" s="3"/>
      <c r="O839" s="3"/>
      <c r="P839" s="3"/>
      <c r="Q839" s="3"/>
      <c r="R839" s="3"/>
      <c r="S839" s="3"/>
      <c r="T839" s="3"/>
      <c r="U839" s="3"/>
      <c r="V839" s="3"/>
    </row>
    <row r="840" spans="1:22" x14ac:dyDescent="0.25">
      <c r="A840" s="20">
        <v>42044</v>
      </c>
      <c r="B840" s="21">
        <v>11537</v>
      </c>
      <c r="C840" s="14" t="s">
        <v>173</v>
      </c>
      <c r="D840" s="105">
        <v>45868.2</v>
      </c>
      <c r="E840" s="23">
        <v>42063</v>
      </c>
      <c r="F840" s="106">
        <v>45868.2</v>
      </c>
      <c r="G840" s="31">
        <f t="shared" si="13"/>
        <v>0</v>
      </c>
      <c r="H840" s="19" t="s">
        <v>62</v>
      </c>
      <c r="I840" s="3"/>
      <c r="J840" s="42"/>
      <c r="K840" s="3"/>
      <c r="M840" s="3"/>
      <c r="N840" s="3"/>
      <c r="O840" s="3"/>
      <c r="P840" s="3"/>
      <c r="Q840" s="3"/>
      <c r="R840" s="3"/>
      <c r="S840" s="3"/>
      <c r="T840" s="3"/>
      <c r="U840" s="3"/>
      <c r="V840" s="3"/>
    </row>
    <row r="841" spans="1:22" x14ac:dyDescent="0.25">
      <c r="A841" s="20">
        <v>42044</v>
      </c>
      <c r="B841" s="21">
        <v>11538</v>
      </c>
      <c r="C841" s="14" t="s">
        <v>72</v>
      </c>
      <c r="D841" s="105">
        <v>22816.86</v>
      </c>
      <c r="E841" s="30" t="s">
        <v>613</v>
      </c>
      <c r="F841" s="106">
        <v>22816.86</v>
      </c>
      <c r="G841" s="31">
        <f t="shared" si="13"/>
        <v>0</v>
      </c>
      <c r="H841" s="19" t="s">
        <v>62</v>
      </c>
      <c r="I841" s="3"/>
      <c r="J841" s="42"/>
      <c r="K841" s="3"/>
      <c r="M841" s="3"/>
      <c r="N841" s="3"/>
      <c r="O841" s="3"/>
      <c r="P841" s="3"/>
      <c r="Q841" s="3"/>
      <c r="R841" s="3"/>
      <c r="S841" s="3"/>
      <c r="T841" s="3"/>
      <c r="U841" s="3"/>
      <c r="V841" s="3"/>
    </row>
    <row r="842" spans="1:22" x14ac:dyDescent="0.25">
      <c r="A842" s="20">
        <v>42044</v>
      </c>
      <c r="B842" s="21">
        <v>11539</v>
      </c>
      <c r="C842" s="26" t="s">
        <v>12</v>
      </c>
      <c r="D842" s="108">
        <v>0</v>
      </c>
      <c r="E842" s="23"/>
      <c r="F842" s="106"/>
      <c r="G842" s="31">
        <f t="shared" si="13"/>
        <v>0</v>
      </c>
      <c r="H842" s="19" t="s">
        <v>13</v>
      </c>
      <c r="I842" s="3"/>
      <c r="J842" s="42"/>
      <c r="K842" s="3"/>
      <c r="M842" s="3"/>
      <c r="N842" s="3"/>
      <c r="O842" s="3"/>
      <c r="P842" s="3"/>
      <c r="Q842" s="3"/>
      <c r="R842" s="3"/>
      <c r="S842" s="3"/>
      <c r="T842" s="3"/>
      <c r="U842" s="3"/>
      <c r="V842" s="3"/>
    </row>
    <row r="843" spans="1:22" x14ac:dyDescent="0.25">
      <c r="A843" s="20">
        <v>42044</v>
      </c>
      <c r="B843" s="21">
        <v>11540</v>
      </c>
      <c r="C843" s="14" t="s">
        <v>176</v>
      </c>
      <c r="D843" s="105">
        <v>14315.8</v>
      </c>
      <c r="E843" s="30" t="s">
        <v>614</v>
      </c>
      <c r="F843" s="106">
        <v>14315.8</v>
      </c>
      <c r="G843" s="31">
        <f t="shared" si="13"/>
        <v>0</v>
      </c>
      <c r="H843" s="19" t="s">
        <v>62</v>
      </c>
      <c r="I843" s="3"/>
      <c r="J843" s="42"/>
      <c r="K843" s="3"/>
      <c r="M843" s="3"/>
      <c r="N843" s="3"/>
      <c r="O843" s="3"/>
      <c r="P843" s="3"/>
      <c r="Q843" s="3"/>
      <c r="R843" s="3"/>
      <c r="S843" s="3"/>
      <c r="T843" s="3"/>
      <c r="U843" s="3"/>
      <c r="V843" s="3"/>
    </row>
    <row r="844" spans="1:22" x14ac:dyDescent="0.25">
      <c r="A844" s="20">
        <v>42044</v>
      </c>
      <c r="B844" s="21">
        <v>11541</v>
      </c>
      <c r="C844" s="14" t="s">
        <v>170</v>
      </c>
      <c r="D844" s="105">
        <v>307.2</v>
      </c>
      <c r="E844" s="23">
        <v>42046</v>
      </c>
      <c r="F844" s="106">
        <v>307.2</v>
      </c>
      <c r="G844" s="31">
        <f t="shared" si="13"/>
        <v>0</v>
      </c>
      <c r="H844" s="19" t="s">
        <v>62</v>
      </c>
      <c r="I844" s="3"/>
      <c r="J844" s="42"/>
      <c r="K844" s="3"/>
      <c r="M844" s="3"/>
      <c r="N844" s="3"/>
      <c r="O844" s="3"/>
      <c r="P844" s="3"/>
      <c r="Q844" s="3"/>
      <c r="R844" s="3"/>
      <c r="S844" s="3"/>
      <c r="T844" s="3"/>
      <c r="U844" s="3"/>
      <c r="V844" s="3"/>
    </row>
    <row r="845" spans="1:22" x14ac:dyDescent="0.25">
      <c r="A845" s="20">
        <v>42044</v>
      </c>
      <c r="B845" s="21">
        <v>11542</v>
      </c>
      <c r="C845" s="14" t="s">
        <v>87</v>
      </c>
      <c r="D845" s="105">
        <v>2248.9</v>
      </c>
      <c r="E845" s="23">
        <v>42044</v>
      </c>
      <c r="F845" s="106">
        <v>2248.9</v>
      </c>
      <c r="G845" s="31">
        <f t="shared" si="13"/>
        <v>0</v>
      </c>
      <c r="H845" s="19" t="s">
        <v>41</v>
      </c>
      <c r="I845" s="3"/>
      <c r="J845" s="42"/>
      <c r="K845" s="3"/>
      <c r="M845" s="3"/>
      <c r="N845" s="3"/>
      <c r="O845" s="3"/>
      <c r="P845" s="3"/>
      <c r="Q845" s="3"/>
      <c r="R845" s="3"/>
      <c r="S845" s="3"/>
      <c r="T845" s="3"/>
      <c r="U845" s="3"/>
      <c r="V845" s="3"/>
    </row>
    <row r="846" spans="1:22" x14ac:dyDescent="0.25">
      <c r="A846" s="20">
        <v>42044</v>
      </c>
      <c r="B846" s="21">
        <v>11543</v>
      </c>
      <c r="C846" s="14" t="s">
        <v>172</v>
      </c>
      <c r="D846" s="105">
        <v>7017.6</v>
      </c>
      <c r="E846" s="23">
        <v>42046</v>
      </c>
      <c r="F846" s="106">
        <v>7017.6</v>
      </c>
      <c r="G846" s="31">
        <f t="shared" si="13"/>
        <v>0</v>
      </c>
      <c r="H846" s="19" t="s">
        <v>62</v>
      </c>
      <c r="I846" s="3"/>
      <c r="J846" s="42"/>
      <c r="K846" s="3"/>
      <c r="M846" s="3"/>
      <c r="N846" s="3"/>
      <c r="O846" s="3"/>
      <c r="P846" s="3"/>
      <c r="Q846" s="3"/>
      <c r="R846" s="3"/>
      <c r="S846" s="3"/>
      <c r="T846" s="3"/>
      <c r="U846" s="3"/>
      <c r="V846" s="3"/>
    </row>
    <row r="847" spans="1:22" x14ac:dyDescent="0.25">
      <c r="A847" s="20">
        <v>42044</v>
      </c>
      <c r="B847" s="21">
        <v>11544</v>
      </c>
      <c r="C847" s="14" t="s">
        <v>185</v>
      </c>
      <c r="D847" s="105">
        <v>56100.800000000003</v>
      </c>
      <c r="E847" s="23">
        <v>42044</v>
      </c>
      <c r="F847" s="106">
        <v>56100.800000000003</v>
      </c>
      <c r="G847" s="31">
        <f t="shared" si="13"/>
        <v>0</v>
      </c>
      <c r="H847" s="19" t="s">
        <v>46</v>
      </c>
      <c r="I847" s="3"/>
      <c r="J847" s="42"/>
      <c r="K847" s="3"/>
      <c r="M847" s="3"/>
      <c r="N847" s="3"/>
      <c r="O847" s="3"/>
      <c r="P847" s="3"/>
      <c r="Q847" s="3"/>
      <c r="R847" s="3"/>
      <c r="S847" s="3"/>
      <c r="T847" s="3"/>
      <c r="U847" s="3"/>
      <c r="V847" s="3"/>
    </row>
    <row r="848" spans="1:22" x14ac:dyDescent="0.25">
      <c r="A848" s="20">
        <v>42044</v>
      </c>
      <c r="B848" s="21">
        <v>11545</v>
      </c>
      <c r="C848" s="14" t="s">
        <v>141</v>
      </c>
      <c r="D848" s="105">
        <v>11864.2</v>
      </c>
      <c r="E848" s="29" t="s">
        <v>739</v>
      </c>
      <c r="F848" s="106">
        <f>8307.2+3557</f>
        <v>11864.2</v>
      </c>
      <c r="G848" s="31">
        <f t="shared" si="13"/>
        <v>0</v>
      </c>
      <c r="H848" s="19" t="s">
        <v>41</v>
      </c>
      <c r="I848" s="3"/>
      <c r="J848" s="42"/>
      <c r="K848" s="3"/>
      <c r="M848" s="3"/>
      <c r="N848" s="3"/>
      <c r="O848" s="3"/>
      <c r="P848" s="3"/>
      <c r="Q848" s="3"/>
      <c r="R848" s="3"/>
      <c r="S848" s="3"/>
      <c r="T848" s="3"/>
      <c r="U848" s="3"/>
      <c r="V848" s="3"/>
    </row>
    <row r="849" spans="1:22" x14ac:dyDescent="0.25">
      <c r="A849" s="20">
        <v>42044</v>
      </c>
      <c r="B849" s="21">
        <v>11546</v>
      </c>
      <c r="C849" s="14" t="s">
        <v>61</v>
      </c>
      <c r="D849" s="105">
        <v>5707.9</v>
      </c>
      <c r="E849" s="23">
        <v>42046</v>
      </c>
      <c r="F849" s="106">
        <v>5707.9</v>
      </c>
      <c r="G849" s="31">
        <f t="shared" si="13"/>
        <v>0</v>
      </c>
      <c r="H849" s="19" t="s">
        <v>62</v>
      </c>
      <c r="I849" s="3"/>
      <c r="J849" s="42"/>
      <c r="K849" s="3"/>
      <c r="M849" s="3"/>
      <c r="N849" s="3"/>
      <c r="O849" s="3"/>
      <c r="P849" s="3"/>
      <c r="Q849" s="3"/>
      <c r="R849" s="3"/>
      <c r="S849" s="3"/>
      <c r="T849" s="3"/>
      <c r="U849" s="3"/>
      <c r="V849" s="3"/>
    </row>
    <row r="850" spans="1:22" x14ac:dyDescent="0.25">
      <c r="A850" s="20">
        <v>42044</v>
      </c>
      <c r="B850" s="21">
        <v>11547</v>
      </c>
      <c r="C850" s="14" t="s">
        <v>549</v>
      </c>
      <c r="D850" s="105">
        <v>30001.4</v>
      </c>
      <c r="E850" s="23">
        <v>42044</v>
      </c>
      <c r="F850" s="106">
        <v>30001.4</v>
      </c>
      <c r="G850" s="31">
        <f t="shared" si="13"/>
        <v>0</v>
      </c>
      <c r="H850" s="19" t="s">
        <v>46</v>
      </c>
      <c r="J850" s="107"/>
      <c r="K850" s="3"/>
      <c r="M850" s="3"/>
      <c r="N850" s="3"/>
      <c r="O850" s="3"/>
      <c r="P850" s="3"/>
      <c r="Q850" s="3"/>
      <c r="R850" s="3"/>
      <c r="S850" s="3"/>
      <c r="T850" s="3"/>
      <c r="U850" s="3"/>
      <c r="V850" s="3"/>
    </row>
    <row r="851" spans="1:22" x14ac:dyDescent="0.25">
      <c r="A851" s="20">
        <v>42044</v>
      </c>
      <c r="B851" s="21">
        <v>11548</v>
      </c>
      <c r="C851" s="14" t="s">
        <v>325</v>
      </c>
      <c r="D851" s="105">
        <v>3044.9</v>
      </c>
      <c r="E851" s="23">
        <v>42044</v>
      </c>
      <c r="F851" s="106">
        <v>3044.9</v>
      </c>
      <c r="G851" s="31">
        <f t="shared" si="13"/>
        <v>0</v>
      </c>
      <c r="H851" s="19" t="s">
        <v>41</v>
      </c>
      <c r="K851" s="3"/>
      <c r="M851" s="3"/>
      <c r="N851" s="3"/>
      <c r="O851" s="3"/>
      <c r="P851" s="3"/>
      <c r="Q851" s="3"/>
      <c r="R851" s="3"/>
      <c r="S851" s="3"/>
      <c r="T851" s="3"/>
      <c r="U851" s="3"/>
      <c r="V851" s="3"/>
    </row>
    <row r="852" spans="1:22" x14ac:dyDescent="0.25">
      <c r="A852" s="20">
        <v>42044</v>
      </c>
      <c r="B852" s="21">
        <v>11549</v>
      </c>
      <c r="C852" s="14" t="s">
        <v>180</v>
      </c>
      <c r="D852" s="105">
        <v>6411.5</v>
      </c>
      <c r="E852" s="23">
        <v>42044</v>
      </c>
      <c r="F852" s="106">
        <v>6411.5</v>
      </c>
      <c r="G852" s="31">
        <f t="shared" si="13"/>
        <v>0</v>
      </c>
      <c r="H852" s="19" t="s">
        <v>9</v>
      </c>
      <c r="K852" s="3"/>
      <c r="M852" s="3"/>
      <c r="N852" s="3"/>
      <c r="O852" s="3"/>
      <c r="P852" s="3"/>
      <c r="Q852" s="3"/>
      <c r="R852" s="3"/>
      <c r="S852" s="3"/>
      <c r="T852" s="3"/>
      <c r="U852" s="3"/>
      <c r="V852" s="3"/>
    </row>
    <row r="853" spans="1:22" x14ac:dyDescent="0.25">
      <c r="A853" s="20">
        <v>42044</v>
      </c>
      <c r="B853" s="21">
        <v>11550</v>
      </c>
      <c r="C853" s="14" t="s">
        <v>104</v>
      </c>
      <c r="D853" s="105">
        <v>21543.8</v>
      </c>
      <c r="E853" s="23">
        <v>42045</v>
      </c>
      <c r="F853" s="106">
        <v>21543.8</v>
      </c>
      <c r="G853" s="31">
        <f t="shared" si="13"/>
        <v>0</v>
      </c>
      <c r="H853" s="19" t="s">
        <v>19</v>
      </c>
      <c r="K853" s="3"/>
      <c r="M853" s="3"/>
      <c r="N853" s="3"/>
      <c r="O853" s="3"/>
      <c r="P853" s="3"/>
      <c r="Q853" s="3"/>
      <c r="R853" s="3"/>
      <c r="S853" s="3"/>
      <c r="T853" s="3"/>
      <c r="U853" s="3"/>
      <c r="V853" s="3"/>
    </row>
    <row r="854" spans="1:22" x14ac:dyDescent="0.25">
      <c r="A854" s="20">
        <v>42044</v>
      </c>
      <c r="B854" s="21">
        <v>11551</v>
      </c>
      <c r="C854" s="14" t="s">
        <v>250</v>
      </c>
      <c r="D854" s="105">
        <v>1094.4000000000001</v>
      </c>
      <c r="E854" s="23">
        <v>42045</v>
      </c>
      <c r="F854" s="106">
        <v>1094.4000000000001</v>
      </c>
      <c r="G854" s="31">
        <f t="shared" si="13"/>
        <v>0</v>
      </c>
      <c r="H854" s="19" t="s">
        <v>19</v>
      </c>
      <c r="K854" s="3"/>
      <c r="M854" s="3"/>
      <c r="N854" s="3"/>
      <c r="O854" s="3"/>
      <c r="P854" s="3"/>
      <c r="Q854" s="3"/>
      <c r="R854" s="3"/>
      <c r="S854" s="3"/>
      <c r="T854" s="3"/>
      <c r="U854" s="3"/>
      <c r="V854" s="3"/>
    </row>
    <row r="855" spans="1:22" x14ac:dyDescent="0.25">
      <c r="A855" s="20">
        <v>42044</v>
      </c>
      <c r="B855" s="21">
        <v>11552</v>
      </c>
      <c r="C855" s="14" t="s">
        <v>98</v>
      </c>
      <c r="D855" s="105">
        <v>2429.1999999999998</v>
      </c>
      <c r="E855" s="23">
        <v>42045</v>
      </c>
      <c r="F855" s="106">
        <v>2429.1999999999998</v>
      </c>
      <c r="G855" s="31">
        <f t="shared" si="13"/>
        <v>0</v>
      </c>
      <c r="H855" s="19" t="s">
        <v>19</v>
      </c>
      <c r="J855" s="107"/>
      <c r="K855" s="3"/>
      <c r="M855" s="3"/>
      <c r="N855" s="3"/>
      <c r="O855" s="3"/>
      <c r="P855" s="3"/>
      <c r="Q855" s="3"/>
      <c r="R855" s="3"/>
      <c r="S855" s="3"/>
      <c r="T855" s="3"/>
      <c r="U855" s="3"/>
      <c r="V855" s="3"/>
    </row>
    <row r="856" spans="1:22" x14ac:dyDescent="0.25">
      <c r="A856" s="20">
        <v>42044</v>
      </c>
      <c r="B856" s="21">
        <v>11553</v>
      </c>
      <c r="C856" s="14" t="s">
        <v>93</v>
      </c>
      <c r="D856" s="105">
        <v>1675.8</v>
      </c>
      <c r="E856" s="23">
        <v>42045</v>
      </c>
      <c r="F856" s="106">
        <v>1675.8</v>
      </c>
      <c r="G856" s="31">
        <f t="shared" si="13"/>
        <v>0</v>
      </c>
      <c r="H856" s="19" t="s">
        <v>19</v>
      </c>
      <c r="K856" s="3"/>
      <c r="M856" s="3"/>
      <c r="N856" s="3"/>
      <c r="O856" s="3"/>
      <c r="P856" s="3"/>
      <c r="Q856" s="3"/>
      <c r="R856" s="3"/>
      <c r="S856" s="3"/>
      <c r="T856" s="3"/>
      <c r="U856" s="3"/>
      <c r="V856" s="3"/>
    </row>
    <row r="857" spans="1:22" x14ac:dyDescent="0.25">
      <c r="A857" s="20">
        <v>42044</v>
      </c>
      <c r="B857" s="21">
        <v>11554</v>
      </c>
      <c r="C857" s="14" t="s">
        <v>96</v>
      </c>
      <c r="D857" s="105">
        <v>3269.6</v>
      </c>
      <c r="E857" s="23">
        <v>42045</v>
      </c>
      <c r="F857" s="106">
        <v>3269.6</v>
      </c>
      <c r="G857" s="31">
        <f t="shared" si="13"/>
        <v>0</v>
      </c>
      <c r="H857" s="19" t="s">
        <v>19</v>
      </c>
      <c r="K857" s="3"/>
      <c r="M857" s="3"/>
      <c r="N857" s="3"/>
      <c r="O857" s="3"/>
      <c r="P857" s="3"/>
      <c r="Q857" s="3"/>
      <c r="R857" s="3"/>
      <c r="S857" s="3"/>
      <c r="T857" s="3"/>
      <c r="U857" s="3"/>
      <c r="V857" s="3"/>
    </row>
    <row r="858" spans="1:22" x14ac:dyDescent="0.25">
      <c r="A858" s="20">
        <v>42044</v>
      </c>
      <c r="B858" s="21">
        <v>11555</v>
      </c>
      <c r="C858" s="14" t="s">
        <v>615</v>
      </c>
      <c r="D858" s="105">
        <v>5056.8</v>
      </c>
      <c r="E858" s="23">
        <v>42045</v>
      </c>
      <c r="F858" s="106">
        <v>5056.8</v>
      </c>
      <c r="G858" s="31">
        <f t="shared" si="13"/>
        <v>0</v>
      </c>
      <c r="H858" s="19" t="s">
        <v>19</v>
      </c>
      <c r="K858" s="3"/>
      <c r="M858" s="3"/>
      <c r="N858" s="3"/>
      <c r="O858" s="3"/>
      <c r="P858" s="3"/>
      <c r="Q858" s="3"/>
      <c r="R858" s="3"/>
      <c r="S858" s="3"/>
      <c r="T858" s="3"/>
      <c r="U858" s="3"/>
      <c r="V858" s="3"/>
    </row>
    <row r="859" spans="1:22" x14ac:dyDescent="0.25">
      <c r="A859" s="20">
        <v>42044</v>
      </c>
      <c r="B859" s="21">
        <v>11556</v>
      </c>
      <c r="C859" s="14" t="s">
        <v>179</v>
      </c>
      <c r="D859" s="105">
        <v>5023.3999999999996</v>
      </c>
      <c r="E859" s="23">
        <v>42045</v>
      </c>
      <c r="F859" s="106">
        <v>5023.3999999999996</v>
      </c>
      <c r="G859" s="31">
        <f t="shared" si="13"/>
        <v>0</v>
      </c>
      <c r="H859" s="19" t="s">
        <v>19</v>
      </c>
      <c r="K859" s="3"/>
      <c r="M859" s="3"/>
      <c r="N859" s="3"/>
      <c r="O859" s="3"/>
      <c r="P859" s="3"/>
      <c r="Q859" s="3"/>
      <c r="R859" s="3"/>
      <c r="S859" s="3"/>
      <c r="T859" s="3"/>
      <c r="U859" s="3"/>
      <c r="V859" s="3"/>
    </row>
    <row r="860" spans="1:22" x14ac:dyDescent="0.25">
      <c r="A860" s="20">
        <v>42044</v>
      </c>
      <c r="B860" s="21">
        <v>11557</v>
      </c>
      <c r="C860" s="14" t="s">
        <v>393</v>
      </c>
      <c r="D860" s="105">
        <v>976.9</v>
      </c>
      <c r="E860" s="23">
        <v>42045</v>
      </c>
      <c r="F860" s="106">
        <v>976.9</v>
      </c>
      <c r="G860" s="31">
        <f t="shared" si="13"/>
        <v>0</v>
      </c>
      <c r="H860" s="19" t="s">
        <v>19</v>
      </c>
      <c r="K860" s="3"/>
      <c r="M860" s="3"/>
      <c r="N860" s="3"/>
      <c r="O860" s="3"/>
      <c r="P860" s="3"/>
      <c r="Q860" s="3"/>
      <c r="R860" s="3"/>
      <c r="S860" s="3"/>
      <c r="T860" s="3"/>
      <c r="U860" s="3"/>
      <c r="V860" s="3"/>
    </row>
    <row r="861" spans="1:22" x14ac:dyDescent="0.25">
      <c r="A861" s="20">
        <v>42044</v>
      </c>
      <c r="B861" s="21">
        <v>11558</v>
      </c>
      <c r="C861" s="14" t="s">
        <v>111</v>
      </c>
      <c r="D861" s="105">
        <v>345612</v>
      </c>
      <c r="E861" s="23">
        <v>42046</v>
      </c>
      <c r="F861" s="106">
        <v>345612</v>
      </c>
      <c r="G861" s="31">
        <f t="shared" si="13"/>
        <v>0</v>
      </c>
      <c r="H861" s="19" t="s">
        <v>9</v>
      </c>
      <c r="K861" s="3"/>
      <c r="M861" s="3"/>
      <c r="N861" s="3"/>
      <c r="O861" s="3"/>
      <c r="P861" s="3"/>
      <c r="Q861" s="3"/>
      <c r="R861" s="3"/>
      <c r="S861" s="3"/>
      <c r="T861" s="3"/>
      <c r="U861" s="3"/>
      <c r="V861" s="3"/>
    </row>
    <row r="862" spans="1:22" x14ac:dyDescent="0.25">
      <c r="A862" s="20">
        <v>42044</v>
      </c>
      <c r="B862" s="21">
        <v>11559</v>
      </c>
      <c r="C862" s="14" t="s">
        <v>111</v>
      </c>
      <c r="D862" s="105">
        <v>214179</v>
      </c>
      <c r="E862" s="23">
        <v>42046</v>
      </c>
      <c r="F862" s="106">
        <v>214179</v>
      </c>
      <c r="G862" s="31">
        <f t="shared" si="13"/>
        <v>0</v>
      </c>
      <c r="H862" s="19" t="s">
        <v>9</v>
      </c>
      <c r="K862" s="3"/>
      <c r="M862" s="3"/>
      <c r="N862" s="3"/>
      <c r="O862" s="3"/>
      <c r="P862" s="3"/>
      <c r="Q862" s="3"/>
      <c r="R862" s="3"/>
      <c r="S862" s="3"/>
      <c r="T862" s="3"/>
      <c r="U862" s="3"/>
      <c r="V862" s="3"/>
    </row>
    <row r="863" spans="1:22" x14ac:dyDescent="0.25">
      <c r="A863" s="20">
        <v>42044</v>
      </c>
      <c r="B863" s="21">
        <v>11560</v>
      </c>
      <c r="C863" s="14" t="s">
        <v>616</v>
      </c>
      <c r="D863" s="105">
        <v>4680</v>
      </c>
      <c r="E863" s="23">
        <v>42044</v>
      </c>
      <c r="F863" s="106">
        <v>4680</v>
      </c>
      <c r="G863" s="31">
        <f t="shared" si="13"/>
        <v>0</v>
      </c>
      <c r="H863" s="19" t="s">
        <v>9</v>
      </c>
      <c r="K863" s="3"/>
      <c r="M863" s="3"/>
      <c r="N863" s="3"/>
      <c r="O863" s="3"/>
      <c r="P863" s="3"/>
      <c r="Q863" s="3"/>
      <c r="R863" s="3"/>
      <c r="S863" s="3"/>
      <c r="T863" s="3"/>
      <c r="U863" s="3"/>
      <c r="V863" s="3"/>
    </row>
    <row r="864" spans="1:22" x14ac:dyDescent="0.25">
      <c r="A864" s="20">
        <v>42044</v>
      </c>
      <c r="B864" s="21">
        <v>11561</v>
      </c>
      <c r="C864" s="14" t="s">
        <v>28</v>
      </c>
      <c r="D864" s="105">
        <v>240</v>
      </c>
      <c r="E864" s="23">
        <v>42044</v>
      </c>
      <c r="F864" s="106">
        <v>240</v>
      </c>
      <c r="G864" s="31">
        <f t="shared" si="13"/>
        <v>0</v>
      </c>
      <c r="H864" s="19" t="s">
        <v>9</v>
      </c>
      <c r="K864" s="3"/>
      <c r="M864" s="3"/>
      <c r="N864" s="3"/>
      <c r="O864" s="3"/>
      <c r="P864" s="3"/>
      <c r="Q864" s="3"/>
      <c r="R864" s="3"/>
      <c r="S864" s="3"/>
      <c r="T864" s="3"/>
      <c r="U864" s="3"/>
      <c r="V864" s="3"/>
    </row>
    <row r="865" spans="1:22" x14ac:dyDescent="0.25">
      <c r="A865" s="20">
        <v>42044</v>
      </c>
      <c r="B865" s="21">
        <v>11562</v>
      </c>
      <c r="C865" s="14" t="s">
        <v>121</v>
      </c>
      <c r="D865" s="105">
        <v>2128</v>
      </c>
      <c r="E865" s="23">
        <v>42044</v>
      </c>
      <c r="F865" s="106">
        <v>2128</v>
      </c>
      <c r="G865" s="31">
        <f t="shared" si="13"/>
        <v>0</v>
      </c>
      <c r="H865" s="19" t="s">
        <v>9</v>
      </c>
      <c r="K865" s="3"/>
      <c r="M865" s="3"/>
      <c r="N865" s="3"/>
      <c r="O865" s="3"/>
      <c r="P865" s="3"/>
      <c r="Q865" s="3"/>
      <c r="R865" s="3"/>
      <c r="S865" s="3"/>
      <c r="T865" s="3"/>
      <c r="U865" s="3"/>
      <c r="V865" s="3"/>
    </row>
    <row r="866" spans="1:22" x14ac:dyDescent="0.25">
      <c r="A866" s="20">
        <v>42044</v>
      </c>
      <c r="B866" s="21">
        <v>11563</v>
      </c>
      <c r="C866" s="14" t="s">
        <v>64</v>
      </c>
      <c r="D866" s="105">
        <v>924</v>
      </c>
      <c r="E866" s="23">
        <v>42044</v>
      </c>
      <c r="F866" s="106">
        <v>924</v>
      </c>
      <c r="G866" s="31">
        <f t="shared" si="13"/>
        <v>0</v>
      </c>
      <c r="H866" s="19" t="s">
        <v>9</v>
      </c>
      <c r="I866" s="3"/>
      <c r="J866" s="42"/>
      <c r="K866" s="3"/>
      <c r="M866" s="3"/>
      <c r="N866" s="3"/>
      <c r="O866" s="3"/>
      <c r="P866" s="3"/>
      <c r="Q866" s="3"/>
      <c r="R866" s="3"/>
      <c r="S866" s="3"/>
      <c r="T866" s="3"/>
      <c r="U866" s="3"/>
      <c r="V866" s="3"/>
    </row>
    <row r="867" spans="1:22" x14ac:dyDescent="0.25">
      <c r="A867" s="20">
        <v>42044</v>
      </c>
      <c r="B867" s="21">
        <v>11564</v>
      </c>
      <c r="C867" s="14" t="s">
        <v>108</v>
      </c>
      <c r="D867" s="105">
        <v>14184</v>
      </c>
      <c r="E867" s="23">
        <v>42047</v>
      </c>
      <c r="F867" s="106">
        <v>14184</v>
      </c>
      <c r="G867" s="31">
        <f t="shared" si="13"/>
        <v>0</v>
      </c>
      <c r="H867" s="19" t="s">
        <v>17</v>
      </c>
      <c r="I867" s="3"/>
      <c r="J867" s="42"/>
      <c r="K867" s="3"/>
      <c r="M867" s="3"/>
      <c r="N867" s="3"/>
      <c r="O867" s="3"/>
      <c r="P867" s="3"/>
      <c r="Q867" s="3"/>
      <c r="R867" s="3"/>
      <c r="S867" s="3"/>
      <c r="T867" s="3"/>
      <c r="U867" s="3"/>
      <c r="V867" s="3"/>
    </row>
    <row r="868" spans="1:22" x14ac:dyDescent="0.25">
      <c r="A868" s="20">
        <v>42044</v>
      </c>
      <c r="B868" s="21">
        <v>11565</v>
      </c>
      <c r="C868" s="14" t="s">
        <v>203</v>
      </c>
      <c r="D868" s="105">
        <v>23273.200000000001</v>
      </c>
      <c r="E868" s="23">
        <v>42046</v>
      </c>
      <c r="F868" s="106">
        <v>23273.200000000001</v>
      </c>
      <c r="G868" s="31">
        <f t="shared" si="13"/>
        <v>0</v>
      </c>
      <c r="H868" s="19" t="s">
        <v>149</v>
      </c>
      <c r="I868" s="3"/>
      <c r="J868" s="42"/>
      <c r="K868" s="3"/>
      <c r="M868" s="3"/>
      <c r="N868" s="3"/>
      <c r="O868" s="3"/>
      <c r="P868" s="3"/>
      <c r="Q868" s="3"/>
      <c r="R868" s="3"/>
      <c r="S868" s="3"/>
      <c r="T868" s="3"/>
      <c r="U868" s="3"/>
      <c r="V868" s="3"/>
    </row>
    <row r="869" spans="1:22" x14ac:dyDescent="0.25">
      <c r="A869" s="20">
        <v>42044</v>
      </c>
      <c r="B869" s="21">
        <v>11566</v>
      </c>
      <c r="C869" s="14" t="s">
        <v>264</v>
      </c>
      <c r="D869" s="105">
        <v>24186.75</v>
      </c>
      <c r="E869" s="23">
        <v>42044</v>
      </c>
      <c r="F869" s="106">
        <v>24186.75</v>
      </c>
      <c r="G869" s="31">
        <f t="shared" si="13"/>
        <v>0</v>
      </c>
      <c r="H869" s="19" t="s">
        <v>94</v>
      </c>
      <c r="I869" s="3"/>
      <c r="J869" s="42"/>
      <c r="K869" s="3"/>
      <c r="M869" s="3"/>
      <c r="N869" s="3"/>
      <c r="O869" s="3"/>
      <c r="P869" s="3"/>
      <c r="Q869" s="3"/>
      <c r="R869" s="3"/>
      <c r="S869" s="3"/>
      <c r="T869" s="3"/>
      <c r="U869" s="3"/>
      <c r="V869" s="3"/>
    </row>
    <row r="870" spans="1:22" x14ac:dyDescent="0.25">
      <c r="A870" s="20">
        <v>42044</v>
      </c>
      <c r="B870" s="21">
        <v>11567</v>
      </c>
      <c r="C870" s="14" t="s">
        <v>110</v>
      </c>
      <c r="D870" s="105">
        <v>4611.8</v>
      </c>
      <c r="E870" s="23">
        <v>42051</v>
      </c>
      <c r="F870" s="106">
        <v>4611.8</v>
      </c>
      <c r="G870" s="31">
        <f t="shared" si="13"/>
        <v>0</v>
      </c>
      <c r="H870" s="19" t="s">
        <v>94</v>
      </c>
      <c r="I870" s="3"/>
      <c r="J870" s="42"/>
      <c r="K870" s="3"/>
      <c r="M870" s="3"/>
      <c r="N870" s="3"/>
      <c r="O870" s="3"/>
      <c r="P870" s="3"/>
      <c r="Q870" s="3"/>
      <c r="R870" s="3"/>
      <c r="S870" s="3"/>
      <c r="T870" s="3"/>
      <c r="U870" s="3"/>
      <c r="V870" s="3"/>
    </row>
    <row r="871" spans="1:22" x14ac:dyDescent="0.25">
      <c r="A871" s="20">
        <v>42044</v>
      </c>
      <c r="B871" s="21">
        <v>11568</v>
      </c>
      <c r="C871" s="14" t="s">
        <v>199</v>
      </c>
      <c r="D871" s="105">
        <v>18459.599999999999</v>
      </c>
      <c r="E871" s="23">
        <v>42046</v>
      </c>
      <c r="F871" s="106">
        <v>18459.599999999999</v>
      </c>
      <c r="G871" s="31">
        <f t="shared" si="13"/>
        <v>0</v>
      </c>
      <c r="H871" s="19" t="s">
        <v>149</v>
      </c>
      <c r="I871" s="3"/>
      <c r="J871" s="42"/>
      <c r="K871" s="3"/>
      <c r="M871" s="3"/>
      <c r="N871" s="3"/>
      <c r="O871" s="3"/>
      <c r="P871" s="3"/>
      <c r="Q871" s="3"/>
      <c r="R871" s="3"/>
      <c r="S871" s="3"/>
      <c r="T871" s="3"/>
      <c r="U871" s="3"/>
      <c r="V871" s="3"/>
    </row>
    <row r="872" spans="1:22" x14ac:dyDescent="0.25">
      <c r="A872" s="20">
        <v>42044</v>
      </c>
      <c r="B872" s="21">
        <v>11569</v>
      </c>
      <c r="C872" s="14" t="s">
        <v>47</v>
      </c>
      <c r="D872" s="105">
        <v>6980</v>
      </c>
      <c r="E872" s="23">
        <v>42046</v>
      </c>
      <c r="F872" s="106">
        <v>6980</v>
      </c>
      <c r="G872" s="31">
        <f t="shared" si="13"/>
        <v>0</v>
      </c>
      <c r="H872" s="19" t="s">
        <v>9</v>
      </c>
      <c r="I872" s="3"/>
      <c r="J872" s="42"/>
      <c r="K872" s="3"/>
      <c r="M872" s="3"/>
      <c r="N872" s="3"/>
      <c r="O872" s="3"/>
      <c r="P872" s="3"/>
      <c r="Q872" s="3"/>
      <c r="R872" s="3"/>
      <c r="S872" s="3"/>
      <c r="T872" s="3"/>
      <c r="U872" s="3"/>
      <c r="V872" s="3"/>
    </row>
    <row r="873" spans="1:22" x14ac:dyDescent="0.25">
      <c r="A873" s="20">
        <v>42044</v>
      </c>
      <c r="B873" s="21">
        <v>11570</v>
      </c>
      <c r="C873" s="14" t="s">
        <v>55</v>
      </c>
      <c r="D873" s="105">
        <v>23735.4</v>
      </c>
      <c r="E873" s="23">
        <v>42046</v>
      </c>
      <c r="F873" s="106">
        <v>23735.4</v>
      </c>
      <c r="G873" s="31">
        <f t="shared" si="13"/>
        <v>0</v>
      </c>
      <c r="H873" s="19" t="s">
        <v>36</v>
      </c>
      <c r="I873" s="3"/>
      <c r="J873" s="42"/>
      <c r="K873" s="3"/>
      <c r="M873" s="3"/>
      <c r="N873" s="3"/>
      <c r="O873" s="3"/>
      <c r="P873" s="3"/>
      <c r="Q873" s="3"/>
      <c r="R873" s="3"/>
      <c r="S873" s="3"/>
      <c r="T873" s="3"/>
      <c r="U873" s="3"/>
      <c r="V873" s="3"/>
    </row>
    <row r="874" spans="1:22" x14ac:dyDescent="0.25">
      <c r="A874" s="20">
        <v>42044</v>
      </c>
      <c r="B874" s="21">
        <v>11571</v>
      </c>
      <c r="C874" s="14" t="s">
        <v>68</v>
      </c>
      <c r="D874" s="105">
        <v>1528.8</v>
      </c>
      <c r="E874" s="23">
        <v>42046</v>
      </c>
      <c r="F874" s="106">
        <v>1528.8</v>
      </c>
      <c r="G874" s="31">
        <f t="shared" si="13"/>
        <v>0</v>
      </c>
      <c r="H874" s="19" t="s">
        <v>149</v>
      </c>
      <c r="I874" s="3"/>
      <c r="J874" s="42"/>
      <c r="K874" s="3"/>
      <c r="M874" s="3"/>
      <c r="N874" s="3"/>
      <c r="O874" s="3"/>
      <c r="P874" s="3"/>
      <c r="Q874" s="3"/>
      <c r="R874" s="3"/>
      <c r="S874" s="3"/>
      <c r="T874" s="3"/>
      <c r="U874" s="3"/>
      <c r="V874" s="3"/>
    </row>
    <row r="875" spans="1:22" x14ac:dyDescent="0.25">
      <c r="A875" s="20">
        <v>42044</v>
      </c>
      <c r="B875" s="21">
        <v>11572</v>
      </c>
      <c r="C875" s="14" t="s">
        <v>207</v>
      </c>
      <c r="D875" s="105">
        <v>49317.760000000002</v>
      </c>
      <c r="E875" s="23">
        <v>42049</v>
      </c>
      <c r="F875" s="106">
        <v>49317.760000000002</v>
      </c>
      <c r="G875" s="31">
        <f t="shared" si="13"/>
        <v>0</v>
      </c>
      <c r="H875" s="19" t="s">
        <v>149</v>
      </c>
      <c r="I875" s="3"/>
      <c r="J875" s="42"/>
      <c r="K875" s="3"/>
      <c r="M875" s="3"/>
      <c r="N875" s="3"/>
      <c r="O875" s="3"/>
      <c r="P875" s="3"/>
      <c r="Q875" s="3"/>
      <c r="R875" s="3"/>
      <c r="S875" s="3"/>
      <c r="T875" s="3"/>
      <c r="U875" s="3"/>
      <c r="V875" s="3"/>
    </row>
    <row r="876" spans="1:22" x14ac:dyDescent="0.25">
      <c r="A876" s="20">
        <v>42044</v>
      </c>
      <c r="B876" s="21">
        <v>11573</v>
      </c>
      <c r="C876" s="14" t="s">
        <v>90</v>
      </c>
      <c r="D876" s="105">
        <v>1463.2</v>
      </c>
      <c r="E876" s="23">
        <v>42044</v>
      </c>
      <c r="F876" s="106">
        <v>1463.2</v>
      </c>
      <c r="G876" s="31">
        <f t="shared" si="13"/>
        <v>0</v>
      </c>
      <c r="H876" s="19" t="s">
        <v>9</v>
      </c>
      <c r="I876" s="3"/>
      <c r="J876" s="42"/>
      <c r="K876" s="3"/>
      <c r="M876" s="3"/>
      <c r="N876" s="3"/>
      <c r="O876" s="3"/>
      <c r="P876" s="3"/>
      <c r="Q876" s="3"/>
      <c r="R876" s="3"/>
      <c r="S876" s="3"/>
      <c r="T876" s="3"/>
      <c r="U876" s="3"/>
      <c r="V876" s="3"/>
    </row>
    <row r="877" spans="1:22" x14ac:dyDescent="0.25">
      <c r="A877" s="20">
        <v>42044</v>
      </c>
      <c r="B877" s="21">
        <v>11574</v>
      </c>
      <c r="C877" s="14" t="s">
        <v>68</v>
      </c>
      <c r="D877" s="105">
        <v>5409.6</v>
      </c>
      <c r="E877" s="23">
        <v>42046</v>
      </c>
      <c r="F877" s="106">
        <v>5409.6</v>
      </c>
      <c r="G877" s="31">
        <f t="shared" si="13"/>
        <v>0</v>
      </c>
      <c r="H877" s="19" t="s">
        <v>149</v>
      </c>
      <c r="I877" s="3"/>
      <c r="J877" s="42"/>
      <c r="K877" s="3"/>
      <c r="M877" s="3"/>
      <c r="N877" s="3"/>
      <c r="O877" s="3"/>
      <c r="P877" s="3"/>
      <c r="Q877" s="3"/>
      <c r="R877" s="3"/>
      <c r="S877" s="3"/>
      <c r="T877" s="3"/>
      <c r="U877" s="3"/>
      <c r="V877" s="3"/>
    </row>
    <row r="878" spans="1:22" x14ac:dyDescent="0.25">
      <c r="A878" s="20">
        <v>42044</v>
      </c>
      <c r="B878" s="21">
        <v>11575</v>
      </c>
      <c r="C878" s="14" t="s">
        <v>471</v>
      </c>
      <c r="D878" s="105">
        <v>2644.8</v>
      </c>
      <c r="E878" s="23">
        <v>42046</v>
      </c>
      <c r="F878" s="106">
        <v>2644.8</v>
      </c>
      <c r="G878" s="31">
        <f t="shared" si="13"/>
        <v>0</v>
      </c>
      <c r="H878" s="19" t="s">
        <v>149</v>
      </c>
      <c r="I878" s="3"/>
      <c r="J878" s="42"/>
      <c r="K878" s="3"/>
      <c r="M878" s="3"/>
      <c r="N878" s="3"/>
      <c r="O878" s="3"/>
      <c r="P878" s="3"/>
      <c r="Q878" s="3"/>
      <c r="R878" s="3"/>
      <c r="S878" s="3"/>
      <c r="T878" s="3"/>
      <c r="U878" s="3"/>
      <c r="V878" s="3"/>
    </row>
    <row r="879" spans="1:22" x14ac:dyDescent="0.25">
      <c r="A879" s="20">
        <v>42044</v>
      </c>
      <c r="B879" s="21">
        <v>11576</v>
      </c>
      <c r="C879" s="14" t="s">
        <v>24</v>
      </c>
      <c r="D879" s="105">
        <v>83640.5</v>
      </c>
      <c r="E879" s="23">
        <v>42063</v>
      </c>
      <c r="F879" s="106">
        <v>83640.5</v>
      </c>
      <c r="G879" s="31">
        <f t="shared" si="13"/>
        <v>0</v>
      </c>
      <c r="H879" s="19" t="s">
        <v>312</v>
      </c>
      <c r="I879" s="3"/>
      <c r="J879" s="42"/>
      <c r="K879" s="3"/>
      <c r="M879" s="3"/>
      <c r="N879" s="3"/>
      <c r="O879" s="3"/>
      <c r="P879" s="3"/>
      <c r="Q879" s="3"/>
      <c r="R879" s="3"/>
      <c r="S879" s="3"/>
      <c r="T879" s="3"/>
      <c r="U879" s="3"/>
      <c r="V879" s="3"/>
    </row>
    <row r="880" spans="1:22" x14ac:dyDescent="0.25">
      <c r="A880" s="20">
        <v>42044</v>
      </c>
      <c r="B880" s="21">
        <v>11577</v>
      </c>
      <c r="C880" s="14" t="s">
        <v>420</v>
      </c>
      <c r="D880" s="105">
        <v>2828</v>
      </c>
      <c r="E880" s="23">
        <v>42046</v>
      </c>
      <c r="F880" s="106">
        <v>2828</v>
      </c>
      <c r="G880" s="31">
        <f t="shared" si="13"/>
        <v>0</v>
      </c>
      <c r="H880" s="19" t="s">
        <v>149</v>
      </c>
      <c r="I880" s="3"/>
      <c r="J880" s="42"/>
      <c r="K880" s="3"/>
      <c r="M880" s="3"/>
      <c r="N880" s="3"/>
      <c r="O880" s="3"/>
      <c r="P880" s="3"/>
      <c r="Q880" s="3"/>
      <c r="R880" s="3"/>
      <c r="S880" s="3"/>
      <c r="T880" s="3"/>
      <c r="U880" s="3"/>
      <c r="V880" s="3"/>
    </row>
    <row r="881" spans="1:22" x14ac:dyDescent="0.25">
      <c r="A881" s="20">
        <v>42044</v>
      </c>
      <c r="B881" s="21">
        <v>11578</v>
      </c>
      <c r="C881" s="14" t="s">
        <v>195</v>
      </c>
      <c r="D881" s="105">
        <v>136276.35999999999</v>
      </c>
      <c r="E881" s="23">
        <v>42046</v>
      </c>
      <c r="F881" s="106">
        <v>136276.35999999999</v>
      </c>
      <c r="G881" s="31">
        <f t="shared" si="13"/>
        <v>0</v>
      </c>
      <c r="H881" s="19" t="s">
        <v>149</v>
      </c>
      <c r="I881" s="3"/>
      <c r="J881" s="42"/>
      <c r="K881" s="3"/>
      <c r="M881" s="3"/>
      <c r="N881" s="3"/>
      <c r="O881" s="3"/>
      <c r="P881" s="3"/>
      <c r="Q881" s="3"/>
      <c r="R881" s="3"/>
      <c r="S881" s="3"/>
      <c r="T881" s="3"/>
      <c r="U881" s="3"/>
      <c r="V881" s="3"/>
    </row>
    <row r="882" spans="1:22" x14ac:dyDescent="0.25">
      <c r="A882" s="20">
        <v>42044</v>
      </c>
      <c r="B882" s="21">
        <v>11579</v>
      </c>
      <c r="C882" s="14" t="s">
        <v>80</v>
      </c>
      <c r="D882" s="105">
        <v>7236</v>
      </c>
      <c r="E882" s="23">
        <v>42044</v>
      </c>
      <c r="F882" s="106">
        <v>7236</v>
      </c>
      <c r="G882" s="31">
        <f t="shared" si="13"/>
        <v>0</v>
      </c>
      <c r="H882" s="19" t="s">
        <v>9</v>
      </c>
      <c r="K882" s="3"/>
      <c r="M882" s="3"/>
      <c r="N882" s="3"/>
      <c r="O882" s="3"/>
      <c r="P882" s="3"/>
      <c r="Q882" s="3"/>
      <c r="R882" s="3"/>
      <c r="S882" s="3"/>
      <c r="T882" s="3"/>
      <c r="U882" s="3"/>
      <c r="V882" s="3"/>
    </row>
    <row r="883" spans="1:22" x14ac:dyDescent="0.25">
      <c r="A883" s="20">
        <v>42044</v>
      </c>
      <c r="B883" s="21">
        <v>11580</v>
      </c>
      <c r="C883" s="14" t="s">
        <v>111</v>
      </c>
      <c r="D883" s="105">
        <v>13366.56</v>
      </c>
      <c r="E883" s="23">
        <v>42049</v>
      </c>
      <c r="F883" s="106">
        <v>13366.56</v>
      </c>
      <c r="G883" s="31">
        <f t="shared" si="13"/>
        <v>0</v>
      </c>
      <c r="H883" s="19" t="s">
        <v>9</v>
      </c>
      <c r="K883" s="3"/>
      <c r="M883" s="3"/>
      <c r="N883" s="3"/>
      <c r="O883" s="3"/>
      <c r="P883" s="3"/>
      <c r="Q883" s="3"/>
      <c r="R883" s="3"/>
      <c r="S883" s="3"/>
      <c r="T883" s="3"/>
      <c r="U883" s="3"/>
      <c r="V883" s="3"/>
    </row>
    <row r="884" spans="1:22" x14ac:dyDescent="0.25">
      <c r="A884" s="20">
        <v>42044</v>
      </c>
      <c r="B884" s="21">
        <v>11581</v>
      </c>
      <c r="C884" s="14" t="s">
        <v>193</v>
      </c>
      <c r="D884" s="105">
        <v>10320.799999999999</v>
      </c>
      <c r="E884" s="23">
        <v>42049</v>
      </c>
      <c r="F884" s="106">
        <v>10320.799999999999</v>
      </c>
      <c r="G884" s="31">
        <f t="shared" si="13"/>
        <v>0</v>
      </c>
      <c r="H884" s="19" t="s">
        <v>9</v>
      </c>
      <c r="K884" s="3"/>
      <c r="M884" s="3"/>
      <c r="N884" s="3"/>
      <c r="O884" s="3"/>
      <c r="P884" s="3"/>
      <c r="Q884" s="3"/>
      <c r="R884" s="3"/>
      <c r="S884" s="3"/>
      <c r="T884" s="3"/>
      <c r="U884" s="3"/>
      <c r="V884" s="3"/>
    </row>
    <row r="885" spans="1:22" x14ac:dyDescent="0.25">
      <c r="A885" s="20">
        <v>42044</v>
      </c>
      <c r="B885" s="21">
        <v>11582</v>
      </c>
      <c r="C885" s="14" t="s">
        <v>106</v>
      </c>
      <c r="D885" s="105">
        <v>95600.8</v>
      </c>
      <c r="E885" s="23">
        <v>42045</v>
      </c>
      <c r="F885" s="106">
        <v>95600.8</v>
      </c>
      <c r="G885" s="31">
        <f t="shared" si="13"/>
        <v>0</v>
      </c>
      <c r="H885" s="19" t="s">
        <v>17</v>
      </c>
      <c r="K885" s="3"/>
      <c r="M885" s="3"/>
      <c r="N885" s="3"/>
      <c r="O885" s="3"/>
      <c r="P885" s="3"/>
      <c r="Q885" s="3"/>
      <c r="R885" s="3"/>
      <c r="S885" s="3"/>
      <c r="T885" s="3"/>
      <c r="U885" s="3"/>
      <c r="V885" s="3"/>
    </row>
    <row r="886" spans="1:22" x14ac:dyDescent="0.25">
      <c r="A886" s="20">
        <v>42044</v>
      </c>
      <c r="B886" s="21">
        <v>11583</v>
      </c>
      <c r="C886" s="14" t="s">
        <v>552</v>
      </c>
      <c r="D886" s="105">
        <v>16692</v>
      </c>
      <c r="E886" s="23">
        <v>42046</v>
      </c>
      <c r="F886" s="106">
        <v>16692</v>
      </c>
      <c r="G886" s="31">
        <f t="shared" si="13"/>
        <v>0</v>
      </c>
      <c r="H886" s="19" t="s">
        <v>149</v>
      </c>
      <c r="K886" s="3"/>
      <c r="M886" s="3"/>
      <c r="N886" s="3"/>
      <c r="O886" s="3"/>
      <c r="P886" s="3"/>
      <c r="Q886" s="3"/>
      <c r="R886" s="3"/>
      <c r="S886" s="3"/>
      <c r="T886" s="3"/>
      <c r="U886" s="3"/>
      <c r="V886" s="3"/>
    </row>
    <row r="887" spans="1:22" x14ac:dyDescent="0.25">
      <c r="A887" s="20">
        <v>42044</v>
      </c>
      <c r="B887" s="21">
        <v>11584</v>
      </c>
      <c r="C887" s="14" t="s">
        <v>617</v>
      </c>
      <c r="D887" s="105">
        <v>11864</v>
      </c>
      <c r="E887" s="23">
        <v>42047</v>
      </c>
      <c r="F887" s="106">
        <v>11864</v>
      </c>
      <c r="G887" s="31">
        <f t="shared" si="13"/>
        <v>0</v>
      </c>
      <c r="H887" s="19" t="s">
        <v>149</v>
      </c>
      <c r="K887" s="3"/>
      <c r="M887" s="3"/>
      <c r="N887" s="3"/>
      <c r="O887" s="3"/>
      <c r="P887" s="3"/>
      <c r="Q887" s="3"/>
      <c r="R887" s="3"/>
      <c r="S887" s="3"/>
      <c r="T887" s="3"/>
      <c r="U887" s="3"/>
      <c r="V887" s="3"/>
    </row>
    <row r="888" spans="1:22" x14ac:dyDescent="0.25">
      <c r="A888" s="20">
        <v>42044</v>
      </c>
      <c r="B888" s="21">
        <v>11585</v>
      </c>
      <c r="C888" s="14" t="s">
        <v>204</v>
      </c>
      <c r="D888" s="105">
        <v>8849</v>
      </c>
      <c r="E888" s="23">
        <v>42046</v>
      </c>
      <c r="F888" s="106">
        <v>8849</v>
      </c>
      <c r="G888" s="31">
        <f t="shared" si="13"/>
        <v>0</v>
      </c>
      <c r="H888" s="19" t="s">
        <v>149</v>
      </c>
      <c r="K888" s="3"/>
      <c r="M888" s="3"/>
      <c r="N888" s="3"/>
      <c r="O888" s="3"/>
      <c r="P888" s="3"/>
      <c r="Q888" s="3"/>
      <c r="R888" s="3"/>
      <c r="S888" s="3"/>
      <c r="T888" s="3"/>
      <c r="U888" s="3"/>
      <c r="V888" s="3"/>
    </row>
    <row r="889" spans="1:22" x14ac:dyDescent="0.25">
      <c r="A889" s="20">
        <v>42044</v>
      </c>
      <c r="B889" s="21">
        <v>11586</v>
      </c>
      <c r="C889" s="14" t="s">
        <v>262</v>
      </c>
      <c r="D889" s="105">
        <v>31028.55</v>
      </c>
      <c r="E889" s="29" t="s">
        <v>618</v>
      </c>
      <c r="F889" s="106">
        <f>10000+21028.55</f>
        <v>31028.55</v>
      </c>
      <c r="G889" s="31">
        <f t="shared" si="13"/>
        <v>0</v>
      </c>
      <c r="H889" s="19" t="s">
        <v>149</v>
      </c>
      <c r="K889" s="3"/>
      <c r="M889" s="3"/>
      <c r="N889" s="3"/>
      <c r="O889" s="3"/>
      <c r="P889" s="3"/>
      <c r="Q889" s="3"/>
      <c r="R889" s="3"/>
      <c r="S889" s="3"/>
      <c r="T889" s="3"/>
      <c r="U889" s="3"/>
      <c r="V889" s="3"/>
    </row>
    <row r="890" spans="1:22" x14ac:dyDescent="0.25">
      <c r="A890" s="20">
        <v>42044</v>
      </c>
      <c r="B890" s="21">
        <v>11587</v>
      </c>
      <c r="C890" s="14" t="s">
        <v>208</v>
      </c>
      <c r="D890" s="105">
        <v>26522.2</v>
      </c>
      <c r="E890" s="23">
        <v>42046</v>
      </c>
      <c r="F890" s="106">
        <v>26522.2</v>
      </c>
      <c r="G890" s="31">
        <f t="shared" si="13"/>
        <v>0</v>
      </c>
      <c r="H890" s="19" t="s">
        <v>149</v>
      </c>
      <c r="K890" s="3"/>
      <c r="M890" s="3"/>
      <c r="N890" s="3"/>
      <c r="O890" s="3"/>
      <c r="P890" s="3"/>
      <c r="Q890" s="3"/>
      <c r="R890" s="3"/>
      <c r="S890" s="3"/>
      <c r="T890" s="3"/>
      <c r="U890" s="3"/>
      <c r="V890" s="3"/>
    </row>
    <row r="891" spans="1:22" x14ac:dyDescent="0.25">
      <c r="A891" s="20">
        <v>42044</v>
      </c>
      <c r="B891" s="21">
        <v>11588</v>
      </c>
      <c r="C891" s="14" t="s">
        <v>196</v>
      </c>
      <c r="D891" s="105">
        <v>7584.48</v>
      </c>
      <c r="E891" s="23">
        <v>42046</v>
      </c>
      <c r="F891" s="106">
        <v>7584.48</v>
      </c>
      <c r="G891" s="31">
        <f t="shared" si="13"/>
        <v>0</v>
      </c>
      <c r="H891" s="19" t="s">
        <v>149</v>
      </c>
      <c r="K891" s="3"/>
      <c r="M891" s="3"/>
      <c r="N891" s="3"/>
      <c r="O891" s="3"/>
      <c r="P891" s="3"/>
      <c r="Q891" s="3"/>
      <c r="R891" s="3"/>
      <c r="S891" s="3"/>
      <c r="T891" s="3"/>
      <c r="U891" s="3"/>
      <c r="V891" s="3"/>
    </row>
    <row r="892" spans="1:22" x14ac:dyDescent="0.25">
      <c r="A892" s="20">
        <v>42044</v>
      </c>
      <c r="B892" s="21">
        <v>11589</v>
      </c>
      <c r="C892" s="14" t="s">
        <v>200</v>
      </c>
      <c r="D892" s="105">
        <v>3996.4</v>
      </c>
      <c r="E892" s="23">
        <v>42046</v>
      </c>
      <c r="F892" s="106">
        <v>3996.4</v>
      </c>
      <c r="G892" s="31">
        <f t="shared" si="13"/>
        <v>0</v>
      </c>
      <c r="H892" s="19" t="s">
        <v>149</v>
      </c>
      <c r="J892" s="107"/>
      <c r="K892" s="3"/>
      <c r="M892" s="3"/>
      <c r="N892" s="3"/>
      <c r="O892" s="3"/>
      <c r="P892" s="3"/>
      <c r="Q892" s="3"/>
      <c r="R892" s="3"/>
      <c r="S892" s="3"/>
      <c r="T892" s="3"/>
      <c r="U892" s="3"/>
      <c r="V892" s="3"/>
    </row>
    <row r="893" spans="1:22" x14ac:dyDescent="0.25">
      <c r="A893" s="20">
        <v>42044</v>
      </c>
      <c r="B893" s="21">
        <v>11590</v>
      </c>
      <c r="C893" s="14" t="s">
        <v>197</v>
      </c>
      <c r="D893" s="105">
        <v>3640.8</v>
      </c>
      <c r="E893" s="23">
        <v>42046</v>
      </c>
      <c r="F893" s="106">
        <v>3640.8</v>
      </c>
      <c r="G893" s="31">
        <f t="shared" si="13"/>
        <v>0</v>
      </c>
      <c r="H893" s="19" t="s">
        <v>149</v>
      </c>
      <c r="K893" s="3"/>
      <c r="M893" s="3"/>
      <c r="N893" s="3"/>
      <c r="O893" s="3"/>
      <c r="P893" s="3"/>
      <c r="Q893" s="3"/>
      <c r="R893" s="3"/>
      <c r="S893" s="3"/>
      <c r="T893" s="3"/>
      <c r="U893" s="3"/>
      <c r="V893" s="3"/>
    </row>
    <row r="894" spans="1:22" x14ac:dyDescent="0.25">
      <c r="A894" s="20">
        <v>42044</v>
      </c>
      <c r="B894" s="21">
        <v>11591</v>
      </c>
      <c r="C894" s="14" t="s">
        <v>587</v>
      </c>
      <c r="D894" s="105">
        <v>43815.8</v>
      </c>
      <c r="E894" s="23">
        <v>42044</v>
      </c>
      <c r="F894" s="106">
        <v>43815.8</v>
      </c>
      <c r="G894" s="31">
        <f t="shared" si="13"/>
        <v>0</v>
      </c>
      <c r="H894" s="19" t="s">
        <v>9</v>
      </c>
      <c r="K894" s="3"/>
      <c r="M894" s="3"/>
      <c r="N894" s="3"/>
      <c r="O894" s="3"/>
      <c r="P894" s="3"/>
      <c r="Q894" s="3"/>
      <c r="R894" s="3"/>
      <c r="S894" s="3"/>
      <c r="T894" s="3"/>
      <c r="U894" s="3"/>
      <c r="V894" s="3"/>
    </row>
    <row r="895" spans="1:22" x14ac:dyDescent="0.25">
      <c r="A895" s="20">
        <v>42044</v>
      </c>
      <c r="B895" s="21">
        <v>11592</v>
      </c>
      <c r="C895" s="14" t="s">
        <v>198</v>
      </c>
      <c r="D895" s="105">
        <v>16403.36</v>
      </c>
      <c r="E895" s="23">
        <v>42046</v>
      </c>
      <c r="F895" s="106">
        <v>16403.36</v>
      </c>
      <c r="G895" s="31">
        <f t="shared" si="13"/>
        <v>0</v>
      </c>
      <c r="H895" s="39" t="s">
        <v>149</v>
      </c>
      <c r="K895" s="3"/>
      <c r="M895" s="3"/>
      <c r="N895" s="3"/>
      <c r="O895" s="3"/>
      <c r="P895" s="3"/>
      <c r="Q895" s="3"/>
      <c r="R895" s="3"/>
      <c r="S895" s="3"/>
      <c r="T895" s="3"/>
      <c r="U895" s="3"/>
      <c r="V895" s="3"/>
    </row>
    <row r="896" spans="1:22" x14ac:dyDescent="0.25">
      <c r="A896" s="20">
        <v>42044</v>
      </c>
      <c r="B896" s="21">
        <v>11593</v>
      </c>
      <c r="C896" s="14" t="s">
        <v>195</v>
      </c>
      <c r="D896" s="105">
        <v>36899.4</v>
      </c>
      <c r="E896" s="23">
        <v>42053</v>
      </c>
      <c r="F896" s="106">
        <v>36899.4</v>
      </c>
      <c r="G896" s="31">
        <f t="shared" si="13"/>
        <v>0</v>
      </c>
      <c r="H896" s="39" t="s">
        <v>149</v>
      </c>
      <c r="K896" s="3"/>
      <c r="M896" s="3"/>
      <c r="N896" s="3"/>
      <c r="O896" s="3"/>
      <c r="P896" s="3"/>
      <c r="Q896" s="3"/>
      <c r="R896" s="3"/>
      <c r="S896" s="3"/>
      <c r="T896" s="3"/>
      <c r="U896" s="3"/>
      <c r="V896" s="3"/>
    </row>
    <row r="897" spans="1:22" x14ac:dyDescent="0.25">
      <c r="A897" s="20">
        <v>42044</v>
      </c>
      <c r="B897" s="21">
        <v>11594</v>
      </c>
      <c r="C897" s="14" t="s">
        <v>350</v>
      </c>
      <c r="D897" s="105">
        <v>3067.3</v>
      </c>
      <c r="E897" s="23">
        <v>42046</v>
      </c>
      <c r="F897" s="106">
        <v>3067.3</v>
      </c>
      <c r="G897" s="31">
        <f t="shared" si="13"/>
        <v>0</v>
      </c>
      <c r="H897" s="39" t="s">
        <v>149</v>
      </c>
      <c r="K897" s="3"/>
      <c r="M897" s="3"/>
      <c r="N897" s="3"/>
      <c r="O897" s="3"/>
      <c r="P897" s="3"/>
      <c r="Q897" s="3"/>
      <c r="R897" s="3"/>
      <c r="S897" s="3"/>
      <c r="T897" s="3"/>
      <c r="U897" s="3"/>
      <c r="V897" s="3"/>
    </row>
    <row r="898" spans="1:22" x14ac:dyDescent="0.25">
      <c r="A898" s="20">
        <v>42045</v>
      </c>
      <c r="B898" s="21">
        <v>11595</v>
      </c>
      <c r="C898" s="14" t="s">
        <v>21</v>
      </c>
      <c r="D898" s="105">
        <v>5796</v>
      </c>
      <c r="E898" s="23">
        <v>42045</v>
      </c>
      <c r="F898" s="106">
        <v>5796</v>
      </c>
      <c r="G898" s="31">
        <f t="shared" si="13"/>
        <v>0</v>
      </c>
      <c r="H898" s="39" t="s">
        <v>9</v>
      </c>
      <c r="I898" s="3"/>
      <c r="J898" s="42"/>
      <c r="K898" s="3"/>
      <c r="M898" s="3"/>
      <c r="N898" s="3"/>
      <c r="O898" s="3"/>
      <c r="P898" s="3"/>
      <c r="Q898" s="3"/>
      <c r="R898" s="3"/>
      <c r="S898" s="3"/>
      <c r="T898" s="3"/>
      <c r="U898" s="3"/>
      <c r="V898" s="3"/>
    </row>
    <row r="899" spans="1:22" x14ac:dyDescent="0.25">
      <c r="A899" s="20">
        <v>42045</v>
      </c>
      <c r="B899" s="21">
        <v>11596</v>
      </c>
      <c r="C899" s="14" t="s">
        <v>31</v>
      </c>
      <c r="D899" s="105">
        <v>4627.6000000000004</v>
      </c>
      <c r="E899" s="23">
        <v>42045</v>
      </c>
      <c r="F899" s="106">
        <v>4627.6000000000004</v>
      </c>
      <c r="G899" s="31">
        <f t="shared" ref="G899:G962" si="14">D899-F899</f>
        <v>0</v>
      </c>
      <c r="H899" s="39" t="s">
        <v>17</v>
      </c>
      <c r="I899" s="3"/>
      <c r="J899" s="42"/>
      <c r="K899" s="3"/>
      <c r="M899" s="3"/>
      <c r="N899" s="3"/>
      <c r="O899" s="3"/>
      <c r="P899" s="3"/>
      <c r="Q899" s="3"/>
      <c r="R899" s="3"/>
      <c r="S899" s="3"/>
      <c r="T899" s="3"/>
      <c r="U899" s="3"/>
      <c r="V899" s="3"/>
    </row>
    <row r="900" spans="1:22" x14ac:dyDescent="0.25">
      <c r="A900" s="20">
        <v>42045</v>
      </c>
      <c r="B900" s="21">
        <v>11597</v>
      </c>
      <c r="C900" s="14" t="s">
        <v>16</v>
      </c>
      <c r="D900" s="105">
        <v>4123</v>
      </c>
      <c r="E900" s="23">
        <v>42045</v>
      </c>
      <c r="F900" s="106">
        <v>4123</v>
      </c>
      <c r="G900" s="31">
        <f t="shared" si="14"/>
        <v>0</v>
      </c>
      <c r="H900" s="39" t="s">
        <v>17</v>
      </c>
      <c r="I900" s="3"/>
      <c r="J900" s="42"/>
      <c r="K900" s="3"/>
      <c r="M900" s="3"/>
      <c r="N900" s="3"/>
      <c r="O900" s="3"/>
      <c r="P900" s="3"/>
      <c r="Q900" s="3"/>
      <c r="R900" s="3"/>
      <c r="S900" s="3"/>
      <c r="T900" s="3"/>
      <c r="U900" s="3"/>
      <c r="V900" s="3"/>
    </row>
    <row r="901" spans="1:22" x14ac:dyDescent="0.25">
      <c r="A901" s="20">
        <v>42045</v>
      </c>
      <c r="B901" s="21">
        <v>11598</v>
      </c>
      <c r="C901" s="14" t="s">
        <v>14</v>
      </c>
      <c r="D901" s="105">
        <v>30430.799999999999</v>
      </c>
      <c r="E901" s="29" t="s">
        <v>619</v>
      </c>
      <c r="F901" s="106">
        <f>10863.18+18567.62+1000</f>
        <v>30430.799999999999</v>
      </c>
      <c r="G901" s="31">
        <f t="shared" si="14"/>
        <v>0</v>
      </c>
      <c r="H901" s="39" t="s">
        <v>15</v>
      </c>
      <c r="I901" s="3"/>
      <c r="J901" s="42"/>
      <c r="K901" s="3"/>
      <c r="M901" s="3"/>
      <c r="N901" s="3"/>
      <c r="O901" s="3"/>
      <c r="P901" s="3"/>
      <c r="Q901" s="3"/>
      <c r="R901" s="3"/>
      <c r="S901" s="3"/>
      <c r="T901" s="3"/>
      <c r="U901" s="3"/>
      <c r="V901" s="3"/>
    </row>
    <row r="902" spans="1:22" x14ac:dyDescent="0.25">
      <c r="A902" s="20">
        <v>42045</v>
      </c>
      <c r="B902" s="21">
        <v>11599</v>
      </c>
      <c r="C902" s="14" t="s">
        <v>555</v>
      </c>
      <c r="D902" s="105">
        <v>63058</v>
      </c>
      <c r="E902" s="23">
        <v>42047</v>
      </c>
      <c r="F902" s="106">
        <v>63058</v>
      </c>
      <c r="G902" s="31">
        <f t="shared" si="14"/>
        <v>0</v>
      </c>
      <c r="H902" s="39" t="s">
        <v>9</v>
      </c>
      <c r="I902" s="3"/>
      <c r="J902" s="42"/>
      <c r="K902" s="3"/>
      <c r="M902" s="3"/>
      <c r="N902" s="3"/>
      <c r="O902" s="3"/>
      <c r="P902" s="3"/>
      <c r="Q902" s="3"/>
      <c r="R902" s="3"/>
      <c r="S902" s="3"/>
      <c r="T902" s="3"/>
      <c r="U902" s="3"/>
      <c r="V902" s="3"/>
    </row>
    <row r="903" spans="1:22" x14ac:dyDescent="0.25">
      <c r="A903" s="20">
        <v>42045</v>
      </c>
      <c r="B903" s="21">
        <v>11600</v>
      </c>
      <c r="C903" s="14" t="s">
        <v>148</v>
      </c>
      <c r="D903" s="105">
        <v>3586.8</v>
      </c>
      <c r="E903" s="23">
        <v>42046</v>
      </c>
      <c r="F903" s="106">
        <v>3586.8</v>
      </c>
      <c r="G903" s="31">
        <f t="shared" si="14"/>
        <v>0</v>
      </c>
      <c r="H903" s="39" t="s">
        <v>9</v>
      </c>
      <c r="I903" s="3"/>
      <c r="J903" s="42"/>
      <c r="K903" s="3"/>
      <c r="M903" s="3"/>
      <c r="N903" s="3"/>
      <c r="O903" s="3"/>
      <c r="P903" s="3"/>
      <c r="Q903" s="3"/>
      <c r="R903" s="3"/>
      <c r="S903" s="3"/>
      <c r="T903" s="3"/>
      <c r="U903" s="3"/>
      <c r="V903" s="3"/>
    </row>
    <row r="904" spans="1:22" x14ac:dyDescent="0.25">
      <c r="A904" s="20">
        <v>42045</v>
      </c>
      <c r="B904" s="21">
        <v>11601</v>
      </c>
      <c r="C904" s="14" t="s">
        <v>413</v>
      </c>
      <c r="D904" s="105">
        <v>4463.6000000000004</v>
      </c>
      <c r="E904" s="23">
        <v>42047</v>
      </c>
      <c r="F904" s="106">
        <v>4463.6000000000004</v>
      </c>
      <c r="G904" s="31">
        <f t="shared" si="14"/>
        <v>0</v>
      </c>
      <c r="H904" s="39" t="s">
        <v>94</v>
      </c>
      <c r="I904" s="3"/>
      <c r="J904" s="42"/>
      <c r="K904" s="3"/>
      <c r="M904" s="3"/>
      <c r="N904" s="3"/>
      <c r="O904" s="3"/>
      <c r="P904" s="3"/>
      <c r="Q904" s="3"/>
      <c r="R904" s="3"/>
      <c r="S904" s="3"/>
      <c r="T904" s="3"/>
      <c r="U904" s="3"/>
      <c r="V904" s="3"/>
    </row>
    <row r="905" spans="1:22" x14ac:dyDescent="0.25">
      <c r="A905" s="20">
        <v>42045</v>
      </c>
      <c r="B905" s="21">
        <v>11602</v>
      </c>
      <c r="C905" s="14" t="s">
        <v>121</v>
      </c>
      <c r="D905" s="105">
        <v>921.2</v>
      </c>
      <c r="E905" s="23">
        <v>42045</v>
      </c>
      <c r="F905" s="106">
        <v>921.2</v>
      </c>
      <c r="G905" s="31">
        <f t="shared" si="14"/>
        <v>0</v>
      </c>
      <c r="H905" s="39" t="s">
        <v>9</v>
      </c>
      <c r="I905" s="3"/>
      <c r="J905" s="42"/>
      <c r="K905" s="3"/>
      <c r="M905" s="3"/>
      <c r="N905" s="3"/>
      <c r="O905" s="3"/>
      <c r="P905" s="3"/>
      <c r="Q905" s="3"/>
      <c r="R905" s="3"/>
      <c r="S905" s="3"/>
      <c r="T905" s="3"/>
      <c r="U905" s="3"/>
      <c r="V905" s="3"/>
    </row>
    <row r="906" spans="1:22" x14ac:dyDescent="0.25">
      <c r="A906" s="20">
        <v>42045</v>
      </c>
      <c r="B906" s="21">
        <v>11603</v>
      </c>
      <c r="C906" s="14" t="s">
        <v>20</v>
      </c>
      <c r="D906" s="105">
        <v>13865.2</v>
      </c>
      <c r="E906" s="23">
        <v>42045</v>
      </c>
      <c r="F906" s="106">
        <v>13865.2</v>
      </c>
      <c r="G906" s="31">
        <f t="shared" si="14"/>
        <v>0</v>
      </c>
      <c r="H906" s="39" t="s">
        <v>94</v>
      </c>
      <c r="I906" s="3"/>
      <c r="J906" s="42"/>
      <c r="K906" s="3"/>
      <c r="M906" s="3"/>
      <c r="N906" s="3"/>
      <c r="O906" s="3"/>
      <c r="P906" s="3"/>
      <c r="Q906" s="3"/>
      <c r="R906" s="3"/>
      <c r="S906" s="3"/>
      <c r="T906" s="3"/>
      <c r="U906" s="3"/>
      <c r="V906" s="3"/>
    </row>
    <row r="907" spans="1:22" x14ac:dyDescent="0.25">
      <c r="A907" s="20">
        <v>42045</v>
      </c>
      <c r="B907" s="21">
        <v>11604</v>
      </c>
      <c r="C907" s="14" t="s">
        <v>11</v>
      </c>
      <c r="D907" s="105">
        <v>350.4</v>
      </c>
      <c r="E907" s="23">
        <v>42045</v>
      </c>
      <c r="F907" s="106">
        <v>350.4</v>
      </c>
      <c r="G907" s="31">
        <f t="shared" si="14"/>
        <v>0</v>
      </c>
      <c r="H907" s="39" t="s">
        <v>9</v>
      </c>
      <c r="I907" s="3"/>
      <c r="J907" s="42"/>
      <c r="K907" s="3"/>
      <c r="M907" s="3"/>
      <c r="N907" s="3"/>
      <c r="O907" s="3"/>
      <c r="P907" s="3"/>
      <c r="Q907" s="3"/>
      <c r="R907" s="3"/>
      <c r="S907" s="3"/>
      <c r="T907" s="3"/>
      <c r="U907" s="3"/>
      <c r="V907" s="3"/>
    </row>
    <row r="908" spans="1:22" x14ac:dyDescent="0.25">
      <c r="A908" s="20">
        <v>42045</v>
      </c>
      <c r="B908" s="21">
        <v>11605</v>
      </c>
      <c r="C908" s="14" t="s">
        <v>151</v>
      </c>
      <c r="D908" s="105">
        <v>2132.1</v>
      </c>
      <c r="E908" s="23">
        <v>42045</v>
      </c>
      <c r="F908" s="106">
        <v>2132.1</v>
      </c>
      <c r="G908" s="31">
        <f t="shared" si="14"/>
        <v>0</v>
      </c>
      <c r="H908" s="39" t="s">
        <v>9</v>
      </c>
      <c r="I908" s="3"/>
      <c r="J908" s="42"/>
      <c r="K908" s="3"/>
      <c r="M908" s="3"/>
      <c r="N908" s="3"/>
      <c r="O908" s="3"/>
      <c r="P908" s="3"/>
      <c r="Q908" s="3"/>
      <c r="R908" s="3"/>
      <c r="S908" s="3"/>
      <c r="T908" s="3"/>
      <c r="U908" s="3"/>
      <c r="V908" s="3"/>
    </row>
    <row r="909" spans="1:22" x14ac:dyDescent="0.25">
      <c r="A909" s="20">
        <v>42045</v>
      </c>
      <c r="B909" s="21">
        <v>11606</v>
      </c>
      <c r="C909" s="14" t="s">
        <v>267</v>
      </c>
      <c r="D909" s="105">
        <v>1302.5999999999999</v>
      </c>
      <c r="E909" s="23">
        <v>42045</v>
      </c>
      <c r="F909" s="106">
        <v>1302.5999999999999</v>
      </c>
      <c r="G909" s="31">
        <f t="shared" si="14"/>
        <v>0</v>
      </c>
      <c r="H909" s="39" t="s">
        <v>19</v>
      </c>
      <c r="I909" s="3"/>
      <c r="J909" s="42"/>
      <c r="K909" s="3"/>
      <c r="M909" s="3"/>
      <c r="N909" s="3"/>
      <c r="O909" s="3"/>
      <c r="P909" s="3"/>
      <c r="Q909" s="3"/>
      <c r="R909" s="3"/>
      <c r="S909" s="3"/>
      <c r="T909" s="3"/>
      <c r="U909" s="3"/>
      <c r="V909" s="3"/>
    </row>
    <row r="910" spans="1:22" x14ac:dyDescent="0.25">
      <c r="A910" s="20">
        <v>42045</v>
      </c>
      <c r="B910" s="21">
        <v>11607</v>
      </c>
      <c r="C910" s="14" t="s">
        <v>43</v>
      </c>
      <c r="D910" s="105">
        <v>9280.2000000000007</v>
      </c>
      <c r="E910" s="23">
        <v>42045</v>
      </c>
      <c r="F910" s="106">
        <v>9280.2000000000007</v>
      </c>
      <c r="G910" s="31">
        <f t="shared" si="14"/>
        <v>0</v>
      </c>
      <c r="H910" s="19" t="s">
        <v>9</v>
      </c>
      <c r="I910" s="3"/>
      <c r="J910" s="42"/>
      <c r="K910" s="3"/>
      <c r="M910" s="3"/>
      <c r="N910" s="3"/>
      <c r="O910" s="3"/>
      <c r="P910" s="3"/>
      <c r="Q910" s="3"/>
      <c r="R910" s="3"/>
      <c r="S910" s="3"/>
      <c r="T910" s="3"/>
      <c r="U910" s="3"/>
      <c r="V910" s="3"/>
    </row>
    <row r="911" spans="1:22" x14ac:dyDescent="0.25">
      <c r="A911" s="20">
        <v>42045</v>
      </c>
      <c r="B911" s="21">
        <v>11608</v>
      </c>
      <c r="C911" s="14" t="s">
        <v>224</v>
      </c>
      <c r="D911" s="105">
        <v>4193.7</v>
      </c>
      <c r="E911" s="23">
        <v>42046</v>
      </c>
      <c r="F911" s="106">
        <v>4193.37</v>
      </c>
      <c r="G911" s="31">
        <f t="shared" si="14"/>
        <v>0.32999999999992724</v>
      </c>
      <c r="H911" s="19" t="s">
        <v>15</v>
      </c>
      <c r="I911" s="3"/>
      <c r="J911" s="42"/>
      <c r="K911" s="3"/>
      <c r="M911" s="3"/>
      <c r="N911" s="3"/>
      <c r="O911" s="3"/>
      <c r="P911" s="3"/>
      <c r="Q911" s="3"/>
      <c r="R911" s="3"/>
      <c r="S911" s="3"/>
      <c r="T911" s="3"/>
      <c r="U911" s="3"/>
      <c r="V911" s="3"/>
    </row>
    <row r="912" spans="1:22" x14ac:dyDescent="0.25">
      <c r="A912" s="20">
        <v>42045</v>
      </c>
      <c r="B912" s="21">
        <v>11609</v>
      </c>
      <c r="C912" s="14" t="s">
        <v>236</v>
      </c>
      <c r="D912" s="105">
        <v>39103.4</v>
      </c>
      <c r="E912" s="29" t="s">
        <v>620</v>
      </c>
      <c r="F912" s="106">
        <f>18422+20681.4</f>
        <v>39103.4</v>
      </c>
      <c r="G912" s="31">
        <f t="shared" si="14"/>
        <v>0</v>
      </c>
      <c r="H912" s="19" t="s">
        <v>19</v>
      </c>
      <c r="I912" s="3"/>
      <c r="J912" s="42"/>
      <c r="K912" s="3"/>
      <c r="M912" s="3"/>
      <c r="N912" s="3"/>
      <c r="O912" s="3"/>
      <c r="P912" s="3"/>
      <c r="Q912" s="3"/>
      <c r="R912" s="3"/>
      <c r="S912" s="3"/>
      <c r="T912" s="3"/>
      <c r="U912" s="3"/>
      <c r="V912" s="3"/>
    </row>
    <row r="913" spans="1:22" x14ac:dyDescent="0.25">
      <c r="A913" s="20">
        <v>42045</v>
      </c>
      <c r="B913" s="21">
        <v>11610</v>
      </c>
      <c r="C913" s="14" t="s">
        <v>400</v>
      </c>
      <c r="D913" s="105">
        <v>3553.4</v>
      </c>
      <c r="E913" s="23">
        <v>42045</v>
      </c>
      <c r="F913" s="106">
        <v>3553.4</v>
      </c>
      <c r="G913" s="31">
        <f t="shared" si="14"/>
        <v>0</v>
      </c>
      <c r="H913" s="19" t="s">
        <v>9</v>
      </c>
      <c r="I913" s="3"/>
      <c r="J913" s="42"/>
      <c r="K913" s="3"/>
      <c r="M913" s="3"/>
      <c r="N913" s="3"/>
      <c r="O913" s="3"/>
      <c r="P913" s="3"/>
      <c r="Q913" s="3"/>
      <c r="R913" s="3"/>
      <c r="S913" s="3"/>
      <c r="T913" s="3"/>
      <c r="U913" s="3"/>
      <c r="V913" s="3"/>
    </row>
    <row r="914" spans="1:22" x14ac:dyDescent="0.25">
      <c r="A914" s="20">
        <v>42045</v>
      </c>
      <c r="B914" s="21">
        <v>11611</v>
      </c>
      <c r="C914" s="14" t="s">
        <v>226</v>
      </c>
      <c r="D914" s="105">
        <v>1798.6</v>
      </c>
      <c r="E914" s="23">
        <v>42046</v>
      </c>
      <c r="F914" s="106">
        <v>1798.6</v>
      </c>
      <c r="G914" s="31">
        <f t="shared" si="14"/>
        <v>0</v>
      </c>
      <c r="H914" s="19" t="s">
        <v>15</v>
      </c>
      <c r="K914" s="3"/>
      <c r="M914" s="3"/>
      <c r="N914" s="3"/>
      <c r="O914" s="3"/>
      <c r="P914" s="3"/>
      <c r="Q914" s="3"/>
      <c r="R914" s="3"/>
      <c r="S914" s="3"/>
      <c r="T914" s="3"/>
      <c r="U914" s="3"/>
      <c r="V914" s="3"/>
    </row>
    <row r="915" spans="1:22" x14ac:dyDescent="0.25">
      <c r="A915" s="20">
        <v>42045</v>
      </c>
      <c r="B915" s="21">
        <v>11612</v>
      </c>
      <c r="C915" s="14" t="s">
        <v>232</v>
      </c>
      <c r="D915" s="105">
        <v>32032.7</v>
      </c>
      <c r="E915" s="23">
        <v>42045</v>
      </c>
      <c r="F915" s="106">
        <v>32032.7</v>
      </c>
      <c r="G915" s="31">
        <f t="shared" si="14"/>
        <v>0</v>
      </c>
      <c r="H915" s="19" t="s">
        <v>9</v>
      </c>
      <c r="K915" s="3"/>
      <c r="M915" s="3"/>
      <c r="N915" s="3"/>
      <c r="O915" s="3"/>
      <c r="P915" s="3"/>
      <c r="Q915" s="3"/>
      <c r="R915" s="3"/>
      <c r="S915" s="3"/>
      <c r="T915" s="3"/>
      <c r="U915" s="3"/>
      <c r="V915" s="3"/>
    </row>
    <row r="916" spans="1:22" x14ac:dyDescent="0.25">
      <c r="A916" s="20">
        <v>42045</v>
      </c>
      <c r="B916" s="21">
        <v>11613</v>
      </c>
      <c r="C916" s="26" t="s">
        <v>12</v>
      </c>
      <c r="D916" s="108">
        <v>0</v>
      </c>
      <c r="E916" s="23"/>
      <c r="F916" s="106"/>
      <c r="G916" s="31">
        <f t="shared" si="14"/>
        <v>0</v>
      </c>
      <c r="H916" s="19" t="s">
        <v>13</v>
      </c>
      <c r="K916" s="3"/>
      <c r="M916" s="3"/>
      <c r="N916" s="3"/>
      <c r="O916" s="3"/>
      <c r="P916" s="3"/>
      <c r="Q916" s="3"/>
      <c r="R916" s="3"/>
      <c r="S916" s="3"/>
      <c r="T916" s="3"/>
      <c r="U916" s="3"/>
      <c r="V916" s="3"/>
    </row>
    <row r="917" spans="1:22" x14ac:dyDescent="0.25">
      <c r="A917" s="20">
        <v>42045</v>
      </c>
      <c r="B917" s="21">
        <v>11614</v>
      </c>
      <c r="C917" s="14" t="s">
        <v>53</v>
      </c>
      <c r="D917" s="105">
        <v>802.9</v>
      </c>
      <c r="E917" s="23">
        <v>42046</v>
      </c>
      <c r="F917" s="106">
        <v>802.9</v>
      </c>
      <c r="G917" s="31">
        <f t="shared" si="14"/>
        <v>0</v>
      </c>
      <c r="H917" s="19" t="s">
        <v>59</v>
      </c>
      <c r="K917" s="3"/>
      <c r="M917" s="3"/>
      <c r="N917" s="3"/>
      <c r="O917" s="3"/>
      <c r="P917" s="3"/>
      <c r="Q917" s="3"/>
      <c r="R917" s="3"/>
      <c r="S917" s="3"/>
      <c r="T917" s="3"/>
      <c r="U917" s="3"/>
      <c r="V917" s="3"/>
    </row>
    <row r="918" spans="1:22" x14ac:dyDescent="0.25">
      <c r="A918" s="20">
        <v>42045</v>
      </c>
      <c r="B918" s="21">
        <v>11615</v>
      </c>
      <c r="C918" s="14" t="s">
        <v>81</v>
      </c>
      <c r="D918" s="105">
        <v>1325.8</v>
      </c>
      <c r="E918" s="23">
        <v>42046</v>
      </c>
      <c r="F918" s="106">
        <v>1325.8</v>
      </c>
      <c r="G918" s="31">
        <f t="shared" si="14"/>
        <v>0</v>
      </c>
      <c r="H918" s="19" t="s">
        <v>59</v>
      </c>
      <c r="K918" s="3"/>
      <c r="M918" s="3"/>
      <c r="N918" s="3"/>
      <c r="O918" s="3"/>
      <c r="P918" s="3"/>
      <c r="Q918" s="3"/>
      <c r="R918" s="3"/>
      <c r="S918" s="3"/>
      <c r="T918" s="3"/>
      <c r="U918" s="3"/>
      <c r="V918" s="3"/>
    </row>
    <row r="919" spans="1:22" x14ac:dyDescent="0.25">
      <c r="A919" s="20">
        <v>42045</v>
      </c>
      <c r="B919" s="21">
        <v>11616</v>
      </c>
      <c r="C919" s="14" t="s">
        <v>82</v>
      </c>
      <c r="D919" s="105">
        <v>2226</v>
      </c>
      <c r="E919" s="23">
        <v>42046</v>
      </c>
      <c r="F919" s="106">
        <v>2226</v>
      </c>
      <c r="G919" s="31">
        <f t="shared" si="14"/>
        <v>0</v>
      </c>
      <c r="H919" s="19" t="s">
        <v>59</v>
      </c>
      <c r="K919" s="3"/>
      <c r="M919" s="3"/>
      <c r="N919" s="3"/>
      <c r="O919" s="3"/>
      <c r="P919" s="3"/>
      <c r="Q919" s="3"/>
      <c r="R919" s="3"/>
      <c r="S919" s="3"/>
      <c r="T919" s="3"/>
      <c r="U919" s="3"/>
      <c r="V919" s="3"/>
    </row>
    <row r="920" spans="1:22" x14ac:dyDescent="0.25">
      <c r="A920" s="20">
        <v>42045</v>
      </c>
      <c r="B920" s="21">
        <v>11617</v>
      </c>
      <c r="C920" s="14" t="s">
        <v>238</v>
      </c>
      <c r="D920" s="105">
        <v>356.2</v>
      </c>
      <c r="E920" s="23">
        <v>42046</v>
      </c>
      <c r="F920" s="106">
        <v>356.2</v>
      </c>
      <c r="G920" s="31">
        <f t="shared" si="14"/>
        <v>0</v>
      </c>
      <c r="H920" s="19" t="s">
        <v>59</v>
      </c>
      <c r="J920" s="107"/>
      <c r="K920" s="3"/>
      <c r="M920" s="3"/>
      <c r="N920" s="3"/>
      <c r="O920" s="3"/>
      <c r="P920" s="3"/>
      <c r="Q920" s="3"/>
      <c r="R920" s="3"/>
      <c r="S920" s="3"/>
      <c r="T920" s="3"/>
      <c r="U920" s="3"/>
      <c r="V920" s="3"/>
    </row>
    <row r="921" spans="1:22" x14ac:dyDescent="0.25">
      <c r="A921" s="20">
        <v>42045</v>
      </c>
      <c r="B921" s="21">
        <v>11618</v>
      </c>
      <c r="C921" s="14" t="s">
        <v>167</v>
      </c>
      <c r="D921" s="105">
        <v>356.2</v>
      </c>
      <c r="E921" s="23">
        <v>42046</v>
      </c>
      <c r="F921" s="106">
        <v>356.2</v>
      </c>
      <c r="G921" s="31">
        <f t="shared" si="14"/>
        <v>0</v>
      </c>
      <c r="H921" s="19" t="s">
        <v>59</v>
      </c>
      <c r="J921" s="107"/>
      <c r="K921" s="3"/>
      <c r="M921" s="3"/>
      <c r="N921" s="3"/>
      <c r="O921" s="3"/>
      <c r="P921" s="3"/>
      <c r="Q921" s="3"/>
      <c r="R921" s="3"/>
      <c r="S921" s="3"/>
      <c r="T921" s="3"/>
      <c r="U921" s="3"/>
      <c r="V921" s="3"/>
    </row>
    <row r="922" spans="1:22" x14ac:dyDescent="0.25">
      <c r="A922" s="20">
        <v>42045</v>
      </c>
      <c r="B922" s="21">
        <v>11619</v>
      </c>
      <c r="C922" s="14" t="s">
        <v>110</v>
      </c>
      <c r="D922" s="105">
        <v>55923.08</v>
      </c>
      <c r="E922" s="23">
        <v>42051</v>
      </c>
      <c r="F922" s="106">
        <v>55923.08</v>
      </c>
      <c r="G922" s="31">
        <f t="shared" si="14"/>
        <v>0</v>
      </c>
      <c r="H922" s="19" t="s">
        <v>183</v>
      </c>
      <c r="K922" s="3"/>
      <c r="M922" s="3"/>
      <c r="N922" s="3"/>
      <c r="O922" s="3"/>
      <c r="P922" s="3"/>
      <c r="Q922" s="3"/>
      <c r="R922" s="3"/>
      <c r="S922" s="3"/>
      <c r="T922" s="3"/>
      <c r="U922" s="3"/>
      <c r="V922" s="3"/>
    </row>
    <row r="923" spans="1:22" x14ac:dyDescent="0.25">
      <c r="A923" s="20">
        <v>42045</v>
      </c>
      <c r="B923" s="21">
        <v>11620</v>
      </c>
      <c r="C923" s="14" t="s">
        <v>83</v>
      </c>
      <c r="D923" s="105">
        <v>4869.2</v>
      </c>
      <c r="E923" s="23">
        <v>42046</v>
      </c>
      <c r="F923" s="106">
        <v>4869.2</v>
      </c>
      <c r="G923" s="31">
        <f t="shared" si="14"/>
        <v>0</v>
      </c>
      <c r="H923" s="19" t="s">
        <v>59</v>
      </c>
      <c r="K923" s="3"/>
      <c r="M923" s="3"/>
      <c r="N923" s="3"/>
      <c r="O923" s="3"/>
      <c r="P923" s="3"/>
      <c r="Q923" s="3"/>
      <c r="R923" s="3"/>
      <c r="S923" s="3"/>
      <c r="T923" s="3"/>
      <c r="U923" s="3"/>
      <c r="V923" s="3"/>
    </row>
    <row r="924" spans="1:22" x14ac:dyDescent="0.25">
      <c r="A924" s="20">
        <v>42045</v>
      </c>
      <c r="B924" s="21">
        <v>11621</v>
      </c>
      <c r="C924" s="14" t="s">
        <v>126</v>
      </c>
      <c r="D924" s="105">
        <v>1479.8</v>
      </c>
      <c r="E924" s="23">
        <v>42046</v>
      </c>
      <c r="F924" s="106">
        <v>1479.8</v>
      </c>
      <c r="G924" s="31">
        <f t="shared" si="14"/>
        <v>0</v>
      </c>
      <c r="H924" s="19" t="s">
        <v>59</v>
      </c>
      <c r="K924" s="3"/>
      <c r="M924" s="3"/>
      <c r="N924" s="3"/>
      <c r="O924" s="3"/>
      <c r="P924" s="3"/>
      <c r="Q924" s="3"/>
      <c r="R924" s="3"/>
      <c r="S924" s="3"/>
      <c r="T924" s="3"/>
      <c r="U924" s="3"/>
      <c r="V924" s="3"/>
    </row>
    <row r="925" spans="1:22" x14ac:dyDescent="0.25">
      <c r="A925" s="20">
        <v>42045</v>
      </c>
      <c r="B925" s="21">
        <v>11622</v>
      </c>
      <c r="C925" s="14" t="s">
        <v>45</v>
      </c>
      <c r="D925" s="105">
        <v>42684.95</v>
      </c>
      <c r="E925" s="23">
        <v>42055</v>
      </c>
      <c r="F925" s="106">
        <v>42684.95</v>
      </c>
      <c r="G925" s="31">
        <f t="shared" si="14"/>
        <v>0</v>
      </c>
      <c r="H925" s="19" t="s">
        <v>46</v>
      </c>
      <c r="K925" s="3"/>
      <c r="M925" s="3"/>
      <c r="N925" s="3"/>
      <c r="O925" s="3"/>
      <c r="P925" s="3"/>
      <c r="Q925" s="3"/>
      <c r="R925" s="3"/>
      <c r="S925" s="3"/>
      <c r="T925" s="3"/>
      <c r="U925" s="3"/>
      <c r="V925" s="3"/>
    </row>
    <row r="926" spans="1:22" x14ac:dyDescent="0.25">
      <c r="A926" s="20">
        <v>42045</v>
      </c>
      <c r="B926" s="21">
        <v>11623</v>
      </c>
      <c r="C926" s="14" t="s">
        <v>120</v>
      </c>
      <c r="D926" s="105">
        <v>2851.8</v>
      </c>
      <c r="E926" s="23">
        <v>42046</v>
      </c>
      <c r="F926" s="106">
        <v>2851.8</v>
      </c>
      <c r="G926" s="31">
        <f t="shared" si="14"/>
        <v>0</v>
      </c>
      <c r="H926" s="19" t="s">
        <v>9</v>
      </c>
      <c r="K926" s="3"/>
      <c r="M926" s="3"/>
      <c r="N926" s="3"/>
      <c r="O926" s="3"/>
      <c r="P926" s="3"/>
      <c r="Q926" s="3"/>
      <c r="R926" s="3"/>
      <c r="S926" s="3"/>
      <c r="T926" s="3"/>
      <c r="U926" s="3"/>
      <c r="V926" s="3"/>
    </row>
    <row r="927" spans="1:22" x14ac:dyDescent="0.25">
      <c r="A927" s="20">
        <v>42045</v>
      </c>
      <c r="B927" s="21">
        <v>11624</v>
      </c>
      <c r="C927" s="14" t="s">
        <v>14</v>
      </c>
      <c r="D927" s="105">
        <v>128124.47</v>
      </c>
      <c r="E927" s="23">
        <v>42051</v>
      </c>
      <c r="F927" s="106">
        <v>128124.47</v>
      </c>
      <c r="G927" s="31">
        <f t="shared" si="14"/>
        <v>0</v>
      </c>
      <c r="H927" s="19" t="s">
        <v>46</v>
      </c>
      <c r="K927" s="3"/>
      <c r="M927" s="3"/>
      <c r="N927" s="3"/>
      <c r="O927" s="3"/>
      <c r="P927" s="3"/>
      <c r="Q927" s="3"/>
      <c r="R927" s="3"/>
      <c r="S927" s="3"/>
      <c r="T927" s="3"/>
      <c r="U927" s="3"/>
      <c r="V927" s="3"/>
    </row>
    <row r="928" spans="1:22" x14ac:dyDescent="0.25">
      <c r="A928" s="20">
        <v>42045</v>
      </c>
      <c r="B928" s="21">
        <v>11625</v>
      </c>
      <c r="C928" s="14" t="s">
        <v>621</v>
      </c>
      <c r="D928" s="105">
        <v>6278.4</v>
      </c>
      <c r="E928" s="23">
        <v>42045</v>
      </c>
      <c r="F928" s="106">
        <v>6278.4</v>
      </c>
      <c r="G928" s="31">
        <f t="shared" si="14"/>
        <v>0</v>
      </c>
      <c r="H928" s="19" t="s">
        <v>9</v>
      </c>
      <c r="K928" s="3"/>
      <c r="M928" s="3"/>
      <c r="N928" s="3"/>
      <c r="O928" s="3"/>
      <c r="P928" s="3"/>
      <c r="Q928" s="3"/>
      <c r="R928" s="3"/>
      <c r="S928" s="3"/>
      <c r="T928" s="3"/>
      <c r="U928" s="3"/>
      <c r="V928" s="3"/>
    </row>
    <row r="929" spans="1:22" x14ac:dyDescent="0.25">
      <c r="A929" s="20">
        <v>42045</v>
      </c>
      <c r="B929" s="21">
        <v>11626</v>
      </c>
      <c r="C929" s="14" t="s">
        <v>155</v>
      </c>
      <c r="D929" s="105">
        <v>2309.4</v>
      </c>
      <c r="E929" s="23">
        <v>42046</v>
      </c>
      <c r="F929" s="106">
        <v>2309.4</v>
      </c>
      <c r="G929" s="31">
        <f t="shared" si="14"/>
        <v>0</v>
      </c>
      <c r="H929" s="19" t="s">
        <v>59</v>
      </c>
      <c r="K929" s="3"/>
      <c r="M929" s="3"/>
      <c r="N929" s="3"/>
      <c r="O929" s="3"/>
      <c r="P929" s="3"/>
      <c r="Q929" s="3"/>
      <c r="R929" s="3"/>
      <c r="S929" s="3"/>
      <c r="T929" s="3"/>
      <c r="U929" s="3"/>
      <c r="V929" s="3"/>
    </row>
    <row r="930" spans="1:22" x14ac:dyDescent="0.25">
      <c r="A930" s="20">
        <v>42045</v>
      </c>
      <c r="B930" s="21">
        <v>11627</v>
      </c>
      <c r="C930" s="14" t="s">
        <v>239</v>
      </c>
      <c r="D930" s="105">
        <v>2665.6</v>
      </c>
      <c r="E930" s="29" t="s">
        <v>622</v>
      </c>
      <c r="F930" s="106">
        <f>1500+1165.6</f>
        <v>2665.6</v>
      </c>
      <c r="G930" s="31">
        <f t="shared" si="14"/>
        <v>0</v>
      </c>
      <c r="H930" s="19" t="s">
        <v>9</v>
      </c>
      <c r="J930" s="107"/>
      <c r="K930" s="3"/>
      <c r="M930" s="3"/>
      <c r="N930" s="3"/>
      <c r="O930" s="3"/>
      <c r="P930" s="3"/>
      <c r="Q930" s="3"/>
      <c r="R930" s="3"/>
      <c r="S930" s="3"/>
      <c r="T930" s="3"/>
      <c r="U930" s="3"/>
      <c r="V930" s="3"/>
    </row>
    <row r="931" spans="1:22" x14ac:dyDescent="0.25">
      <c r="A931" s="20">
        <v>42045</v>
      </c>
      <c r="B931" s="21">
        <v>11628</v>
      </c>
      <c r="C931" s="14" t="s">
        <v>91</v>
      </c>
      <c r="D931" s="105">
        <v>3916.8</v>
      </c>
      <c r="E931" s="23">
        <v>42046</v>
      </c>
      <c r="F931" s="106">
        <v>3916.8</v>
      </c>
      <c r="G931" s="31">
        <f t="shared" si="14"/>
        <v>0</v>
      </c>
      <c r="H931" s="19" t="s">
        <v>59</v>
      </c>
      <c r="K931" s="3"/>
      <c r="M931" s="3"/>
      <c r="N931" s="3"/>
      <c r="O931" s="3"/>
      <c r="P931" s="3"/>
      <c r="Q931" s="3"/>
      <c r="R931" s="3"/>
      <c r="S931" s="3"/>
      <c r="T931" s="3"/>
      <c r="U931" s="3"/>
      <c r="V931" s="3"/>
    </row>
    <row r="932" spans="1:22" x14ac:dyDescent="0.25">
      <c r="A932" s="20">
        <v>42045</v>
      </c>
      <c r="B932" s="21">
        <v>11629</v>
      </c>
      <c r="C932" s="14" t="s">
        <v>16</v>
      </c>
      <c r="D932" s="105">
        <v>3675</v>
      </c>
      <c r="E932" s="23">
        <v>42045</v>
      </c>
      <c r="F932" s="106">
        <v>3675</v>
      </c>
      <c r="G932" s="31">
        <f t="shared" si="14"/>
        <v>0</v>
      </c>
      <c r="H932" s="19" t="s">
        <v>9</v>
      </c>
      <c r="K932" s="3"/>
      <c r="M932" s="3"/>
      <c r="N932" s="3"/>
      <c r="O932" s="3"/>
      <c r="P932" s="3"/>
      <c r="Q932" s="3"/>
      <c r="R932" s="3"/>
      <c r="S932" s="3"/>
      <c r="T932" s="3"/>
      <c r="U932" s="3"/>
      <c r="V932" s="3"/>
    </row>
    <row r="933" spans="1:22" x14ac:dyDescent="0.25">
      <c r="A933" s="20">
        <v>42045</v>
      </c>
      <c r="B933" s="21">
        <v>11630</v>
      </c>
      <c r="C933" s="14" t="s">
        <v>168</v>
      </c>
      <c r="D933" s="105">
        <v>9460</v>
      </c>
      <c r="E933" s="23">
        <v>42046</v>
      </c>
      <c r="F933" s="106">
        <v>9460</v>
      </c>
      <c r="G933" s="31">
        <f t="shared" si="14"/>
        <v>0</v>
      </c>
      <c r="H933" s="19" t="s">
        <v>59</v>
      </c>
      <c r="K933" s="3"/>
      <c r="M933" s="3"/>
      <c r="N933" s="3"/>
      <c r="O933" s="3"/>
      <c r="P933" s="3"/>
      <c r="Q933" s="3"/>
      <c r="R933" s="3"/>
      <c r="S933" s="3"/>
      <c r="T933" s="3"/>
      <c r="U933" s="3"/>
      <c r="V933" s="3"/>
    </row>
    <row r="934" spans="1:22" x14ac:dyDescent="0.25">
      <c r="A934" s="20">
        <v>42045</v>
      </c>
      <c r="B934" s="21">
        <v>11631</v>
      </c>
      <c r="C934" s="14" t="s">
        <v>45</v>
      </c>
      <c r="D934" s="105">
        <v>6026.24</v>
      </c>
      <c r="E934" s="23">
        <v>42055</v>
      </c>
      <c r="F934" s="106">
        <v>6026.24</v>
      </c>
      <c r="G934" s="31">
        <f t="shared" si="14"/>
        <v>0</v>
      </c>
      <c r="H934" s="19" t="s">
        <v>46</v>
      </c>
      <c r="K934" s="3"/>
      <c r="M934" s="3"/>
      <c r="N934" s="3"/>
      <c r="O934" s="3"/>
      <c r="P934" s="3"/>
      <c r="Q934" s="3"/>
      <c r="R934" s="3"/>
      <c r="S934" s="3"/>
      <c r="T934" s="3"/>
      <c r="U934" s="3"/>
      <c r="V934" s="3"/>
    </row>
    <row r="935" spans="1:22" x14ac:dyDescent="0.25">
      <c r="A935" s="20">
        <v>42045</v>
      </c>
      <c r="B935" s="21">
        <v>11632</v>
      </c>
      <c r="C935" s="14" t="s">
        <v>137</v>
      </c>
      <c r="D935" s="105">
        <v>336</v>
      </c>
      <c r="E935" s="23">
        <v>42045</v>
      </c>
      <c r="F935" s="106">
        <v>336</v>
      </c>
      <c r="G935" s="31">
        <f t="shared" si="14"/>
        <v>0</v>
      </c>
      <c r="H935" s="19" t="s">
        <v>9</v>
      </c>
      <c r="K935" s="3"/>
      <c r="M935" s="3"/>
      <c r="N935" s="3"/>
      <c r="O935" s="3"/>
      <c r="P935" s="3"/>
      <c r="Q935" s="3"/>
      <c r="R935" s="3"/>
      <c r="S935" s="3"/>
      <c r="T935" s="3"/>
      <c r="U935" s="3"/>
      <c r="V935" s="3"/>
    </row>
    <row r="936" spans="1:22" x14ac:dyDescent="0.25">
      <c r="A936" s="20">
        <v>42045</v>
      </c>
      <c r="B936" s="21">
        <v>11633</v>
      </c>
      <c r="C936" s="14" t="s">
        <v>34</v>
      </c>
      <c r="D936" s="105">
        <v>4255.2</v>
      </c>
      <c r="E936" s="23">
        <v>42045</v>
      </c>
      <c r="F936" s="106">
        <v>4255.2</v>
      </c>
      <c r="G936" s="31">
        <f t="shared" si="14"/>
        <v>0</v>
      </c>
      <c r="H936" s="19" t="s">
        <v>9</v>
      </c>
      <c r="K936" s="3"/>
      <c r="M936" s="3"/>
      <c r="N936" s="3"/>
      <c r="O936" s="3"/>
      <c r="P936" s="3"/>
      <c r="Q936" s="3"/>
      <c r="R936" s="3"/>
      <c r="S936" s="3"/>
      <c r="T936" s="3"/>
      <c r="U936" s="3"/>
      <c r="V936" s="3"/>
    </row>
    <row r="937" spans="1:22" x14ac:dyDescent="0.25">
      <c r="A937" s="20">
        <v>42045</v>
      </c>
      <c r="B937" s="21">
        <v>11634</v>
      </c>
      <c r="C937" s="14" t="s">
        <v>215</v>
      </c>
      <c r="D937" s="105">
        <v>13319.6</v>
      </c>
      <c r="E937" s="23">
        <v>42045</v>
      </c>
      <c r="F937" s="106">
        <v>13319.6</v>
      </c>
      <c r="G937" s="31">
        <f t="shared" si="14"/>
        <v>0</v>
      </c>
      <c r="H937" s="19" t="s">
        <v>9</v>
      </c>
      <c r="K937" s="3"/>
      <c r="M937" s="3"/>
      <c r="N937" s="3"/>
      <c r="O937" s="3"/>
      <c r="P937" s="3"/>
      <c r="Q937" s="3"/>
      <c r="R937" s="3"/>
      <c r="S937" s="3"/>
      <c r="T937" s="3"/>
      <c r="U937" s="3"/>
      <c r="V937" s="3"/>
    </row>
    <row r="938" spans="1:22" x14ac:dyDescent="0.25">
      <c r="A938" s="20">
        <v>42045</v>
      </c>
      <c r="B938" s="21">
        <v>11635</v>
      </c>
      <c r="C938" s="14" t="s">
        <v>552</v>
      </c>
      <c r="D938" s="105">
        <v>947.2</v>
      </c>
      <c r="E938" s="23">
        <v>42045</v>
      </c>
      <c r="F938" s="106">
        <v>947.2</v>
      </c>
      <c r="G938" s="31">
        <f t="shared" si="14"/>
        <v>0</v>
      </c>
      <c r="H938" s="19" t="s">
        <v>9</v>
      </c>
      <c r="K938" s="3"/>
      <c r="M938" s="3"/>
      <c r="N938" s="3"/>
      <c r="O938" s="3"/>
      <c r="P938" s="3"/>
      <c r="Q938" s="3"/>
      <c r="R938" s="3"/>
      <c r="S938" s="3"/>
      <c r="T938" s="3"/>
      <c r="U938" s="3"/>
      <c r="V938" s="3"/>
    </row>
    <row r="939" spans="1:22" x14ac:dyDescent="0.25">
      <c r="A939" s="20">
        <v>42045</v>
      </c>
      <c r="B939" s="21">
        <v>11636</v>
      </c>
      <c r="C939" s="14" t="s">
        <v>128</v>
      </c>
      <c r="D939" s="105">
        <v>9375.6</v>
      </c>
      <c r="E939" s="23">
        <v>42045</v>
      </c>
      <c r="F939" s="106">
        <v>9375.6</v>
      </c>
      <c r="G939" s="31">
        <f t="shared" si="14"/>
        <v>0</v>
      </c>
      <c r="H939" s="19" t="s">
        <v>17</v>
      </c>
      <c r="J939" s="107"/>
      <c r="K939" s="3"/>
      <c r="M939" s="3"/>
      <c r="N939" s="3"/>
      <c r="O939" s="3"/>
      <c r="P939" s="3"/>
      <c r="Q939" s="3"/>
      <c r="R939" s="3"/>
      <c r="S939" s="3"/>
      <c r="T939" s="3"/>
      <c r="U939" s="3"/>
      <c r="V939" s="3"/>
    </row>
    <row r="940" spans="1:22" x14ac:dyDescent="0.25">
      <c r="A940" s="20">
        <v>42045</v>
      </c>
      <c r="B940" s="21">
        <v>11637</v>
      </c>
      <c r="C940" s="14" t="s">
        <v>14</v>
      </c>
      <c r="D940" s="105">
        <v>11028.2</v>
      </c>
      <c r="E940" s="23">
        <v>42051</v>
      </c>
      <c r="F940" s="106">
        <v>11028.2</v>
      </c>
      <c r="G940" s="31">
        <f t="shared" si="14"/>
        <v>0</v>
      </c>
      <c r="H940" s="19" t="s">
        <v>15</v>
      </c>
      <c r="K940" s="3"/>
      <c r="M940" s="3"/>
      <c r="N940" s="3"/>
      <c r="O940" s="3"/>
      <c r="P940" s="3"/>
      <c r="Q940" s="3"/>
      <c r="R940" s="3"/>
      <c r="S940" s="3"/>
      <c r="T940" s="3"/>
      <c r="U940" s="3"/>
      <c r="V940" s="3"/>
    </row>
    <row r="941" spans="1:22" x14ac:dyDescent="0.25">
      <c r="A941" s="20">
        <v>42045</v>
      </c>
      <c r="B941" s="21">
        <v>11638</v>
      </c>
      <c r="C941" s="14" t="s">
        <v>192</v>
      </c>
      <c r="D941" s="105">
        <v>8580</v>
      </c>
      <c r="E941" s="23">
        <v>42055</v>
      </c>
      <c r="F941" s="106">
        <v>8580</v>
      </c>
      <c r="G941" s="31">
        <f t="shared" si="14"/>
        <v>0</v>
      </c>
      <c r="H941" s="19" t="s">
        <v>17</v>
      </c>
      <c r="K941" s="3"/>
      <c r="M941" s="3"/>
      <c r="N941" s="3"/>
      <c r="O941" s="3"/>
      <c r="P941" s="3"/>
      <c r="Q941" s="3"/>
      <c r="R941" s="3"/>
      <c r="S941" s="3"/>
      <c r="T941" s="3"/>
      <c r="U941" s="3"/>
      <c r="V941" s="3"/>
    </row>
    <row r="942" spans="1:22" x14ac:dyDescent="0.25">
      <c r="A942" s="20">
        <v>42045</v>
      </c>
      <c r="B942" s="21">
        <v>11639</v>
      </c>
      <c r="C942" s="14" t="s">
        <v>24</v>
      </c>
      <c r="D942" s="105">
        <v>56815.6</v>
      </c>
      <c r="E942" s="23">
        <v>42062</v>
      </c>
      <c r="F942" s="106">
        <v>56815.6</v>
      </c>
      <c r="G942" s="31">
        <f t="shared" si="14"/>
        <v>0</v>
      </c>
      <c r="H942" s="19" t="s">
        <v>94</v>
      </c>
      <c r="K942" s="3"/>
      <c r="M942" s="3"/>
      <c r="N942" s="3"/>
      <c r="O942" s="3"/>
      <c r="P942" s="3"/>
      <c r="Q942" s="3"/>
      <c r="R942" s="3"/>
      <c r="S942" s="3"/>
      <c r="T942" s="3"/>
      <c r="U942" s="3"/>
      <c r="V942" s="3"/>
    </row>
    <row r="943" spans="1:22" x14ac:dyDescent="0.25">
      <c r="A943" s="20">
        <v>42045</v>
      </c>
      <c r="B943" s="21">
        <v>11640</v>
      </c>
      <c r="C943" s="14" t="s">
        <v>131</v>
      </c>
      <c r="D943" s="105">
        <v>11491.5</v>
      </c>
      <c r="E943" s="23">
        <v>42048</v>
      </c>
      <c r="F943" s="106">
        <v>11491.5</v>
      </c>
      <c r="G943" s="31">
        <f t="shared" si="14"/>
        <v>0</v>
      </c>
      <c r="H943" s="19" t="s">
        <v>17</v>
      </c>
      <c r="K943" s="3"/>
      <c r="M943" s="3"/>
      <c r="N943" s="3"/>
      <c r="O943" s="3"/>
      <c r="P943" s="3"/>
      <c r="Q943" s="3"/>
      <c r="R943" s="3"/>
      <c r="S943" s="3"/>
      <c r="T943" s="3"/>
      <c r="U943" s="3"/>
      <c r="V943" s="3"/>
    </row>
    <row r="944" spans="1:22" x14ac:dyDescent="0.25">
      <c r="A944" s="20">
        <v>42045</v>
      </c>
      <c r="B944" s="21">
        <v>11641</v>
      </c>
      <c r="C944" s="14" t="s">
        <v>165</v>
      </c>
      <c r="D944" s="105">
        <v>3179.6</v>
      </c>
      <c r="E944" s="23">
        <v>42045</v>
      </c>
      <c r="F944" s="106">
        <v>3179.6</v>
      </c>
      <c r="G944" s="31">
        <f t="shared" si="14"/>
        <v>0</v>
      </c>
      <c r="H944" s="19" t="s">
        <v>9</v>
      </c>
      <c r="K944" s="3"/>
      <c r="M944" s="3"/>
      <c r="N944" s="3"/>
      <c r="O944" s="3"/>
      <c r="P944" s="3"/>
      <c r="Q944" s="3"/>
      <c r="R944" s="3"/>
      <c r="S944" s="3"/>
      <c r="T944" s="3"/>
      <c r="U944" s="3"/>
      <c r="V944" s="3"/>
    </row>
    <row r="945" spans="1:22" x14ac:dyDescent="0.25">
      <c r="A945" s="20">
        <v>42045</v>
      </c>
      <c r="B945" s="21">
        <v>11642</v>
      </c>
      <c r="C945" s="14" t="s">
        <v>130</v>
      </c>
      <c r="D945" s="105">
        <v>5273.6</v>
      </c>
      <c r="E945" s="23">
        <v>42048</v>
      </c>
      <c r="F945" s="114">
        <v>2327.4499999999998</v>
      </c>
      <c r="G945" s="55">
        <f t="shared" si="14"/>
        <v>2946.1500000000005</v>
      </c>
      <c r="H945" s="19" t="s">
        <v>17</v>
      </c>
      <c r="K945" s="3"/>
      <c r="M945" s="3"/>
      <c r="N945" s="3"/>
      <c r="O945" s="3"/>
      <c r="P945" s="3"/>
      <c r="Q945" s="3"/>
      <c r="R945" s="3"/>
      <c r="S945" s="3"/>
      <c r="T945" s="3"/>
      <c r="U945" s="3"/>
      <c r="V945" s="3"/>
    </row>
    <row r="946" spans="1:22" x14ac:dyDescent="0.25">
      <c r="A946" s="20">
        <v>42045</v>
      </c>
      <c r="B946" s="21">
        <v>11643</v>
      </c>
      <c r="C946" s="14" t="s">
        <v>100</v>
      </c>
      <c r="D946" s="105">
        <v>1911.4</v>
      </c>
      <c r="E946" s="23">
        <v>42045</v>
      </c>
      <c r="F946" s="106">
        <v>1911.4</v>
      </c>
      <c r="G946" s="31">
        <f t="shared" si="14"/>
        <v>0</v>
      </c>
      <c r="H946" s="19" t="s">
        <v>9</v>
      </c>
      <c r="I946" s="3"/>
      <c r="J946" s="42"/>
      <c r="K946" s="3"/>
      <c r="M946" s="3"/>
      <c r="N946" s="3"/>
      <c r="O946" s="3"/>
      <c r="P946" s="3"/>
      <c r="Q946" s="3"/>
      <c r="R946" s="3"/>
      <c r="S946" s="3"/>
      <c r="T946" s="3"/>
      <c r="U946" s="3"/>
      <c r="V946" s="3"/>
    </row>
    <row r="947" spans="1:22" x14ac:dyDescent="0.25">
      <c r="A947" s="20">
        <v>42045</v>
      </c>
      <c r="B947" s="21">
        <v>11644</v>
      </c>
      <c r="C947" s="14" t="s">
        <v>32</v>
      </c>
      <c r="D947" s="105">
        <v>97014.65</v>
      </c>
      <c r="E947" s="23">
        <v>42062</v>
      </c>
      <c r="F947" s="106">
        <v>97014.65</v>
      </c>
      <c r="G947" s="31">
        <f t="shared" si="14"/>
        <v>0</v>
      </c>
      <c r="H947" s="19" t="s">
        <v>187</v>
      </c>
      <c r="I947" s="3"/>
      <c r="J947" s="42"/>
      <c r="K947" s="3"/>
      <c r="M947" s="3"/>
      <c r="N947" s="3"/>
      <c r="O947" s="3"/>
      <c r="P947" s="3"/>
      <c r="Q947" s="3"/>
      <c r="R947" s="3"/>
      <c r="S947" s="3"/>
      <c r="T947" s="3"/>
      <c r="U947" s="3"/>
      <c r="V947" s="3"/>
    </row>
    <row r="948" spans="1:22" x14ac:dyDescent="0.25">
      <c r="A948" s="20">
        <v>42045</v>
      </c>
      <c r="B948" s="21">
        <v>11645</v>
      </c>
      <c r="C948" s="14" t="s">
        <v>333</v>
      </c>
      <c r="D948" s="105">
        <v>20465.2</v>
      </c>
      <c r="E948" s="23">
        <v>42045</v>
      </c>
      <c r="F948" s="106">
        <v>20465.2</v>
      </c>
      <c r="G948" s="31">
        <f t="shared" si="14"/>
        <v>0</v>
      </c>
      <c r="H948" s="19" t="s">
        <v>17</v>
      </c>
      <c r="I948" s="3"/>
      <c r="J948" s="42"/>
      <c r="K948" s="3"/>
      <c r="M948" s="3"/>
      <c r="N948" s="3"/>
      <c r="O948" s="3"/>
      <c r="P948" s="3"/>
      <c r="Q948" s="3"/>
      <c r="R948" s="3"/>
      <c r="S948" s="3"/>
      <c r="T948" s="3"/>
      <c r="U948" s="3"/>
      <c r="V948" s="3"/>
    </row>
    <row r="949" spans="1:22" x14ac:dyDescent="0.25">
      <c r="A949" s="20">
        <v>42045</v>
      </c>
      <c r="B949" s="21">
        <v>11646</v>
      </c>
      <c r="C949" s="14" t="s">
        <v>56</v>
      </c>
      <c r="D949" s="105">
        <v>17711</v>
      </c>
      <c r="E949" s="23">
        <v>42045</v>
      </c>
      <c r="F949" s="106">
        <v>17711</v>
      </c>
      <c r="G949" s="31">
        <f t="shared" si="14"/>
        <v>0</v>
      </c>
      <c r="H949" s="19" t="s">
        <v>19</v>
      </c>
      <c r="I949" s="3"/>
      <c r="J949" s="42"/>
      <c r="K949" s="3"/>
      <c r="M949" s="3"/>
      <c r="N949" s="3"/>
      <c r="O949" s="3"/>
      <c r="P949" s="3"/>
      <c r="Q949" s="3"/>
      <c r="R949" s="3"/>
      <c r="S949" s="3"/>
      <c r="T949" s="3"/>
      <c r="U949" s="3"/>
      <c r="V949" s="3"/>
    </row>
    <row r="950" spans="1:22" x14ac:dyDescent="0.25">
      <c r="A950" s="20">
        <v>42045</v>
      </c>
      <c r="B950" s="21">
        <v>11647</v>
      </c>
      <c r="C950" s="14" t="s">
        <v>60</v>
      </c>
      <c r="D950" s="105">
        <v>5829.2</v>
      </c>
      <c r="E950" s="23">
        <v>42045</v>
      </c>
      <c r="F950" s="106">
        <v>5829.2</v>
      </c>
      <c r="G950" s="31">
        <f t="shared" si="14"/>
        <v>0</v>
      </c>
      <c r="H950" s="19" t="s">
        <v>19</v>
      </c>
      <c r="I950" s="3"/>
      <c r="J950" s="42"/>
      <c r="K950" s="3"/>
      <c r="M950" s="3"/>
      <c r="N950" s="3"/>
      <c r="O950" s="3"/>
      <c r="P950" s="3"/>
      <c r="Q950" s="3"/>
      <c r="R950" s="3"/>
      <c r="S950" s="3"/>
      <c r="T950" s="3"/>
      <c r="U950" s="3"/>
      <c r="V950" s="3"/>
    </row>
    <row r="951" spans="1:22" x14ac:dyDescent="0.25">
      <c r="A951" s="20">
        <v>42045</v>
      </c>
      <c r="B951" s="21">
        <v>11648</v>
      </c>
      <c r="C951" s="14" t="s">
        <v>125</v>
      </c>
      <c r="D951" s="105">
        <v>6439.6</v>
      </c>
      <c r="E951" s="23">
        <v>42045</v>
      </c>
      <c r="F951" s="106">
        <v>6439.6</v>
      </c>
      <c r="G951" s="31">
        <f t="shared" si="14"/>
        <v>0</v>
      </c>
      <c r="H951" s="19" t="s">
        <v>41</v>
      </c>
      <c r="I951" s="3"/>
      <c r="J951" s="42"/>
      <c r="K951" s="3"/>
      <c r="M951" s="3"/>
      <c r="N951" s="3"/>
      <c r="O951" s="3"/>
      <c r="P951" s="3"/>
      <c r="Q951" s="3"/>
      <c r="R951" s="3"/>
      <c r="S951" s="3"/>
      <c r="T951" s="3"/>
      <c r="U951" s="3"/>
      <c r="V951" s="3"/>
    </row>
    <row r="952" spans="1:22" x14ac:dyDescent="0.25">
      <c r="A952" s="20">
        <v>42045</v>
      </c>
      <c r="B952" s="21">
        <v>11649</v>
      </c>
      <c r="C952" s="14" t="s">
        <v>134</v>
      </c>
      <c r="D952" s="105">
        <v>10939.8</v>
      </c>
      <c r="E952" s="47">
        <v>42045</v>
      </c>
      <c r="F952" s="106">
        <v>10939.8</v>
      </c>
      <c r="G952" s="31">
        <f t="shared" si="14"/>
        <v>0</v>
      </c>
      <c r="H952" s="19" t="s">
        <v>19</v>
      </c>
      <c r="I952" s="3"/>
      <c r="J952" s="42"/>
      <c r="K952" s="3"/>
      <c r="M952" s="3"/>
      <c r="N952" s="3"/>
      <c r="O952" s="3"/>
      <c r="P952" s="3"/>
      <c r="Q952" s="3"/>
      <c r="R952" s="3"/>
      <c r="S952" s="3"/>
      <c r="T952" s="3"/>
      <c r="U952" s="3"/>
      <c r="V952" s="3"/>
    </row>
    <row r="953" spans="1:22" x14ac:dyDescent="0.25">
      <c r="A953" s="20">
        <v>42045</v>
      </c>
      <c r="B953" s="21">
        <v>11650</v>
      </c>
      <c r="C953" s="14" t="s">
        <v>256</v>
      </c>
      <c r="D953" s="105">
        <v>4112.8</v>
      </c>
      <c r="E953" s="23">
        <v>42045</v>
      </c>
      <c r="F953" s="106">
        <v>4112.8</v>
      </c>
      <c r="G953" s="31">
        <f t="shared" si="14"/>
        <v>0</v>
      </c>
      <c r="H953" s="19" t="s">
        <v>19</v>
      </c>
      <c r="I953" s="3"/>
      <c r="J953" s="42"/>
      <c r="K953" s="3"/>
      <c r="M953" s="3"/>
      <c r="N953" s="3"/>
      <c r="O953" s="3"/>
      <c r="P953" s="3"/>
      <c r="Q953" s="3"/>
      <c r="R953" s="3"/>
      <c r="S953" s="3"/>
      <c r="T953" s="3"/>
      <c r="U953" s="3"/>
      <c r="V953" s="3"/>
    </row>
    <row r="954" spans="1:22" x14ac:dyDescent="0.25">
      <c r="A954" s="20">
        <v>42045</v>
      </c>
      <c r="B954" s="21">
        <v>11651</v>
      </c>
      <c r="C954" s="14" t="s">
        <v>335</v>
      </c>
      <c r="D954" s="105">
        <v>1479</v>
      </c>
      <c r="E954" s="23">
        <v>42045</v>
      </c>
      <c r="F954" s="106">
        <v>1479</v>
      </c>
      <c r="G954" s="31">
        <f t="shared" si="14"/>
        <v>0</v>
      </c>
      <c r="H954" s="19" t="s">
        <v>9</v>
      </c>
      <c r="I954" s="3"/>
      <c r="J954" s="42"/>
      <c r="K954" s="3"/>
      <c r="M954" s="3"/>
      <c r="N954" s="3"/>
      <c r="O954" s="3"/>
      <c r="P954" s="3"/>
      <c r="Q954" s="3"/>
      <c r="R954" s="3"/>
      <c r="S954" s="3"/>
      <c r="T954" s="3"/>
      <c r="U954" s="3"/>
      <c r="V954" s="3"/>
    </row>
    <row r="955" spans="1:22" x14ac:dyDescent="0.25">
      <c r="A955" s="20">
        <v>42045</v>
      </c>
      <c r="B955" s="21">
        <v>11652</v>
      </c>
      <c r="C955" s="14" t="s">
        <v>136</v>
      </c>
      <c r="D955" s="105">
        <v>38012</v>
      </c>
      <c r="E955" s="23">
        <v>42048</v>
      </c>
      <c r="F955" s="106">
        <v>38012</v>
      </c>
      <c r="G955" s="31">
        <f t="shared" si="14"/>
        <v>0</v>
      </c>
      <c r="H955" s="19" t="s">
        <v>9</v>
      </c>
      <c r="I955" s="3"/>
      <c r="J955" s="42"/>
      <c r="K955" s="3"/>
      <c r="M955" s="3"/>
      <c r="N955" s="3"/>
      <c r="O955" s="3"/>
      <c r="P955" s="3"/>
      <c r="Q955" s="3"/>
      <c r="R955" s="3"/>
      <c r="S955" s="3"/>
      <c r="T955" s="3"/>
      <c r="U955" s="3"/>
      <c r="V955" s="3"/>
    </row>
    <row r="956" spans="1:22" x14ac:dyDescent="0.25">
      <c r="A956" s="20">
        <v>42045</v>
      </c>
      <c r="B956" s="21">
        <v>11653</v>
      </c>
      <c r="C956" s="14" t="s">
        <v>20</v>
      </c>
      <c r="D956" s="105">
        <v>1039</v>
      </c>
      <c r="E956" s="23">
        <v>42046</v>
      </c>
      <c r="F956" s="106">
        <v>1039</v>
      </c>
      <c r="G956" s="31">
        <f t="shared" si="14"/>
        <v>0</v>
      </c>
      <c r="H956" s="19" t="s">
        <v>41</v>
      </c>
      <c r="I956" s="3"/>
      <c r="J956" s="42"/>
      <c r="K956" s="3"/>
      <c r="M956" s="3"/>
      <c r="N956" s="3"/>
      <c r="O956" s="3"/>
      <c r="P956" s="3"/>
      <c r="Q956" s="3"/>
      <c r="R956" s="3"/>
      <c r="S956" s="3"/>
      <c r="T956" s="3"/>
      <c r="U956" s="3"/>
      <c r="V956" s="3"/>
    </row>
    <row r="957" spans="1:22" x14ac:dyDescent="0.25">
      <c r="A957" s="20">
        <v>42045</v>
      </c>
      <c r="B957" s="21">
        <v>11654</v>
      </c>
      <c r="C957" s="14" t="s">
        <v>50</v>
      </c>
      <c r="D957" s="105">
        <v>2406.8000000000002</v>
      </c>
      <c r="E957" s="23">
        <v>42045</v>
      </c>
      <c r="F957" s="106">
        <v>2406.8000000000002</v>
      </c>
      <c r="G957" s="31">
        <f t="shared" si="14"/>
        <v>0</v>
      </c>
      <c r="H957" s="19" t="s">
        <v>41</v>
      </c>
      <c r="I957" s="3"/>
      <c r="J957" s="42"/>
      <c r="K957" s="3"/>
      <c r="M957" s="3"/>
      <c r="N957" s="3"/>
      <c r="O957" s="3"/>
      <c r="P957" s="3"/>
      <c r="Q957" s="3"/>
      <c r="R957" s="3"/>
      <c r="S957" s="3"/>
      <c r="T957" s="3"/>
      <c r="U957" s="3"/>
      <c r="V957" s="3"/>
    </row>
    <row r="958" spans="1:22" x14ac:dyDescent="0.25">
      <c r="A958" s="20">
        <v>42045</v>
      </c>
      <c r="B958" s="21">
        <v>11655</v>
      </c>
      <c r="C958" s="14" t="s">
        <v>49</v>
      </c>
      <c r="D958" s="105">
        <v>1821.6</v>
      </c>
      <c r="E958" s="23">
        <v>42045</v>
      </c>
      <c r="F958" s="106">
        <v>1821.6</v>
      </c>
      <c r="G958" s="31">
        <f t="shared" si="14"/>
        <v>0</v>
      </c>
      <c r="H958" s="19" t="s">
        <v>41</v>
      </c>
      <c r="I958" s="3"/>
      <c r="J958" s="42"/>
      <c r="K958" s="3"/>
      <c r="M958" s="3"/>
      <c r="N958" s="3"/>
      <c r="O958" s="3"/>
      <c r="P958" s="3"/>
      <c r="Q958" s="3"/>
      <c r="R958" s="3"/>
      <c r="S958" s="3"/>
      <c r="T958" s="3"/>
      <c r="U958" s="3"/>
      <c r="V958" s="3"/>
    </row>
    <row r="959" spans="1:22" x14ac:dyDescent="0.25">
      <c r="A959" s="20">
        <v>42045</v>
      </c>
      <c r="B959" s="21">
        <v>11656</v>
      </c>
      <c r="C959" s="14" t="s">
        <v>335</v>
      </c>
      <c r="D959" s="105">
        <v>90.2</v>
      </c>
      <c r="E959" s="23">
        <v>42045</v>
      </c>
      <c r="F959" s="106">
        <v>90.2</v>
      </c>
      <c r="G959" s="31">
        <f t="shared" si="14"/>
        <v>0</v>
      </c>
      <c r="H959" s="19" t="s">
        <v>9</v>
      </c>
      <c r="I959" s="3"/>
      <c r="J959" s="42"/>
      <c r="K959" s="3"/>
      <c r="M959" s="3"/>
      <c r="N959" s="3"/>
      <c r="O959" s="3"/>
      <c r="P959" s="3"/>
      <c r="Q959" s="3"/>
      <c r="R959" s="3"/>
      <c r="S959" s="3"/>
      <c r="T959" s="3"/>
      <c r="U959" s="3"/>
      <c r="V959" s="3"/>
    </row>
    <row r="960" spans="1:22" x14ac:dyDescent="0.25">
      <c r="A960" s="20">
        <v>42045</v>
      </c>
      <c r="B960" s="21">
        <v>11657</v>
      </c>
      <c r="C960" s="14" t="s">
        <v>110</v>
      </c>
      <c r="D960" s="105">
        <v>3172.2</v>
      </c>
      <c r="E960" s="23">
        <v>42051</v>
      </c>
      <c r="F960" s="106">
        <v>3172.2</v>
      </c>
      <c r="G960" s="31">
        <f t="shared" si="14"/>
        <v>0</v>
      </c>
      <c r="H960" s="19" t="s">
        <v>9</v>
      </c>
      <c r="I960" s="3"/>
      <c r="J960" s="42"/>
      <c r="K960" s="3"/>
      <c r="M960" s="3"/>
      <c r="N960" s="3"/>
      <c r="O960" s="3"/>
      <c r="P960" s="3"/>
      <c r="Q960" s="3"/>
      <c r="R960" s="3"/>
      <c r="S960" s="3"/>
      <c r="T960" s="3"/>
      <c r="U960" s="3"/>
      <c r="V960" s="3"/>
    </row>
    <row r="961" spans="1:22" x14ac:dyDescent="0.25">
      <c r="A961" s="20">
        <v>42045</v>
      </c>
      <c r="B961" s="21">
        <v>11658</v>
      </c>
      <c r="C961" s="14" t="s">
        <v>138</v>
      </c>
      <c r="D961" s="105">
        <v>4368</v>
      </c>
      <c r="E961" s="23">
        <v>42045</v>
      </c>
      <c r="F961" s="106">
        <v>4368</v>
      </c>
      <c r="G961" s="31">
        <f t="shared" si="14"/>
        <v>0</v>
      </c>
      <c r="H961" s="19" t="s">
        <v>41</v>
      </c>
      <c r="I961" s="3"/>
      <c r="J961" s="42"/>
      <c r="K961" s="3"/>
      <c r="M961" s="3"/>
      <c r="N961" s="3"/>
      <c r="O961" s="3"/>
      <c r="P961" s="3"/>
      <c r="Q961" s="3"/>
      <c r="R961" s="3"/>
      <c r="S961" s="3"/>
      <c r="T961" s="3"/>
      <c r="U961" s="3"/>
      <c r="V961" s="3"/>
    </row>
    <row r="962" spans="1:22" x14ac:dyDescent="0.25">
      <c r="A962" s="20">
        <v>42045</v>
      </c>
      <c r="B962" s="21">
        <v>11659</v>
      </c>
      <c r="C962" s="14" t="s">
        <v>318</v>
      </c>
      <c r="D962" s="105">
        <v>12152</v>
      </c>
      <c r="E962" s="23">
        <v>42045</v>
      </c>
      <c r="F962" s="106">
        <v>12152</v>
      </c>
      <c r="G962" s="31">
        <f t="shared" si="14"/>
        <v>0</v>
      </c>
      <c r="H962" s="19" t="s">
        <v>9</v>
      </c>
      <c r="K962" s="3"/>
      <c r="M962" s="3"/>
      <c r="N962" s="3"/>
      <c r="O962" s="3"/>
      <c r="P962" s="3"/>
      <c r="Q962" s="3"/>
      <c r="R962" s="3"/>
      <c r="S962" s="3"/>
      <c r="T962" s="3"/>
      <c r="U962" s="3"/>
      <c r="V962" s="3"/>
    </row>
    <row r="963" spans="1:22" x14ac:dyDescent="0.25">
      <c r="A963" s="20">
        <v>42045</v>
      </c>
      <c r="B963" s="21">
        <v>11660</v>
      </c>
      <c r="C963" s="14" t="s">
        <v>89</v>
      </c>
      <c r="D963" s="105">
        <v>2925.4</v>
      </c>
      <c r="E963" s="23">
        <v>42045</v>
      </c>
      <c r="F963" s="106">
        <v>2925.4</v>
      </c>
      <c r="G963" s="31">
        <f t="shared" ref="G963:G1026" si="15">D963-F963</f>
        <v>0</v>
      </c>
      <c r="H963" s="19" t="s">
        <v>9</v>
      </c>
      <c r="K963" s="3"/>
      <c r="M963" s="3"/>
      <c r="N963" s="3"/>
      <c r="O963" s="3"/>
      <c r="P963" s="3"/>
      <c r="Q963" s="3"/>
      <c r="R963" s="3"/>
      <c r="S963" s="3"/>
      <c r="T963" s="3"/>
      <c r="U963" s="3"/>
      <c r="V963" s="3"/>
    </row>
    <row r="964" spans="1:22" x14ac:dyDescent="0.25">
      <c r="A964" s="20">
        <v>42045</v>
      </c>
      <c r="B964" s="21">
        <v>11661</v>
      </c>
      <c r="C964" s="14" t="s">
        <v>318</v>
      </c>
      <c r="D964" s="105">
        <v>2651.4</v>
      </c>
      <c r="E964" s="23">
        <v>42045</v>
      </c>
      <c r="F964" s="106">
        <v>2651.4</v>
      </c>
      <c r="G964" s="31">
        <f t="shared" si="15"/>
        <v>0</v>
      </c>
      <c r="H964" s="19" t="s">
        <v>9</v>
      </c>
      <c r="J964" s="107"/>
      <c r="K964" s="3"/>
      <c r="M964" s="3"/>
      <c r="N964" s="3"/>
      <c r="O964" s="3"/>
      <c r="P964" s="3"/>
      <c r="Q964" s="3"/>
      <c r="R964" s="3"/>
      <c r="S964" s="3"/>
      <c r="T964" s="3"/>
      <c r="U964" s="3"/>
      <c r="V964" s="3"/>
    </row>
    <row r="965" spans="1:22" x14ac:dyDescent="0.25">
      <c r="A965" s="20">
        <v>42045</v>
      </c>
      <c r="B965" s="21">
        <v>11662</v>
      </c>
      <c r="C965" s="14" t="s">
        <v>318</v>
      </c>
      <c r="D965" s="105">
        <v>932.4</v>
      </c>
      <c r="E965" s="23">
        <v>42045</v>
      </c>
      <c r="F965" s="106">
        <v>932.4</v>
      </c>
      <c r="G965" s="31">
        <f t="shared" si="15"/>
        <v>0</v>
      </c>
      <c r="H965" s="19" t="s">
        <v>9</v>
      </c>
      <c r="K965" s="3"/>
      <c r="M965" s="3"/>
      <c r="N965" s="3"/>
      <c r="O965" s="3"/>
      <c r="P965" s="3"/>
      <c r="Q965" s="3"/>
      <c r="R965" s="3"/>
      <c r="S965" s="3"/>
      <c r="T965" s="3"/>
      <c r="U965" s="3"/>
      <c r="V965" s="3"/>
    </row>
    <row r="966" spans="1:22" x14ac:dyDescent="0.25">
      <c r="A966" s="20">
        <v>42045</v>
      </c>
      <c r="B966" s="21">
        <v>11663</v>
      </c>
      <c r="C966" s="14" t="s">
        <v>213</v>
      </c>
      <c r="D966" s="105">
        <v>87442.52</v>
      </c>
      <c r="E966" s="29" t="s">
        <v>623</v>
      </c>
      <c r="F966" s="106">
        <f>30000+16500+38000+2942.52</f>
        <v>87442.52</v>
      </c>
      <c r="G966" s="31">
        <f t="shared" si="15"/>
        <v>0</v>
      </c>
      <c r="H966" s="19" t="s">
        <v>183</v>
      </c>
      <c r="K966" s="3"/>
      <c r="M966" s="3"/>
      <c r="N966" s="3"/>
      <c r="O966" s="3"/>
      <c r="P966" s="3"/>
      <c r="Q966" s="3"/>
      <c r="R966" s="3"/>
      <c r="S966" s="3"/>
      <c r="T966" s="3"/>
      <c r="U966" s="3"/>
      <c r="V966" s="3"/>
    </row>
    <row r="967" spans="1:22" x14ac:dyDescent="0.25">
      <c r="A967" s="20">
        <v>42045</v>
      </c>
      <c r="B967" s="21">
        <v>11664</v>
      </c>
      <c r="C967" s="14" t="s">
        <v>98</v>
      </c>
      <c r="D967" s="105">
        <v>2641.3</v>
      </c>
      <c r="E967" s="23">
        <v>42045</v>
      </c>
      <c r="F967" s="106">
        <v>2641.3</v>
      </c>
      <c r="G967" s="31">
        <f t="shared" si="15"/>
        <v>0</v>
      </c>
      <c r="H967" s="19" t="s">
        <v>94</v>
      </c>
      <c r="K967" s="3"/>
      <c r="M967" s="3"/>
      <c r="N967" s="3"/>
      <c r="O967" s="3"/>
      <c r="P967" s="3"/>
      <c r="Q967" s="3"/>
      <c r="R967" s="3"/>
      <c r="S967" s="3"/>
      <c r="T967" s="3"/>
      <c r="U967" s="3"/>
      <c r="V967" s="3"/>
    </row>
    <row r="968" spans="1:22" x14ac:dyDescent="0.25">
      <c r="A968" s="20">
        <v>42045</v>
      </c>
      <c r="B968" s="21">
        <v>11665</v>
      </c>
      <c r="C968" s="14" t="s">
        <v>99</v>
      </c>
      <c r="D968" s="105">
        <v>1001.4</v>
      </c>
      <c r="E968" s="23">
        <v>42045</v>
      </c>
      <c r="F968" s="106">
        <v>1001.4</v>
      </c>
      <c r="G968" s="31">
        <f t="shared" si="15"/>
        <v>0</v>
      </c>
      <c r="H968" s="19" t="s">
        <v>94</v>
      </c>
      <c r="J968" s="107"/>
      <c r="K968" s="3"/>
      <c r="M968" s="3"/>
      <c r="N968" s="3"/>
      <c r="O968" s="3"/>
      <c r="P968" s="3"/>
      <c r="Q968" s="3"/>
      <c r="R968" s="3"/>
      <c r="S968" s="3"/>
      <c r="T968" s="3"/>
      <c r="U968" s="3"/>
      <c r="V968" s="3"/>
    </row>
    <row r="969" spans="1:22" x14ac:dyDescent="0.25">
      <c r="A969" s="20">
        <v>42045</v>
      </c>
      <c r="B969" s="21">
        <v>11666</v>
      </c>
      <c r="C969" s="14" t="s">
        <v>190</v>
      </c>
      <c r="D969" s="105">
        <v>7883.2</v>
      </c>
      <c r="E969" s="23">
        <v>42045</v>
      </c>
      <c r="F969" s="106">
        <v>7883.2</v>
      </c>
      <c r="G969" s="31">
        <f t="shared" si="15"/>
        <v>0</v>
      </c>
      <c r="H969" s="19" t="s">
        <v>94</v>
      </c>
      <c r="K969" s="3"/>
      <c r="M969" s="3"/>
      <c r="N969" s="3"/>
      <c r="O969" s="3"/>
      <c r="P969" s="3"/>
      <c r="Q969" s="3"/>
      <c r="R969" s="3"/>
      <c r="S969" s="3"/>
      <c r="T969" s="3"/>
      <c r="U969" s="3"/>
      <c r="V969" s="3"/>
    </row>
    <row r="970" spans="1:22" x14ac:dyDescent="0.25">
      <c r="A970" s="20">
        <v>42045</v>
      </c>
      <c r="B970" s="21">
        <v>11667</v>
      </c>
      <c r="C970" s="14" t="s">
        <v>223</v>
      </c>
      <c r="D970" s="105">
        <v>759</v>
      </c>
      <c r="E970" s="23">
        <v>42045</v>
      </c>
      <c r="F970" s="106">
        <v>759</v>
      </c>
      <c r="G970" s="31">
        <f t="shared" si="15"/>
        <v>0</v>
      </c>
      <c r="H970" s="19" t="s">
        <v>94</v>
      </c>
      <c r="K970" s="3"/>
      <c r="M970" s="3"/>
      <c r="N970" s="3"/>
      <c r="O970" s="3"/>
      <c r="P970" s="3"/>
      <c r="Q970" s="3"/>
      <c r="R970" s="3"/>
      <c r="S970" s="3"/>
      <c r="T970" s="3"/>
      <c r="U970" s="3"/>
      <c r="V970" s="3"/>
    </row>
    <row r="971" spans="1:22" x14ac:dyDescent="0.25">
      <c r="A971" s="20">
        <v>42045</v>
      </c>
      <c r="B971" s="21">
        <v>11668</v>
      </c>
      <c r="C971" s="14" t="s">
        <v>250</v>
      </c>
      <c r="D971" s="105">
        <v>2185</v>
      </c>
      <c r="E971" s="23">
        <v>42045</v>
      </c>
      <c r="F971" s="106">
        <v>2185</v>
      </c>
      <c r="G971" s="31">
        <f t="shared" si="15"/>
        <v>0</v>
      </c>
      <c r="H971" s="19" t="s">
        <v>94</v>
      </c>
      <c r="J971" s="107"/>
      <c r="K971" s="3"/>
      <c r="M971" s="3"/>
      <c r="N971" s="3"/>
      <c r="O971" s="3"/>
      <c r="P971" s="3"/>
      <c r="Q971" s="3"/>
      <c r="R971" s="3"/>
      <c r="S971" s="3"/>
      <c r="T971" s="3"/>
      <c r="U971" s="3"/>
      <c r="V971" s="3"/>
    </row>
    <row r="972" spans="1:22" x14ac:dyDescent="0.25">
      <c r="A972" s="20">
        <v>42045</v>
      </c>
      <c r="B972" s="21">
        <v>11669</v>
      </c>
      <c r="C972" s="14" t="s">
        <v>624</v>
      </c>
      <c r="D972" s="105">
        <v>340</v>
      </c>
      <c r="E972" s="23">
        <v>42045</v>
      </c>
      <c r="F972" s="106">
        <v>340</v>
      </c>
      <c r="G972" s="31">
        <f t="shared" si="15"/>
        <v>0</v>
      </c>
      <c r="H972" s="19" t="s">
        <v>9</v>
      </c>
      <c r="K972" s="3"/>
      <c r="M972" s="3"/>
      <c r="N972" s="3"/>
      <c r="O972" s="3"/>
      <c r="P972" s="3"/>
      <c r="Q972" s="3"/>
      <c r="R972" s="3"/>
      <c r="S972" s="3"/>
      <c r="T972" s="3"/>
      <c r="U972" s="3"/>
      <c r="V972" s="3"/>
    </row>
    <row r="973" spans="1:22" x14ac:dyDescent="0.25">
      <c r="A973" s="20">
        <v>42045</v>
      </c>
      <c r="B973" s="21">
        <v>11670</v>
      </c>
      <c r="C973" s="14" t="s">
        <v>624</v>
      </c>
      <c r="D973" s="105">
        <v>340</v>
      </c>
      <c r="E973" s="23">
        <v>42045</v>
      </c>
      <c r="F973" s="106">
        <v>340</v>
      </c>
      <c r="G973" s="31">
        <f t="shared" si="15"/>
        <v>0</v>
      </c>
      <c r="H973" s="19" t="s">
        <v>9</v>
      </c>
      <c r="K973" s="3"/>
      <c r="M973" s="3"/>
      <c r="N973" s="3"/>
      <c r="O973" s="3"/>
      <c r="P973" s="3"/>
      <c r="Q973" s="3"/>
      <c r="R973" s="3"/>
      <c r="S973" s="3"/>
      <c r="T973" s="3"/>
      <c r="U973" s="3"/>
      <c r="V973" s="3"/>
    </row>
    <row r="974" spans="1:22" x14ac:dyDescent="0.25">
      <c r="A974" s="20">
        <v>42045</v>
      </c>
      <c r="B974" s="21">
        <v>11671</v>
      </c>
      <c r="C974" s="14" t="s">
        <v>136</v>
      </c>
      <c r="D974" s="105">
        <v>4921</v>
      </c>
      <c r="E974" s="23">
        <v>42045</v>
      </c>
      <c r="F974" s="106">
        <v>4921</v>
      </c>
      <c r="G974" s="31">
        <f t="shared" si="15"/>
        <v>0</v>
      </c>
      <c r="H974" s="19" t="s">
        <v>9</v>
      </c>
      <c r="K974" s="3"/>
      <c r="M974" s="3"/>
      <c r="N974" s="3"/>
      <c r="O974" s="3"/>
      <c r="P974" s="3"/>
      <c r="Q974" s="3"/>
      <c r="R974" s="3"/>
      <c r="S974" s="3"/>
      <c r="T974" s="3"/>
      <c r="U974" s="3"/>
      <c r="V974" s="3"/>
    </row>
    <row r="975" spans="1:22" x14ac:dyDescent="0.25">
      <c r="A975" s="20">
        <v>42045</v>
      </c>
      <c r="B975" s="21">
        <v>11672</v>
      </c>
      <c r="C975" s="14" t="s">
        <v>111</v>
      </c>
      <c r="D975" s="105">
        <v>193056</v>
      </c>
      <c r="E975" s="23">
        <v>42049</v>
      </c>
      <c r="F975" s="106">
        <v>193056</v>
      </c>
      <c r="G975" s="31">
        <f t="shared" si="15"/>
        <v>0</v>
      </c>
      <c r="H975" s="19" t="s">
        <v>9</v>
      </c>
      <c r="K975" s="3"/>
      <c r="M975" s="3"/>
      <c r="N975" s="3"/>
      <c r="O975" s="3"/>
      <c r="P975" s="3"/>
      <c r="Q975" s="3"/>
      <c r="R975" s="3"/>
      <c r="S975" s="3"/>
      <c r="T975" s="3"/>
      <c r="U975" s="3"/>
      <c r="V975" s="3"/>
    </row>
    <row r="976" spans="1:22" x14ac:dyDescent="0.25">
      <c r="A976" s="20">
        <v>42045</v>
      </c>
      <c r="B976" s="21">
        <v>11673</v>
      </c>
      <c r="C976" s="14" t="s">
        <v>234</v>
      </c>
      <c r="D976" s="105">
        <v>376</v>
      </c>
      <c r="E976" s="23">
        <v>42045</v>
      </c>
      <c r="F976" s="106">
        <v>376</v>
      </c>
      <c r="G976" s="31">
        <f t="shared" si="15"/>
        <v>0</v>
      </c>
      <c r="H976" s="19" t="s">
        <v>9</v>
      </c>
      <c r="K976" s="3"/>
      <c r="M976" s="3"/>
      <c r="N976" s="3"/>
      <c r="O976" s="3"/>
      <c r="P976" s="3"/>
      <c r="Q976" s="3"/>
      <c r="R976" s="3"/>
      <c r="S976" s="3"/>
      <c r="T976" s="3"/>
      <c r="U976" s="3"/>
      <c r="V976" s="3"/>
    </row>
    <row r="977" spans="1:22" x14ac:dyDescent="0.25">
      <c r="A977" s="20">
        <v>42045</v>
      </c>
      <c r="B977" s="21">
        <v>11674</v>
      </c>
      <c r="C977" s="14" t="s">
        <v>106</v>
      </c>
      <c r="D977" s="105">
        <v>155441</v>
      </c>
      <c r="E977" s="29" t="s">
        <v>625</v>
      </c>
      <c r="F977" s="106">
        <f>100000+55441</f>
        <v>155441</v>
      </c>
      <c r="G977" s="31">
        <f t="shared" si="15"/>
        <v>0</v>
      </c>
      <c r="H977" s="19" t="s">
        <v>187</v>
      </c>
      <c r="K977" s="3"/>
      <c r="M977" s="3"/>
      <c r="N977" s="3"/>
      <c r="O977" s="3"/>
      <c r="P977" s="3"/>
      <c r="Q977" s="3"/>
      <c r="R977" s="3"/>
      <c r="S977" s="3"/>
      <c r="T977" s="3"/>
      <c r="U977" s="3"/>
      <c r="V977" s="3"/>
    </row>
    <row r="978" spans="1:22" x14ac:dyDescent="0.25">
      <c r="A978" s="20">
        <v>42045</v>
      </c>
      <c r="B978" s="21">
        <v>11675</v>
      </c>
      <c r="C978" s="14" t="s">
        <v>80</v>
      </c>
      <c r="D978" s="105">
        <v>7305.2</v>
      </c>
      <c r="E978" s="23">
        <v>42045</v>
      </c>
      <c r="F978" s="106">
        <v>7305.2</v>
      </c>
      <c r="G978" s="31">
        <f t="shared" si="15"/>
        <v>0</v>
      </c>
      <c r="H978" s="19" t="s">
        <v>9</v>
      </c>
      <c r="I978" s="3"/>
      <c r="J978" s="42"/>
      <c r="K978" s="3"/>
      <c r="M978" s="3"/>
      <c r="N978" s="3"/>
      <c r="O978" s="3"/>
      <c r="P978" s="3"/>
      <c r="Q978" s="3"/>
      <c r="R978" s="3"/>
      <c r="S978" s="3"/>
      <c r="T978" s="3"/>
      <c r="U978" s="3"/>
      <c r="V978" s="3"/>
    </row>
    <row r="979" spans="1:22" x14ac:dyDescent="0.25">
      <c r="A979" s="20">
        <v>42045</v>
      </c>
      <c r="B979" s="21">
        <v>11676</v>
      </c>
      <c r="C979" s="14" t="s">
        <v>571</v>
      </c>
      <c r="D979" s="105">
        <v>5700</v>
      </c>
      <c r="E979" s="23">
        <v>42046</v>
      </c>
      <c r="F979" s="106">
        <v>5700</v>
      </c>
      <c r="G979" s="31">
        <f t="shared" si="15"/>
        <v>0</v>
      </c>
      <c r="H979" s="19" t="s">
        <v>19</v>
      </c>
      <c r="I979" s="3"/>
      <c r="J979" s="42"/>
      <c r="K979" s="3"/>
      <c r="M979" s="3"/>
      <c r="N979" s="3"/>
      <c r="O979" s="3"/>
      <c r="P979" s="3"/>
      <c r="Q979" s="3"/>
      <c r="R979" s="3"/>
      <c r="S979" s="3"/>
      <c r="T979" s="3"/>
      <c r="U979" s="3"/>
      <c r="V979" s="3"/>
    </row>
    <row r="980" spans="1:22" x14ac:dyDescent="0.25">
      <c r="A980" s="20">
        <v>42045</v>
      </c>
      <c r="B980" s="21">
        <v>11677</v>
      </c>
      <c r="C980" s="14" t="s">
        <v>24</v>
      </c>
      <c r="D980" s="105">
        <v>217669.19</v>
      </c>
      <c r="E980" s="23">
        <v>42062</v>
      </c>
      <c r="F980" s="106">
        <v>217669.19</v>
      </c>
      <c r="G980" s="31">
        <f t="shared" si="15"/>
        <v>0</v>
      </c>
      <c r="H980" s="19" t="s">
        <v>9</v>
      </c>
      <c r="I980" s="3"/>
      <c r="J980" s="42"/>
      <c r="K980" s="3"/>
      <c r="M980" s="3"/>
      <c r="N980" s="3"/>
      <c r="O980" s="3"/>
      <c r="P980" s="3"/>
      <c r="Q980" s="3"/>
      <c r="R980" s="3"/>
      <c r="S980" s="3"/>
      <c r="T980" s="3"/>
      <c r="U980" s="3"/>
      <c r="V980" s="3"/>
    </row>
    <row r="981" spans="1:22" x14ac:dyDescent="0.25">
      <c r="A981" s="20">
        <v>42046</v>
      </c>
      <c r="B981" s="21">
        <v>11678</v>
      </c>
      <c r="C981" s="26" t="s">
        <v>12</v>
      </c>
      <c r="D981" s="108">
        <v>0</v>
      </c>
      <c r="E981" s="23"/>
      <c r="F981" s="106"/>
      <c r="G981" s="31">
        <f t="shared" si="15"/>
        <v>0</v>
      </c>
      <c r="H981" s="19" t="s">
        <v>13</v>
      </c>
      <c r="I981" s="3"/>
      <c r="J981" s="42"/>
      <c r="K981" s="3"/>
      <c r="M981" s="3"/>
      <c r="N981" s="3"/>
      <c r="O981" s="3"/>
      <c r="P981" s="3"/>
      <c r="Q981" s="3"/>
      <c r="R981" s="3"/>
      <c r="S981" s="3"/>
      <c r="T981" s="3"/>
      <c r="U981" s="3"/>
      <c r="V981" s="3"/>
    </row>
    <row r="982" spans="1:22" x14ac:dyDescent="0.25">
      <c r="A982" s="20">
        <v>42046</v>
      </c>
      <c r="B982" s="21">
        <v>11679</v>
      </c>
      <c r="C982" s="14" t="s">
        <v>14</v>
      </c>
      <c r="D982" s="105">
        <v>16334.8</v>
      </c>
      <c r="E982" s="23">
        <v>42051</v>
      </c>
      <c r="F982" s="106">
        <v>16334.8</v>
      </c>
      <c r="G982" s="31">
        <f t="shared" si="15"/>
        <v>0</v>
      </c>
      <c r="H982" s="19" t="s">
        <v>15</v>
      </c>
      <c r="I982" s="3"/>
      <c r="J982" s="42"/>
      <c r="K982" s="3"/>
      <c r="M982" s="3"/>
      <c r="N982" s="3"/>
      <c r="O982" s="3"/>
      <c r="P982" s="3"/>
      <c r="Q982" s="3"/>
      <c r="R982" s="3"/>
      <c r="S982" s="3"/>
      <c r="T982" s="3"/>
      <c r="U982" s="3"/>
      <c r="V982" s="3"/>
    </row>
    <row r="983" spans="1:22" x14ac:dyDescent="0.25">
      <c r="A983" s="20">
        <v>42046</v>
      </c>
      <c r="B983" s="21">
        <v>11680</v>
      </c>
      <c r="C983" s="14" t="s">
        <v>16</v>
      </c>
      <c r="D983" s="105">
        <v>6972</v>
      </c>
      <c r="E983" s="23">
        <v>42046</v>
      </c>
      <c r="F983" s="106">
        <v>6972</v>
      </c>
      <c r="G983" s="31">
        <f t="shared" si="15"/>
        <v>0</v>
      </c>
      <c r="H983" s="19" t="s">
        <v>19</v>
      </c>
      <c r="I983" s="3"/>
      <c r="J983" s="42"/>
      <c r="K983" s="3"/>
      <c r="M983" s="3"/>
      <c r="N983" s="3"/>
      <c r="O983" s="3"/>
      <c r="P983" s="3"/>
      <c r="Q983" s="3"/>
      <c r="R983" s="3"/>
      <c r="S983" s="3"/>
      <c r="T983" s="3"/>
      <c r="U983" s="3"/>
      <c r="V983" s="3"/>
    </row>
    <row r="984" spans="1:22" x14ac:dyDescent="0.25">
      <c r="A984" s="20">
        <v>42046</v>
      </c>
      <c r="B984" s="21">
        <v>11681</v>
      </c>
      <c r="C984" s="14" t="s">
        <v>169</v>
      </c>
      <c r="D984" s="105">
        <v>1683.6</v>
      </c>
      <c r="E984" s="23">
        <v>42046</v>
      </c>
      <c r="F984" s="106">
        <v>1683.6</v>
      </c>
      <c r="G984" s="31">
        <f t="shared" si="15"/>
        <v>0</v>
      </c>
      <c r="H984" s="19" t="s">
        <v>19</v>
      </c>
      <c r="I984" s="3"/>
      <c r="J984" s="42"/>
      <c r="K984" s="3"/>
      <c r="M984" s="3"/>
      <c r="N984" s="3"/>
      <c r="O984" s="3"/>
      <c r="P984" s="3"/>
      <c r="Q984" s="3"/>
      <c r="R984" s="3"/>
      <c r="S984" s="3"/>
      <c r="T984" s="3"/>
      <c r="U984" s="3"/>
      <c r="V984" s="3"/>
    </row>
    <row r="985" spans="1:22" x14ac:dyDescent="0.25">
      <c r="A985" s="20">
        <v>42046</v>
      </c>
      <c r="B985" s="21">
        <v>11682</v>
      </c>
      <c r="C985" s="14" t="s">
        <v>626</v>
      </c>
      <c r="D985" s="105">
        <v>1633</v>
      </c>
      <c r="E985" s="23">
        <v>42046</v>
      </c>
      <c r="F985" s="106">
        <v>1633</v>
      </c>
      <c r="G985" s="31">
        <f t="shared" si="15"/>
        <v>0</v>
      </c>
      <c r="H985" s="19" t="s">
        <v>19</v>
      </c>
      <c r="I985" s="3"/>
      <c r="J985" s="42"/>
      <c r="K985" s="3"/>
      <c r="M985" s="3"/>
      <c r="N985" s="3"/>
      <c r="O985" s="3"/>
      <c r="P985" s="3"/>
      <c r="Q985" s="3"/>
      <c r="R985" s="3"/>
      <c r="S985" s="3"/>
      <c r="T985" s="3"/>
      <c r="U985" s="3"/>
      <c r="V985" s="3"/>
    </row>
    <row r="986" spans="1:22" x14ac:dyDescent="0.25">
      <c r="A986" s="20">
        <v>42046</v>
      </c>
      <c r="B986" s="21">
        <v>11683</v>
      </c>
      <c r="C986" s="14" t="s">
        <v>91</v>
      </c>
      <c r="D986" s="105">
        <v>20799.16</v>
      </c>
      <c r="E986" s="23">
        <v>42046</v>
      </c>
      <c r="F986" s="106">
        <v>20799.16</v>
      </c>
      <c r="G986" s="31">
        <f t="shared" si="15"/>
        <v>0</v>
      </c>
      <c r="H986" s="19" t="s">
        <v>9</v>
      </c>
      <c r="I986" s="3"/>
      <c r="J986" s="42"/>
      <c r="K986" s="3"/>
      <c r="M986" s="3"/>
      <c r="N986" s="3"/>
      <c r="O986" s="3"/>
      <c r="P986" s="3"/>
      <c r="Q986" s="3"/>
      <c r="R986" s="3"/>
      <c r="S986" s="3"/>
      <c r="T986" s="3"/>
      <c r="U986" s="3"/>
      <c r="V986" s="3"/>
    </row>
    <row r="987" spans="1:22" x14ac:dyDescent="0.25">
      <c r="A987" s="20">
        <v>42046</v>
      </c>
      <c r="B987" s="21">
        <v>11684</v>
      </c>
      <c r="C987" s="14" t="s">
        <v>112</v>
      </c>
      <c r="D987" s="105">
        <v>8168.5</v>
      </c>
      <c r="E987" s="29" t="s">
        <v>627</v>
      </c>
      <c r="F987" s="106">
        <f>8000+168.5</f>
        <v>8168.5</v>
      </c>
      <c r="G987" s="31">
        <f t="shared" si="15"/>
        <v>0</v>
      </c>
      <c r="H987" s="19" t="s">
        <v>9</v>
      </c>
      <c r="I987" s="3"/>
      <c r="J987" s="42"/>
      <c r="K987" s="3"/>
      <c r="M987" s="3"/>
      <c r="N987" s="3"/>
      <c r="O987" s="3"/>
      <c r="P987" s="3"/>
      <c r="Q987" s="3"/>
      <c r="R987" s="3"/>
      <c r="S987" s="3"/>
      <c r="T987" s="3"/>
      <c r="U987" s="3"/>
      <c r="V987" s="3"/>
    </row>
    <row r="988" spans="1:22" x14ac:dyDescent="0.25">
      <c r="A988" s="20">
        <v>42046</v>
      </c>
      <c r="B988" s="21">
        <v>11685</v>
      </c>
      <c r="C988" s="14" t="s">
        <v>112</v>
      </c>
      <c r="D988" s="105">
        <v>50</v>
      </c>
      <c r="E988" s="23">
        <v>42047</v>
      </c>
      <c r="F988" s="106">
        <v>50</v>
      </c>
      <c r="G988" s="31">
        <f t="shared" si="15"/>
        <v>0</v>
      </c>
      <c r="H988" s="19" t="s">
        <v>9</v>
      </c>
      <c r="I988" s="3"/>
      <c r="J988" s="42"/>
      <c r="K988" s="3"/>
      <c r="M988" s="3"/>
      <c r="N988" s="3"/>
      <c r="O988" s="3"/>
      <c r="P988" s="3"/>
      <c r="Q988" s="3"/>
      <c r="R988" s="3"/>
      <c r="S988" s="3"/>
      <c r="T988" s="3"/>
      <c r="U988" s="3"/>
      <c r="V988" s="3"/>
    </row>
    <row r="989" spans="1:22" x14ac:dyDescent="0.25">
      <c r="A989" s="20">
        <v>42046</v>
      </c>
      <c r="B989" s="21">
        <v>11686</v>
      </c>
      <c r="C989" s="14" t="s">
        <v>21</v>
      </c>
      <c r="D989" s="105">
        <v>9002.6</v>
      </c>
      <c r="E989" s="23">
        <v>42046</v>
      </c>
      <c r="F989" s="106">
        <v>9002.6</v>
      </c>
      <c r="G989" s="31">
        <f t="shared" si="15"/>
        <v>0</v>
      </c>
      <c r="H989" s="19" t="s">
        <v>9</v>
      </c>
      <c r="I989" s="3"/>
      <c r="J989" s="42"/>
      <c r="K989" s="3"/>
      <c r="M989" s="3"/>
      <c r="N989" s="3"/>
      <c r="O989" s="3"/>
      <c r="P989" s="3"/>
      <c r="Q989" s="3"/>
      <c r="R989" s="3"/>
      <c r="S989" s="3"/>
      <c r="T989" s="3"/>
      <c r="U989" s="3"/>
      <c r="V989" s="3"/>
    </row>
    <row r="990" spans="1:22" x14ac:dyDescent="0.25">
      <c r="A990" s="20">
        <v>42046</v>
      </c>
      <c r="B990" s="21">
        <v>11687</v>
      </c>
      <c r="C990" s="14" t="s">
        <v>158</v>
      </c>
      <c r="D990" s="105">
        <v>10799</v>
      </c>
      <c r="E990" s="23">
        <v>42046</v>
      </c>
      <c r="F990" s="106">
        <v>10799</v>
      </c>
      <c r="G990" s="31">
        <f t="shared" si="15"/>
        <v>0</v>
      </c>
      <c r="H990" s="19" t="s">
        <v>9</v>
      </c>
      <c r="I990" s="3"/>
      <c r="J990" s="42"/>
      <c r="K990" s="3"/>
      <c r="M990" s="3"/>
      <c r="N990" s="3"/>
      <c r="O990" s="3"/>
      <c r="P990" s="3"/>
      <c r="Q990" s="3"/>
      <c r="R990" s="3"/>
      <c r="S990" s="3"/>
      <c r="T990" s="3"/>
      <c r="U990" s="3"/>
      <c r="V990" s="3"/>
    </row>
    <row r="991" spans="1:22" x14ac:dyDescent="0.25">
      <c r="A991" s="20">
        <v>42046</v>
      </c>
      <c r="B991" s="21">
        <v>11688</v>
      </c>
      <c r="C991" s="14" t="s">
        <v>20</v>
      </c>
      <c r="D991" s="105">
        <v>12566.4</v>
      </c>
      <c r="E991" s="23">
        <v>42046</v>
      </c>
      <c r="F991" s="106">
        <v>12566.34</v>
      </c>
      <c r="G991" s="31">
        <f t="shared" si="15"/>
        <v>5.9999999999490683E-2</v>
      </c>
      <c r="H991" s="19" t="s">
        <v>94</v>
      </c>
      <c r="I991" s="3"/>
      <c r="J991" s="42"/>
      <c r="K991" s="3"/>
      <c r="M991" s="3"/>
      <c r="N991" s="3"/>
      <c r="O991" s="3"/>
      <c r="P991" s="3"/>
      <c r="Q991" s="3"/>
      <c r="R991" s="3"/>
      <c r="S991" s="3"/>
      <c r="T991" s="3"/>
      <c r="U991" s="3"/>
      <c r="V991" s="3"/>
    </row>
    <row r="992" spans="1:22" x14ac:dyDescent="0.25">
      <c r="A992" s="20">
        <v>42046</v>
      </c>
      <c r="B992" s="21">
        <v>11689</v>
      </c>
      <c r="C992" s="14" t="s">
        <v>126</v>
      </c>
      <c r="D992" s="105">
        <v>4958.8</v>
      </c>
      <c r="E992" s="23">
        <v>42046</v>
      </c>
      <c r="F992" s="106">
        <v>4958.8</v>
      </c>
      <c r="G992" s="31">
        <f t="shared" si="15"/>
        <v>0</v>
      </c>
      <c r="H992" s="19" t="s">
        <v>19</v>
      </c>
      <c r="I992" s="3"/>
      <c r="J992" s="42"/>
      <c r="K992" s="3"/>
      <c r="M992" s="3"/>
      <c r="N992" s="3"/>
      <c r="O992" s="3"/>
      <c r="P992" s="3"/>
      <c r="Q992" s="3"/>
      <c r="R992" s="3"/>
      <c r="S992" s="3"/>
      <c r="T992" s="3"/>
      <c r="U992" s="3"/>
      <c r="V992" s="3"/>
    </row>
    <row r="993" spans="1:22" x14ac:dyDescent="0.25">
      <c r="A993" s="20">
        <v>42046</v>
      </c>
      <c r="B993" s="21">
        <v>11690</v>
      </c>
      <c r="C993" s="14" t="s">
        <v>121</v>
      </c>
      <c r="D993" s="105">
        <v>3944.8</v>
      </c>
      <c r="E993" s="23">
        <v>42046</v>
      </c>
      <c r="F993" s="106">
        <v>3944.8</v>
      </c>
      <c r="G993" s="31">
        <f t="shared" si="15"/>
        <v>0</v>
      </c>
      <c r="H993" s="19" t="s">
        <v>9</v>
      </c>
      <c r="I993" s="3"/>
      <c r="J993" s="42"/>
      <c r="K993" s="3"/>
      <c r="M993" s="3"/>
      <c r="N993" s="3"/>
      <c r="O993" s="3"/>
      <c r="P993" s="3"/>
      <c r="Q993" s="3"/>
      <c r="R993" s="3"/>
      <c r="S993" s="3"/>
      <c r="T993" s="3"/>
      <c r="U993" s="3"/>
      <c r="V993" s="3"/>
    </row>
    <row r="994" spans="1:22" x14ac:dyDescent="0.25">
      <c r="A994" s="20">
        <v>42046</v>
      </c>
      <c r="B994" s="21">
        <v>11691</v>
      </c>
      <c r="C994" s="14" t="s">
        <v>20</v>
      </c>
      <c r="D994" s="105">
        <v>1267.3499999999999</v>
      </c>
      <c r="E994" s="23">
        <v>42046</v>
      </c>
      <c r="F994" s="106">
        <v>1267.3499999999999</v>
      </c>
      <c r="G994" s="31">
        <f t="shared" si="15"/>
        <v>0</v>
      </c>
      <c r="H994" s="19" t="s">
        <v>94</v>
      </c>
      <c r="K994" s="3"/>
      <c r="M994" s="3"/>
      <c r="N994" s="3"/>
      <c r="O994" s="3"/>
      <c r="P994" s="3"/>
      <c r="Q994" s="3"/>
      <c r="R994" s="3"/>
      <c r="S994" s="3"/>
      <c r="T994" s="3"/>
      <c r="U994" s="3"/>
      <c r="V994" s="3"/>
    </row>
    <row r="995" spans="1:22" x14ac:dyDescent="0.25">
      <c r="A995" s="20">
        <v>42046</v>
      </c>
      <c r="B995" s="21">
        <v>11692</v>
      </c>
      <c r="C995" s="14" t="s">
        <v>148</v>
      </c>
      <c r="D995" s="105">
        <v>4690.1000000000004</v>
      </c>
      <c r="E995" s="23">
        <v>42047</v>
      </c>
      <c r="F995" s="106">
        <v>4690.1000000000004</v>
      </c>
      <c r="G995" s="31">
        <f t="shared" si="15"/>
        <v>0</v>
      </c>
      <c r="H995" s="19" t="s">
        <v>9</v>
      </c>
      <c r="K995" s="3"/>
      <c r="M995" s="3"/>
      <c r="N995" s="3"/>
      <c r="O995" s="3"/>
      <c r="P995" s="3"/>
      <c r="Q995" s="3"/>
      <c r="R995" s="3"/>
      <c r="S995" s="3"/>
      <c r="T995" s="3"/>
      <c r="U995" s="3"/>
      <c r="V995" s="3"/>
    </row>
    <row r="996" spans="1:22" x14ac:dyDescent="0.25">
      <c r="A996" s="20">
        <v>42046</v>
      </c>
      <c r="B996" s="21">
        <v>11693</v>
      </c>
      <c r="C996" s="14" t="s">
        <v>413</v>
      </c>
      <c r="D996" s="105">
        <v>1628.2</v>
      </c>
      <c r="E996" s="23">
        <v>42047</v>
      </c>
      <c r="F996" s="106">
        <v>1628.2</v>
      </c>
      <c r="G996" s="31">
        <f t="shared" si="15"/>
        <v>0</v>
      </c>
      <c r="H996" s="19" t="s">
        <v>94</v>
      </c>
      <c r="K996" s="3"/>
      <c r="M996" s="3"/>
      <c r="N996" s="3"/>
      <c r="O996" s="3"/>
      <c r="P996" s="3"/>
      <c r="Q996" s="3"/>
      <c r="R996" s="3"/>
      <c r="S996" s="3"/>
      <c r="T996" s="3"/>
      <c r="U996" s="3"/>
      <c r="V996" s="3"/>
    </row>
    <row r="997" spans="1:22" x14ac:dyDescent="0.25">
      <c r="A997" s="20">
        <v>42046</v>
      </c>
      <c r="B997" s="21">
        <v>11694</v>
      </c>
      <c r="C997" s="14" t="s">
        <v>215</v>
      </c>
      <c r="D997" s="105">
        <v>19283.8</v>
      </c>
      <c r="E997" s="23">
        <v>42046</v>
      </c>
      <c r="F997" s="106">
        <v>19283.8</v>
      </c>
      <c r="G997" s="31">
        <f t="shared" si="15"/>
        <v>0</v>
      </c>
      <c r="H997" s="19" t="s">
        <v>9</v>
      </c>
      <c r="K997" s="3"/>
      <c r="M997" s="3"/>
      <c r="N997" s="3"/>
      <c r="O997" s="3"/>
      <c r="P997" s="3"/>
      <c r="Q997" s="3"/>
      <c r="R997" s="3"/>
      <c r="S997" s="3"/>
      <c r="T997" s="3"/>
      <c r="U997" s="3"/>
      <c r="V997" s="3"/>
    </row>
    <row r="998" spans="1:22" x14ac:dyDescent="0.25">
      <c r="A998" s="20">
        <v>42046</v>
      </c>
      <c r="B998" s="21">
        <v>11695</v>
      </c>
      <c r="C998" s="14" t="s">
        <v>105</v>
      </c>
      <c r="D998" s="105">
        <v>7205.6</v>
      </c>
      <c r="E998" s="23">
        <v>42046</v>
      </c>
      <c r="F998" s="106">
        <v>7205.6</v>
      </c>
      <c r="G998" s="31">
        <f t="shared" si="15"/>
        <v>0</v>
      </c>
      <c r="H998" s="19" t="s">
        <v>9</v>
      </c>
      <c r="K998" s="3"/>
      <c r="M998" s="3"/>
      <c r="N998" s="3"/>
      <c r="O998" s="3"/>
      <c r="P998" s="3"/>
      <c r="Q998" s="3"/>
      <c r="R998" s="3"/>
      <c r="S998" s="3"/>
      <c r="T998" s="3"/>
      <c r="U998" s="3"/>
      <c r="V998" s="3"/>
    </row>
    <row r="999" spans="1:22" x14ac:dyDescent="0.25">
      <c r="A999" s="20">
        <v>42046</v>
      </c>
      <c r="B999" s="21">
        <v>11696</v>
      </c>
      <c r="C999" s="14" t="s">
        <v>37</v>
      </c>
      <c r="D999" s="105">
        <v>42937.47</v>
      </c>
      <c r="E999" s="23">
        <v>42054</v>
      </c>
      <c r="F999" s="106">
        <v>42937.47</v>
      </c>
      <c r="G999" s="31">
        <f t="shared" si="15"/>
        <v>0</v>
      </c>
      <c r="H999" s="19" t="s">
        <v>36</v>
      </c>
      <c r="J999" s="107"/>
      <c r="K999" s="3"/>
      <c r="M999" s="3"/>
      <c r="N999" s="3"/>
      <c r="O999" s="3"/>
      <c r="P999" s="3"/>
      <c r="Q999" s="3"/>
      <c r="R999" s="3"/>
      <c r="S999" s="3"/>
      <c r="T999" s="3"/>
      <c r="U999" s="3"/>
      <c r="V999" s="3"/>
    </row>
    <row r="1000" spans="1:22" x14ac:dyDescent="0.25">
      <c r="A1000" s="20">
        <v>42046</v>
      </c>
      <c r="B1000" s="21">
        <v>11697</v>
      </c>
      <c r="C1000" s="14" t="s">
        <v>591</v>
      </c>
      <c r="D1000" s="105">
        <v>8140.8</v>
      </c>
      <c r="E1000" s="23">
        <v>42046</v>
      </c>
      <c r="F1000" s="106">
        <v>8140.8</v>
      </c>
      <c r="G1000" s="31">
        <f t="shared" si="15"/>
        <v>0</v>
      </c>
      <c r="H1000" s="19" t="s">
        <v>36</v>
      </c>
      <c r="J1000" s="107"/>
      <c r="K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</row>
    <row r="1001" spans="1:22" x14ac:dyDescent="0.25">
      <c r="A1001" s="20">
        <v>42046</v>
      </c>
      <c r="B1001" s="21">
        <v>11698</v>
      </c>
      <c r="C1001" s="14" t="s">
        <v>215</v>
      </c>
      <c r="D1001" s="105">
        <v>20076.150000000001</v>
      </c>
      <c r="E1001" s="29" t="s">
        <v>628</v>
      </c>
      <c r="F1001" s="106">
        <f>10000+10076.15</f>
        <v>20076.150000000001</v>
      </c>
      <c r="G1001" s="31">
        <f t="shared" si="15"/>
        <v>0</v>
      </c>
      <c r="H1001" s="19" t="s">
        <v>9</v>
      </c>
      <c r="K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</row>
    <row r="1002" spans="1:22" x14ac:dyDescent="0.25">
      <c r="A1002" s="20">
        <v>42046</v>
      </c>
      <c r="B1002" s="21">
        <v>11699</v>
      </c>
      <c r="C1002" s="14" t="s">
        <v>334</v>
      </c>
      <c r="D1002" s="105">
        <v>3435.6</v>
      </c>
      <c r="E1002" s="23">
        <v>42046</v>
      </c>
      <c r="F1002" s="106">
        <v>3435.6</v>
      </c>
      <c r="G1002" s="31">
        <f t="shared" si="15"/>
        <v>0</v>
      </c>
      <c r="H1002" s="19" t="s">
        <v>36</v>
      </c>
      <c r="K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</row>
    <row r="1003" spans="1:22" x14ac:dyDescent="0.25">
      <c r="A1003" s="20">
        <v>42046</v>
      </c>
      <c r="B1003" s="21">
        <v>11700</v>
      </c>
      <c r="C1003" s="14" t="s">
        <v>114</v>
      </c>
      <c r="D1003" s="105">
        <v>1672.4</v>
      </c>
      <c r="E1003" s="23">
        <v>42046</v>
      </c>
      <c r="F1003" s="106">
        <v>1672.4</v>
      </c>
      <c r="G1003" s="31">
        <f t="shared" si="15"/>
        <v>0</v>
      </c>
      <c r="H1003" s="19" t="s">
        <v>9</v>
      </c>
      <c r="K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</row>
    <row r="1004" spans="1:22" x14ac:dyDescent="0.25">
      <c r="A1004" s="20">
        <v>42046</v>
      </c>
      <c r="B1004" s="21">
        <v>11701</v>
      </c>
      <c r="C1004" s="14" t="s">
        <v>294</v>
      </c>
      <c r="D1004" s="105">
        <v>3206.4</v>
      </c>
      <c r="E1004" s="23">
        <v>42046</v>
      </c>
      <c r="F1004" s="106">
        <v>3206.4</v>
      </c>
      <c r="G1004" s="31">
        <f t="shared" si="15"/>
        <v>0</v>
      </c>
      <c r="H1004" s="19" t="s">
        <v>9</v>
      </c>
      <c r="K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</row>
    <row r="1005" spans="1:22" x14ac:dyDescent="0.25">
      <c r="A1005" s="20">
        <v>42046</v>
      </c>
      <c r="B1005" s="21">
        <v>11702</v>
      </c>
      <c r="C1005" s="14" t="s">
        <v>145</v>
      </c>
      <c r="D1005" s="105">
        <v>2064</v>
      </c>
      <c r="E1005" s="23">
        <v>42046</v>
      </c>
      <c r="F1005" s="106">
        <v>2064</v>
      </c>
      <c r="G1005" s="31">
        <f t="shared" si="15"/>
        <v>0</v>
      </c>
      <c r="H1005" s="19" t="s">
        <v>9</v>
      </c>
      <c r="K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</row>
    <row r="1006" spans="1:22" x14ac:dyDescent="0.25">
      <c r="A1006" s="20">
        <v>42046</v>
      </c>
      <c r="B1006" s="21">
        <v>11703</v>
      </c>
      <c r="C1006" s="14" t="s">
        <v>103</v>
      </c>
      <c r="D1006" s="105">
        <v>39331</v>
      </c>
      <c r="E1006" s="23">
        <v>42047</v>
      </c>
      <c r="F1006" s="106">
        <v>39331</v>
      </c>
      <c r="G1006" s="31">
        <f t="shared" si="15"/>
        <v>0</v>
      </c>
      <c r="H1006" s="19" t="s">
        <v>62</v>
      </c>
      <c r="K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</row>
    <row r="1007" spans="1:22" x14ac:dyDescent="0.25">
      <c r="A1007" s="20">
        <v>42046</v>
      </c>
      <c r="B1007" s="21">
        <v>11704</v>
      </c>
      <c r="C1007" s="14" t="s">
        <v>23</v>
      </c>
      <c r="D1007" s="105">
        <v>5131.8</v>
      </c>
      <c r="E1007" s="23">
        <v>42046</v>
      </c>
      <c r="F1007" s="106">
        <v>5131.8</v>
      </c>
      <c r="G1007" s="31">
        <f t="shared" si="15"/>
        <v>0</v>
      </c>
      <c r="H1007" s="39" t="s">
        <v>9</v>
      </c>
      <c r="K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</row>
    <row r="1008" spans="1:22" x14ac:dyDescent="0.25">
      <c r="A1008" s="20">
        <v>42046</v>
      </c>
      <c r="B1008" s="21">
        <v>11705</v>
      </c>
      <c r="C1008" s="14" t="s">
        <v>78</v>
      </c>
      <c r="D1008" s="105">
        <v>11526</v>
      </c>
      <c r="E1008" s="23">
        <v>42047</v>
      </c>
      <c r="F1008" s="106">
        <v>11526</v>
      </c>
      <c r="G1008" s="31">
        <f t="shared" si="15"/>
        <v>0</v>
      </c>
      <c r="H1008" s="39" t="s">
        <v>62</v>
      </c>
      <c r="K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</row>
    <row r="1009" spans="1:22" x14ac:dyDescent="0.25">
      <c r="A1009" s="20">
        <v>42046</v>
      </c>
      <c r="B1009" s="21">
        <v>11706</v>
      </c>
      <c r="C1009" s="14" t="s">
        <v>67</v>
      </c>
      <c r="D1009" s="105">
        <v>4190.8</v>
      </c>
      <c r="E1009" s="23">
        <v>42047</v>
      </c>
      <c r="F1009" s="106">
        <v>4190.8</v>
      </c>
      <c r="G1009" s="31">
        <f t="shared" si="15"/>
        <v>0</v>
      </c>
      <c r="H1009" s="39" t="s">
        <v>62</v>
      </c>
      <c r="K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</row>
    <row r="1010" spans="1:22" x14ac:dyDescent="0.25">
      <c r="A1010" s="20">
        <v>42046</v>
      </c>
      <c r="B1010" s="21">
        <v>11707</v>
      </c>
      <c r="C1010" s="14" t="s">
        <v>604</v>
      </c>
      <c r="D1010" s="105">
        <v>3277.6</v>
      </c>
      <c r="E1010" s="23">
        <v>42046</v>
      </c>
      <c r="F1010" s="106">
        <v>3277.6</v>
      </c>
      <c r="G1010" s="31">
        <f t="shared" si="15"/>
        <v>0</v>
      </c>
      <c r="H1010" s="39" t="s">
        <v>9</v>
      </c>
      <c r="K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</row>
    <row r="1011" spans="1:22" x14ac:dyDescent="0.25">
      <c r="A1011" s="20">
        <v>42046</v>
      </c>
      <c r="B1011" s="21">
        <v>11708</v>
      </c>
      <c r="C1011" s="14" t="s">
        <v>178</v>
      </c>
      <c r="D1011" s="105">
        <v>5456</v>
      </c>
      <c r="E1011" s="23">
        <v>42047</v>
      </c>
      <c r="F1011" s="106">
        <v>5456</v>
      </c>
      <c r="G1011" s="31">
        <f t="shared" si="15"/>
        <v>0</v>
      </c>
      <c r="H1011" s="39" t="s">
        <v>62</v>
      </c>
      <c r="K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</row>
    <row r="1012" spans="1:22" x14ac:dyDescent="0.25">
      <c r="A1012" s="20">
        <v>42046</v>
      </c>
      <c r="B1012" s="21">
        <v>11709</v>
      </c>
      <c r="C1012" s="14" t="s">
        <v>170</v>
      </c>
      <c r="D1012" s="105">
        <v>5791.2</v>
      </c>
      <c r="E1012" s="23">
        <v>42047</v>
      </c>
      <c r="F1012" s="106">
        <v>5791.2</v>
      </c>
      <c r="G1012" s="31">
        <f t="shared" si="15"/>
        <v>0</v>
      </c>
      <c r="H1012" s="39" t="s">
        <v>62</v>
      </c>
      <c r="K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</row>
    <row r="1013" spans="1:22" x14ac:dyDescent="0.25">
      <c r="A1013" s="20">
        <v>42046</v>
      </c>
      <c r="B1013" s="21">
        <v>11710</v>
      </c>
      <c r="C1013" s="14" t="s">
        <v>232</v>
      </c>
      <c r="D1013" s="105">
        <v>47469.5</v>
      </c>
      <c r="E1013" s="23">
        <v>42046</v>
      </c>
      <c r="F1013" s="106">
        <v>47469.5</v>
      </c>
      <c r="G1013" s="31">
        <f t="shared" si="15"/>
        <v>0</v>
      </c>
      <c r="H1013" s="39" t="s">
        <v>187</v>
      </c>
      <c r="K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</row>
    <row r="1014" spans="1:22" x14ac:dyDescent="0.25">
      <c r="A1014" s="20">
        <v>42046</v>
      </c>
      <c r="B1014" s="21">
        <v>11711</v>
      </c>
      <c r="C1014" s="14" t="s">
        <v>151</v>
      </c>
      <c r="D1014" s="105">
        <v>3077.1</v>
      </c>
      <c r="E1014" s="23">
        <v>42047</v>
      </c>
      <c r="F1014" s="106">
        <v>3077.1</v>
      </c>
      <c r="G1014" s="31">
        <f t="shared" si="15"/>
        <v>0</v>
      </c>
      <c r="H1014" s="39" t="s">
        <v>9</v>
      </c>
      <c r="K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</row>
    <row r="1015" spans="1:22" x14ac:dyDescent="0.25">
      <c r="A1015" s="20">
        <v>42046</v>
      </c>
      <c r="B1015" s="21">
        <v>11712</v>
      </c>
      <c r="C1015" s="14" t="s">
        <v>75</v>
      </c>
      <c r="D1015" s="105">
        <v>20483.8</v>
      </c>
      <c r="E1015" s="23">
        <v>42047</v>
      </c>
      <c r="F1015" s="106">
        <v>20483.8</v>
      </c>
      <c r="G1015" s="31">
        <f t="shared" si="15"/>
        <v>0</v>
      </c>
      <c r="H1015" s="39" t="s">
        <v>62</v>
      </c>
      <c r="K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</row>
    <row r="1016" spans="1:22" x14ac:dyDescent="0.25">
      <c r="A1016" s="20">
        <v>42046</v>
      </c>
      <c r="B1016" s="21">
        <v>11713</v>
      </c>
      <c r="C1016" s="14" t="s">
        <v>38</v>
      </c>
      <c r="D1016" s="105">
        <v>35371</v>
      </c>
      <c r="E1016" s="51">
        <v>42060</v>
      </c>
      <c r="F1016" s="106">
        <v>35371</v>
      </c>
      <c r="G1016" s="31">
        <f t="shared" si="15"/>
        <v>0</v>
      </c>
      <c r="H1016" s="39" t="s">
        <v>17</v>
      </c>
      <c r="K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</row>
    <row r="1017" spans="1:22" x14ac:dyDescent="0.25">
      <c r="A1017" s="20">
        <v>42046</v>
      </c>
      <c r="B1017" s="21">
        <v>11714</v>
      </c>
      <c r="C1017" s="14" t="s">
        <v>14</v>
      </c>
      <c r="D1017" s="105">
        <v>121030.62</v>
      </c>
      <c r="E1017" s="23">
        <v>42051</v>
      </c>
      <c r="F1017" s="106">
        <v>121030.62</v>
      </c>
      <c r="G1017" s="31">
        <f t="shared" si="15"/>
        <v>0</v>
      </c>
      <c r="H1017" s="39" t="s">
        <v>46</v>
      </c>
      <c r="K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</row>
    <row r="1018" spans="1:22" x14ac:dyDescent="0.25">
      <c r="A1018" s="20">
        <v>42046</v>
      </c>
      <c r="B1018" s="21">
        <v>11715</v>
      </c>
      <c r="C1018" s="14" t="s">
        <v>45</v>
      </c>
      <c r="D1018" s="105">
        <v>18927.400000000001</v>
      </c>
      <c r="E1018" s="23">
        <v>42055</v>
      </c>
      <c r="F1018" s="106">
        <v>18927.400000000001</v>
      </c>
      <c r="G1018" s="31">
        <f t="shared" si="15"/>
        <v>0</v>
      </c>
      <c r="H1018" s="39" t="s">
        <v>183</v>
      </c>
      <c r="K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</row>
    <row r="1019" spans="1:22" x14ac:dyDescent="0.25">
      <c r="A1019" s="20">
        <v>42046</v>
      </c>
      <c r="B1019" s="21">
        <v>11716</v>
      </c>
      <c r="C1019" s="14" t="s">
        <v>65</v>
      </c>
      <c r="D1019" s="105">
        <v>11947.2</v>
      </c>
      <c r="E1019" s="23">
        <v>42047</v>
      </c>
      <c r="F1019" s="106">
        <v>11947.2</v>
      </c>
      <c r="G1019" s="31">
        <f t="shared" si="15"/>
        <v>0</v>
      </c>
      <c r="H1019" s="39" t="s">
        <v>62</v>
      </c>
      <c r="K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</row>
    <row r="1020" spans="1:22" x14ac:dyDescent="0.25">
      <c r="A1020" s="20">
        <v>42046</v>
      </c>
      <c r="B1020" s="21">
        <v>11717</v>
      </c>
      <c r="C1020" s="14" t="s">
        <v>152</v>
      </c>
      <c r="D1020" s="105">
        <v>4646.8999999999996</v>
      </c>
      <c r="E1020" s="23">
        <v>42047</v>
      </c>
      <c r="F1020" s="106">
        <v>4646.8999999999996</v>
      </c>
      <c r="G1020" s="31">
        <f t="shared" si="15"/>
        <v>0</v>
      </c>
      <c r="H1020" s="56" t="s">
        <v>17</v>
      </c>
      <c r="K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</row>
    <row r="1021" spans="1:22" x14ac:dyDescent="0.25">
      <c r="A1021" s="20">
        <v>42046</v>
      </c>
      <c r="B1021" s="21">
        <v>11718</v>
      </c>
      <c r="C1021" s="14" t="s">
        <v>137</v>
      </c>
      <c r="D1021" s="105">
        <v>310.5</v>
      </c>
      <c r="E1021" s="23">
        <v>42046</v>
      </c>
      <c r="F1021" s="106">
        <v>310.5</v>
      </c>
      <c r="G1021" s="31">
        <f t="shared" si="15"/>
        <v>0</v>
      </c>
      <c r="H1021" s="39" t="s">
        <v>9</v>
      </c>
      <c r="K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</row>
    <row r="1022" spans="1:22" x14ac:dyDescent="0.25">
      <c r="A1022" s="20">
        <v>42046</v>
      </c>
      <c r="B1022" s="21">
        <v>11719</v>
      </c>
      <c r="C1022" s="14" t="s">
        <v>116</v>
      </c>
      <c r="D1022" s="105">
        <v>3849.8</v>
      </c>
      <c r="E1022" s="23">
        <v>42047</v>
      </c>
      <c r="F1022" s="106">
        <v>3849.8</v>
      </c>
      <c r="G1022" s="31">
        <f t="shared" si="15"/>
        <v>0</v>
      </c>
      <c r="H1022" s="56" t="s">
        <v>17</v>
      </c>
      <c r="J1022" s="107"/>
      <c r="K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</row>
    <row r="1023" spans="1:22" x14ac:dyDescent="0.25">
      <c r="A1023" s="20">
        <v>42046</v>
      </c>
      <c r="B1023" s="21">
        <v>11720</v>
      </c>
      <c r="C1023" s="14" t="s">
        <v>179</v>
      </c>
      <c r="D1023" s="105">
        <v>4244.3999999999996</v>
      </c>
      <c r="E1023" s="23">
        <v>42047</v>
      </c>
      <c r="F1023" s="106">
        <v>4244.3999999999996</v>
      </c>
      <c r="G1023" s="31">
        <f t="shared" si="15"/>
        <v>0</v>
      </c>
      <c r="H1023" s="56" t="s">
        <v>15</v>
      </c>
      <c r="J1023" s="107"/>
      <c r="K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</row>
    <row r="1024" spans="1:22" x14ac:dyDescent="0.25">
      <c r="A1024" s="20">
        <v>42046</v>
      </c>
      <c r="B1024" s="21">
        <v>11721</v>
      </c>
      <c r="C1024" s="14" t="s">
        <v>61</v>
      </c>
      <c r="D1024" s="105">
        <v>10824</v>
      </c>
      <c r="E1024" s="23">
        <v>42047</v>
      </c>
      <c r="F1024" s="106">
        <v>10824</v>
      </c>
      <c r="G1024" s="31">
        <f t="shared" si="15"/>
        <v>0</v>
      </c>
      <c r="H1024" s="56" t="s">
        <v>62</v>
      </c>
      <c r="K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</row>
    <row r="1025" spans="1:22" x14ac:dyDescent="0.25">
      <c r="A1025" s="20">
        <v>42046</v>
      </c>
      <c r="B1025" s="21">
        <v>11722</v>
      </c>
      <c r="C1025" s="14" t="s">
        <v>91</v>
      </c>
      <c r="D1025" s="105">
        <v>2599</v>
      </c>
      <c r="E1025" s="23">
        <v>42047</v>
      </c>
      <c r="F1025" s="106">
        <v>2599</v>
      </c>
      <c r="G1025" s="31">
        <f t="shared" si="15"/>
        <v>0</v>
      </c>
      <c r="H1025" s="56" t="s">
        <v>17</v>
      </c>
      <c r="K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</row>
    <row r="1026" spans="1:22" x14ac:dyDescent="0.25">
      <c r="A1026" s="20">
        <v>42046</v>
      </c>
      <c r="B1026" s="21">
        <v>11723</v>
      </c>
      <c r="C1026" s="14" t="s">
        <v>168</v>
      </c>
      <c r="D1026" s="105">
        <v>10593.8</v>
      </c>
      <c r="E1026" s="23">
        <v>42047</v>
      </c>
      <c r="F1026" s="106">
        <v>10593.8</v>
      </c>
      <c r="G1026" s="31">
        <f t="shared" si="15"/>
        <v>0</v>
      </c>
      <c r="H1026" s="56" t="s">
        <v>17</v>
      </c>
      <c r="I1026" s="3"/>
      <c r="J1026" s="42"/>
      <c r="K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</row>
    <row r="1027" spans="1:22" x14ac:dyDescent="0.25">
      <c r="A1027" s="20">
        <v>42046</v>
      </c>
      <c r="B1027" s="21">
        <v>11724</v>
      </c>
      <c r="C1027" s="14" t="s">
        <v>168</v>
      </c>
      <c r="D1027" s="105">
        <v>625.5</v>
      </c>
      <c r="E1027" s="23">
        <v>42047</v>
      </c>
      <c r="F1027" s="118">
        <v>625.5</v>
      </c>
      <c r="G1027" s="31">
        <f t="shared" ref="G1027:G1090" si="16">D1027-F1027</f>
        <v>0</v>
      </c>
      <c r="H1027" s="56" t="s">
        <v>17</v>
      </c>
      <c r="I1027" s="3"/>
      <c r="J1027" s="42"/>
      <c r="K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</row>
    <row r="1028" spans="1:22" x14ac:dyDescent="0.25">
      <c r="A1028" s="20">
        <v>42046</v>
      </c>
      <c r="B1028" s="21">
        <v>11725</v>
      </c>
      <c r="C1028" s="26" t="s">
        <v>12</v>
      </c>
      <c r="D1028" s="108">
        <v>0</v>
      </c>
      <c r="E1028" s="23"/>
      <c r="F1028" s="118"/>
      <c r="G1028" s="31">
        <f t="shared" si="16"/>
        <v>0</v>
      </c>
      <c r="H1028" s="56" t="s">
        <v>13</v>
      </c>
      <c r="I1028" s="3"/>
      <c r="J1028" s="42"/>
      <c r="K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</row>
    <row r="1029" spans="1:22" x14ac:dyDescent="0.25">
      <c r="A1029" s="20">
        <v>42046</v>
      </c>
      <c r="B1029" s="21">
        <v>11726</v>
      </c>
      <c r="C1029" s="14" t="s">
        <v>34</v>
      </c>
      <c r="D1029" s="105">
        <v>3036.9</v>
      </c>
      <c r="E1029" s="23">
        <v>42046</v>
      </c>
      <c r="F1029" s="118">
        <v>3036.9</v>
      </c>
      <c r="G1029" s="31">
        <f t="shared" si="16"/>
        <v>0</v>
      </c>
      <c r="H1029" s="56" t="s">
        <v>9</v>
      </c>
      <c r="I1029" s="3"/>
      <c r="J1029" s="42"/>
      <c r="K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</row>
    <row r="1030" spans="1:22" x14ac:dyDescent="0.25">
      <c r="A1030" s="20">
        <v>42046</v>
      </c>
      <c r="B1030" s="21">
        <v>11727</v>
      </c>
      <c r="C1030" s="14" t="s">
        <v>26</v>
      </c>
      <c r="D1030" s="105">
        <v>1716</v>
      </c>
      <c r="E1030" s="23">
        <v>42046</v>
      </c>
      <c r="F1030" s="118">
        <v>1716</v>
      </c>
      <c r="G1030" s="31">
        <f t="shared" si="16"/>
        <v>0</v>
      </c>
      <c r="H1030" s="56" t="s">
        <v>27</v>
      </c>
      <c r="I1030" s="3"/>
      <c r="J1030" s="42"/>
      <c r="K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</row>
    <row r="1031" spans="1:22" x14ac:dyDescent="0.25">
      <c r="A1031" s="20">
        <v>42046</v>
      </c>
      <c r="B1031" s="21">
        <v>11728</v>
      </c>
      <c r="C1031" s="14" t="s">
        <v>120</v>
      </c>
      <c r="D1031" s="105">
        <v>2624.6</v>
      </c>
      <c r="E1031" s="23">
        <v>42047</v>
      </c>
      <c r="F1031" s="118">
        <v>2624.6</v>
      </c>
      <c r="G1031" s="31">
        <f t="shared" si="16"/>
        <v>0</v>
      </c>
      <c r="H1031" s="56" t="s">
        <v>17</v>
      </c>
      <c r="I1031" s="3"/>
      <c r="J1031" s="42"/>
      <c r="K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</row>
    <row r="1032" spans="1:22" x14ac:dyDescent="0.25">
      <c r="A1032" s="20">
        <v>42046</v>
      </c>
      <c r="B1032" s="21">
        <v>11729</v>
      </c>
      <c r="C1032" s="14" t="s">
        <v>239</v>
      </c>
      <c r="D1032" s="105">
        <v>1015.2</v>
      </c>
      <c r="E1032" s="23">
        <v>42046</v>
      </c>
      <c r="F1032" s="118">
        <v>1015.2</v>
      </c>
      <c r="G1032" s="31">
        <f t="shared" si="16"/>
        <v>0</v>
      </c>
      <c r="H1032" s="56" t="s">
        <v>9</v>
      </c>
      <c r="I1032" s="3"/>
      <c r="J1032" s="42"/>
      <c r="K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</row>
    <row r="1033" spans="1:22" x14ac:dyDescent="0.25">
      <c r="A1033" s="20">
        <v>42046</v>
      </c>
      <c r="B1033" s="21">
        <v>11730</v>
      </c>
      <c r="C1033" s="14" t="s">
        <v>16</v>
      </c>
      <c r="D1033" s="105">
        <v>8030.8</v>
      </c>
      <c r="E1033" s="23">
        <v>42046</v>
      </c>
      <c r="F1033" s="118">
        <v>8030.8</v>
      </c>
      <c r="G1033" s="31">
        <f t="shared" si="16"/>
        <v>0</v>
      </c>
      <c r="H1033" s="56" t="s">
        <v>9</v>
      </c>
      <c r="I1033" s="3"/>
      <c r="J1033" s="42"/>
      <c r="K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</row>
    <row r="1034" spans="1:22" x14ac:dyDescent="0.25">
      <c r="A1034" s="20">
        <v>42046</v>
      </c>
      <c r="B1034" s="21">
        <v>11731</v>
      </c>
      <c r="C1034" s="14" t="s">
        <v>118</v>
      </c>
      <c r="D1034" s="105">
        <v>14097.6</v>
      </c>
      <c r="E1034" s="23">
        <v>42053</v>
      </c>
      <c r="F1034" s="118">
        <v>14097.6</v>
      </c>
      <c r="G1034" s="31">
        <f t="shared" si="16"/>
        <v>0</v>
      </c>
      <c r="H1034" s="56" t="s">
        <v>17</v>
      </c>
      <c r="I1034" s="3"/>
      <c r="J1034" s="42"/>
      <c r="K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</row>
    <row r="1035" spans="1:22" x14ac:dyDescent="0.25">
      <c r="A1035" s="20">
        <v>42046</v>
      </c>
      <c r="B1035" s="21">
        <v>11732</v>
      </c>
      <c r="C1035" s="14" t="s">
        <v>30</v>
      </c>
      <c r="D1035" s="105">
        <v>4648.2</v>
      </c>
      <c r="E1035" s="23">
        <v>42046</v>
      </c>
      <c r="F1035" s="118">
        <v>4648.2</v>
      </c>
      <c r="G1035" s="31">
        <f t="shared" si="16"/>
        <v>0</v>
      </c>
      <c r="H1035" s="56" t="s">
        <v>9</v>
      </c>
      <c r="I1035" s="3"/>
      <c r="J1035" s="42"/>
      <c r="K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</row>
    <row r="1036" spans="1:22" x14ac:dyDescent="0.25">
      <c r="A1036" s="20">
        <v>42046</v>
      </c>
      <c r="B1036" s="21">
        <v>11733</v>
      </c>
      <c r="C1036" s="14" t="s">
        <v>47</v>
      </c>
      <c r="D1036" s="105">
        <v>24884.400000000001</v>
      </c>
      <c r="E1036" s="23">
        <v>42046</v>
      </c>
      <c r="F1036" s="118">
        <v>24884.400000000001</v>
      </c>
      <c r="G1036" s="31">
        <f t="shared" si="16"/>
        <v>0</v>
      </c>
      <c r="H1036" s="56" t="s">
        <v>9</v>
      </c>
      <c r="I1036" s="3"/>
      <c r="J1036" s="42"/>
      <c r="K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</row>
    <row r="1037" spans="1:22" x14ac:dyDescent="0.25">
      <c r="A1037" s="20">
        <v>42046</v>
      </c>
      <c r="B1037" s="21">
        <v>11734</v>
      </c>
      <c r="C1037" s="14" t="s">
        <v>629</v>
      </c>
      <c r="D1037" s="105">
        <v>3173.7</v>
      </c>
      <c r="E1037" s="23">
        <v>42046</v>
      </c>
      <c r="F1037" s="118">
        <v>3173.7</v>
      </c>
      <c r="G1037" s="31">
        <f t="shared" si="16"/>
        <v>0</v>
      </c>
      <c r="H1037" s="56" t="s">
        <v>17</v>
      </c>
      <c r="I1037" s="3"/>
      <c r="J1037" s="42"/>
      <c r="K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</row>
    <row r="1038" spans="1:22" x14ac:dyDescent="0.25">
      <c r="A1038" s="20">
        <v>42046</v>
      </c>
      <c r="B1038" s="21">
        <v>11735</v>
      </c>
      <c r="C1038" s="14" t="s">
        <v>50</v>
      </c>
      <c r="D1038" s="105">
        <v>3285</v>
      </c>
      <c r="E1038" s="23">
        <v>42046</v>
      </c>
      <c r="F1038" s="118">
        <v>3285</v>
      </c>
      <c r="G1038" s="31">
        <f t="shared" si="16"/>
        <v>0</v>
      </c>
      <c r="H1038" s="56" t="s">
        <v>27</v>
      </c>
      <c r="I1038" s="3"/>
      <c r="J1038" s="42"/>
      <c r="K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</row>
    <row r="1039" spans="1:22" x14ac:dyDescent="0.25">
      <c r="A1039" s="20">
        <v>42046</v>
      </c>
      <c r="B1039" s="21">
        <v>11736</v>
      </c>
      <c r="C1039" s="14" t="s">
        <v>131</v>
      </c>
      <c r="D1039" s="105">
        <v>1179.3499999999999</v>
      </c>
      <c r="E1039" s="23">
        <v>42046</v>
      </c>
      <c r="F1039" s="118">
        <v>1179.3499999999999</v>
      </c>
      <c r="G1039" s="31">
        <f t="shared" si="16"/>
        <v>0</v>
      </c>
      <c r="H1039" s="56" t="s">
        <v>41</v>
      </c>
      <c r="I1039" s="3"/>
      <c r="J1039" s="42"/>
      <c r="K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</row>
    <row r="1040" spans="1:22" x14ac:dyDescent="0.25">
      <c r="A1040" s="20">
        <v>42046</v>
      </c>
      <c r="B1040" s="21">
        <v>11737</v>
      </c>
      <c r="C1040" s="14" t="s">
        <v>360</v>
      </c>
      <c r="D1040" s="105">
        <v>291.2</v>
      </c>
      <c r="E1040" s="23">
        <v>42046</v>
      </c>
      <c r="F1040" s="118">
        <v>291.2</v>
      </c>
      <c r="G1040" s="31">
        <f t="shared" si="16"/>
        <v>0</v>
      </c>
      <c r="H1040" s="56" t="s">
        <v>9</v>
      </c>
      <c r="I1040" s="3"/>
      <c r="J1040" s="42"/>
      <c r="K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</row>
    <row r="1041" spans="1:22" x14ac:dyDescent="0.25">
      <c r="A1041" s="20">
        <v>42046</v>
      </c>
      <c r="B1041" s="21">
        <v>11738</v>
      </c>
      <c r="C1041" s="14" t="s">
        <v>32</v>
      </c>
      <c r="D1041" s="105">
        <v>195670.2</v>
      </c>
      <c r="E1041" s="23">
        <v>42062</v>
      </c>
      <c r="F1041" s="118">
        <v>195670.2</v>
      </c>
      <c r="G1041" s="31">
        <f t="shared" si="16"/>
        <v>0</v>
      </c>
      <c r="H1041" s="56" t="s">
        <v>149</v>
      </c>
      <c r="I1041" s="3"/>
      <c r="J1041" s="42"/>
      <c r="K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</row>
    <row r="1042" spans="1:22" x14ac:dyDescent="0.25">
      <c r="A1042" s="20">
        <v>42046</v>
      </c>
      <c r="B1042" s="21">
        <v>11739</v>
      </c>
      <c r="C1042" s="14" t="s">
        <v>130</v>
      </c>
      <c r="D1042" s="105">
        <v>3594.8</v>
      </c>
      <c r="E1042" s="23">
        <v>42046</v>
      </c>
      <c r="F1042" s="118">
        <v>3594.8</v>
      </c>
      <c r="G1042" s="31">
        <f t="shared" si="16"/>
        <v>0</v>
      </c>
      <c r="H1042" s="56" t="s">
        <v>41</v>
      </c>
      <c r="K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</row>
    <row r="1043" spans="1:22" x14ac:dyDescent="0.25">
      <c r="A1043" s="20">
        <v>42046</v>
      </c>
      <c r="B1043" s="21">
        <v>11740</v>
      </c>
      <c r="C1043" s="14" t="s">
        <v>245</v>
      </c>
      <c r="D1043" s="105">
        <v>2944.89</v>
      </c>
      <c r="E1043" s="30" t="s">
        <v>630</v>
      </c>
      <c r="F1043" s="118">
        <v>2944.89</v>
      </c>
      <c r="G1043" s="31">
        <f t="shared" si="16"/>
        <v>0</v>
      </c>
      <c r="H1043" s="56" t="s">
        <v>9</v>
      </c>
      <c r="K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</row>
    <row r="1044" spans="1:22" x14ac:dyDescent="0.25">
      <c r="A1044" s="20">
        <v>42046</v>
      </c>
      <c r="B1044" s="21">
        <v>11741</v>
      </c>
      <c r="C1044" s="14" t="s">
        <v>132</v>
      </c>
      <c r="D1044" s="105">
        <v>788.4</v>
      </c>
      <c r="E1044" s="23">
        <v>42046</v>
      </c>
      <c r="F1044" s="118">
        <v>788.4</v>
      </c>
      <c r="G1044" s="31">
        <f t="shared" si="16"/>
        <v>0</v>
      </c>
      <c r="H1044" s="56" t="s">
        <v>41</v>
      </c>
      <c r="K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</row>
    <row r="1045" spans="1:22" x14ac:dyDescent="0.25">
      <c r="A1045" s="20">
        <v>42046</v>
      </c>
      <c r="B1045" s="21">
        <v>11742</v>
      </c>
      <c r="C1045" s="14" t="s">
        <v>128</v>
      </c>
      <c r="D1045" s="105">
        <v>6884.8</v>
      </c>
      <c r="E1045" s="23">
        <v>42046</v>
      </c>
      <c r="F1045" s="118">
        <v>6884.8</v>
      </c>
      <c r="G1045" s="31">
        <f t="shared" si="16"/>
        <v>0</v>
      </c>
      <c r="H1045" s="56" t="s">
        <v>41</v>
      </c>
      <c r="K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</row>
    <row r="1046" spans="1:22" x14ac:dyDescent="0.25">
      <c r="A1046" s="20">
        <v>42046</v>
      </c>
      <c r="B1046" s="21">
        <v>11743</v>
      </c>
      <c r="C1046" s="14" t="s">
        <v>24</v>
      </c>
      <c r="D1046" s="105">
        <v>600</v>
      </c>
      <c r="E1046" s="30">
        <v>42087</v>
      </c>
      <c r="F1046" s="145">
        <v>600</v>
      </c>
      <c r="G1046" s="31">
        <f t="shared" si="16"/>
        <v>0</v>
      </c>
      <c r="H1046" s="56" t="s">
        <v>9</v>
      </c>
      <c r="K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</row>
    <row r="1047" spans="1:22" x14ac:dyDescent="0.25">
      <c r="A1047" s="20">
        <v>42046</v>
      </c>
      <c r="B1047" s="21">
        <v>11744</v>
      </c>
      <c r="C1047" s="14" t="s">
        <v>125</v>
      </c>
      <c r="D1047" s="105">
        <v>6874.8</v>
      </c>
      <c r="E1047" s="23">
        <v>42046</v>
      </c>
      <c r="F1047" s="118">
        <v>6874.8</v>
      </c>
      <c r="G1047" s="31">
        <f t="shared" si="16"/>
        <v>0</v>
      </c>
      <c r="H1047" s="56" t="s">
        <v>9</v>
      </c>
      <c r="K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</row>
    <row r="1048" spans="1:22" x14ac:dyDescent="0.25">
      <c r="A1048" s="20">
        <v>42046</v>
      </c>
      <c r="B1048" s="21">
        <v>11745</v>
      </c>
      <c r="C1048" s="14" t="s">
        <v>165</v>
      </c>
      <c r="D1048" s="105">
        <v>3692.5</v>
      </c>
      <c r="E1048" s="23">
        <v>42046</v>
      </c>
      <c r="F1048" s="118">
        <v>3692.5</v>
      </c>
      <c r="G1048" s="31">
        <f t="shared" si="16"/>
        <v>0</v>
      </c>
      <c r="H1048" s="56" t="s">
        <v>41</v>
      </c>
      <c r="J1048" s="107"/>
      <c r="K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</row>
    <row r="1049" spans="1:22" x14ac:dyDescent="0.25">
      <c r="A1049" s="20">
        <v>42046</v>
      </c>
      <c r="B1049" s="21">
        <v>11746</v>
      </c>
      <c r="C1049" s="14" t="s">
        <v>143</v>
      </c>
      <c r="D1049" s="105">
        <v>2575</v>
      </c>
      <c r="E1049" s="23">
        <v>42052</v>
      </c>
      <c r="F1049" s="118">
        <v>2575</v>
      </c>
      <c r="G1049" s="31">
        <f t="shared" si="16"/>
        <v>0</v>
      </c>
      <c r="H1049" s="56" t="s">
        <v>9</v>
      </c>
      <c r="K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</row>
    <row r="1050" spans="1:22" x14ac:dyDescent="0.25">
      <c r="A1050" s="20">
        <v>42046</v>
      </c>
      <c r="B1050" s="21">
        <v>11747</v>
      </c>
      <c r="C1050" s="14" t="s">
        <v>87</v>
      </c>
      <c r="D1050" s="105">
        <v>2622.4</v>
      </c>
      <c r="E1050" s="23">
        <v>42047</v>
      </c>
      <c r="F1050" s="118">
        <v>2622.4</v>
      </c>
      <c r="G1050" s="31">
        <f t="shared" si="16"/>
        <v>0</v>
      </c>
      <c r="H1050" s="56" t="s">
        <v>631</v>
      </c>
      <c r="K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</row>
    <row r="1051" spans="1:22" x14ac:dyDescent="0.25">
      <c r="A1051" s="20">
        <v>42046</v>
      </c>
      <c r="B1051" s="21">
        <v>11748</v>
      </c>
      <c r="C1051" s="14" t="s">
        <v>141</v>
      </c>
      <c r="D1051" s="105">
        <v>10693</v>
      </c>
      <c r="E1051" s="23">
        <v>42047</v>
      </c>
      <c r="F1051" s="118">
        <v>10693</v>
      </c>
      <c r="G1051" s="31">
        <f t="shared" si="16"/>
        <v>0</v>
      </c>
      <c r="H1051" s="56" t="s">
        <v>94</v>
      </c>
      <c r="K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</row>
    <row r="1052" spans="1:22" x14ac:dyDescent="0.25">
      <c r="A1052" s="20">
        <v>42046</v>
      </c>
      <c r="B1052" s="21">
        <v>11749</v>
      </c>
      <c r="C1052" s="14" t="s">
        <v>571</v>
      </c>
      <c r="D1052" s="105">
        <v>1159.4000000000001</v>
      </c>
      <c r="E1052" s="23">
        <v>42047</v>
      </c>
      <c r="F1052" s="118">
        <v>1159.4000000000001</v>
      </c>
      <c r="G1052" s="31">
        <f t="shared" si="16"/>
        <v>0</v>
      </c>
      <c r="H1052" s="56" t="s">
        <v>94</v>
      </c>
      <c r="K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</row>
    <row r="1053" spans="1:22" x14ac:dyDescent="0.25">
      <c r="A1053" s="20">
        <v>42046</v>
      </c>
      <c r="B1053" s="21">
        <v>11750</v>
      </c>
      <c r="C1053" s="14" t="s">
        <v>95</v>
      </c>
      <c r="D1053" s="105">
        <v>4176</v>
      </c>
      <c r="E1053" s="23">
        <v>42047</v>
      </c>
      <c r="F1053" s="118">
        <v>4176</v>
      </c>
      <c r="G1053" s="31">
        <f t="shared" si="16"/>
        <v>0</v>
      </c>
      <c r="H1053" s="56" t="s">
        <v>94</v>
      </c>
      <c r="K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</row>
    <row r="1054" spans="1:22" x14ac:dyDescent="0.25">
      <c r="A1054" s="20">
        <v>42046</v>
      </c>
      <c r="B1054" s="21">
        <v>11751</v>
      </c>
      <c r="C1054" s="14" t="s">
        <v>247</v>
      </c>
      <c r="D1054" s="105">
        <v>3180</v>
      </c>
      <c r="E1054" s="23">
        <v>42047</v>
      </c>
      <c r="F1054" s="118">
        <v>3180</v>
      </c>
      <c r="G1054" s="31">
        <f t="shared" si="16"/>
        <v>0</v>
      </c>
      <c r="H1054" s="56" t="s">
        <v>94</v>
      </c>
      <c r="K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</row>
    <row r="1055" spans="1:22" x14ac:dyDescent="0.25">
      <c r="A1055" s="20">
        <v>42046</v>
      </c>
      <c r="B1055" s="21">
        <v>11752</v>
      </c>
      <c r="C1055" s="14" t="s">
        <v>89</v>
      </c>
      <c r="D1055" s="105">
        <v>3414.8</v>
      </c>
      <c r="E1055" s="23">
        <v>42046</v>
      </c>
      <c r="F1055" s="118">
        <v>3414.8</v>
      </c>
      <c r="G1055" s="31">
        <f t="shared" si="16"/>
        <v>0</v>
      </c>
      <c r="H1055" s="56" t="s">
        <v>9</v>
      </c>
      <c r="K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</row>
    <row r="1056" spans="1:22" x14ac:dyDescent="0.25">
      <c r="A1056" s="20">
        <v>42046</v>
      </c>
      <c r="B1056" s="21">
        <v>11753</v>
      </c>
      <c r="C1056" s="14" t="s">
        <v>140</v>
      </c>
      <c r="D1056" s="105">
        <v>8937.2000000000007</v>
      </c>
      <c r="E1056" s="23">
        <v>42047</v>
      </c>
      <c r="F1056" s="118">
        <v>8937.2000000000007</v>
      </c>
      <c r="G1056" s="31">
        <f t="shared" si="16"/>
        <v>0</v>
      </c>
      <c r="H1056" s="56" t="s">
        <v>94</v>
      </c>
      <c r="K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</row>
    <row r="1057" spans="1:22" x14ac:dyDescent="0.25">
      <c r="A1057" s="20">
        <v>42046</v>
      </c>
      <c r="B1057" s="21">
        <v>11754</v>
      </c>
      <c r="C1057" s="14" t="s">
        <v>135</v>
      </c>
      <c r="D1057" s="105">
        <v>421.2</v>
      </c>
      <c r="E1057" s="23">
        <v>42046</v>
      </c>
      <c r="F1057" s="118">
        <v>421.2</v>
      </c>
      <c r="G1057" s="31">
        <f t="shared" si="16"/>
        <v>0</v>
      </c>
      <c r="H1057" s="56" t="s">
        <v>9</v>
      </c>
      <c r="K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</row>
    <row r="1058" spans="1:22" x14ac:dyDescent="0.25">
      <c r="A1058" s="20">
        <v>42046</v>
      </c>
      <c r="B1058" s="21">
        <v>11755</v>
      </c>
      <c r="C1058" s="14" t="s">
        <v>102</v>
      </c>
      <c r="D1058" s="105">
        <v>610.4</v>
      </c>
      <c r="E1058" s="23">
        <v>42046</v>
      </c>
      <c r="F1058" s="118">
        <v>610.4</v>
      </c>
      <c r="G1058" s="31">
        <f t="shared" si="16"/>
        <v>0</v>
      </c>
      <c r="H1058" s="56" t="s">
        <v>9</v>
      </c>
      <c r="I1058" s="3"/>
      <c r="J1058" s="42"/>
      <c r="K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</row>
    <row r="1059" spans="1:22" x14ac:dyDescent="0.25">
      <c r="A1059" s="20">
        <v>42046</v>
      </c>
      <c r="B1059" s="21">
        <v>11756</v>
      </c>
      <c r="C1059" s="14" t="s">
        <v>136</v>
      </c>
      <c r="D1059" s="105">
        <v>24513.8</v>
      </c>
      <c r="E1059" s="23">
        <v>42046</v>
      </c>
      <c r="F1059" s="118">
        <v>24513.8</v>
      </c>
      <c r="G1059" s="31">
        <f t="shared" si="16"/>
        <v>0</v>
      </c>
      <c r="H1059" s="56" t="s">
        <v>9</v>
      </c>
      <c r="I1059" s="3"/>
      <c r="J1059" s="42"/>
      <c r="K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</row>
    <row r="1060" spans="1:22" x14ac:dyDescent="0.25">
      <c r="A1060" s="20">
        <v>42046</v>
      </c>
      <c r="B1060" s="21">
        <v>11757</v>
      </c>
      <c r="C1060" s="14" t="s">
        <v>86</v>
      </c>
      <c r="D1060" s="105">
        <v>4026.5</v>
      </c>
      <c r="E1060" s="23">
        <v>42046</v>
      </c>
      <c r="F1060" s="118">
        <v>4026.5</v>
      </c>
      <c r="G1060" s="31">
        <f t="shared" si="16"/>
        <v>0</v>
      </c>
      <c r="H1060" s="56" t="s">
        <v>9</v>
      </c>
      <c r="I1060" s="3"/>
      <c r="J1060" s="42"/>
      <c r="K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</row>
    <row r="1061" spans="1:22" x14ac:dyDescent="0.25">
      <c r="A1061" s="20">
        <v>42046</v>
      </c>
      <c r="B1061" s="21">
        <v>11758</v>
      </c>
      <c r="C1061" s="14" t="s">
        <v>136</v>
      </c>
      <c r="D1061" s="105">
        <v>410.4</v>
      </c>
      <c r="E1061" s="23">
        <v>42046</v>
      </c>
      <c r="F1061" s="118">
        <v>410.4</v>
      </c>
      <c r="G1061" s="31">
        <f t="shared" si="16"/>
        <v>0</v>
      </c>
      <c r="H1061" s="56" t="s">
        <v>9</v>
      </c>
      <c r="I1061" s="3"/>
      <c r="J1061" s="42"/>
      <c r="K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</row>
    <row r="1062" spans="1:22" x14ac:dyDescent="0.25">
      <c r="A1062" s="20">
        <v>42046</v>
      </c>
      <c r="B1062" s="21">
        <v>11759</v>
      </c>
      <c r="C1062" s="14" t="s">
        <v>111</v>
      </c>
      <c r="D1062" s="105">
        <v>168079</v>
      </c>
      <c r="E1062" s="23">
        <v>42049</v>
      </c>
      <c r="F1062" s="118">
        <v>168079</v>
      </c>
      <c r="G1062" s="31">
        <f t="shared" si="16"/>
        <v>0</v>
      </c>
      <c r="H1062" s="56" t="s">
        <v>9</v>
      </c>
      <c r="I1062" s="3"/>
      <c r="J1062" s="42"/>
      <c r="K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</row>
    <row r="1063" spans="1:22" x14ac:dyDescent="0.25">
      <c r="A1063" s="20">
        <v>42046</v>
      </c>
      <c r="B1063" s="21">
        <v>11760</v>
      </c>
      <c r="C1063" s="26" t="s">
        <v>12</v>
      </c>
      <c r="D1063" s="108">
        <v>0</v>
      </c>
      <c r="E1063" s="51"/>
      <c r="F1063" s="118"/>
      <c r="G1063" s="31">
        <f t="shared" si="16"/>
        <v>0</v>
      </c>
      <c r="H1063" s="56" t="s">
        <v>13</v>
      </c>
      <c r="I1063" s="3"/>
      <c r="J1063" s="42"/>
      <c r="K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</row>
    <row r="1064" spans="1:22" x14ac:dyDescent="0.25">
      <c r="A1064" s="20">
        <v>42046</v>
      </c>
      <c r="B1064" s="21">
        <v>11761</v>
      </c>
      <c r="C1064" s="14" t="s">
        <v>64</v>
      </c>
      <c r="D1064" s="105">
        <v>1653.6</v>
      </c>
      <c r="E1064" s="23">
        <v>42046</v>
      </c>
      <c r="F1064" s="118">
        <v>1653.6</v>
      </c>
      <c r="G1064" s="31">
        <f t="shared" si="16"/>
        <v>0</v>
      </c>
      <c r="H1064" s="56" t="s">
        <v>9</v>
      </c>
      <c r="I1064" s="3"/>
      <c r="J1064" s="42"/>
      <c r="K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</row>
    <row r="1065" spans="1:22" x14ac:dyDescent="0.25">
      <c r="A1065" s="20">
        <v>42046</v>
      </c>
      <c r="B1065" s="21">
        <v>11762</v>
      </c>
      <c r="C1065" s="14" t="s">
        <v>549</v>
      </c>
      <c r="D1065" s="105">
        <v>29232.5</v>
      </c>
      <c r="E1065" s="23">
        <v>42047</v>
      </c>
      <c r="F1065" s="118">
        <v>29232.5</v>
      </c>
      <c r="G1065" s="31">
        <f t="shared" si="16"/>
        <v>0</v>
      </c>
      <c r="H1065" s="56" t="s">
        <v>9</v>
      </c>
      <c r="I1065" s="3"/>
      <c r="J1065" s="42"/>
      <c r="K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</row>
    <row r="1066" spans="1:22" x14ac:dyDescent="0.25">
      <c r="A1066" s="20">
        <v>42046</v>
      </c>
      <c r="B1066" s="21">
        <v>11763</v>
      </c>
      <c r="C1066" s="14" t="s">
        <v>122</v>
      </c>
      <c r="D1066" s="105">
        <v>37249.199999999997</v>
      </c>
      <c r="E1066" s="23">
        <v>42046</v>
      </c>
      <c r="F1066" s="106">
        <v>37249.199999999997</v>
      </c>
      <c r="G1066" s="31">
        <f t="shared" si="16"/>
        <v>0</v>
      </c>
      <c r="H1066" s="39" t="s">
        <v>9</v>
      </c>
      <c r="I1066" s="3"/>
      <c r="J1066" s="42"/>
      <c r="K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</row>
    <row r="1067" spans="1:22" x14ac:dyDescent="0.25">
      <c r="A1067" s="20">
        <v>42046</v>
      </c>
      <c r="B1067" s="21">
        <v>11764</v>
      </c>
      <c r="C1067" s="14" t="s">
        <v>266</v>
      </c>
      <c r="D1067" s="105">
        <v>780</v>
      </c>
      <c r="E1067" s="23">
        <v>42046</v>
      </c>
      <c r="F1067" s="106">
        <v>780</v>
      </c>
      <c r="G1067" s="31">
        <f t="shared" si="16"/>
        <v>0</v>
      </c>
      <c r="H1067" s="39" t="s">
        <v>9</v>
      </c>
      <c r="I1067" s="3"/>
      <c r="J1067" s="42"/>
      <c r="K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</row>
    <row r="1068" spans="1:22" x14ac:dyDescent="0.25">
      <c r="A1068" s="20">
        <v>42046</v>
      </c>
      <c r="B1068" s="21">
        <v>11765</v>
      </c>
      <c r="C1068" s="14" t="s">
        <v>108</v>
      </c>
      <c r="D1068" s="105">
        <v>12366</v>
      </c>
      <c r="E1068" s="30">
        <v>42068</v>
      </c>
      <c r="F1068" s="144">
        <v>12366</v>
      </c>
      <c r="G1068" s="31">
        <f t="shared" si="16"/>
        <v>0</v>
      </c>
      <c r="H1068" s="39" t="s">
        <v>19</v>
      </c>
      <c r="I1068" s="3"/>
      <c r="J1068" s="42"/>
      <c r="K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</row>
    <row r="1069" spans="1:22" x14ac:dyDescent="0.25">
      <c r="A1069" s="20">
        <v>42046</v>
      </c>
      <c r="B1069" s="21">
        <v>11766</v>
      </c>
      <c r="C1069" s="14" t="s">
        <v>411</v>
      </c>
      <c r="D1069" s="105">
        <v>2631.2</v>
      </c>
      <c r="E1069" s="23">
        <v>42046</v>
      </c>
      <c r="F1069" s="106">
        <v>2631.2</v>
      </c>
      <c r="G1069" s="31">
        <f t="shared" si="16"/>
        <v>0</v>
      </c>
      <c r="H1069" s="39" t="s">
        <v>9</v>
      </c>
      <c r="I1069" s="3"/>
      <c r="J1069" s="42"/>
      <c r="K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</row>
    <row r="1070" spans="1:22" x14ac:dyDescent="0.25">
      <c r="A1070" s="20">
        <v>42046</v>
      </c>
      <c r="B1070" s="21">
        <v>11767</v>
      </c>
      <c r="C1070" s="14" t="s">
        <v>336</v>
      </c>
      <c r="D1070" s="105">
        <v>88</v>
      </c>
      <c r="E1070" s="23">
        <v>42046</v>
      </c>
      <c r="F1070" s="106">
        <v>88</v>
      </c>
      <c r="G1070" s="31">
        <f t="shared" si="16"/>
        <v>0</v>
      </c>
      <c r="H1070" s="39" t="s">
        <v>9</v>
      </c>
      <c r="I1070" s="3"/>
      <c r="J1070" s="42"/>
      <c r="K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</row>
    <row r="1071" spans="1:22" x14ac:dyDescent="0.25">
      <c r="A1071" s="20">
        <v>42046</v>
      </c>
      <c r="B1071" s="21">
        <v>11768</v>
      </c>
      <c r="C1071" s="14" t="s">
        <v>96</v>
      </c>
      <c r="D1071" s="105">
        <v>3514.5</v>
      </c>
      <c r="E1071" s="23">
        <v>42047</v>
      </c>
      <c r="F1071" s="106">
        <v>3514.5</v>
      </c>
      <c r="G1071" s="31">
        <f t="shared" si="16"/>
        <v>0</v>
      </c>
      <c r="H1071" s="39" t="s">
        <v>266</v>
      </c>
      <c r="I1071" s="3"/>
      <c r="J1071" s="42"/>
      <c r="K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</row>
    <row r="1072" spans="1:22" x14ac:dyDescent="0.25">
      <c r="A1072" s="20">
        <v>42046</v>
      </c>
      <c r="B1072" s="21">
        <v>11769</v>
      </c>
      <c r="C1072" s="14" t="s">
        <v>110</v>
      </c>
      <c r="D1072" s="105">
        <v>30271.37</v>
      </c>
      <c r="E1072" s="23">
        <v>42051</v>
      </c>
      <c r="F1072" s="106">
        <v>30271.37</v>
      </c>
      <c r="G1072" s="31">
        <f t="shared" si="16"/>
        <v>0</v>
      </c>
      <c r="H1072" s="39" t="s">
        <v>183</v>
      </c>
      <c r="I1072" s="3"/>
      <c r="J1072" s="42"/>
      <c r="K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</row>
    <row r="1073" spans="1:22" x14ac:dyDescent="0.25">
      <c r="A1073" s="20">
        <v>42046</v>
      </c>
      <c r="B1073" s="21">
        <v>11770</v>
      </c>
      <c r="C1073" s="14" t="s">
        <v>35</v>
      </c>
      <c r="D1073" s="105">
        <v>21614.31</v>
      </c>
      <c r="E1073" s="23">
        <v>42048</v>
      </c>
      <c r="F1073" s="106">
        <v>21614.31</v>
      </c>
      <c r="G1073" s="31">
        <f t="shared" si="16"/>
        <v>0</v>
      </c>
      <c r="H1073" s="39" t="s">
        <v>36</v>
      </c>
      <c r="I1073" s="3"/>
      <c r="J1073" s="42"/>
      <c r="K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</row>
    <row r="1074" spans="1:22" x14ac:dyDescent="0.25">
      <c r="A1074" s="20">
        <v>42046</v>
      </c>
      <c r="B1074" s="21">
        <v>11771</v>
      </c>
      <c r="C1074" s="14" t="s">
        <v>80</v>
      </c>
      <c r="D1074" s="105">
        <v>7136</v>
      </c>
      <c r="E1074" s="23">
        <v>42046</v>
      </c>
      <c r="F1074" s="106">
        <v>7136</v>
      </c>
      <c r="G1074" s="31">
        <f t="shared" si="16"/>
        <v>0</v>
      </c>
      <c r="H1074" s="39" t="s">
        <v>9</v>
      </c>
      <c r="I1074" s="3"/>
      <c r="J1074" s="42"/>
      <c r="K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</row>
    <row r="1075" spans="1:22" x14ac:dyDescent="0.25">
      <c r="A1075" s="20">
        <v>42046</v>
      </c>
      <c r="B1075" s="21">
        <v>11772</v>
      </c>
      <c r="C1075" s="14" t="s">
        <v>24</v>
      </c>
      <c r="D1075" s="105">
        <v>108931.2</v>
      </c>
      <c r="E1075" s="23">
        <v>42062</v>
      </c>
      <c r="F1075" s="106">
        <v>108931.2</v>
      </c>
      <c r="G1075" s="31">
        <f t="shared" si="16"/>
        <v>0</v>
      </c>
      <c r="H1075" s="39" t="s">
        <v>183</v>
      </c>
      <c r="I1075" s="3"/>
      <c r="J1075" s="42"/>
      <c r="K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</row>
    <row r="1076" spans="1:22" x14ac:dyDescent="0.25">
      <c r="A1076" s="20">
        <v>42046</v>
      </c>
      <c r="B1076" s="21">
        <v>11773</v>
      </c>
      <c r="C1076" s="14" t="s">
        <v>632</v>
      </c>
      <c r="D1076" s="105">
        <v>14558.8</v>
      </c>
      <c r="E1076" s="23">
        <v>42056</v>
      </c>
      <c r="F1076" s="106">
        <v>14558.8</v>
      </c>
      <c r="G1076" s="31">
        <f t="shared" si="16"/>
        <v>0</v>
      </c>
      <c r="H1076" s="39" t="s">
        <v>9</v>
      </c>
      <c r="I1076" s="3"/>
      <c r="J1076" s="42"/>
      <c r="K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</row>
    <row r="1077" spans="1:22" x14ac:dyDescent="0.25">
      <c r="A1077" s="20">
        <v>42046</v>
      </c>
      <c r="B1077" s="21">
        <v>11774</v>
      </c>
      <c r="C1077" s="14" t="s">
        <v>416</v>
      </c>
      <c r="D1077" s="105">
        <v>77</v>
      </c>
      <c r="E1077" s="23">
        <v>42046</v>
      </c>
      <c r="F1077" s="106">
        <v>77</v>
      </c>
      <c r="G1077" s="31">
        <f t="shared" si="16"/>
        <v>0</v>
      </c>
      <c r="H1077" s="39" t="s">
        <v>9</v>
      </c>
      <c r="I1077" s="3"/>
      <c r="J1077" s="42"/>
      <c r="K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</row>
    <row r="1078" spans="1:22" x14ac:dyDescent="0.25">
      <c r="A1078" s="20">
        <v>42046</v>
      </c>
      <c r="B1078" s="21">
        <v>11775</v>
      </c>
      <c r="C1078" s="14" t="s">
        <v>234</v>
      </c>
      <c r="D1078" s="105">
        <v>239.4</v>
      </c>
      <c r="E1078" s="23">
        <v>42046</v>
      </c>
      <c r="F1078" s="106">
        <v>239.4</v>
      </c>
      <c r="G1078" s="31">
        <f t="shared" si="16"/>
        <v>0</v>
      </c>
      <c r="H1078" s="39" t="s">
        <v>9</v>
      </c>
      <c r="I1078" s="3"/>
      <c r="J1078" s="42"/>
      <c r="K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</row>
    <row r="1079" spans="1:22" x14ac:dyDescent="0.25">
      <c r="A1079" s="20">
        <v>42046</v>
      </c>
      <c r="B1079" s="21">
        <v>11776</v>
      </c>
      <c r="C1079" s="14" t="s">
        <v>111</v>
      </c>
      <c r="D1079" s="105">
        <v>178149</v>
      </c>
      <c r="E1079" s="23">
        <v>42049</v>
      </c>
      <c r="F1079" s="106">
        <v>178149</v>
      </c>
      <c r="G1079" s="31">
        <f t="shared" si="16"/>
        <v>0</v>
      </c>
      <c r="H1079" s="39" t="s">
        <v>9</v>
      </c>
      <c r="I1079" s="3"/>
      <c r="J1079" s="42"/>
      <c r="K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</row>
    <row r="1080" spans="1:22" x14ac:dyDescent="0.25">
      <c r="A1080" s="20">
        <v>42046</v>
      </c>
      <c r="B1080" s="21">
        <v>11777</v>
      </c>
      <c r="C1080" s="14" t="s">
        <v>24</v>
      </c>
      <c r="D1080" s="105">
        <v>183657.94</v>
      </c>
      <c r="E1080" s="23">
        <v>42063</v>
      </c>
      <c r="F1080" s="106">
        <v>183657.94</v>
      </c>
      <c r="G1080" s="31">
        <f t="shared" si="16"/>
        <v>0</v>
      </c>
      <c r="H1080" s="39" t="s">
        <v>46</v>
      </c>
      <c r="I1080" s="3"/>
      <c r="J1080" s="42"/>
      <c r="K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</row>
    <row r="1081" spans="1:22" x14ac:dyDescent="0.25">
      <c r="A1081" s="20">
        <v>42047</v>
      </c>
      <c r="B1081" s="21">
        <v>11778</v>
      </c>
      <c r="C1081" s="26" t="s">
        <v>12</v>
      </c>
      <c r="D1081" s="108">
        <v>0</v>
      </c>
      <c r="E1081" s="23"/>
      <c r="F1081" s="106"/>
      <c r="G1081" s="31">
        <f t="shared" si="16"/>
        <v>0</v>
      </c>
      <c r="H1081" s="39" t="s">
        <v>13</v>
      </c>
      <c r="I1081" s="3"/>
      <c r="J1081" s="42"/>
      <c r="K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</row>
    <row r="1082" spans="1:22" x14ac:dyDescent="0.25">
      <c r="A1082" s="20">
        <v>42047</v>
      </c>
      <c r="B1082" s="21">
        <v>11779</v>
      </c>
      <c r="C1082" s="14" t="s">
        <v>148</v>
      </c>
      <c r="D1082" s="105">
        <v>3485</v>
      </c>
      <c r="E1082" s="23">
        <v>42048</v>
      </c>
      <c r="F1082" s="106">
        <v>3485</v>
      </c>
      <c r="G1082" s="31">
        <f t="shared" si="16"/>
        <v>0</v>
      </c>
      <c r="H1082" s="39" t="s">
        <v>9</v>
      </c>
      <c r="I1082" s="3"/>
      <c r="J1082" s="42"/>
      <c r="K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</row>
    <row r="1083" spans="1:22" x14ac:dyDescent="0.25">
      <c r="A1083" s="20">
        <v>42047</v>
      </c>
      <c r="B1083" s="21">
        <v>11780</v>
      </c>
      <c r="C1083" s="14" t="s">
        <v>31</v>
      </c>
      <c r="D1083" s="105">
        <v>2419.6</v>
      </c>
      <c r="E1083" s="23">
        <v>42047</v>
      </c>
      <c r="F1083" s="106">
        <v>2419.6</v>
      </c>
      <c r="G1083" s="31">
        <f t="shared" si="16"/>
        <v>0</v>
      </c>
      <c r="H1083" s="39" t="s">
        <v>9</v>
      </c>
      <c r="I1083" s="3"/>
      <c r="J1083" s="42"/>
      <c r="K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</row>
    <row r="1084" spans="1:22" x14ac:dyDescent="0.25">
      <c r="A1084" s="20">
        <v>42047</v>
      </c>
      <c r="B1084" s="21">
        <v>11781</v>
      </c>
      <c r="C1084" s="14" t="s">
        <v>11</v>
      </c>
      <c r="D1084" s="105">
        <v>1815.4</v>
      </c>
      <c r="E1084" s="23">
        <v>42047</v>
      </c>
      <c r="F1084" s="106">
        <v>1815.4</v>
      </c>
      <c r="G1084" s="31">
        <f t="shared" si="16"/>
        <v>0</v>
      </c>
      <c r="H1084" s="39" t="s">
        <v>9</v>
      </c>
      <c r="I1084" s="3"/>
      <c r="J1084" s="42"/>
      <c r="K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</row>
    <row r="1085" spans="1:22" x14ac:dyDescent="0.25">
      <c r="A1085" s="20">
        <v>42047</v>
      </c>
      <c r="B1085" s="21">
        <v>11782</v>
      </c>
      <c r="C1085" s="14" t="s">
        <v>555</v>
      </c>
      <c r="D1085" s="105">
        <v>80328.100000000006</v>
      </c>
      <c r="E1085" s="23">
        <v>42049</v>
      </c>
      <c r="F1085" s="106">
        <v>80328.100000000006</v>
      </c>
      <c r="G1085" s="31">
        <f t="shared" si="16"/>
        <v>0</v>
      </c>
      <c r="H1085" s="39" t="s">
        <v>9</v>
      </c>
      <c r="I1085" s="3"/>
      <c r="J1085" s="42"/>
      <c r="K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</row>
    <row r="1086" spans="1:22" x14ac:dyDescent="0.25">
      <c r="A1086" s="20">
        <v>42047</v>
      </c>
      <c r="B1086" s="21">
        <v>11783</v>
      </c>
      <c r="C1086" s="14" t="s">
        <v>26</v>
      </c>
      <c r="D1086" s="105">
        <v>1716</v>
      </c>
      <c r="E1086" s="23">
        <v>42047</v>
      </c>
      <c r="F1086" s="106">
        <v>1716</v>
      </c>
      <c r="G1086" s="31">
        <f t="shared" si="16"/>
        <v>0</v>
      </c>
      <c r="H1086" s="39" t="s">
        <v>27</v>
      </c>
      <c r="I1086" s="3"/>
      <c r="J1086" s="42"/>
      <c r="K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</row>
    <row r="1087" spans="1:22" x14ac:dyDescent="0.25">
      <c r="A1087" s="20">
        <v>42047</v>
      </c>
      <c r="B1087" s="21">
        <v>11784</v>
      </c>
      <c r="C1087" s="14" t="s">
        <v>16</v>
      </c>
      <c r="D1087" s="105">
        <v>14212</v>
      </c>
      <c r="E1087" s="23">
        <v>42047</v>
      </c>
      <c r="F1087" s="106">
        <v>14212</v>
      </c>
      <c r="G1087" s="31">
        <f t="shared" si="16"/>
        <v>0</v>
      </c>
      <c r="H1087" s="39" t="s">
        <v>19</v>
      </c>
      <c r="I1087" s="3"/>
      <c r="J1087" s="42"/>
      <c r="K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</row>
    <row r="1088" spans="1:22" x14ac:dyDescent="0.25">
      <c r="A1088" s="20">
        <v>42047</v>
      </c>
      <c r="B1088" s="21">
        <v>11785</v>
      </c>
      <c r="C1088" s="14" t="s">
        <v>121</v>
      </c>
      <c r="D1088" s="105">
        <v>2857</v>
      </c>
      <c r="E1088" s="23">
        <v>42047</v>
      </c>
      <c r="F1088" s="106">
        <v>2857</v>
      </c>
      <c r="G1088" s="31">
        <f t="shared" si="16"/>
        <v>0</v>
      </c>
      <c r="H1088" s="39" t="s">
        <v>9</v>
      </c>
      <c r="I1088" s="3"/>
      <c r="J1088" s="42"/>
      <c r="K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</row>
    <row r="1089" spans="1:22" x14ac:dyDescent="0.25">
      <c r="A1089" s="20">
        <v>42047</v>
      </c>
      <c r="B1089" s="21">
        <v>11786</v>
      </c>
      <c r="C1089" s="26" t="s">
        <v>12</v>
      </c>
      <c r="D1089" s="108">
        <v>0</v>
      </c>
      <c r="E1089" s="23"/>
      <c r="F1089" s="106"/>
      <c r="G1089" s="31">
        <f t="shared" si="16"/>
        <v>0</v>
      </c>
      <c r="H1089" s="39" t="s">
        <v>13</v>
      </c>
      <c r="I1089" s="3"/>
      <c r="J1089" s="42"/>
      <c r="K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</row>
    <row r="1090" spans="1:22" x14ac:dyDescent="0.25">
      <c r="A1090" s="20">
        <v>42047</v>
      </c>
      <c r="B1090" s="21">
        <v>11787</v>
      </c>
      <c r="C1090" s="14" t="s">
        <v>58</v>
      </c>
      <c r="D1090" s="105">
        <v>570</v>
      </c>
      <c r="E1090" s="23">
        <v>42047</v>
      </c>
      <c r="F1090" s="106">
        <v>570</v>
      </c>
      <c r="G1090" s="31">
        <f t="shared" si="16"/>
        <v>0</v>
      </c>
      <c r="H1090" s="39" t="s">
        <v>17</v>
      </c>
      <c r="K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</row>
    <row r="1091" spans="1:22" x14ac:dyDescent="0.25">
      <c r="A1091" s="20">
        <v>42047</v>
      </c>
      <c r="B1091" s="21">
        <v>11788</v>
      </c>
      <c r="C1091" s="14" t="s">
        <v>214</v>
      </c>
      <c r="D1091" s="105">
        <v>1330</v>
      </c>
      <c r="E1091" s="23">
        <v>42047</v>
      </c>
      <c r="F1091" s="106">
        <v>1330</v>
      </c>
      <c r="G1091" s="31">
        <f t="shared" ref="G1091:G1154" si="17">D1091-F1091</f>
        <v>0</v>
      </c>
      <c r="H1091" s="39" t="s">
        <v>17</v>
      </c>
      <c r="K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</row>
    <row r="1092" spans="1:22" x14ac:dyDescent="0.25">
      <c r="A1092" s="20">
        <v>42047</v>
      </c>
      <c r="B1092" s="21">
        <v>11789</v>
      </c>
      <c r="C1092" s="110">
        <v>105</v>
      </c>
      <c r="D1092" s="105">
        <v>836</v>
      </c>
      <c r="E1092" s="23">
        <v>42047</v>
      </c>
      <c r="F1092" s="106">
        <v>836</v>
      </c>
      <c r="G1092" s="31">
        <f t="shared" si="17"/>
        <v>0</v>
      </c>
      <c r="H1092" s="39" t="s">
        <v>17</v>
      </c>
      <c r="K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</row>
    <row r="1093" spans="1:22" x14ac:dyDescent="0.25">
      <c r="A1093" s="20">
        <v>42047</v>
      </c>
      <c r="B1093" s="21">
        <v>11790</v>
      </c>
      <c r="C1093" s="14" t="s">
        <v>267</v>
      </c>
      <c r="D1093" s="105">
        <v>1628.5</v>
      </c>
      <c r="E1093" s="23">
        <v>42047</v>
      </c>
      <c r="F1093" s="106">
        <v>1628.5</v>
      </c>
      <c r="G1093" s="31">
        <f t="shared" si="17"/>
        <v>0</v>
      </c>
      <c r="H1093" s="39" t="s">
        <v>9</v>
      </c>
      <c r="K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</row>
    <row r="1094" spans="1:22" x14ac:dyDescent="0.25">
      <c r="A1094" s="20">
        <v>42047</v>
      </c>
      <c r="B1094" s="21">
        <v>11791</v>
      </c>
      <c r="C1094" s="14" t="s">
        <v>57</v>
      </c>
      <c r="D1094" s="105">
        <v>1330</v>
      </c>
      <c r="E1094" s="23">
        <v>42047</v>
      </c>
      <c r="F1094" s="106">
        <v>1330</v>
      </c>
      <c r="G1094" s="31">
        <f t="shared" si="17"/>
        <v>0</v>
      </c>
      <c r="H1094" s="39" t="s">
        <v>17</v>
      </c>
      <c r="K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</row>
    <row r="1095" spans="1:22" x14ac:dyDescent="0.25">
      <c r="A1095" s="20">
        <v>42047</v>
      </c>
      <c r="B1095" s="21">
        <v>11792</v>
      </c>
      <c r="C1095" s="14" t="s">
        <v>22</v>
      </c>
      <c r="D1095" s="105">
        <v>3129.6</v>
      </c>
      <c r="E1095" s="23">
        <v>42047</v>
      </c>
      <c r="F1095" s="106">
        <v>3129.6</v>
      </c>
      <c r="G1095" s="31">
        <f t="shared" si="17"/>
        <v>0</v>
      </c>
      <c r="H1095" s="39" t="s">
        <v>9</v>
      </c>
      <c r="K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</row>
    <row r="1096" spans="1:22" x14ac:dyDescent="0.25">
      <c r="A1096" s="20">
        <v>42047</v>
      </c>
      <c r="B1096" s="21">
        <v>11793</v>
      </c>
      <c r="C1096" s="14" t="s">
        <v>20</v>
      </c>
      <c r="D1096" s="105">
        <v>11378.4</v>
      </c>
      <c r="E1096" s="23">
        <v>42047</v>
      </c>
      <c r="F1096" s="106">
        <v>11378.4</v>
      </c>
      <c r="G1096" s="31">
        <f t="shared" si="17"/>
        <v>0</v>
      </c>
      <c r="H1096" s="39" t="s">
        <v>94</v>
      </c>
      <c r="K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</row>
    <row r="1097" spans="1:22" x14ac:dyDescent="0.25">
      <c r="A1097" s="20">
        <v>42047</v>
      </c>
      <c r="B1097" s="21">
        <v>11794</v>
      </c>
      <c r="C1097" s="14" t="s">
        <v>43</v>
      </c>
      <c r="D1097" s="105">
        <v>3863.7</v>
      </c>
      <c r="E1097" s="23">
        <v>42047</v>
      </c>
      <c r="F1097" s="106">
        <v>3863.7</v>
      </c>
      <c r="G1097" s="31">
        <f t="shared" si="17"/>
        <v>0</v>
      </c>
      <c r="H1097" s="39" t="s">
        <v>9</v>
      </c>
      <c r="K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</row>
    <row r="1098" spans="1:22" x14ac:dyDescent="0.25">
      <c r="A1098" s="20">
        <v>42047</v>
      </c>
      <c r="B1098" s="21">
        <v>11795</v>
      </c>
      <c r="C1098" s="14" t="s">
        <v>114</v>
      </c>
      <c r="D1098" s="105">
        <v>2763.6</v>
      </c>
      <c r="E1098" s="23">
        <v>42047</v>
      </c>
      <c r="F1098" s="106">
        <v>2763.6</v>
      </c>
      <c r="G1098" s="31">
        <f t="shared" si="17"/>
        <v>0</v>
      </c>
      <c r="H1098" s="39" t="s">
        <v>9</v>
      </c>
      <c r="K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</row>
    <row r="1099" spans="1:22" x14ac:dyDescent="0.25">
      <c r="A1099" s="20">
        <v>42047</v>
      </c>
      <c r="B1099" s="21">
        <v>11796</v>
      </c>
      <c r="C1099" s="14" t="s">
        <v>55</v>
      </c>
      <c r="D1099" s="105">
        <v>21267.25</v>
      </c>
      <c r="E1099" s="23">
        <v>42048</v>
      </c>
      <c r="F1099" s="106">
        <v>21267.25</v>
      </c>
      <c r="G1099" s="31">
        <f t="shared" si="17"/>
        <v>0</v>
      </c>
      <c r="H1099" s="39" t="s">
        <v>36</v>
      </c>
      <c r="J1099" s="107"/>
      <c r="K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</row>
    <row r="1100" spans="1:22" x14ac:dyDescent="0.25">
      <c r="A1100" s="20">
        <v>42047</v>
      </c>
      <c r="B1100" s="21">
        <v>11797</v>
      </c>
      <c r="C1100" s="14" t="s">
        <v>154</v>
      </c>
      <c r="D1100" s="105">
        <v>19841.2</v>
      </c>
      <c r="E1100" s="23">
        <v>42048</v>
      </c>
      <c r="F1100" s="106">
        <v>19841.2</v>
      </c>
      <c r="G1100" s="31">
        <f t="shared" si="17"/>
        <v>0</v>
      </c>
      <c r="H1100" s="39" t="s">
        <v>36</v>
      </c>
      <c r="J1100" s="107"/>
      <c r="K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</row>
    <row r="1101" spans="1:22" x14ac:dyDescent="0.25">
      <c r="A1101" s="20">
        <v>42047</v>
      </c>
      <c r="B1101" s="21">
        <v>11798</v>
      </c>
      <c r="C1101" s="14" t="s">
        <v>151</v>
      </c>
      <c r="D1101" s="105">
        <v>6380.6</v>
      </c>
      <c r="E1101" s="23">
        <v>42048</v>
      </c>
      <c r="F1101" s="106">
        <v>6380.6</v>
      </c>
      <c r="G1101" s="31">
        <f t="shared" si="17"/>
        <v>0</v>
      </c>
      <c r="H1101" s="39" t="s">
        <v>9</v>
      </c>
      <c r="K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</row>
    <row r="1102" spans="1:22" x14ac:dyDescent="0.25">
      <c r="A1102" s="20">
        <v>42047</v>
      </c>
      <c r="B1102" s="21">
        <v>11799</v>
      </c>
      <c r="C1102" s="14" t="s">
        <v>47</v>
      </c>
      <c r="D1102" s="105">
        <v>25239.200000000001</v>
      </c>
      <c r="E1102" s="23">
        <v>42048</v>
      </c>
      <c r="F1102" s="106">
        <v>25239.200000000001</v>
      </c>
      <c r="G1102" s="31">
        <f t="shared" si="17"/>
        <v>0</v>
      </c>
      <c r="H1102" s="39" t="s">
        <v>36</v>
      </c>
      <c r="K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</row>
    <row r="1103" spans="1:22" x14ac:dyDescent="0.25">
      <c r="A1103" s="20">
        <v>42047</v>
      </c>
      <c r="B1103" s="21">
        <v>11800</v>
      </c>
      <c r="C1103" s="14" t="s">
        <v>21</v>
      </c>
      <c r="D1103" s="105">
        <v>7566.45</v>
      </c>
      <c r="E1103" s="23">
        <v>42047</v>
      </c>
      <c r="F1103" s="106">
        <v>7566.45</v>
      </c>
      <c r="G1103" s="31">
        <f t="shared" si="17"/>
        <v>0</v>
      </c>
      <c r="H1103" s="39" t="s">
        <v>9</v>
      </c>
      <c r="K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</row>
    <row r="1104" spans="1:22" x14ac:dyDescent="0.25">
      <c r="A1104" s="20">
        <v>42047</v>
      </c>
      <c r="B1104" s="21">
        <v>11801</v>
      </c>
      <c r="C1104" s="14" t="s">
        <v>256</v>
      </c>
      <c r="D1104" s="105">
        <v>5379.5</v>
      </c>
      <c r="E1104" s="23">
        <v>42048</v>
      </c>
      <c r="F1104" s="106">
        <v>5379.5</v>
      </c>
      <c r="G1104" s="31">
        <f t="shared" si="17"/>
        <v>0</v>
      </c>
      <c r="H1104" s="39" t="s">
        <v>36</v>
      </c>
      <c r="K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</row>
    <row r="1105" spans="1:22" x14ac:dyDescent="0.25">
      <c r="A1105" s="20">
        <v>42047</v>
      </c>
      <c r="B1105" s="21">
        <v>11802</v>
      </c>
      <c r="C1105" s="14" t="s">
        <v>60</v>
      </c>
      <c r="D1105" s="105">
        <v>10216.799999999999</v>
      </c>
      <c r="E1105" s="23">
        <v>42048</v>
      </c>
      <c r="F1105" s="106">
        <v>10216.799999999999</v>
      </c>
      <c r="G1105" s="31">
        <f t="shared" si="17"/>
        <v>0</v>
      </c>
      <c r="H1105" s="39" t="s">
        <v>36</v>
      </c>
      <c r="K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</row>
    <row r="1106" spans="1:22" x14ac:dyDescent="0.25">
      <c r="A1106" s="20">
        <v>42047</v>
      </c>
      <c r="B1106" s="21">
        <v>11803</v>
      </c>
      <c r="C1106" s="14" t="s">
        <v>64</v>
      </c>
      <c r="D1106" s="105">
        <v>2926</v>
      </c>
      <c r="E1106" s="23">
        <v>42047</v>
      </c>
      <c r="F1106" s="106">
        <v>2926</v>
      </c>
      <c r="G1106" s="31">
        <f t="shared" si="17"/>
        <v>0</v>
      </c>
      <c r="H1106" s="39" t="s">
        <v>9</v>
      </c>
      <c r="I1106" s="3"/>
      <c r="J1106" s="42"/>
      <c r="K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</row>
    <row r="1107" spans="1:22" x14ac:dyDescent="0.25">
      <c r="A1107" s="20">
        <v>42047</v>
      </c>
      <c r="B1107" s="21">
        <v>11804</v>
      </c>
      <c r="C1107" s="14" t="s">
        <v>37</v>
      </c>
      <c r="D1107" s="105">
        <v>41122.5</v>
      </c>
      <c r="E1107" s="23">
        <v>42054</v>
      </c>
      <c r="F1107" s="106">
        <v>41122.5</v>
      </c>
      <c r="G1107" s="31">
        <f t="shared" si="17"/>
        <v>0</v>
      </c>
      <c r="H1107" s="39" t="s">
        <v>36</v>
      </c>
      <c r="I1107" s="3"/>
      <c r="J1107" s="42"/>
      <c r="K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</row>
    <row r="1108" spans="1:22" x14ac:dyDescent="0.25">
      <c r="A1108" s="20">
        <v>42047</v>
      </c>
      <c r="B1108" s="21">
        <v>11805</v>
      </c>
      <c r="C1108" s="14" t="s">
        <v>154</v>
      </c>
      <c r="D1108" s="105">
        <v>335.8</v>
      </c>
      <c r="E1108" s="23">
        <v>42048</v>
      </c>
      <c r="F1108" s="106">
        <v>335.8</v>
      </c>
      <c r="G1108" s="31">
        <f t="shared" si="17"/>
        <v>0</v>
      </c>
      <c r="H1108" s="39" t="s">
        <v>36</v>
      </c>
      <c r="I1108" s="3"/>
      <c r="J1108" s="42"/>
      <c r="K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</row>
    <row r="1109" spans="1:22" x14ac:dyDescent="0.25">
      <c r="A1109" s="20">
        <v>42047</v>
      </c>
      <c r="B1109" s="21">
        <v>11806</v>
      </c>
      <c r="C1109" s="14" t="s">
        <v>97</v>
      </c>
      <c r="D1109" s="105">
        <v>6612.1</v>
      </c>
      <c r="E1109" s="23">
        <v>42047</v>
      </c>
      <c r="F1109" s="106">
        <v>6612.1</v>
      </c>
      <c r="G1109" s="31">
        <f t="shared" si="17"/>
        <v>0</v>
      </c>
      <c r="H1109" s="39" t="s">
        <v>9</v>
      </c>
      <c r="I1109" s="3"/>
      <c r="J1109" s="42"/>
      <c r="K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</row>
    <row r="1110" spans="1:22" x14ac:dyDescent="0.25">
      <c r="A1110" s="20">
        <v>42047</v>
      </c>
      <c r="B1110" s="21">
        <v>11807</v>
      </c>
      <c r="C1110" s="14" t="s">
        <v>125</v>
      </c>
      <c r="D1110" s="105">
        <v>9894.5</v>
      </c>
      <c r="E1110" s="29" t="s">
        <v>633</v>
      </c>
      <c r="F1110" s="106">
        <f>1500+8394.5</f>
        <v>9894.5</v>
      </c>
      <c r="G1110" s="31">
        <f t="shared" si="17"/>
        <v>0</v>
      </c>
      <c r="H1110" s="39" t="s">
        <v>9</v>
      </c>
      <c r="I1110" s="3"/>
      <c r="J1110" s="42"/>
      <c r="K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</row>
    <row r="1111" spans="1:22" x14ac:dyDescent="0.25">
      <c r="A1111" s="20">
        <v>42047</v>
      </c>
      <c r="B1111" s="21">
        <v>11808</v>
      </c>
      <c r="C1111" s="14" t="s">
        <v>56</v>
      </c>
      <c r="D1111" s="105">
        <v>13921.6</v>
      </c>
      <c r="E1111" s="23">
        <v>42048</v>
      </c>
      <c r="F1111" s="106">
        <v>13921.6</v>
      </c>
      <c r="G1111" s="31">
        <f t="shared" si="17"/>
        <v>0</v>
      </c>
      <c r="H1111" s="39" t="s">
        <v>36</v>
      </c>
      <c r="I1111" s="3"/>
      <c r="J1111" s="42"/>
      <c r="K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</row>
    <row r="1112" spans="1:22" x14ac:dyDescent="0.25">
      <c r="A1112" s="20">
        <v>42047</v>
      </c>
      <c r="B1112" s="21">
        <v>11809</v>
      </c>
      <c r="C1112" s="14" t="s">
        <v>24</v>
      </c>
      <c r="D1112" s="105">
        <v>6707.2</v>
      </c>
      <c r="E1112" s="23">
        <v>42062</v>
      </c>
      <c r="F1112" s="106">
        <v>6707.2</v>
      </c>
      <c r="G1112" s="31">
        <f t="shared" si="17"/>
        <v>0</v>
      </c>
      <c r="H1112" s="39" t="s">
        <v>62</v>
      </c>
      <c r="I1112" s="3"/>
      <c r="J1112" s="42"/>
      <c r="K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</row>
    <row r="1113" spans="1:22" x14ac:dyDescent="0.25">
      <c r="A1113" s="20">
        <v>42047</v>
      </c>
      <c r="B1113" s="21">
        <v>11810</v>
      </c>
      <c r="C1113" s="14" t="s">
        <v>66</v>
      </c>
      <c r="D1113" s="105">
        <v>1370.2</v>
      </c>
      <c r="E1113" s="23">
        <v>42047</v>
      </c>
      <c r="F1113" s="106">
        <v>1370.2</v>
      </c>
      <c r="G1113" s="31">
        <f t="shared" si="17"/>
        <v>0</v>
      </c>
      <c r="H1113" s="39" t="s">
        <v>9</v>
      </c>
      <c r="I1113" s="3"/>
      <c r="J1113" s="42"/>
      <c r="K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</row>
    <row r="1114" spans="1:22" x14ac:dyDescent="0.25">
      <c r="A1114" s="20">
        <v>42047</v>
      </c>
      <c r="B1114" s="21">
        <v>11811</v>
      </c>
      <c r="C1114" s="14" t="s">
        <v>97</v>
      </c>
      <c r="D1114" s="105">
        <v>5636.2</v>
      </c>
      <c r="E1114" s="23">
        <v>42047</v>
      </c>
      <c r="F1114" s="106">
        <v>5636.2</v>
      </c>
      <c r="G1114" s="31">
        <f t="shared" si="17"/>
        <v>0</v>
      </c>
      <c r="H1114" s="39" t="s">
        <v>9</v>
      </c>
      <c r="I1114" s="3"/>
      <c r="J1114" s="42"/>
      <c r="K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</row>
    <row r="1115" spans="1:22" x14ac:dyDescent="0.25">
      <c r="A1115" s="20">
        <v>42047</v>
      </c>
      <c r="B1115" s="21">
        <v>11812</v>
      </c>
      <c r="C1115" s="14" t="s">
        <v>239</v>
      </c>
      <c r="D1115" s="105">
        <v>1618</v>
      </c>
      <c r="E1115" s="23">
        <v>42047</v>
      </c>
      <c r="F1115" s="106">
        <v>1618</v>
      </c>
      <c r="G1115" s="31">
        <f t="shared" si="17"/>
        <v>0</v>
      </c>
      <c r="H1115" s="39" t="s">
        <v>9</v>
      </c>
      <c r="I1115" s="3"/>
      <c r="J1115" s="42"/>
      <c r="K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</row>
    <row r="1116" spans="1:22" x14ac:dyDescent="0.25">
      <c r="A1116" s="20">
        <v>42047</v>
      </c>
      <c r="B1116" s="21">
        <v>11813</v>
      </c>
      <c r="C1116" s="14" t="s">
        <v>53</v>
      </c>
      <c r="D1116" s="105">
        <v>745.5</v>
      </c>
      <c r="E1116" s="23">
        <v>42047</v>
      </c>
      <c r="F1116" s="106">
        <v>745.5</v>
      </c>
      <c r="G1116" s="31">
        <f t="shared" si="17"/>
        <v>0</v>
      </c>
      <c r="H1116" s="39" t="s">
        <v>17</v>
      </c>
      <c r="I1116" s="3"/>
      <c r="J1116" s="42"/>
      <c r="K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</row>
    <row r="1117" spans="1:22" x14ac:dyDescent="0.25">
      <c r="A1117" s="20">
        <v>42047</v>
      </c>
      <c r="B1117" s="21">
        <v>11814</v>
      </c>
      <c r="C1117" s="14" t="s">
        <v>168</v>
      </c>
      <c r="D1117" s="105">
        <v>10096</v>
      </c>
      <c r="E1117" s="23">
        <v>42047</v>
      </c>
      <c r="F1117" s="106">
        <v>10096</v>
      </c>
      <c r="G1117" s="31">
        <f t="shared" si="17"/>
        <v>0</v>
      </c>
      <c r="H1117" s="39" t="s">
        <v>17</v>
      </c>
      <c r="I1117" s="3"/>
      <c r="J1117" s="42"/>
      <c r="K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</row>
    <row r="1118" spans="1:22" x14ac:dyDescent="0.25">
      <c r="A1118" s="20">
        <v>42047</v>
      </c>
      <c r="B1118" s="21">
        <v>11815</v>
      </c>
      <c r="C1118" s="14" t="s">
        <v>135</v>
      </c>
      <c r="D1118" s="105">
        <v>19642.650000000001</v>
      </c>
      <c r="E1118" s="23">
        <v>42047</v>
      </c>
      <c r="F1118" s="106">
        <v>19642.650000000001</v>
      </c>
      <c r="G1118" s="31">
        <f t="shared" si="17"/>
        <v>0</v>
      </c>
      <c r="H1118" s="39" t="s">
        <v>9</v>
      </c>
      <c r="I1118" s="3"/>
      <c r="J1118" s="42"/>
      <c r="K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</row>
    <row r="1119" spans="1:22" x14ac:dyDescent="0.25">
      <c r="A1119" s="20">
        <v>42047</v>
      </c>
      <c r="B1119" s="21">
        <v>11816</v>
      </c>
      <c r="C1119" s="14" t="s">
        <v>81</v>
      </c>
      <c r="D1119" s="105">
        <v>1281.2</v>
      </c>
      <c r="E1119" s="23">
        <v>42047</v>
      </c>
      <c r="F1119" s="106">
        <v>1281.2</v>
      </c>
      <c r="G1119" s="31">
        <f t="shared" si="17"/>
        <v>0</v>
      </c>
      <c r="H1119" s="39" t="s">
        <v>17</v>
      </c>
      <c r="I1119" s="3"/>
      <c r="J1119" s="42"/>
      <c r="K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</row>
    <row r="1120" spans="1:22" x14ac:dyDescent="0.25">
      <c r="A1120" s="20">
        <v>42047</v>
      </c>
      <c r="B1120" s="21">
        <v>11817</v>
      </c>
      <c r="C1120" s="14" t="s">
        <v>45</v>
      </c>
      <c r="D1120" s="105">
        <v>1486.8</v>
      </c>
      <c r="E1120" s="23">
        <v>42055</v>
      </c>
      <c r="F1120" s="106">
        <v>1486.8</v>
      </c>
      <c r="G1120" s="31">
        <f t="shared" si="17"/>
        <v>0</v>
      </c>
      <c r="H1120" s="39" t="s">
        <v>17</v>
      </c>
      <c r="I1120" s="3"/>
      <c r="J1120" s="42"/>
      <c r="K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</row>
    <row r="1121" spans="1:22" x14ac:dyDescent="0.25">
      <c r="A1121" s="20">
        <v>42047</v>
      </c>
      <c r="B1121" s="21">
        <v>11818</v>
      </c>
      <c r="C1121" s="14" t="s">
        <v>249</v>
      </c>
      <c r="D1121" s="105">
        <v>3686.4</v>
      </c>
      <c r="E1121" s="23">
        <v>42052</v>
      </c>
      <c r="F1121" s="106">
        <v>3686.4</v>
      </c>
      <c r="G1121" s="31">
        <f t="shared" si="17"/>
        <v>0</v>
      </c>
      <c r="H1121" s="39" t="s">
        <v>9</v>
      </c>
      <c r="I1121" s="3"/>
      <c r="J1121" s="42"/>
      <c r="K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</row>
    <row r="1122" spans="1:22" x14ac:dyDescent="0.25">
      <c r="A1122" s="20">
        <v>42047</v>
      </c>
      <c r="B1122" s="21">
        <v>11819</v>
      </c>
      <c r="C1122" s="14" t="s">
        <v>375</v>
      </c>
      <c r="D1122" s="105">
        <v>2133.6</v>
      </c>
      <c r="E1122" s="23">
        <v>42047</v>
      </c>
      <c r="F1122" s="106">
        <v>2133.6</v>
      </c>
      <c r="G1122" s="31">
        <f t="shared" si="17"/>
        <v>0</v>
      </c>
      <c r="H1122" s="39" t="s">
        <v>9</v>
      </c>
      <c r="I1122" s="3"/>
      <c r="J1122" s="42"/>
      <c r="K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</row>
    <row r="1123" spans="1:22" x14ac:dyDescent="0.25">
      <c r="A1123" s="20">
        <v>42047</v>
      </c>
      <c r="B1123" s="21">
        <v>11820</v>
      </c>
      <c r="C1123" s="14" t="s">
        <v>406</v>
      </c>
      <c r="D1123" s="105">
        <v>30735.16</v>
      </c>
      <c r="E1123" s="23">
        <v>42048</v>
      </c>
      <c r="F1123" s="106">
        <v>30735.16</v>
      </c>
      <c r="G1123" s="31">
        <f t="shared" si="17"/>
        <v>0</v>
      </c>
      <c r="H1123" s="39" t="s">
        <v>36</v>
      </c>
      <c r="I1123" s="3"/>
      <c r="J1123" s="42"/>
      <c r="K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</row>
    <row r="1124" spans="1:22" x14ac:dyDescent="0.25">
      <c r="A1124" s="20">
        <v>42047</v>
      </c>
      <c r="B1124" s="21">
        <v>11821</v>
      </c>
      <c r="C1124" s="14" t="s">
        <v>112</v>
      </c>
      <c r="D1124" s="105">
        <v>5930.55</v>
      </c>
      <c r="E1124" s="23">
        <v>42047</v>
      </c>
      <c r="F1124" s="106">
        <v>5930.55</v>
      </c>
      <c r="G1124" s="31">
        <f t="shared" si="17"/>
        <v>0</v>
      </c>
      <c r="H1124" s="39" t="s">
        <v>9</v>
      </c>
      <c r="I1124" s="3"/>
      <c r="J1124" s="42"/>
      <c r="K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</row>
    <row r="1125" spans="1:22" x14ac:dyDescent="0.25">
      <c r="A1125" s="20">
        <v>42047</v>
      </c>
      <c r="B1125" s="21">
        <v>11822</v>
      </c>
      <c r="C1125" s="14" t="s">
        <v>137</v>
      </c>
      <c r="D1125" s="105">
        <v>1712.15</v>
      </c>
      <c r="E1125" s="23">
        <v>42047</v>
      </c>
      <c r="F1125" s="106">
        <v>1712.15</v>
      </c>
      <c r="G1125" s="31">
        <f t="shared" si="17"/>
        <v>0</v>
      </c>
      <c r="H1125" s="39" t="s">
        <v>9</v>
      </c>
      <c r="I1125" s="3"/>
      <c r="J1125" s="42"/>
      <c r="K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</row>
    <row r="1126" spans="1:22" x14ac:dyDescent="0.25">
      <c r="A1126" s="20">
        <v>42047</v>
      </c>
      <c r="B1126" s="21">
        <v>11823</v>
      </c>
      <c r="C1126" s="14" t="s">
        <v>128</v>
      </c>
      <c r="D1126" s="105">
        <v>8881.6</v>
      </c>
      <c r="E1126" s="23">
        <v>42047</v>
      </c>
      <c r="F1126" s="106">
        <v>8881.6</v>
      </c>
      <c r="G1126" s="31">
        <f t="shared" si="17"/>
        <v>0</v>
      </c>
      <c r="H1126" s="39" t="s">
        <v>9</v>
      </c>
      <c r="I1126" s="3"/>
      <c r="J1126" s="42"/>
      <c r="K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</row>
    <row r="1127" spans="1:22" x14ac:dyDescent="0.25">
      <c r="A1127" s="20">
        <v>42047</v>
      </c>
      <c r="B1127" s="21">
        <v>11824</v>
      </c>
      <c r="C1127" s="14" t="s">
        <v>82</v>
      </c>
      <c r="D1127" s="105">
        <v>5520.8</v>
      </c>
      <c r="E1127" s="23">
        <v>42047</v>
      </c>
      <c r="F1127" s="106">
        <v>5520.8</v>
      </c>
      <c r="G1127" s="31">
        <f t="shared" si="17"/>
        <v>0</v>
      </c>
      <c r="H1127" s="39" t="s">
        <v>17</v>
      </c>
      <c r="I1127" s="3"/>
      <c r="J1127" s="42"/>
      <c r="K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</row>
    <row r="1128" spans="1:22" x14ac:dyDescent="0.25">
      <c r="A1128" s="20">
        <v>42047</v>
      </c>
      <c r="B1128" s="21">
        <v>11825</v>
      </c>
      <c r="C1128" s="14" t="s">
        <v>634</v>
      </c>
      <c r="D1128" s="105">
        <v>1984.4</v>
      </c>
      <c r="E1128" s="23">
        <v>42047</v>
      </c>
      <c r="F1128" s="106">
        <v>1984.4</v>
      </c>
      <c r="G1128" s="31">
        <f t="shared" si="17"/>
        <v>0</v>
      </c>
      <c r="H1128" s="39" t="s">
        <v>17</v>
      </c>
      <c r="I1128" s="3"/>
      <c r="J1128" s="42"/>
      <c r="K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</row>
    <row r="1129" spans="1:22" x14ac:dyDescent="0.25">
      <c r="A1129" s="20">
        <v>42047</v>
      </c>
      <c r="B1129" s="21">
        <v>11826</v>
      </c>
      <c r="C1129" s="14" t="s">
        <v>118</v>
      </c>
      <c r="D1129" s="105">
        <v>1293.5999999999999</v>
      </c>
      <c r="E1129" s="23">
        <v>42047</v>
      </c>
      <c r="F1129" s="106">
        <v>1293.5999999999999</v>
      </c>
      <c r="G1129" s="31">
        <f t="shared" si="17"/>
        <v>0</v>
      </c>
      <c r="H1129" s="39" t="s">
        <v>17</v>
      </c>
      <c r="I1129" s="3"/>
      <c r="J1129" s="42"/>
      <c r="K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</row>
    <row r="1130" spans="1:22" x14ac:dyDescent="0.25">
      <c r="A1130" s="20">
        <v>42047</v>
      </c>
      <c r="B1130" s="21">
        <v>11827</v>
      </c>
      <c r="C1130" s="14" t="s">
        <v>406</v>
      </c>
      <c r="D1130" s="105">
        <v>5477.4</v>
      </c>
      <c r="E1130" s="23">
        <v>42048</v>
      </c>
      <c r="F1130" s="106">
        <v>5477.4</v>
      </c>
      <c r="G1130" s="31">
        <f t="shared" si="17"/>
        <v>0</v>
      </c>
      <c r="H1130" s="39" t="s">
        <v>36</v>
      </c>
      <c r="I1130" s="3"/>
      <c r="J1130" s="42"/>
      <c r="K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</row>
    <row r="1131" spans="1:22" x14ac:dyDescent="0.25">
      <c r="A1131" s="20">
        <v>42047</v>
      </c>
      <c r="B1131" s="21">
        <v>11828</v>
      </c>
      <c r="C1131" s="14" t="s">
        <v>229</v>
      </c>
      <c r="D1131" s="105">
        <v>1142.76</v>
      </c>
      <c r="E1131" s="23">
        <v>42047</v>
      </c>
      <c r="F1131" s="106">
        <v>1142.76</v>
      </c>
      <c r="G1131" s="31">
        <f t="shared" si="17"/>
        <v>0</v>
      </c>
      <c r="H1131" s="39" t="s">
        <v>9</v>
      </c>
      <c r="I1131" s="3"/>
      <c r="J1131" s="42"/>
      <c r="K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</row>
    <row r="1132" spans="1:22" x14ac:dyDescent="0.25">
      <c r="A1132" s="20">
        <v>42047</v>
      </c>
      <c r="B1132" s="21">
        <v>11829</v>
      </c>
      <c r="C1132" s="14" t="s">
        <v>34</v>
      </c>
      <c r="D1132" s="105">
        <v>5607.4</v>
      </c>
      <c r="E1132" s="23">
        <v>42047</v>
      </c>
      <c r="F1132" s="106">
        <v>5607.4</v>
      </c>
      <c r="G1132" s="31">
        <f t="shared" si="17"/>
        <v>0</v>
      </c>
      <c r="H1132" s="39" t="s">
        <v>9</v>
      </c>
      <c r="I1132" s="3"/>
      <c r="J1132" s="42"/>
      <c r="K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</row>
    <row r="1133" spans="1:22" x14ac:dyDescent="0.25">
      <c r="A1133" s="20">
        <v>42047</v>
      </c>
      <c r="B1133" s="21">
        <v>11830</v>
      </c>
      <c r="C1133" s="14" t="s">
        <v>118</v>
      </c>
      <c r="D1133" s="105">
        <v>8358.2000000000007</v>
      </c>
      <c r="E1133" s="23">
        <v>42053</v>
      </c>
      <c r="F1133" s="106">
        <v>8358.2000000000007</v>
      </c>
      <c r="G1133" s="31">
        <f t="shared" si="17"/>
        <v>0</v>
      </c>
      <c r="H1133" s="19" t="s">
        <v>17</v>
      </c>
      <c r="I1133" s="3"/>
      <c r="J1133" s="42"/>
      <c r="K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</row>
    <row r="1134" spans="1:22" x14ac:dyDescent="0.25">
      <c r="A1134" s="20">
        <v>42047</v>
      </c>
      <c r="B1134" s="21">
        <v>11831</v>
      </c>
      <c r="C1134" s="26" t="s">
        <v>12</v>
      </c>
      <c r="D1134" s="108">
        <v>0</v>
      </c>
      <c r="E1134" s="23"/>
      <c r="F1134" s="106"/>
      <c r="G1134" s="31">
        <f t="shared" si="17"/>
        <v>0</v>
      </c>
      <c r="H1134" s="19" t="s">
        <v>13</v>
      </c>
      <c r="I1134" s="3"/>
      <c r="J1134" s="42"/>
      <c r="K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</row>
    <row r="1135" spans="1:22" x14ac:dyDescent="0.25">
      <c r="A1135" s="20">
        <v>42047</v>
      </c>
      <c r="B1135" s="21">
        <v>11832</v>
      </c>
      <c r="C1135" s="14" t="s">
        <v>30</v>
      </c>
      <c r="D1135" s="105">
        <v>4965.3</v>
      </c>
      <c r="E1135" s="23">
        <v>42047</v>
      </c>
      <c r="F1135" s="106">
        <v>4965.3</v>
      </c>
      <c r="G1135" s="31">
        <f t="shared" si="17"/>
        <v>0</v>
      </c>
      <c r="H1135" s="19" t="s">
        <v>9</v>
      </c>
      <c r="I1135" s="3"/>
      <c r="J1135" s="42"/>
      <c r="K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</row>
    <row r="1136" spans="1:22" x14ac:dyDescent="0.25">
      <c r="A1136" s="20">
        <v>42047</v>
      </c>
      <c r="B1136" s="21">
        <v>11833</v>
      </c>
      <c r="C1136" s="14" t="s">
        <v>106</v>
      </c>
      <c r="D1136" s="105">
        <v>9824</v>
      </c>
      <c r="E1136" s="23">
        <v>42047</v>
      </c>
      <c r="F1136" s="106">
        <v>9824</v>
      </c>
      <c r="G1136" s="31">
        <f t="shared" si="17"/>
        <v>0</v>
      </c>
      <c r="H1136" s="19" t="s">
        <v>15</v>
      </c>
      <c r="I1136" s="3"/>
      <c r="J1136" s="42"/>
      <c r="K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</row>
    <row r="1137" spans="1:22" x14ac:dyDescent="0.25">
      <c r="A1137" s="20">
        <v>42047</v>
      </c>
      <c r="B1137" s="21">
        <v>11834</v>
      </c>
      <c r="C1137" s="14" t="s">
        <v>100</v>
      </c>
      <c r="D1137" s="105">
        <v>5234.5</v>
      </c>
      <c r="E1137" s="23">
        <v>42047</v>
      </c>
      <c r="F1137" s="106">
        <v>5234.5</v>
      </c>
      <c r="G1137" s="31">
        <f t="shared" si="17"/>
        <v>0</v>
      </c>
      <c r="H1137" s="19" t="s">
        <v>9</v>
      </c>
      <c r="I1137" s="3"/>
      <c r="J1137" s="42"/>
      <c r="K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</row>
    <row r="1138" spans="1:22" x14ac:dyDescent="0.25">
      <c r="A1138" s="20">
        <v>42047</v>
      </c>
      <c r="B1138" s="21">
        <v>11835</v>
      </c>
      <c r="C1138" s="14" t="s">
        <v>635</v>
      </c>
      <c r="D1138" s="105">
        <v>2448</v>
      </c>
      <c r="E1138" s="23">
        <v>42047</v>
      </c>
      <c r="F1138" s="106">
        <v>2448</v>
      </c>
      <c r="G1138" s="31">
        <f t="shared" si="17"/>
        <v>0</v>
      </c>
      <c r="H1138" s="19" t="s">
        <v>94</v>
      </c>
      <c r="J1138" s="107"/>
      <c r="K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</row>
    <row r="1139" spans="1:22" x14ac:dyDescent="0.25">
      <c r="A1139" s="20">
        <v>42047</v>
      </c>
      <c r="B1139" s="21">
        <v>11836</v>
      </c>
      <c r="C1139" s="14" t="s">
        <v>48</v>
      </c>
      <c r="D1139" s="105">
        <v>8010</v>
      </c>
      <c r="E1139" s="23">
        <v>42047</v>
      </c>
      <c r="F1139" s="106">
        <v>8010</v>
      </c>
      <c r="G1139" s="31">
        <f t="shared" si="17"/>
        <v>0</v>
      </c>
      <c r="H1139" s="19" t="s">
        <v>94</v>
      </c>
      <c r="K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</row>
    <row r="1140" spans="1:22" x14ac:dyDescent="0.25">
      <c r="A1140" s="20">
        <v>42047</v>
      </c>
      <c r="B1140" s="21">
        <v>11837</v>
      </c>
      <c r="C1140" s="14" t="s">
        <v>270</v>
      </c>
      <c r="D1140" s="105">
        <v>1010</v>
      </c>
      <c r="E1140" s="23">
        <v>42047</v>
      </c>
      <c r="F1140" s="106">
        <v>1010</v>
      </c>
      <c r="G1140" s="31">
        <f t="shared" si="17"/>
        <v>0</v>
      </c>
      <c r="H1140" s="19" t="s">
        <v>9</v>
      </c>
      <c r="K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</row>
    <row r="1141" spans="1:22" x14ac:dyDescent="0.25">
      <c r="A1141" s="20">
        <v>42047</v>
      </c>
      <c r="B1141" s="21">
        <v>11838</v>
      </c>
      <c r="C1141" s="14" t="s">
        <v>271</v>
      </c>
      <c r="D1141" s="105">
        <v>3820.8</v>
      </c>
      <c r="E1141" s="23">
        <v>42047</v>
      </c>
      <c r="F1141" s="106">
        <v>3820.8</v>
      </c>
      <c r="G1141" s="31">
        <f t="shared" si="17"/>
        <v>0</v>
      </c>
      <c r="H1141" s="19" t="s">
        <v>94</v>
      </c>
      <c r="K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</row>
    <row r="1142" spans="1:22" x14ac:dyDescent="0.25">
      <c r="A1142" s="20">
        <v>42047</v>
      </c>
      <c r="B1142" s="21">
        <v>11839</v>
      </c>
      <c r="C1142" s="14" t="s">
        <v>49</v>
      </c>
      <c r="D1142" s="105">
        <v>1536.4</v>
      </c>
      <c r="E1142" s="23">
        <v>42047</v>
      </c>
      <c r="F1142" s="106">
        <v>1536.4</v>
      </c>
      <c r="G1142" s="31">
        <f t="shared" si="17"/>
        <v>0</v>
      </c>
      <c r="H1142" s="19" t="s">
        <v>94</v>
      </c>
      <c r="K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</row>
    <row r="1143" spans="1:22" x14ac:dyDescent="0.25">
      <c r="A1143" s="20">
        <v>42047</v>
      </c>
      <c r="B1143" s="21">
        <v>11840</v>
      </c>
      <c r="C1143" s="14" t="s">
        <v>83</v>
      </c>
      <c r="D1143" s="105">
        <v>395.5</v>
      </c>
      <c r="E1143" s="23">
        <v>42047</v>
      </c>
      <c r="F1143" s="106">
        <v>395.5</v>
      </c>
      <c r="G1143" s="31">
        <f t="shared" si="17"/>
        <v>0</v>
      </c>
      <c r="H1143" s="19" t="s">
        <v>17</v>
      </c>
      <c r="K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</row>
    <row r="1144" spans="1:22" x14ac:dyDescent="0.25">
      <c r="A1144" s="20">
        <v>42047</v>
      </c>
      <c r="B1144" s="21">
        <v>11841</v>
      </c>
      <c r="C1144" s="14" t="s">
        <v>131</v>
      </c>
      <c r="D1144" s="105">
        <v>5644.2</v>
      </c>
      <c r="E1144" s="29" t="s">
        <v>636</v>
      </c>
      <c r="F1144" s="106">
        <f>1933+3711.2</f>
        <v>5644.2</v>
      </c>
      <c r="G1144" s="48">
        <f t="shared" si="17"/>
        <v>0</v>
      </c>
      <c r="H1144" s="19" t="s">
        <v>19</v>
      </c>
      <c r="K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</row>
    <row r="1145" spans="1:22" x14ac:dyDescent="0.25">
      <c r="A1145" s="20">
        <v>42047</v>
      </c>
      <c r="B1145" s="21">
        <v>11842</v>
      </c>
      <c r="C1145" s="14" t="s">
        <v>165</v>
      </c>
      <c r="D1145" s="105">
        <v>2697.9</v>
      </c>
      <c r="E1145" s="23">
        <v>42052</v>
      </c>
      <c r="F1145" s="106">
        <v>2697.9</v>
      </c>
      <c r="G1145" s="31">
        <f t="shared" si="17"/>
        <v>0</v>
      </c>
      <c r="H1145" s="19" t="s">
        <v>19</v>
      </c>
      <c r="K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</row>
    <row r="1146" spans="1:22" x14ac:dyDescent="0.25">
      <c r="A1146" s="20">
        <v>42047</v>
      </c>
      <c r="B1146" s="21">
        <v>11843</v>
      </c>
      <c r="C1146" s="14" t="s">
        <v>131</v>
      </c>
      <c r="D1146" s="105">
        <v>6567</v>
      </c>
      <c r="E1146" s="23">
        <v>42047</v>
      </c>
      <c r="F1146" s="106">
        <v>6567</v>
      </c>
      <c r="G1146" s="31">
        <f t="shared" si="17"/>
        <v>0</v>
      </c>
      <c r="H1146" s="19" t="s">
        <v>19</v>
      </c>
      <c r="K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</row>
    <row r="1147" spans="1:22" x14ac:dyDescent="0.25">
      <c r="A1147" s="20">
        <v>42047</v>
      </c>
      <c r="B1147" s="21">
        <v>11844</v>
      </c>
      <c r="C1147" s="14" t="s">
        <v>130</v>
      </c>
      <c r="D1147" s="105">
        <v>4565.1000000000004</v>
      </c>
      <c r="E1147" s="23">
        <v>42048</v>
      </c>
      <c r="F1147" s="106">
        <v>4565.1000000000004</v>
      </c>
      <c r="G1147" s="31">
        <f t="shared" si="17"/>
        <v>0</v>
      </c>
      <c r="H1147" s="19" t="s">
        <v>19</v>
      </c>
      <c r="K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</row>
    <row r="1148" spans="1:22" x14ac:dyDescent="0.25">
      <c r="A1148" s="20">
        <v>42047</v>
      </c>
      <c r="B1148" s="21">
        <v>11845</v>
      </c>
      <c r="C1148" s="14" t="s">
        <v>125</v>
      </c>
      <c r="D1148" s="105">
        <v>9648</v>
      </c>
      <c r="E1148" s="29" t="s">
        <v>637</v>
      </c>
      <c r="F1148" s="106">
        <f>2000+7648</f>
        <v>9648</v>
      </c>
      <c r="G1148" s="48">
        <f t="shared" si="17"/>
        <v>0</v>
      </c>
      <c r="H1148" s="19" t="s">
        <v>19</v>
      </c>
      <c r="K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</row>
    <row r="1149" spans="1:22" x14ac:dyDescent="0.25">
      <c r="A1149" s="20">
        <v>42047</v>
      </c>
      <c r="B1149" s="21">
        <v>11846</v>
      </c>
      <c r="C1149" s="14" t="s">
        <v>143</v>
      </c>
      <c r="D1149" s="105">
        <v>8448.7999999999993</v>
      </c>
      <c r="E1149" s="23">
        <v>42052</v>
      </c>
      <c r="F1149" s="106">
        <v>8448.7999999999993</v>
      </c>
      <c r="G1149" s="31">
        <f t="shared" si="17"/>
        <v>0</v>
      </c>
      <c r="H1149" s="19" t="s">
        <v>19</v>
      </c>
      <c r="K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</row>
    <row r="1150" spans="1:22" x14ac:dyDescent="0.25">
      <c r="A1150" s="20">
        <v>42047</v>
      </c>
      <c r="B1150" s="21">
        <v>11847</v>
      </c>
      <c r="C1150" s="14" t="s">
        <v>71</v>
      </c>
      <c r="D1150" s="105">
        <v>573.5</v>
      </c>
      <c r="E1150" s="23">
        <v>42047</v>
      </c>
      <c r="F1150" s="106">
        <v>573.5</v>
      </c>
      <c r="G1150" s="31">
        <f t="shared" si="17"/>
        <v>0</v>
      </c>
      <c r="H1150" s="19" t="s">
        <v>9</v>
      </c>
      <c r="K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</row>
    <row r="1151" spans="1:22" x14ac:dyDescent="0.25">
      <c r="A1151" s="20">
        <v>42047</v>
      </c>
      <c r="B1151" s="21">
        <v>11848</v>
      </c>
      <c r="C1151" s="14" t="s">
        <v>71</v>
      </c>
      <c r="D1151" s="105">
        <v>5894.26</v>
      </c>
      <c r="E1151" s="23">
        <v>42047</v>
      </c>
      <c r="F1151" s="106">
        <v>5894.26</v>
      </c>
      <c r="G1151" s="31">
        <f t="shared" si="17"/>
        <v>0</v>
      </c>
      <c r="H1151" s="19" t="s">
        <v>9</v>
      </c>
      <c r="K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</row>
    <row r="1152" spans="1:22" x14ac:dyDescent="0.25">
      <c r="A1152" s="20">
        <v>42047</v>
      </c>
      <c r="B1152" s="21">
        <v>11849</v>
      </c>
      <c r="C1152" s="14" t="s">
        <v>145</v>
      </c>
      <c r="D1152" s="105">
        <v>5509.8</v>
      </c>
      <c r="E1152" s="23">
        <v>42047</v>
      </c>
      <c r="F1152" s="106">
        <v>5509.8</v>
      </c>
      <c r="G1152" s="31">
        <f t="shared" si="17"/>
        <v>0</v>
      </c>
      <c r="H1152" s="19" t="s">
        <v>9</v>
      </c>
      <c r="K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</row>
    <row r="1153" spans="1:22" x14ac:dyDescent="0.25">
      <c r="A1153" s="20">
        <v>42047</v>
      </c>
      <c r="B1153" s="21">
        <v>11850</v>
      </c>
      <c r="C1153" s="14" t="s">
        <v>20</v>
      </c>
      <c r="D1153" s="105">
        <v>20567.25</v>
      </c>
      <c r="E1153" s="196">
        <v>42143</v>
      </c>
      <c r="F1153" s="197">
        <v>20567.25</v>
      </c>
      <c r="G1153" s="31">
        <f t="shared" si="17"/>
        <v>0</v>
      </c>
      <c r="H1153" s="19" t="s">
        <v>62</v>
      </c>
      <c r="K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</row>
    <row r="1154" spans="1:22" x14ac:dyDescent="0.25">
      <c r="A1154" s="20">
        <v>42047</v>
      </c>
      <c r="B1154" s="21">
        <v>11851</v>
      </c>
      <c r="C1154" s="14" t="s">
        <v>247</v>
      </c>
      <c r="D1154" s="105">
        <v>7533.2</v>
      </c>
      <c r="E1154" s="23">
        <v>42047</v>
      </c>
      <c r="F1154" s="106">
        <v>7533.2</v>
      </c>
      <c r="G1154" s="48">
        <f t="shared" si="17"/>
        <v>0</v>
      </c>
      <c r="H1154" s="19" t="s">
        <v>149</v>
      </c>
      <c r="K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</row>
    <row r="1155" spans="1:22" x14ac:dyDescent="0.25">
      <c r="A1155" s="20">
        <v>42047</v>
      </c>
      <c r="B1155" s="21">
        <v>11852</v>
      </c>
      <c r="C1155" s="14" t="s">
        <v>215</v>
      </c>
      <c r="D1155" s="105">
        <v>15864.2</v>
      </c>
      <c r="E1155" s="23">
        <v>42047</v>
      </c>
      <c r="F1155" s="106">
        <v>15864.2</v>
      </c>
      <c r="G1155" s="31">
        <f t="shared" ref="G1155:G1218" si="18">D1155-F1155</f>
        <v>0</v>
      </c>
      <c r="H1155" s="19" t="s">
        <v>62</v>
      </c>
      <c r="K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</row>
    <row r="1156" spans="1:22" x14ac:dyDescent="0.25">
      <c r="A1156" s="20">
        <v>42047</v>
      </c>
      <c r="B1156" s="21">
        <v>11853</v>
      </c>
      <c r="C1156" s="14" t="s">
        <v>87</v>
      </c>
      <c r="D1156" s="105">
        <v>937.2</v>
      </c>
      <c r="E1156" s="23">
        <v>42047</v>
      </c>
      <c r="F1156" s="106">
        <v>937.2</v>
      </c>
      <c r="G1156" s="31">
        <f t="shared" si="18"/>
        <v>0</v>
      </c>
      <c r="H1156" s="19" t="s">
        <v>9</v>
      </c>
      <c r="K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</row>
    <row r="1157" spans="1:22" x14ac:dyDescent="0.25">
      <c r="A1157" s="20">
        <v>42047</v>
      </c>
      <c r="B1157" s="21">
        <v>11854</v>
      </c>
      <c r="C1157" s="14" t="s">
        <v>136</v>
      </c>
      <c r="D1157" s="105">
        <v>38658.800000000003</v>
      </c>
      <c r="E1157" s="23">
        <v>42047</v>
      </c>
      <c r="F1157" s="106">
        <v>38658.800000000003</v>
      </c>
      <c r="G1157" s="31">
        <f t="shared" si="18"/>
        <v>0</v>
      </c>
      <c r="H1157" s="19" t="s">
        <v>9</v>
      </c>
      <c r="K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</row>
    <row r="1158" spans="1:22" x14ac:dyDescent="0.25">
      <c r="A1158" s="20">
        <v>42047</v>
      </c>
      <c r="B1158" s="21">
        <v>11855</v>
      </c>
      <c r="C1158" s="14" t="s">
        <v>110</v>
      </c>
      <c r="D1158" s="105">
        <v>6293.6</v>
      </c>
      <c r="E1158" s="23">
        <v>42051</v>
      </c>
      <c r="F1158" s="106">
        <v>6293.6</v>
      </c>
      <c r="G1158" s="31">
        <f t="shared" si="18"/>
        <v>0</v>
      </c>
      <c r="H1158" s="19" t="s">
        <v>94</v>
      </c>
      <c r="K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</row>
    <row r="1159" spans="1:22" x14ac:dyDescent="0.25">
      <c r="A1159" s="20">
        <v>42047</v>
      </c>
      <c r="B1159" s="21">
        <v>11856</v>
      </c>
      <c r="C1159" s="14" t="s">
        <v>93</v>
      </c>
      <c r="D1159" s="105">
        <v>2175.5</v>
      </c>
      <c r="E1159" s="23">
        <v>42048</v>
      </c>
      <c r="F1159" s="106">
        <v>2175.5</v>
      </c>
      <c r="G1159" s="31">
        <f t="shared" si="18"/>
        <v>0</v>
      </c>
      <c r="H1159" s="19" t="s">
        <v>94</v>
      </c>
      <c r="J1159" s="107"/>
      <c r="K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</row>
    <row r="1160" spans="1:22" x14ac:dyDescent="0.25">
      <c r="A1160" s="20">
        <v>42047</v>
      </c>
      <c r="B1160" s="21">
        <v>11857</v>
      </c>
      <c r="C1160" s="14" t="s">
        <v>24</v>
      </c>
      <c r="D1160" s="105">
        <v>132333.64000000001</v>
      </c>
      <c r="E1160" s="23">
        <v>42063</v>
      </c>
      <c r="F1160" s="106">
        <v>132333.64000000001</v>
      </c>
      <c r="G1160" s="31">
        <f t="shared" si="18"/>
        <v>0</v>
      </c>
      <c r="H1160" s="19" t="s">
        <v>46</v>
      </c>
      <c r="K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</row>
    <row r="1161" spans="1:22" x14ac:dyDescent="0.25">
      <c r="A1161" s="20">
        <v>42047</v>
      </c>
      <c r="B1161" s="21">
        <v>11858</v>
      </c>
      <c r="C1161" s="14" t="s">
        <v>344</v>
      </c>
      <c r="D1161" s="105">
        <v>379.4</v>
      </c>
      <c r="E1161" s="23">
        <v>42047</v>
      </c>
      <c r="F1161" s="106">
        <v>379.4</v>
      </c>
      <c r="G1161" s="31">
        <f t="shared" si="18"/>
        <v>0</v>
      </c>
      <c r="H1161" s="19" t="s">
        <v>9</v>
      </c>
      <c r="K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</row>
    <row r="1162" spans="1:22" x14ac:dyDescent="0.25">
      <c r="A1162" s="20">
        <v>42047</v>
      </c>
      <c r="B1162" s="21">
        <v>11859</v>
      </c>
      <c r="C1162" s="14" t="s">
        <v>141</v>
      </c>
      <c r="D1162" s="105">
        <v>40</v>
      </c>
      <c r="E1162" s="23">
        <v>42047</v>
      </c>
      <c r="F1162" s="106">
        <v>40</v>
      </c>
      <c r="G1162" s="31">
        <f t="shared" si="18"/>
        <v>0</v>
      </c>
      <c r="H1162" s="19" t="s">
        <v>9</v>
      </c>
      <c r="K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</row>
    <row r="1163" spans="1:22" x14ac:dyDescent="0.25">
      <c r="A1163" s="20">
        <v>42047</v>
      </c>
      <c r="B1163" s="21">
        <v>11860</v>
      </c>
      <c r="C1163" s="14" t="s">
        <v>14</v>
      </c>
      <c r="D1163" s="105">
        <v>22055.8</v>
      </c>
      <c r="E1163" s="23">
        <v>42051</v>
      </c>
      <c r="F1163" s="106">
        <v>22055.8</v>
      </c>
      <c r="G1163" s="31">
        <f t="shared" si="18"/>
        <v>0</v>
      </c>
      <c r="H1163" s="19" t="s">
        <v>15</v>
      </c>
      <c r="K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</row>
    <row r="1164" spans="1:22" x14ac:dyDescent="0.25">
      <c r="A1164" s="20">
        <v>42047</v>
      </c>
      <c r="B1164" s="21">
        <v>11861</v>
      </c>
      <c r="C1164" s="14" t="s">
        <v>14</v>
      </c>
      <c r="D1164" s="105">
        <v>84514.13</v>
      </c>
      <c r="E1164" s="29" t="s">
        <v>638</v>
      </c>
      <c r="F1164" s="106">
        <f>28026.99+56487.14</f>
        <v>84514.13</v>
      </c>
      <c r="G1164" s="31">
        <f t="shared" si="18"/>
        <v>0</v>
      </c>
      <c r="H1164" s="19" t="s">
        <v>183</v>
      </c>
      <c r="K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</row>
    <row r="1165" spans="1:22" x14ac:dyDescent="0.25">
      <c r="A1165" s="20">
        <v>42047</v>
      </c>
      <c r="B1165" s="21">
        <v>11862</v>
      </c>
      <c r="C1165" s="14" t="s">
        <v>110</v>
      </c>
      <c r="D1165" s="105">
        <v>41482.370000000003</v>
      </c>
      <c r="E1165" s="23">
        <v>42051</v>
      </c>
      <c r="F1165" s="106">
        <v>41482.370000000003</v>
      </c>
      <c r="G1165" s="31">
        <f t="shared" si="18"/>
        <v>0</v>
      </c>
      <c r="H1165" s="19" t="s">
        <v>183</v>
      </c>
      <c r="K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</row>
    <row r="1166" spans="1:22" x14ac:dyDescent="0.25">
      <c r="A1166" s="20">
        <v>42047</v>
      </c>
      <c r="B1166" s="21">
        <v>11863</v>
      </c>
      <c r="C1166" s="14" t="s">
        <v>45</v>
      </c>
      <c r="D1166" s="105">
        <v>105272.66</v>
      </c>
      <c r="E1166" s="23">
        <v>42055</v>
      </c>
      <c r="F1166" s="106">
        <v>105272.66</v>
      </c>
      <c r="G1166" s="31">
        <f t="shared" si="18"/>
        <v>0</v>
      </c>
      <c r="H1166" s="19" t="s">
        <v>46</v>
      </c>
      <c r="K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</row>
    <row r="1167" spans="1:22" x14ac:dyDescent="0.25">
      <c r="A1167" s="20">
        <v>42047</v>
      </c>
      <c r="B1167" s="21">
        <v>11864</v>
      </c>
      <c r="C1167" s="14" t="s">
        <v>252</v>
      </c>
      <c r="D1167" s="105">
        <v>4880</v>
      </c>
      <c r="E1167" s="23">
        <v>42047</v>
      </c>
      <c r="F1167" s="106">
        <v>4880</v>
      </c>
      <c r="G1167" s="31">
        <f t="shared" si="18"/>
        <v>0</v>
      </c>
      <c r="H1167" s="19" t="s">
        <v>9</v>
      </c>
      <c r="K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</row>
    <row r="1168" spans="1:22" x14ac:dyDescent="0.25">
      <c r="A1168" s="20">
        <v>42047</v>
      </c>
      <c r="B1168" s="21">
        <v>11865</v>
      </c>
      <c r="C1168" s="14" t="s">
        <v>141</v>
      </c>
      <c r="D1168" s="105">
        <v>3271.6</v>
      </c>
      <c r="E1168" s="23">
        <v>42047</v>
      </c>
      <c r="F1168" s="106">
        <v>3271.6</v>
      </c>
      <c r="G1168" s="31">
        <f t="shared" si="18"/>
        <v>0</v>
      </c>
      <c r="H1168" s="19" t="s">
        <v>9</v>
      </c>
      <c r="K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</row>
    <row r="1169" spans="1:22" x14ac:dyDescent="0.25">
      <c r="A1169" s="20">
        <v>42047</v>
      </c>
      <c r="B1169" s="21">
        <v>11866</v>
      </c>
      <c r="C1169" s="14" t="s">
        <v>440</v>
      </c>
      <c r="D1169" s="105">
        <v>6941.6</v>
      </c>
      <c r="E1169" s="23">
        <v>42047</v>
      </c>
      <c r="F1169" s="106">
        <v>6941.6</v>
      </c>
      <c r="G1169" s="31">
        <f t="shared" si="18"/>
        <v>0</v>
      </c>
      <c r="H1169" s="19" t="s">
        <v>9</v>
      </c>
      <c r="K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</row>
    <row r="1170" spans="1:22" x14ac:dyDescent="0.25">
      <c r="A1170" s="20">
        <v>42047</v>
      </c>
      <c r="B1170" s="21">
        <v>11867</v>
      </c>
      <c r="C1170" s="14" t="s">
        <v>207</v>
      </c>
      <c r="D1170" s="105">
        <v>46847.34</v>
      </c>
      <c r="E1170" s="23">
        <v>42053</v>
      </c>
      <c r="F1170" s="106">
        <v>46847.34</v>
      </c>
      <c r="G1170" s="31">
        <f t="shared" si="18"/>
        <v>0</v>
      </c>
      <c r="H1170" s="19" t="s">
        <v>149</v>
      </c>
      <c r="K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</row>
    <row r="1171" spans="1:22" x14ac:dyDescent="0.25">
      <c r="A1171" s="20">
        <v>42047</v>
      </c>
      <c r="B1171" s="21">
        <v>11868</v>
      </c>
      <c r="C1171" s="14" t="s">
        <v>206</v>
      </c>
      <c r="D1171" s="105">
        <v>15698.4</v>
      </c>
      <c r="E1171" s="23">
        <v>42056</v>
      </c>
      <c r="F1171" s="106">
        <v>15698.4</v>
      </c>
      <c r="G1171" s="31">
        <f t="shared" si="18"/>
        <v>0</v>
      </c>
      <c r="H1171" s="19" t="s">
        <v>149</v>
      </c>
      <c r="J1171" s="107"/>
      <c r="K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</row>
    <row r="1172" spans="1:22" x14ac:dyDescent="0.25">
      <c r="A1172" s="20">
        <v>42047</v>
      </c>
      <c r="B1172" s="21">
        <v>11869</v>
      </c>
      <c r="C1172" s="14" t="s">
        <v>204</v>
      </c>
      <c r="D1172" s="105">
        <v>7895.8</v>
      </c>
      <c r="E1172" s="23">
        <v>42049</v>
      </c>
      <c r="F1172" s="106">
        <v>7895.8</v>
      </c>
      <c r="G1172" s="31">
        <f t="shared" si="18"/>
        <v>0</v>
      </c>
      <c r="H1172" s="19" t="s">
        <v>149</v>
      </c>
      <c r="K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</row>
    <row r="1173" spans="1:22" x14ac:dyDescent="0.25">
      <c r="A1173" s="20">
        <v>42047</v>
      </c>
      <c r="B1173" s="21">
        <v>11870</v>
      </c>
      <c r="C1173" s="14" t="s">
        <v>349</v>
      </c>
      <c r="D1173" s="105">
        <v>10437</v>
      </c>
      <c r="E1173" s="23">
        <v>42049</v>
      </c>
      <c r="F1173" s="106">
        <v>10437</v>
      </c>
      <c r="G1173" s="31">
        <f t="shared" si="18"/>
        <v>0</v>
      </c>
      <c r="H1173" s="19" t="s">
        <v>149</v>
      </c>
      <c r="K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</row>
    <row r="1174" spans="1:22" x14ac:dyDescent="0.25">
      <c r="A1174" s="20">
        <v>42047</v>
      </c>
      <c r="B1174" s="21">
        <v>11871</v>
      </c>
      <c r="C1174" s="14" t="s">
        <v>68</v>
      </c>
      <c r="D1174" s="105">
        <v>2061.6</v>
      </c>
      <c r="E1174" s="23">
        <v>42049</v>
      </c>
      <c r="F1174" s="106">
        <v>2061.6</v>
      </c>
      <c r="G1174" s="31">
        <f t="shared" si="18"/>
        <v>0</v>
      </c>
      <c r="H1174" s="19" t="s">
        <v>149</v>
      </c>
      <c r="K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</row>
    <row r="1175" spans="1:22" x14ac:dyDescent="0.25">
      <c r="A1175" s="20">
        <v>42047</v>
      </c>
      <c r="B1175" s="21">
        <v>11872</v>
      </c>
      <c r="C1175" s="14" t="s">
        <v>203</v>
      </c>
      <c r="D1175" s="105">
        <v>1392</v>
      </c>
      <c r="E1175" s="23">
        <v>42049</v>
      </c>
      <c r="F1175" s="106">
        <v>1392</v>
      </c>
      <c r="G1175" s="31">
        <f t="shared" si="18"/>
        <v>0</v>
      </c>
      <c r="H1175" s="19" t="s">
        <v>149</v>
      </c>
      <c r="K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</row>
    <row r="1176" spans="1:22" x14ac:dyDescent="0.25">
      <c r="A1176" s="20">
        <v>42047</v>
      </c>
      <c r="B1176" s="21">
        <v>11873</v>
      </c>
      <c r="C1176" s="14" t="s">
        <v>90</v>
      </c>
      <c r="D1176" s="105">
        <v>647.20000000000005</v>
      </c>
      <c r="E1176" s="23">
        <v>42047</v>
      </c>
      <c r="F1176" s="106">
        <v>647.20000000000005</v>
      </c>
      <c r="G1176" s="31">
        <f t="shared" si="18"/>
        <v>0</v>
      </c>
      <c r="H1176" s="19" t="s">
        <v>9</v>
      </c>
      <c r="K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</row>
    <row r="1177" spans="1:22" x14ac:dyDescent="0.25">
      <c r="A1177" s="20">
        <v>42047</v>
      </c>
      <c r="B1177" s="21">
        <v>11874</v>
      </c>
      <c r="C1177" s="14" t="s">
        <v>370</v>
      </c>
      <c r="D1177" s="105">
        <v>5360.4</v>
      </c>
      <c r="E1177" s="23">
        <v>42047</v>
      </c>
      <c r="F1177" s="106">
        <v>5360.4</v>
      </c>
      <c r="G1177" s="31">
        <f t="shared" si="18"/>
        <v>0</v>
      </c>
      <c r="H1177" s="19" t="s">
        <v>62</v>
      </c>
      <c r="K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</row>
    <row r="1178" spans="1:22" x14ac:dyDescent="0.25">
      <c r="A1178" s="20">
        <v>42047</v>
      </c>
      <c r="B1178" s="21">
        <v>11875</v>
      </c>
      <c r="C1178" s="14" t="s">
        <v>420</v>
      </c>
      <c r="D1178" s="105">
        <v>1464</v>
      </c>
      <c r="E1178" s="23">
        <v>42049</v>
      </c>
      <c r="F1178" s="106">
        <v>1464</v>
      </c>
      <c r="G1178" s="31">
        <f t="shared" si="18"/>
        <v>0</v>
      </c>
      <c r="H1178" s="19" t="s">
        <v>149</v>
      </c>
      <c r="K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</row>
    <row r="1179" spans="1:22" x14ac:dyDescent="0.25">
      <c r="A1179" s="20">
        <v>42047</v>
      </c>
      <c r="B1179" s="21">
        <v>11876</v>
      </c>
      <c r="C1179" s="14" t="s">
        <v>200</v>
      </c>
      <c r="D1179" s="105">
        <v>1399.6</v>
      </c>
      <c r="E1179" s="23">
        <v>42049</v>
      </c>
      <c r="F1179" s="106">
        <v>1399.6</v>
      </c>
      <c r="G1179" s="31">
        <f t="shared" si="18"/>
        <v>0</v>
      </c>
      <c r="H1179" s="19" t="s">
        <v>149</v>
      </c>
      <c r="K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</row>
    <row r="1180" spans="1:22" x14ac:dyDescent="0.25">
      <c r="A1180" s="20">
        <v>42047</v>
      </c>
      <c r="B1180" s="21">
        <v>11877</v>
      </c>
      <c r="C1180" s="14" t="s">
        <v>197</v>
      </c>
      <c r="D1180" s="105">
        <v>720</v>
      </c>
      <c r="E1180" s="23">
        <v>42049</v>
      </c>
      <c r="F1180" s="106">
        <v>720</v>
      </c>
      <c r="G1180" s="31">
        <f t="shared" si="18"/>
        <v>0</v>
      </c>
      <c r="H1180" s="19" t="s">
        <v>149</v>
      </c>
      <c r="K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</row>
    <row r="1181" spans="1:22" x14ac:dyDescent="0.25">
      <c r="A1181" s="20">
        <v>42047</v>
      </c>
      <c r="B1181" s="21">
        <v>11878</v>
      </c>
      <c r="C1181" s="14" t="s">
        <v>208</v>
      </c>
      <c r="D1181" s="105">
        <v>21486.7</v>
      </c>
      <c r="E1181" s="23">
        <v>42049</v>
      </c>
      <c r="F1181" s="106">
        <v>21486.7</v>
      </c>
      <c r="G1181" s="31">
        <f t="shared" si="18"/>
        <v>0</v>
      </c>
      <c r="H1181" s="19" t="s">
        <v>149</v>
      </c>
      <c r="K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</row>
    <row r="1182" spans="1:22" x14ac:dyDescent="0.25">
      <c r="A1182" s="20">
        <v>42047</v>
      </c>
      <c r="B1182" s="21">
        <v>11879</v>
      </c>
      <c r="C1182" s="14" t="s">
        <v>198</v>
      </c>
      <c r="D1182" s="105">
        <v>8756.4</v>
      </c>
      <c r="E1182" s="23">
        <v>42049</v>
      </c>
      <c r="F1182" s="106">
        <v>8756.4</v>
      </c>
      <c r="G1182" s="31">
        <f t="shared" si="18"/>
        <v>0</v>
      </c>
      <c r="H1182" s="19" t="s">
        <v>149</v>
      </c>
      <c r="K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</row>
    <row r="1183" spans="1:22" x14ac:dyDescent="0.25">
      <c r="A1183" s="20">
        <v>42047</v>
      </c>
      <c r="B1183" s="21">
        <v>11880</v>
      </c>
      <c r="C1183" s="14" t="s">
        <v>552</v>
      </c>
      <c r="D1183" s="105">
        <v>2250.5</v>
      </c>
      <c r="E1183" s="23">
        <v>42049</v>
      </c>
      <c r="F1183" s="106">
        <v>2250.5</v>
      </c>
      <c r="G1183" s="31">
        <f t="shared" si="18"/>
        <v>0</v>
      </c>
      <c r="H1183" s="19" t="s">
        <v>149</v>
      </c>
      <c r="K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</row>
    <row r="1184" spans="1:22" x14ac:dyDescent="0.25">
      <c r="A1184" s="20">
        <v>42047</v>
      </c>
      <c r="B1184" s="21">
        <v>11881</v>
      </c>
      <c r="C1184" s="14" t="s">
        <v>80</v>
      </c>
      <c r="D1184" s="105">
        <v>7477.2</v>
      </c>
      <c r="E1184" s="23">
        <v>42047</v>
      </c>
      <c r="F1184" s="106">
        <v>7477.2</v>
      </c>
      <c r="G1184" s="31">
        <f t="shared" si="18"/>
        <v>0</v>
      </c>
      <c r="H1184" s="19" t="s">
        <v>62</v>
      </c>
      <c r="K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</row>
    <row r="1185" spans="1:22" x14ac:dyDescent="0.25">
      <c r="A1185" s="20">
        <v>42047</v>
      </c>
      <c r="B1185" s="21">
        <v>11882</v>
      </c>
      <c r="C1185" s="14" t="s">
        <v>199</v>
      </c>
      <c r="D1185" s="105">
        <v>6899.85</v>
      </c>
      <c r="E1185" s="29" t="s">
        <v>639</v>
      </c>
      <c r="F1185" s="106">
        <f>6000+899.85</f>
        <v>6899.85</v>
      </c>
      <c r="G1185" s="31">
        <f t="shared" si="18"/>
        <v>0</v>
      </c>
      <c r="H1185" s="19" t="s">
        <v>149</v>
      </c>
      <c r="K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</row>
    <row r="1186" spans="1:22" x14ac:dyDescent="0.25">
      <c r="A1186" s="20">
        <v>42047</v>
      </c>
      <c r="B1186" s="21">
        <v>11883</v>
      </c>
      <c r="C1186" s="14" t="s">
        <v>262</v>
      </c>
      <c r="D1186" s="105">
        <v>25447.200000000001</v>
      </c>
      <c r="E1186" s="29" t="s">
        <v>640</v>
      </c>
      <c r="F1186" s="106">
        <f>9349+16098.2</f>
        <v>25447.200000000001</v>
      </c>
      <c r="G1186" s="31">
        <f t="shared" si="18"/>
        <v>0</v>
      </c>
      <c r="H1186" s="19" t="s">
        <v>149</v>
      </c>
      <c r="I1186" s="3"/>
      <c r="J1186" s="42"/>
      <c r="K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</row>
    <row r="1187" spans="1:22" x14ac:dyDescent="0.25">
      <c r="A1187" s="20">
        <v>42047</v>
      </c>
      <c r="B1187" s="21">
        <v>11884</v>
      </c>
      <c r="C1187" s="14" t="s">
        <v>262</v>
      </c>
      <c r="D1187" s="105">
        <v>2650.8</v>
      </c>
      <c r="E1187" s="23">
        <v>42049</v>
      </c>
      <c r="F1187" s="106">
        <v>2650.8</v>
      </c>
      <c r="G1187" s="31">
        <f t="shared" si="18"/>
        <v>0</v>
      </c>
      <c r="H1187" s="19" t="s">
        <v>149</v>
      </c>
      <c r="I1187" s="3"/>
      <c r="J1187" s="42"/>
      <c r="K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</row>
    <row r="1188" spans="1:22" x14ac:dyDescent="0.25">
      <c r="A1188" s="20">
        <v>42047</v>
      </c>
      <c r="B1188" s="21">
        <v>11885</v>
      </c>
      <c r="C1188" s="14" t="s">
        <v>237</v>
      </c>
      <c r="D1188" s="105">
        <v>268</v>
      </c>
      <c r="E1188" s="23">
        <v>42047</v>
      </c>
      <c r="F1188" s="106">
        <v>268</v>
      </c>
      <c r="G1188" s="31">
        <f t="shared" si="18"/>
        <v>0</v>
      </c>
      <c r="H1188" s="19" t="s">
        <v>149</v>
      </c>
      <c r="I1188" s="3"/>
      <c r="J1188" s="42"/>
      <c r="K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</row>
    <row r="1189" spans="1:22" x14ac:dyDescent="0.25">
      <c r="A1189" s="20">
        <v>42047</v>
      </c>
      <c r="B1189" s="21">
        <v>11886</v>
      </c>
      <c r="C1189" s="14" t="s">
        <v>574</v>
      </c>
      <c r="D1189" s="105">
        <v>24148</v>
      </c>
      <c r="E1189" s="23">
        <v>42049</v>
      </c>
      <c r="F1189" s="106">
        <v>24148</v>
      </c>
      <c r="G1189" s="31">
        <f t="shared" si="18"/>
        <v>0</v>
      </c>
      <c r="H1189" s="19" t="s">
        <v>149</v>
      </c>
      <c r="I1189" s="3"/>
      <c r="J1189" s="42"/>
      <c r="K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</row>
    <row r="1190" spans="1:22" x14ac:dyDescent="0.25">
      <c r="A1190" s="20">
        <v>42047</v>
      </c>
      <c r="B1190" s="21">
        <v>11887</v>
      </c>
      <c r="C1190" s="14" t="s">
        <v>641</v>
      </c>
      <c r="D1190" s="105">
        <v>3814.4</v>
      </c>
      <c r="E1190" s="23">
        <v>42049</v>
      </c>
      <c r="F1190" s="106">
        <v>3814.4</v>
      </c>
      <c r="G1190" s="31">
        <f t="shared" si="18"/>
        <v>0</v>
      </c>
      <c r="H1190" s="19" t="s">
        <v>149</v>
      </c>
      <c r="I1190" s="3"/>
      <c r="J1190" s="42"/>
      <c r="K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</row>
    <row r="1191" spans="1:22" x14ac:dyDescent="0.25">
      <c r="A1191" s="20">
        <v>42047</v>
      </c>
      <c r="B1191" s="21">
        <v>11888</v>
      </c>
      <c r="C1191" s="14" t="s">
        <v>258</v>
      </c>
      <c r="D1191" s="105">
        <v>333.2</v>
      </c>
      <c r="E1191" s="23">
        <v>42047</v>
      </c>
      <c r="F1191" s="106">
        <v>333.2</v>
      </c>
      <c r="G1191" s="31">
        <f t="shared" si="18"/>
        <v>0</v>
      </c>
      <c r="H1191" s="19" t="s">
        <v>9</v>
      </c>
      <c r="I1191" s="3"/>
      <c r="J1191" s="42"/>
      <c r="K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</row>
    <row r="1192" spans="1:22" x14ac:dyDescent="0.25">
      <c r="A1192" s="20">
        <v>42047</v>
      </c>
      <c r="B1192" s="21">
        <v>11889</v>
      </c>
      <c r="C1192" s="14" t="s">
        <v>235</v>
      </c>
      <c r="D1192" s="105">
        <v>1853.2</v>
      </c>
      <c r="E1192" s="51">
        <v>42047</v>
      </c>
      <c r="F1192" s="106">
        <v>1853.2</v>
      </c>
      <c r="G1192" s="31">
        <f t="shared" si="18"/>
        <v>0</v>
      </c>
      <c r="H1192" s="19" t="s">
        <v>17</v>
      </c>
      <c r="I1192" s="3"/>
      <c r="J1192" s="42"/>
      <c r="K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</row>
    <row r="1193" spans="1:22" x14ac:dyDescent="0.25">
      <c r="A1193" s="20">
        <v>42047</v>
      </c>
      <c r="B1193" s="21">
        <v>11890</v>
      </c>
      <c r="C1193" s="14" t="s">
        <v>24</v>
      </c>
      <c r="D1193" s="105">
        <v>90910.399999999994</v>
      </c>
      <c r="E1193" s="23">
        <v>42063</v>
      </c>
      <c r="F1193" s="106">
        <v>90910.399999999994</v>
      </c>
      <c r="G1193" s="31">
        <f t="shared" si="18"/>
        <v>0</v>
      </c>
      <c r="H1193" s="19" t="s">
        <v>62</v>
      </c>
      <c r="I1193" s="3"/>
      <c r="J1193" s="42"/>
      <c r="K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</row>
    <row r="1194" spans="1:22" x14ac:dyDescent="0.25">
      <c r="A1194" s="20">
        <v>42047</v>
      </c>
      <c r="B1194" s="21">
        <v>11891</v>
      </c>
      <c r="C1194" s="14" t="s">
        <v>195</v>
      </c>
      <c r="D1194" s="105">
        <v>100105.94</v>
      </c>
      <c r="E1194" s="30" t="s">
        <v>642</v>
      </c>
      <c r="F1194" s="106">
        <v>100105.94</v>
      </c>
      <c r="G1194" s="31">
        <f t="shared" si="18"/>
        <v>0</v>
      </c>
      <c r="H1194" s="19" t="s">
        <v>149</v>
      </c>
      <c r="I1194" s="3"/>
      <c r="J1194" s="42"/>
      <c r="K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</row>
    <row r="1195" spans="1:22" x14ac:dyDescent="0.25">
      <c r="A1195" s="20">
        <v>42047</v>
      </c>
      <c r="B1195" s="21">
        <v>11892</v>
      </c>
      <c r="C1195" s="14" t="s">
        <v>552</v>
      </c>
      <c r="D1195" s="105">
        <v>14890.4</v>
      </c>
      <c r="E1195" s="23">
        <v>42049</v>
      </c>
      <c r="F1195" s="106">
        <v>14890.4</v>
      </c>
      <c r="G1195" s="31">
        <f t="shared" si="18"/>
        <v>0</v>
      </c>
      <c r="H1195" s="19" t="s">
        <v>149</v>
      </c>
      <c r="I1195" s="3"/>
      <c r="J1195" s="42"/>
      <c r="K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</row>
    <row r="1196" spans="1:22" x14ac:dyDescent="0.25">
      <c r="A1196" s="20">
        <v>42048</v>
      </c>
      <c r="B1196" s="21">
        <v>11893</v>
      </c>
      <c r="C1196" s="14" t="s">
        <v>158</v>
      </c>
      <c r="D1196" s="105">
        <v>1991.2</v>
      </c>
      <c r="E1196" s="23">
        <v>42048</v>
      </c>
      <c r="F1196" s="106">
        <v>1991.2</v>
      </c>
      <c r="G1196" s="31">
        <f t="shared" si="18"/>
        <v>0</v>
      </c>
      <c r="H1196" s="19" t="s">
        <v>9</v>
      </c>
      <c r="I1196" s="3"/>
      <c r="J1196" s="42"/>
      <c r="K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</row>
    <row r="1197" spans="1:22" x14ac:dyDescent="0.25">
      <c r="A1197" s="20">
        <v>42048</v>
      </c>
      <c r="B1197" s="21">
        <v>11894</v>
      </c>
      <c r="C1197" s="14" t="s">
        <v>112</v>
      </c>
      <c r="D1197" s="105">
        <v>6525</v>
      </c>
      <c r="E1197" s="23">
        <v>42048</v>
      </c>
      <c r="F1197" s="106">
        <v>6525</v>
      </c>
      <c r="G1197" s="31">
        <f t="shared" si="18"/>
        <v>0</v>
      </c>
      <c r="H1197" s="19" t="s">
        <v>9</v>
      </c>
      <c r="I1197" s="3"/>
      <c r="J1197" s="42"/>
      <c r="K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</row>
    <row r="1198" spans="1:22" x14ac:dyDescent="0.25">
      <c r="A1198" s="20">
        <v>42048</v>
      </c>
      <c r="B1198" s="21">
        <v>11895</v>
      </c>
      <c r="C1198" s="14" t="s">
        <v>148</v>
      </c>
      <c r="D1198" s="105">
        <v>3985.2</v>
      </c>
      <c r="E1198" s="23">
        <v>42048</v>
      </c>
      <c r="F1198" s="106">
        <v>3985.2</v>
      </c>
      <c r="G1198" s="31">
        <f t="shared" si="18"/>
        <v>0</v>
      </c>
      <c r="H1198" s="19" t="s">
        <v>9</v>
      </c>
      <c r="I1198" s="3"/>
      <c r="J1198" s="42"/>
      <c r="K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</row>
    <row r="1199" spans="1:22" x14ac:dyDescent="0.25">
      <c r="A1199" s="20">
        <v>42048</v>
      </c>
      <c r="B1199" s="21">
        <v>11896</v>
      </c>
      <c r="C1199" s="14" t="s">
        <v>20</v>
      </c>
      <c r="D1199" s="105">
        <v>14648.7</v>
      </c>
      <c r="E1199" s="23">
        <v>42048</v>
      </c>
      <c r="F1199" s="106">
        <v>14648.7</v>
      </c>
      <c r="G1199" s="31">
        <f t="shared" si="18"/>
        <v>0</v>
      </c>
      <c r="H1199" s="19" t="s">
        <v>94</v>
      </c>
      <c r="I1199" s="3"/>
      <c r="J1199" s="42"/>
      <c r="K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</row>
    <row r="1200" spans="1:22" x14ac:dyDescent="0.25">
      <c r="A1200" s="20">
        <v>42048</v>
      </c>
      <c r="B1200" s="21">
        <v>11897</v>
      </c>
      <c r="C1200" s="14" t="s">
        <v>285</v>
      </c>
      <c r="D1200" s="105">
        <v>1296</v>
      </c>
      <c r="E1200" s="23">
        <v>42048</v>
      </c>
      <c r="F1200" s="106">
        <v>1296</v>
      </c>
      <c r="G1200" s="31">
        <f t="shared" si="18"/>
        <v>0</v>
      </c>
      <c r="H1200" s="19" t="s">
        <v>94</v>
      </c>
      <c r="I1200" s="3"/>
      <c r="J1200" s="42"/>
      <c r="K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</row>
    <row r="1201" spans="1:22" x14ac:dyDescent="0.25">
      <c r="A1201" s="20">
        <v>42048</v>
      </c>
      <c r="B1201" s="21">
        <v>11898</v>
      </c>
      <c r="C1201" s="14" t="s">
        <v>190</v>
      </c>
      <c r="D1201" s="105">
        <v>10560.4</v>
      </c>
      <c r="E1201" s="23">
        <v>42048</v>
      </c>
      <c r="F1201" s="106">
        <v>10560.4</v>
      </c>
      <c r="G1201" s="31">
        <f t="shared" si="18"/>
        <v>0</v>
      </c>
      <c r="H1201" s="19" t="s">
        <v>9</v>
      </c>
      <c r="I1201" s="3"/>
      <c r="J1201" s="42"/>
      <c r="K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</row>
    <row r="1202" spans="1:22" x14ac:dyDescent="0.25">
      <c r="A1202" s="20">
        <v>42048</v>
      </c>
      <c r="B1202" s="21">
        <v>11899</v>
      </c>
      <c r="C1202" s="14" t="s">
        <v>14</v>
      </c>
      <c r="D1202" s="105">
        <v>18003.599999999999</v>
      </c>
      <c r="E1202" s="23">
        <v>42062</v>
      </c>
      <c r="F1202" s="106">
        <v>18003.599999999999</v>
      </c>
      <c r="G1202" s="31">
        <f t="shared" si="18"/>
        <v>0</v>
      </c>
      <c r="H1202" s="19" t="s">
        <v>15</v>
      </c>
      <c r="K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</row>
    <row r="1203" spans="1:22" x14ac:dyDescent="0.25">
      <c r="A1203" s="20">
        <v>42048</v>
      </c>
      <c r="B1203" s="21">
        <v>11900</v>
      </c>
      <c r="C1203" s="26" t="s">
        <v>12</v>
      </c>
      <c r="D1203" s="108">
        <v>0</v>
      </c>
      <c r="E1203" s="23"/>
      <c r="F1203" s="106"/>
      <c r="G1203" s="31">
        <f t="shared" si="18"/>
        <v>0</v>
      </c>
      <c r="H1203" s="19" t="s">
        <v>13</v>
      </c>
      <c r="K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</row>
    <row r="1204" spans="1:22" x14ac:dyDescent="0.25">
      <c r="A1204" s="20">
        <v>42048</v>
      </c>
      <c r="B1204" s="21">
        <v>11901</v>
      </c>
      <c r="C1204" s="14" t="s">
        <v>267</v>
      </c>
      <c r="D1204" s="105">
        <v>2694.36</v>
      </c>
      <c r="E1204" s="23">
        <v>42048</v>
      </c>
      <c r="F1204" s="106">
        <v>2694.36</v>
      </c>
      <c r="G1204" s="31">
        <f t="shared" si="18"/>
        <v>0</v>
      </c>
      <c r="H1204" s="19" t="s">
        <v>94</v>
      </c>
      <c r="K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</row>
    <row r="1205" spans="1:22" x14ac:dyDescent="0.25">
      <c r="A1205" s="20">
        <v>42048</v>
      </c>
      <c r="B1205" s="21">
        <v>11902</v>
      </c>
      <c r="C1205" s="14" t="s">
        <v>213</v>
      </c>
      <c r="D1205" s="105">
        <v>15386.2</v>
      </c>
      <c r="E1205" s="23">
        <v>42048</v>
      </c>
      <c r="F1205" s="106">
        <v>15386.2</v>
      </c>
      <c r="G1205" s="31">
        <f t="shared" si="18"/>
        <v>0</v>
      </c>
      <c r="H1205" s="19" t="s">
        <v>15</v>
      </c>
      <c r="K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</row>
    <row r="1206" spans="1:22" x14ac:dyDescent="0.25">
      <c r="A1206" s="20">
        <v>42048</v>
      </c>
      <c r="B1206" s="21">
        <v>11903</v>
      </c>
      <c r="C1206" s="14" t="s">
        <v>11</v>
      </c>
      <c r="D1206" s="105">
        <v>7248</v>
      </c>
      <c r="E1206" s="23">
        <v>42048</v>
      </c>
      <c r="F1206" s="106">
        <v>7248</v>
      </c>
      <c r="G1206" s="31">
        <f t="shared" si="18"/>
        <v>0</v>
      </c>
      <c r="H1206" s="19" t="s">
        <v>9</v>
      </c>
      <c r="K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</row>
    <row r="1207" spans="1:22" x14ac:dyDescent="0.25">
      <c r="A1207" s="20">
        <v>42048</v>
      </c>
      <c r="B1207" s="21">
        <v>11904</v>
      </c>
      <c r="C1207" s="14" t="s">
        <v>26</v>
      </c>
      <c r="D1207" s="105">
        <v>3864</v>
      </c>
      <c r="E1207" s="23">
        <v>42048</v>
      </c>
      <c r="F1207" s="106">
        <v>3864</v>
      </c>
      <c r="G1207" s="31">
        <f t="shared" si="18"/>
        <v>0</v>
      </c>
      <c r="H1207" s="19" t="s">
        <v>27</v>
      </c>
      <c r="J1207" s="107"/>
      <c r="K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</row>
    <row r="1208" spans="1:22" x14ac:dyDescent="0.25">
      <c r="A1208" s="20">
        <v>42048</v>
      </c>
      <c r="B1208" s="21">
        <v>11905</v>
      </c>
      <c r="C1208" s="14" t="s">
        <v>214</v>
      </c>
      <c r="D1208" s="105">
        <v>1800</v>
      </c>
      <c r="E1208" s="23">
        <v>42048</v>
      </c>
      <c r="F1208" s="106">
        <v>1800</v>
      </c>
      <c r="G1208" s="31">
        <f t="shared" si="18"/>
        <v>0</v>
      </c>
      <c r="H1208" s="19" t="s">
        <v>59</v>
      </c>
      <c r="K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</row>
    <row r="1209" spans="1:22" x14ac:dyDescent="0.25">
      <c r="A1209" s="20">
        <v>42048</v>
      </c>
      <c r="B1209" s="21">
        <v>11906</v>
      </c>
      <c r="C1209" s="110">
        <v>105</v>
      </c>
      <c r="D1209" s="105">
        <v>540</v>
      </c>
      <c r="E1209" s="23">
        <v>42048</v>
      </c>
      <c r="F1209" s="106">
        <v>540</v>
      </c>
      <c r="G1209" s="31">
        <f t="shared" si="18"/>
        <v>0</v>
      </c>
      <c r="H1209" s="19" t="s">
        <v>59</v>
      </c>
      <c r="K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</row>
    <row r="1210" spans="1:22" x14ac:dyDescent="0.25">
      <c r="A1210" s="20">
        <v>42048</v>
      </c>
      <c r="B1210" s="21">
        <v>11907</v>
      </c>
      <c r="C1210" s="14" t="s">
        <v>32</v>
      </c>
      <c r="D1210" s="105">
        <v>228330.4</v>
      </c>
      <c r="E1210" s="23">
        <v>42062</v>
      </c>
      <c r="F1210" s="106">
        <v>228330.4</v>
      </c>
      <c r="G1210" s="31">
        <f t="shared" si="18"/>
        <v>0</v>
      </c>
      <c r="H1210" s="19" t="s">
        <v>46</v>
      </c>
      <c r="K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</row>
    <row r="1211" spans="1:22" x14ac:dyDescent="0.25">
      <c r="A1211" s="20">
        <v>42048</v>
      </c>
      <c r="B1211" s="21">
        <v>11908</v>
      </c>
      <c r="C1211" s="14" t="s">
        <v>78</v>
      </c>
      <c r="D1211" s="105">
        <v>9422</v>
      </c>
      <c r="E1211" s="23">
        <v>42050</v>
      </c>
      <c r="F1211" s="106">
        <v>9422</v>
      </c>
      <c r="G1211" s="31">
        <f t="shared" si="18"/>
        <v>0</v>
      </c>
      <c r="H1211" s="19" t="s">
        <v>62</v>
      </c>
      <c r="K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</row>
    <row r="1212" spans="1:22" x14ac:dyDescent="0.25">
      <c r="A1212" s="20">
        <v>42048</v>
      </c>
      <c r="B1212" s="21">
        <v>11909</v>
      </c>
      <c r="C1212" s="14" t="s">
        <v>67</v>
      </c>
      <c r="D1212" s="105">
        <v>5409.6</v>
      </c>
      <c r="E1212" s="23">
        <v>42050</v>
      </c>
      <c r="F1212" s="106">
        <v>5409.6</v>
      </c>
      <c r="G1212" s="31">
        <f t="shared" si="18"/>
        <v>0</v>
      </c>
      <c r="H1212" s="19" t="s">
        <v>62</v>
      </c>
      <c r="K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</row>
    <row r="1213" spans="1:22" x14ac:dyDescent="0.25">
      <c r="A1213" s="20">
        <v>42048</v>
      </c>
      <c r="B1213" s="21">
        <v>11910</v>
      </c>
      <c r="C1213" s="14" t="s">
        <v>16</v>
      </c>
      <c r="D1213" s="105">
        <v>9382.4</v>
      </c>
      <c r="E1213" s="23">
        <v>42048</v>
      </c>
      <c r="F1213" s="106">
        <v>9382.4</v>
      </c>
      <c r="G1213" s="31">
        <f t="shared" si="18"/>
        <v>0</v>
      </c>
      <c r="H1213" s="19" t="s">
        <v>17</v>
      </c>
      <c r="K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</row>
    <row r="1214" spans="1:22" x14ac:dyDescent="0.25">
      <c r="A1214" s="20">
        <v>42048</v>
      </c>
      <c r="B1214" s="21">
        <v>11911</v>
      </c>
      <c r="C1214" s="14" t="s">
        <v>25</v>
      </c>
      <c r="D1214" s="105">
        <v>585.20000000000005</v>
      </c>
      <c r="E1214" s="23">
        <v>42048</v>
      </c>
      <c r="F1214" s="106">
        <v>585.20000000000005</v>
      </c>
      <c r="G1214" s="31">
        <f t="shared" si="18"/>
        <v>0</v>
      </c>
      <c r="H1214" s="19" t="s">
        <v>9</v>
      </c>
      <c r="K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</row>
    <row r="1215" spans="1:22" x14ac:dyDescent="0.25">
      <c r="A1215" s="20">
        <v>42048</v>
      </c>
      <c r="B1215" s="21">
        <v>11912</v>
      </c>
      <c r="C1215" s="14" t="s">
        <v>114</v>
      </c>
      <c r="D1215" s="105">
        <v>25151.7</v>
      </c>
      <c r="E1215" s="23">
        <v>42048</v>
      </c>
      <c r="F1215" s="106">
        <v>25151.7</v>
      </c>
      <c r="G1215" s="31">
        <f t="shared" si="18"/>
        <v>0</v>
      </c>
      <c r="H1215" s="19" t="s">
        <v>183</v>
      </c>
      <c r="K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</row>
    <row r="1216" spans="1:22" x14ac:dyDescent="0.25">
      <c r="A1216" s="20">
        <v>42048</v>
      </c>
      <c r="B1216" s="21">
        <v>11913</v>
      </c>
      <c r="C1216" s="14" t="s">
        <v>84</v>
      </c>
      <c r="D1216" s="105">
        <v>53234.6</v>
      </c>
      <c r="E1216" s="23">
        <v>42063</v>
      </c>
      <c r="F1216" s="106">
        <v>53234.6</v>
      </c>
      <c r="G1216" s="31">
        <f t="shared" si="18"/>
        <v>0</v>
      </c>
      <c r="H1216" s="19" t="s">
        <v>62</v>
      </c>
      <c r="K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</row>
    <row r="1217" spans="1:22" x14ac:dyDescent="0.25">
      <c r="A1217" s="20">
        <v>42048</v>
      </c>
      <c r="B1217" s="21">
        <v>11914</v>
      </c>
      <c r="C1217" s="14" t="s">
        <v>173</v>
      </c>
      <c r="D1217" s="105">
        <v>48083.199999999997</v>
      </c>
      <c r="E1217" s="23">
        <v>42063</v>
      </c>
      <c r="F1217" s="106">
        <v>48083.199999999997</v>
      </c>
      <c r="G1217" s="31">
        <f t="shared" si="18"/>
        <v>0</v>
      </c>
      <c r="H1217" s="19" t="s">
        <v>62</v>
      </c>
      <c r="K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</row>
    <row r="1218" spans="1:22" x14ac:dyDescent="0.25">
      <c r="A1218" s="20">
        <v>42048</v>
      </c>
      <c r="B1218" s="21">
        <v>11915</v>
      </c>
      <c r="C1218" s="14" t="s">
        <v>170</v>
      </c>
      <c r="D1218" s="105">
        <v>9754.2000000000007</v>
      </c>
      <c r="E1218" s="23">
        <v>42050</v>
      </c>
      <c r="F1218" s="106">
        <v>9754.2000000000007</v>
      </c>
      <c r="G1218" s="31">
        <f t="shared" si="18"/>
        <v>0</v>
      </c>
      <c r="H1218" s="19" t="s">
        <v>62</v>
      </c>
      <c r="K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</row>
    <row r="1219" spans="1:22" x14ac:dyDescent="0.25">
      <c r="A1219" s="20">
        <v>42048</v>
      </c>
      <c r="B1219" s="21">
        <v>11916</v>
      </c>
      <c r="C1219" s="14" t="s">
        <v>161</v>
      </c>
      <c r="D1219" s="105">
        <v>2864.4</v>
      </c>
      <c r="E1219" s="23">
        <v>42048</v>
      </c>
      <c r="F1219" s="106">
        <v>2864.4</v>
      </c>
      <c r="G1219" s="31">
        <f t="shared" ref="G1219:G1282" si="19">D1219-F1219</f>
        <v>0</v>
      </c>
      <c r="H1219" s="19" t="s">
        <v>9</v>
      </c>
      <c r="K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</row>
    <row r="1220" spans="1:22" x14ac:dyDescent="0.25">
      <c r="A1220" s="20">
        <v>42048</v>
      </c>
      <c r="B1220" s="21">
        <v>11917</v>
      </c>
      <c r="C1220" s="14" t="s">
        <v>55</v>
      </c>
      <c r="D1220" s="105">
        <v>21371.55</v>
      </c>
      <c r="E1220" s="23">
        <v>42048</v>
      </c>
      <c r="F1220" s="106">
        <v>21371.55</v>
      </c>
      <c r="G1220" s="31">
        <f t="shared" si="19"/>
        <v>0</v>
      </c>
      <c r="H1220" s="19" t="s">
        <v>36</v>
      </c>
      <c r="K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</row>
    <row r="1221" spans="1:22" x14ac:dyDescent="0.25">
      <c r="A1221" s="20">
        <v>42048</v>
      </c>
      <c r="B1221" s="21">
        <v>11918</v>
      </c>
      <c r="C1221" s="14" t="s">
        <v>151</v>
      </c>
      <c r="D1221" s="105">
        <v>2300</v>
      </c>
      <c r="E1221" s="23">
        <v>42049</v>
      </c>
      <c r="F1221" s="106">
        <v>2300</v>
      </c>
      <c r="G1221" s="31">
        <f t="shared" si="19"/>
        <v>0</v>
      </c>
      <c r="H1221" s="19" t="s">
        <v>9</v>
      </c>
      <c r="K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</row>
    <row r="1222" spans="1:22" x14ac:dyDescent="0.25">
      <c r="A1222" s="20">
        <v>42048</v>
      </c>
      <c r="B1222" s="21">
        <v>11919</v>
      </c>
      <c r="C1222" s="14" t="s">
        <v>75</v>
      </c>
      <c r="D1222" s="105">
        <v>24485.4</v>
      </c>
      <c r="E1222" s="23">
        <v>42050</v>
      </c>
      <c r="F1222" s="106">
        <v>24485.4</v>
      </c>
      <c r="G1222" s="31">
        <f t="shared" si="19"/>
        <v>0</v>
      </c>
      <c r="H1222" s="19" t="s">
        <v>62</v>
      </c>
      <c r="J1222" s="107"/>
      <c r="K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</row>
    <row r="1223" spans="1:22" x14ac:dyDescent="0.25">
      <c r="A1223" s="20">
        <v>42048</v>
      </c>
      <c r="B1223" s="21">
        <v>11920</v>
      </c>
      <c r="C1223" s="14" t="s">
        <v>72</v>
      </c>
      <c r="D1223" s="105">
        <v>20638.400000000001</v>
      </c>
      <c r="E1223" s="30" t="s">
        <v>643</v>
      </c>
      <c r="F1223" s="106">
        <v>20638.400000000001</v>
      </c>
      <c r="G1223" s="31">
        <f t="shared" si="19"/>
        <v>0</v>
      </c>
      <c r="H1223" s="19" t="s">
        <v>62</v>
      </c>
      <c r="K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</row>
    <row r="1224" spans="1:22" x14ac:dyDescent="0.25">
      <c r="A1224" s="20">
        <v>42048</v>
      </c>
      <c r="B1224" s="21">
        <v>11921</v>
      </c>
      <c r="C1224" s="14" t="s">
        <v>43</v>
      </c>
      <c r="D1224" s="105">
        <v>3211.8</v>
      </c>
      <c r="E1224" s="52"/>
      <c r="F1224" s="111"/>
      <c r="G1224" s="31">
        <f t="shared" si="19"/>
        <v>3211.8</v>
      </c>
      <c r="H1224" s="19" t="s">
        <v>9</v>
      </c>
      <c r="K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</row>
    <row r="1225" spans="1:22" x14ac:dyDescent="0.25">
      <c r="A1225" s="20">
        <v>42048</v>
      </c>
      <c r="B1225" s="21">
        <v>11922</v>
      </c>
      <c r="C1225" s="14" t="s">
        <v>47</v>
      </c>
      <c r="D1225" s="105">
        <v>24970.400000000001</v>
      </c>
      <c r="E1225" s="23">
        <v>42048</v>
      </c>
      <c r="F1225" s="106">
        <v>24970.400000000001</v>
      </c>
      <c r="G1225" s="31">
        <f t="shared" si="19"/>
        <v>0</v>
      </c>
      <c r="H1225" s="39" t="s">
        <v>36</v>
      </c>
      <c r="K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</row>
    <row r="1226" spans="1:22" x14ac:dyDescent="0.25">
      <c r="A1226" s="20">
        <v>42048</v>
      </c>
      <c r="B1226" s="21">
        <v>11923</v>
      </c>
      <c r="C1226" s="14" t="s">
        <v>256</v>
      </c>
      <c r="D1226" s="105">
        <v>6179.8</v>
      </c>
      <c r="E1226" s="23">
        <v>42051</v>
      </c>
      <c r="F1226" s="106">
        <v>6179.8</v>
      </c>
      <c r="G1226" s="31">
        <f t="shared" si="19"/>
        <v>0</v>
      </c>
      <c r="H1226" s="39" t="s">
        <v>36</v>
      </c>
      <c r="K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</row>
    <row r="1227" spans="1:22" x14ac:dyDescent="0.25">
      <c r="A1227" s="20">
        <v>42048</v>
      </c>
      <c r="B1227" s="21">
        <v>11924</v>
      </c>
      <c r="C1227" s="14" t="s">
        <v>60</v>
      </c>
      <c r="D1227" s="105">
        <v>5932.8</v>
      </c>
      <c r="E1227" s="23">
        <v>42048</v>
      </c>
      <c r="F1227" s="106">
        <v>5932.8</v>
      </c>
      <c r="G1227" s="31">
        <f t="shared" si="19"/>
        <v>0</v>
      </c>
      <c r="H1227" s="39" t="s">
        <v>36</v>
      </c>
      <c r="K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</row>
    <row r="1228" spans="1:22" x14ac:dyDescent="0.25">
      <c r="A1228" s="20">
        <v>42048</v>
      </c>
      <c r="B1228" s="21">
        <v>11925</v>
      </c>
      <c r="C1228" s="14" t="s">
        <v>57</v>
      </c>
      <c r="D1228" s="105">
        <v>1260</v>
      </c>
      <c r="E1228" s="23">
        <v>42048</v>
      </c>
      <c r="F1228" s="106">
        <v>1260</v>
      </c>
      <c r="G1228" s="31">
        <f t="shared" si="19"/>
        <v>0</v>
      </c>
      <c r="H1228" s="39" t="s">
        <v>59</v>
      </c>
      <c r="K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</row>
    <row r="1229" spans="1:22" x14ac:dyDescent="0.25">
      <c r="A1229" s="20">
        <v>42048</v>
      </c>
      <c r="B1229" s="21">
        <v>11926</v>
      </c>
      <c r="C1229" s="14" t="s">
        <v>37</v>
      </c>
      <c r="D1229" s="105">
        <v>45950</v>
      </c>
      <c r="E1229" s="23">
        <v>42054</v>
      </c>
      <c r="F1229" s="106">
        <v>45950</v>
      </c>
      <c r="G1229" s="31">
        <f t="shared" si="19"/>
        <v>0</v>
      </c>
      <c r="H1229" s="39" t="s">
        <v>36</v>
      </c>
      <c r="K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</row>
    <row r="1230" spans="1:22" x14ac:dyDescent="0.25">
      <c r="A1230" s="20">
        <v>42048</v>
      </c>
      <c r="B1230" s="21">
        <v>11927</v>
      </c>
      <c r="C1230" s="14" t="s">
        <v>35</v>
      </c>
      <c r="D1230" s="105">
        <v>20816.41</v>
      </c>
      <c r="E1230" s="23">
        <v>42048</v>
      </c>
      <c r="F1230" s="106">
        <v>20816.41</v>
      </c>
      <c r="G1230" s="31">
        <f t="shared" si="19"/>
        <v>0</v>
      </c>
      <c r="H1230" s="39" t="s">
        <v>36</v>
      </c>
      <c r="K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</row>
    <row r="1231" spans="1:22" x14ac:dyDescent="0.25">
      <c r="A1231" s="20">
        <v>42048</v>
      </c>
      <c r="B1231" s="21">
        <v>11928</v>
      </c>
      <c r="C1231" s="14" t="s">
        <v>644</v>
      </c>
      <c r="D1231" s="105">
        <v>649.6</v>
      </c>
      <c r="E1231" s="23">
        <v>42048</v>
      </c>
      <c r="F1231" s="106">
        <v>649.6</v>
      </c>
      <c r="G1231" s="31">
        <f t="shared" si="19"/>
        <v>0</v>
      </c>
      <c r="H1231" s="39" t="s">
        <v>9</v>
      </c>
      <c r="K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</row>
    <row r="1232" spans="1:22" x14ac:dyDescent="0.25">
      <c r="A1232" s="20">
        <v>42048</v>
      </c>
      <c r="B1232" s="21">
        <v>11929</v>
      </c>
      <c r="C1232" s="14" t="s">
        <v>176</v>
      </c>
      <c r="D1232" s="105">
        <v>11092.92</v>
      </c>
      <c r="E1232" s="30" t="s">
        <v>645</v>
      </c>
      <c r="F1232" s="106">
        <v>11092.92</v>
      </c>
      <c r="G1232" s="31">
        <f t="shared" si="19"/>
        <v>0</v>
      </c>
      <c r="H1232" s="39" t="s">
        <v>62</v>
      </c>
      <c r="K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</row>
    <row r="1233" spans="1:22" x14ac:dyDescent="0.25">
      <c r="A1233" s="20">
        <v>42048</v>
      </c>
      <c r="B1233" s="21">
        <v>11930</v>
      </c>
      <c r="C1233" s="26" t="s">
        <v>12</v>
      </c>
      <c r="D1233" s="108">
        <v>0</v>
      </c>
      <c r="E1233" s="23"/>
      <c r="F1233" s="106"/>
      <c r="G1233" s="31">
        <f t="shared" si="19"/>
        <v>0</v>
      </c>
      <c r="H1233" s="39" t="s">
        <v>13</v>
      </c>
      <c r="K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</row>
    <row r="1234" spans="1:22" x14ac:dyDescent="0.25">
      <c r="A1234" s="20">
        <v>42048</v>
      </c>
      <c r="B1234" s="21">
        <v>11931</v>
      </c>
      <c r="C1234" s="14" t="s">
        <v>103</v>
      </c>
      <c r="D1234" s="105">
        <v>54492.1</v>
      </c>
      <c r="E1234" s="23">
        <v>42049</v>
      </c>
      <c r="F1234" s="106">
        <v>54492.1</v>
      </c>
      <c r="G1234" s="31">
        <f t="shared" si="19"/>
        <v>0</v>
      </c>
      <c r="H1234" s="39" t="s">
        <v>19</v>
      </c>
      <c r="I1234" s="3"/>
      <c r="J1234" s="42"/>
      <c r="K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</row>
    <row r="1235" spans="1:22" x14ac:dyDescent="0.25">
      <c r="A1235" s="20">
        <v>42048</v>
      </c>
      <c r="B1235" s="21">
        <v>11932</v>
      </c>
      <c r="C1235" s="14" t="s">
        <v>239</v>
      </c>
      <c r="D1235" s="105">
        <v>1196.4000000000001</v>
      </c>
      <c r="E1235" s="23">
        <v>42048</v>
      </c>
      <c r="F1235" s="106">
        <v>1196.4000000000001</v>
      </c>
      <c r="G1235" s="31">
        <f t="shared" si="19"/>
        <v>0</v>
      </c>
      <c r="H1235" s="39" t="s">
        <v>9</v>
      </c>
      <c r="I1235" s="3"/>
      <c r="J1235" s="42"/>
      <c r="K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</row>
    <row r="1236" spans="1:22" x14ac:dyDescent="0.25">
      <c r="A1236" s="20">
        <v>42048</v>
      </c>
      <c r="B1236" s="21">
        <v>11933</v>
      </c>
      <c r="C1236" s="14" t="s">
        <v>65</v>
      </c>
      <c r="D1236" s="105">
        <v>22516.799999999999</v>
      </c>
      <c r="E1236" s="23">
        <v>42050</v>
      </c>
      <c r="F1236" s="106">
        <v>22516.799999999999</v>
      </c>
      <c r="G1236" s="31">
        <f t="shared" si="19"/>
        <v>0</v>
      </c>
      <c r="H1236" s="39" t="s">
        <v>62</v>
      </c>
      <c r="I1236" s="3"/>
      <c r="J1236" s="42"/>
      <c r="K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</row>
    <row r="1237" spans="1:22" x14ac:dyDescent="0.25">
      <c r="A1237" s="20">
        <v>42048</v>
      </c>
      <c r="B1237" s="21">
        <v>11934</v>
      </c>
      <c r="C1237" s="14" t="s">
        <v>239</v>
      </c>
      <c r="D1237" s="105">
        <v>637.20000000000005</v>
      </c>
      <c r="E1237" s="23">
        <v>42048</v>
      </c>
      <c r="F1237" s="106">
        <v>637.20000000000005</v>
      </c>
      <c r="G1237" s="31">
        <f t="shared" si="19"/>
        <v>0</v>
      </c>
      <c r="H1237" s="39" t="s">
        <v>9</v>
      </c>
      <c r="I1237" s="3"/>
      <c r="J1237" s="42"/>
      <c r="K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</row>
    <row r="1238" spans="1:22" x14ac:dyDescent="0.25">
      <c r="A1238" s="20">
        <v>42048</v>
      </c>
      <c r="B1238" s="21">
        <v>11935</v>
      </c>
      <c r="C1238" s="14" t="s">
        <v>61</v>
      </c>
      <c r="D1238" s="105">
        <v>10564.8</v>
      </c>
      <c r="E1238" s="23">
        <v>42050</v>
      </c>
      <c r="F1238" s="106">
        <v>10564.8</v>
      </c>
      <c r="G1238" s="31">
        <f t="shared" si="19"/>
        <v>0</v>
      </c>
      <c r="H1238" s="39" t="s">
        <v>62</v>
      </c>
      <c r="I1238" s="3"/>
      <c r="J1238" s="42"/>
      <c r="K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</row>
    <row r="1239" spans="1:22" x14ac:dyDescent="0.25">
      <c r="A1239" s="20">
        <v>42048</v>
      </c>
      <c r="B1239" s="21">
        <v>11936</v>
      </c>
      <c r="C1239" s="14" t="s">
        <v>137</v>
      </c>
      <c r="D1239" s="105">
        <v>2708.8</v>
      </c>
      <c r="E1239" s="23">
        <v>42048</v>
      </c>
      <c r="F1239" s="106">
        <v>2708.8</v>
      </c>
      <c r="G1239" s="31">
        <f t="shared" si="19"/>
        <v>0</v>
      </c>
      <c r="H1239" s="39" t="s">
        <v>9</v>
      </c>
      <c r="I1239" s="3"/>
      <c r="J1239" s="42"/>
      <c r="K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</row>
    <row r="1240" spans="1:22" x14ac:dyDescent="0.25">
      <c r="A1240" s="20">
        <v>42048</v>
      </c>
      <c r="B1240" s="21">
        <v>11937</v>
      </c>
      <c r="C1240" s="14" t="s">
        <v>106</v>
      </c>
      <c r="D1240" s="105">
        <v>3536</v>
      </c>
      <c r="E1240" s="23">
        <v>42048</v>
      </c>
      <c r="F1240" s="106">
        <v>3536</v>
      </c>
      <c r="G1240" s="31">
        <f t="shared" si="19"/>
        <v>0</v>
      </c>
      <c r="H1240" s="39" t="s">
        <v>15</v>
      </c>
      <c r="I1240" s="3"/>
      <c r="J1240" s="42"/>
      <c r="K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</row>
    <row r="1241" spans="1:22" x14ac:dyDescent="0.25">
      <c r="A1241" s="20">
        <v>42048</v>
      </c>
      <c r="B1241" s="21">
        <v>11938</v>
      </c>
      <c r="C1241" s="14" t="s">
        <v>66</v>
      </c>
      <c r="D1241" s="105">
        <v>1441.3</v>
      </c>
      <c r="E1241" s="23">
        <v>42048</v>
      </c>
      <c r="F1241" s="106">
        <v>1441.3</v>
      </c>
      <c r="G1241" s="31">
        <f t="shared" si="19"/>
        <v>0</v>
      </c>
      <c r="H1241" s="39" t="s">
        <v>9</v>
      </c>
      <c r="I1241" s="3"/>
      <c r="J1241" s="42"/>
      <c r="K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</row>
    <row r="1242" spans="1:22" x14ac:dyDescent="0.25">
      <c r="A1242" s="20">
        <v>42048</v>
      </c>
      <c r="B1242" s="21">
        <v>11939</v>
      </c>
      <c r="C1242" s="14" t="s">
        <v>99</v>
      </c>
      <c r="D1242" s="105">
        <v>316.8</v>
      </c>
      <c r="E1242" s="23">
        <v>42048</v>
      </c>
      <c r="F1242" s="106">
        <v>316.8</v>
      </c>
      <c r="G1242" s="31">
        <f t="shared" si="19"/>
        <v>0</v>
      </c>
      <c r="H1242" s="39" t="s">
        <v>15</v>
      </c>
      <c r="I1242" s="3"/>
      <c r="J1242" s="42"/>
      <c r="K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</row>
    <row r="1243" spans="1:22" x14ac:dyDescent="0.25">
      <c r="A1243" s="20">
        <v>42048</v>
      </c>
      <c r="B1243" s="21">
        <v>11940</v>
      </c>
      <c r="C1243" s="14" t="s">
        <v>89</v>
      </c>
      <c r="D1243" s="105">
        <v>4656.8</v>
      </c>
      <c r="E1243" s="23">
        <v>42048</v>
      </c>
      <c r="F1243" s="106">
        <v>4656.8</v>
      </c>
      <c r="G1243" s="31">
        <f t="shared" si="19"/>
        <v>0</v>
      </c>
      <c r="H1243" s="39" t="s">
        <v>9</v>
      </c>
      <c r="I1243" s="3"/>
      <c r="J1243" s="42"/>
      <c r="K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</row>
    <row r="1244" spans="1:22" x14ac:dyDescent="0.25">
      <c r="A1244" s="20">
        <v>42048</v>
      </c>
      <c r="B1244" s="21">
        <v>11941</v>
      </c>
      <c r="C1244" s="14" t="s">
        <v>24</v>
      </c>
      <c r="D1244" s="105">
        <v>18329.400000000001</v>
      </c>
      <c r="E1244" s="23">
        <v>42063</v>
      </c>
      <c r="F1244" s="106">
        <v>18329.400000000001</v>
      </c>
      <c r="G1244" s="31">
        <f t="shared" si="19"/>
        <v>0</v>
      </c>
      <c r="H1244" s="39" t="s">
        <v>15</v>
      </c>
      <c r="I1244" s="3"/>
      <c r="J1244" s="42"/>
      <c r="K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</row>
    <row r="1245" spans="1:22" x14ac:dyDescent="0.25">
      <c r="A1245" s="20">
        <v>42048</v>
      </c>
      <c r="B1245" s="21">
        <v>11942</v>
      </c>
      <c r="C1245" s="14" t="s">
        <v>228</v>
      </c>
      <c r="D1245" s="105">
        <v>3549</v>
      </c>
      <c r="E1245" s="23">
        <v>42048</v>
      </c>
      <c r="F1245" s="106">
        <v>3549</v>
      </c>
      <c r="G1245" s="31">
        <f t="shared" si="19"/>
        <v>0</v>
      </c>
      <c r="H1245" s="39" t="s">
        <v>9</v>
      </c>
      <c r="I1245" s="3"/>
      <c r="J1245" s="42"/>
      <c r="K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</row>
    <row r="1246" spans="1:22" x14ac:dyDescent="0.25">
      <c r="A1246" s="20">
        <v>42048</v>
      </c>
      <c r="B1246" s="21">
        <v>11943</v>
      </c>
      <c r="C1246" s="14" t="s">
        <v>45</v>
      </c>
      <c r="D1246" s="105">
        <v>12795.2</v>
      </c>
      <c r="E1246" s="29" t="s">
        <v>646</v>
      </c>
      <c r="F1246" s="106">
        <f>1092.5+11702.7</f>
        <v>12795.2</v>
      </c>
      <c r="G1246" s="31">
        <f t="shared" si="19"/>
        <v>0</v>
      </c>
      <c r="H1246" s="39" t="s">
        <v>27</v>
      </c>
      <c r="I1246" s="3"/>
      <c r="J1246" s="42"/>
      <c r="K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</row>
    <row r="1247" spans="1:22" x14ac:dyDescent="0.25">
      <c r="A1247" s="20">
        <v>42048</v>
      </c>
      <c r="B1247" s="21">
        <v>11944</v>
      </c>
      <c r="C1247" s="14" t="s">
        <v>82</v>
      </c>
      <c r="D1247" s="105">
        <v>10264.4</v>
      </c>
      <c r="E1247" s="23">
        <v>42048</v>
      </c>
      <c r="F1247" s="106">
        <v>10264.4</v>
      </c>
      <c r="G1247" s="31">
        <f t="shared" si="19"/>
        <v>0</v>
      </c>
      <c r="H1247" s="39" t="s">
        <v>59</v>
      </c>
      <c r="I1247" s="3"/>
      <c r="J1247" s="42"/>
      <c r="K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</row>
    <row r="1248" spans="1:22" x14ac:dyDescent="0.25">
      <c r="A1248" s="20">
        <v>42048</v>
      </c>
      <c r="B1248" s="21">
        <v>11945</v>
      </c>
      <c r="C1248" s="14" t="s">
        <v>155</v>
      </c>
      <c r="D1248" s="105">
        <v>5218</v>
      </c>
      <c r="E1248" s="23">
        <v>42048</v>
      </c>
      <c r="F1248" s="106">
        <v>5218</v>
      </c>
      <c r="G1248" s="31">
        <f t="shared" si="19"/>
        <v>0</v>
      </c>
      <c r="H1248" s="39" t="s">
        <v>59</v>
      </c>
      <c r="I1248" s="3"/>
      <c r="J1248" s="42"/>
      <c r="K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</row>
    <row r="1249" spans="1:22" x14ac:dyDescent="0.25">
      <c r="A1249" s="20">
        <v>42048</v>
      </c>
      <c r="B1249" s="21">
        <v>11946</v>
      </c>
      <c r="C1249" s="14" t="s">
        <v>83</v>
      </c>
      <c r="D1249" s="105">
        <v>7424.6</v>
      </c>
      <c r="E1249" s="23">
        <v>42048</v>
      </c>
      <c r="F1249" s="106">
        <v>7424.6</v>
      </c>
      <c r="G1249" s="31">
        <f t="shared" si="19"/>
        <v>0</v>
      </c>
      <c r="H1249" s="39" t="s">
        <v>59</v>
      </c>
      <c r="I1249" s="3"/>
      <c r="J1249" s="42"/>
      <c r="K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</row>
    <row r="1250" spans="1:22" x14ac:dyDescent="0.25">
      <c r="A1250" s="20">
        <v>42048</v>
      </c>
      <c r="B1250" s="21">
        <v>11947</v>
      </c>
      <c r="C1250" s="14" t="s">
        <v>82</v>
      </c>
      <c r="D1250" s="105">
        <v>76.599999999999994</v>
      </c>
      <c r="E1250" s="23">
        <v>42048</v>
      </c>
      <c r="F1250" s="106">
        <v>76.599999999999994</v>
      </c>
      <c r="G1250" s="31">
        <f t="shared" si="19"/>
        <v>0</v>
      </c>
      <c r="H1250" s="39" t="s">
        <v>59</v>
      </c>
      <c r="I1250" s="3"/>
      <c r="J1250" s="42"/>
      <c r="K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</row>
    <row r="1251" spans="1:22" x14ac:dyDescent="0.25">
      <c r="A1251" s="20">
        <v>42048</v>
      </c>
      <c r="B1251" s="21">
        <v>11948</v>
      </c>
      <c r="C1251" s="14" t="s">
        <v>292</v>
      </c>
      <c r="D1251" s="105">
        <v>3810.4</v>
      </c>
      <c r="E1251" s="23">
        <v>42048</v>
      </c>
      <c r="F1251" s="106">
        <v>3810.4</v>
      </c>
      <c r="G1251" s="31">
        <f t="shared" si="19"/>
        <v>0</v>
      </c>
      <c r="H1251" s="39" t="s">
        <v>59</v>
      </c>
      <c r="I1251" s="3"/>
      <c r="J1251" s="42"/>
      <c r="K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</row>
    <row r="1252" spans="1:22" x14ac:dyDescent="0.25">
      <c r="A1252" s="20">
        <v>42048</v>
      </c>
      <c r="B1252" s="21">
        <v>11949</v>
      </c>
      <c r="C1252" s="14" t="s">
        <v>333</v>
      </c>
      <c r="D1252" s="105">
        <v>720</v>
      </c>
      <c r="E1252" s="23">
        <v>42048</v>
      </c>
      <c r="F1252" s="106">
        <v>720</v>
      </c>
      <c r="G1252" s="31">
        <f t="shared" si="19"/>
        <v>0</v>
      </c>
      <c r="H1252" s="39" t="s">
        <v>94</v>
      </c>
      <c r="I1252" s="3"/>
      <c r="J1252" s="42"/>
      <c r="K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</row>
    <row r="1253" spans="1:22" x14ac:dyDescent="0.25">
      <c r="A1253" s="20">
        <v>42048</v>
      </c>
      <c r="B1253" s="21">
        <v>11950</v>
      </c>
      <c r="C1253" s="26" t="s">
        <v>12</v>
      </c>
      <c r="D1253" s="108">
        <v>0</v>
      </c>
      <c r="E1253" s="29"/>
      <c r="F1253" s="106"/>
      <c r="G1253" s="31">
        <f t="shared" si="19"/>
        <v>0</v>
      </c>
      <c r="H1253" s="39" t="s">
        <v>13</v>
      </c>
      <c r="I1253" s="3"/>
      <c r="J1253" s="42"/>
      <c r="K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</row>
    <row r="1254" spans="1:22" x14ac:dyDescent="0.25">
      <c r="A1254" s="20">
        <v>42048</v>
      </c>
      <c r="B1254" s="21">
        <v>11951</v>
      </c>
      <c r="C1254" s="14" t="s">
        <v>167</v>
      </c>
      <c r="D1254" s="105">
        <v>551.20000000000005</v>
      </c>
      <c r="E1254" s="23">
        <v>42048</v>
      </c>
      <c r="F1254" s="106">
        <v>551.20000000000005</v>
      </c>
      <c r="G1254" s="31">
        <f t="shared" si="19"/>
        <v>0</v>
      </c>
      <c r="H1254" s="39" t="s">
        <v>59</v>
      </c>
      <c r="I1254" s="3"/>
      <c r="J1254" s="42"/>
      <c r="K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</row>
    <row r="1255" spans="1:22" x14ac:dyDescent="0.25">
      <c r="A1255" s="20">
        <v>42048</v>
      </c>
      <c r="B1255" s="21">
        <v>11952</v>
      </c>
      <c r="C1255" s="14" t="s">
        <v>53</v>
      </c>
      <c r="D1255" s="105">
        <v>987</v>
      </c>
      <c r="E1255" s="23">
        <v>42048</v>
      </c>
      <c r="F1255" s="106">
        <v>987</v>
      </c>
      <c r="G1255" s="31">
        <f t="shared" si="19"/>
        <v>0</v>
      </c>
      <c r="H1255" s="39" t="s">
        <v>59</v>
      </c>
      <c r="I1255" s="3"/>
      <c r="J1255" s="42"/>
      <c r="K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</row>
    <row r="1256" spans="1:22" x14ac:dyDescent="0.25">
      <c r="A1256" s="20">
        <v>42048</v>
      </c>
      <c r="B1256" s="21">
        <v>11953</v>
      </c>
      <c r="C1256" s="14" t="s">
        <v>81</v>
      </c>
      <c r="D1256" s="105">
        <v>2609.6999999999998</v>
      </c>
      <c r="E1256" s="23">
        <v>42048</v>
      </c>
      <c r="F1256" s="106">
        <v>2609.6999999999998</v>
      </c>
      <c r="G1256" s="31">
        <f t="shared" si="19"/>
        <v>0</v>
      </c>
      <c r="H1256" s="39" t="s">
        <v>59</v>
      </c>
      <c r="I1256" s="3"/>
      <c r="J1256" s="42"/>
      <c r="K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</row>
    <row r="1257" spans="1:22" x14ac:dyDescent="0.25">
      <c r="A1257" s="20">
        <v>42048</v>
      </c>
      <c r="B1257" s="21">
        <v>11954</v>
      </c>
      <c r="C1257" s="14" t="s">
        <v>58</v>
      </c>
      <c r="D1257" s="105">
        <v>360</v>
      </c>
      <c r="E1257" s="23">
        <v>42048</v>
      </c>
      <c r="F1257" s="106">
        <v>360</v>
      </c>
      <c r="G1257" s="31">
        <f t="shared" si="19"/>
        <v>0</v>
      </c>
      <c r="H1257" s="39" t="s">
        <v>59</v>
      </c>
      <c r="I1257" s="3"/>
      <c r="J1257" s="42"/>
      <c r="K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</row>
    <row r="1258" spans="1:22" x14ac:dyDescent="0.25">
      <c r="A1258" s="20">
        <v>42048</v>
      </c>
      <c r="B1258" s="21">
        <v>11955</v>
      </c>
      <c r="C1258" s="14" t="s">
        <v>341</v>
      </c>
      <c r="D1258" s="105">
        <v>2889.6</v>
      </c>
      <c r="E1258" s="23">
        <v>42048</v>
      </c>
      <c r="F1258" s="106">
        <v>2889.6</v>
      </c>
      <c r="G1258" s="31">
        <f t="shared" si="19"/>
        <v>0</v>
      </c>
      <c r="H1258" s="39" t="s">
        <v>9</v>
      </c>
      <c r="I1258" s="3"/>
      <c r="J1258" s="42"/>
      <c r="K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</row>
    <row r="1259" spans="1:22" x14ac:dyDescent="0.25">
      <c r="A1259" s="20">
        <v>42048</v>
      </c>
      <c r="B1259" s="21">
        <v>11956</v>
      </c>
      <c r="C1259" s="14" t="s">
        <v>130</v>
      </c>
      <c r="D1259" s="105">
        <v>5795.3</v>
      </c>
      <c r="E1259" s="23">
        <v>42049</v>
      </c>
      <c r="F1259" s="106">
        <v>5795.3</v>
      </c>
      <c r="G1259" s="31">
        <f t="shared" si="19"/>
        <v>0</v>
      </c>
      <c r="H1259" s="39" t="s">
        <v>17</v>
      </c>
      <c r="I1259" s="3"/>
      <c r="J1259" s="42"/>
      <c r="K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</row>
    <row r="1260" spans="1:22" x14ac:dyDescent="0.25">
      <c r="A1260" s="20">
        <v>42048</v>
      </c>
      <c r="B1260" s="21">
        <v>11957</v>
      </c>
      <c r="C1260" s="14" t="s">
        <v>131</v>
      </c>
      <c r="D1260" s="105">
        <v>9209</v>
      </c>
      <c r="E1260" s="23">
        <v>42049</v>
      </c>
      <c r="F1260" s="106">
        <v>9209</v>
      </c>
      <c r="G1260" s="31">
        <f t="shared" si="19"/>
        <v>0</v>
      </c>
      <c r="H1260" s="39" t="s">
        <v>17</v>
      </c>
      <c r="I1260" s="3"/>
      <c r="J1260" s="42"/>
      <c r="K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</row>
    <row r="1261" spans="1:22" x14ac:dyDescent="0.25">
      <c r="A1261" s="20">
        <v>42048</v>
      </c>
      <c r="B1261" s="21">
        <v>11958</v>
      </c>
      <c r="C1261" s="14" t="s">
        <v>100</v>
      </c>
      <c r="D1261" s="105">
        <v>3012</v>
      </c>
      <c r="E1261" s="23">
        <v>42048</v>
      </c>
      <c r="F1261" s="106">
        <v>3012</v>
      </c>
      <c r="G1261" s="31">
        <f t="shared" si="19"/>
        <v>0</v>
      </c>
      <c r="H1261" s="39" t="s">
        <v>9</v>
      </c>
      <c r="I1261" s="3"/>
      <c r="J1261" s="42"/>
      <c r="K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</row>
    <row r="1262" spans="1:22" x14ac:dyDescent="0.25">
      <c r="A1262" s="20">
        <v>42048</v>
      </c>
      <c r="B1262" s="21">
        <v>11959</v>
      </c>
      <c r="C1262" s="14" t="s">
        <v>38</v>
      </c>
      <c r="D1262" s="105">
        <v>35000</v>
      </c>
      <c r="E1262" s="23">
        <v>42060</v>
      </c>
      <c r="F1262" s="106">
        <v>35000</v>
      </c>
      <c r="G1262" s="31">
        <f t="shared" si="19"/>
        <v>0</v>
      </c>
      <c r="H1262" s="39" t="s">
        <v>17</v>
      </c>
      <c r="I1262" s="3"/>
      <c r="J1262" s="42"/>
      <c r="K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</row>
    <row r="1263" spans="1:22" x14ac:dyDescent="0.25">
      <c r="A1263" s="20">
        <v>42048</v>
      </c>
      <c r="B1263" s="21">
        <v>11960</v>
      </c>
      <c r="C1263" s="14" t="s">
        <v>299</v>
      </c>
      <c r="D1263" s="105">
        <v>3318</v>
      </c>
      <c r="E1263" s="51">
        <v>42048</v>
      </c>
      <c r="F1263" s="106">
        <v>3318</v>
      </c>
      <c r="G1263" s="31">
        <f t="shared" si="19"/>
        <v>0</v>
      </c>
      <c r="H1263" s="39" t="s">
        <v>17</v>
      </c>
      <c r="I1263" s="3"/>
      <c r="J1263" s="42"/>
      <c r="K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</row>
    <row r="1264" spans="1:22" x14ac:dyDescent="0.25">
      <c r="A1264" s="20">
        <v>42048</v>
      </c>
      <c r="B1264" s="21">
        <v>11961</v>
      </c>
      <c r="C1264" s="14" t="s">
        <v>128</v>
      </c>
      <c r="D1264" s="105">
        <v>5070</v>
      </c>
      <c r="E1264" s="23">
        <v>42048</v>
      </c>
      <c r="F1264" s="106">
        <v>5070</v>
      </c>
      <c r="G1264" s="31">
        <f t="shared" si="19"/>
        <v>0</v>
      </c>
      <c r="H1264" s="39" t="s">
        <v>17</v>
      </c>
      <c r="I1264" s="3"/>
      <c r="J1264" s="42"/>
      <c r="K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</row>
    <row r="1265" spans="1:22" x14ac:dyDescent="0.25">
      <c r="A1265" s="20">
        <v>42048</v>
      </c>
      <c r="B1265" s="21">
        <v>11962</v>
      </c>
      <c r="C1265" s="14" t="s">
        <v>140</v>
      </c>
      <c r="D1265" s="105">
        <v>6740.8</v>
      </c>
      <c r="E1265" s="23">
        <v>42048</v>
      </c>
      <c r="F1265" s="106">
        <v>6740.8</v>
      </c>
      <c r="G1265" s="31">
        <f t="shared" si="19"/>
        <v>0</v>
      </c>
      <c r="H1265" s="39" t="s">
        <v>94</v>
      </c>
      <c r="I1265" s="3"/>
      <c r="J1265" s="42"/>
      <c r="K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</row>
    <row r="1266" spans="1:22" x14ac:dyDescent="0.25">
      <c r="A1266" s="20">
        <v>42048</v>
      </c>
      <c r="B1266" s="21">
        <v>11963</v>
      </c>
      <c r="C1266" s="14" t="s">
        <v>435</v>
      </c>
      <c r="D1266" s="105">
        <v>1145.4000000000001</v>
      </c>
      <c r="E1266" s="23">
        <v>42048</v>
      </c>
      <c r="F1266" s="106">
        <v>1145.4000000000001</v>
      </c>
      <c r="G1266" s="31">
        <f t="shared" si="19"/>
        <v>0</v>
      </c>
      <c r="H1266" s="39" t="s">
        <v>9</v>
      </c>
      <c r="I1266" s="3"/>
      <c r="J1266" s="42"/>
      <c r="K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</row>
    <row r="1267" spans="1:22" x14ac:dyDescent="0.25">
      <c r="A1267" s="20">
        <v>42048</v>
      </c>
      <c r="B1267" s="21">
        <v>11964</v>
      </c>
      <c r="C1267" s="14" t="s">
        <v>48</v>
      </c>
      <c r="D1267" s="105">
        <v>4302.3999999999996</v>
      </c>
      <c r="E1267" s="23">
        <v>42048</v>
      </c>
      <c r="F1267" s="106">
        <v>4302.3999999999996</v>
      </c>
      <c r="G1267" s="31">
        <f t="shared" si="19"/>
        <v>0</v>
      </c>
      <c r="H1267" s="39" t="s">
        <v>94</v>
      </c>
      <c r="I1267" s="3"/>
      <c r="J1267" s="42"/>
      <c r="K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</row>
    <row r="1268" spans="1:22" x14ac:dyDescent="0.25">
      <c r="A1268" s="20">
        <v>42048</v>
      </c>
      <c r="B1268" s="21">
        <v>11965</v>
      </c>
      <c r="C1268" s="14" t="s">
        <v>213</v>
      </c>
      <c r="D1268" s="105">
        <v>31899.439999999999</v>
      </c>
      <c r="E1268" s="23">
        <v>42048</v>
      </c>
      <c r="F1268" s="106">
        <v>31899.439999999999</v>
      </c>
      <c r="G1268" s="31">
        <f t="shared" si="19"/>
        <v>0</v>
      </c>
      <c r="H1268" s="39" t="s">
        <v>183</v>
      </c>
      <c r="I1268" s="3"/>
      <c r="J1268" s="42"/>
      <c r="K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</row>
    <row r="1269" spans="1:22" x14ac:dyDescent="0.25">
      <c r="A1269" s="20">
        <v>42048</v>
      </c>
      <c r="B1269" s="21">
        <v>11966</v>
      </c>
      <c r="C1269" s="14" t="s">
        <v>87</v>
      </c>
      <c r="D1269" s="105">
        <v>2904</v>
      </c>
      <c r="E1269" s="23">
        <v>42048</v>
      </c>
      <c r="F1269" s="106">
        <v>2904</v>
      </c>
      <c r="G1269" s="31">
        <f t="shared" si="19"/>
        <v>0</v>
      </c>
      <c r="H1269" s="39" t="s">
        <v>94</v>
      </c>
      <c r="I1269" s="3"/>
      <c r="J1269" s="42"/>
      <c r="K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</row>
    <row r="1270" spans="1:22" x14ac:dyDescent="0.25">
      <c r="A1270" s="20">
        <v>42048</v>
      </c>
      <c r="B1270" s="21">
        <v>11967</v>
      </c>
      <c r="C1270" s="14" t="s">
        <v>102</v>
      </c>
      <c r="D1270" s="105">
        <v>2376</v>
      </c>
      <c r="E1270" s="23">
        <v>42048</v>
      </c>
      <c r="F1270" s="106">
        <v>2376</v>
      </c>
      <c r="G1270" s="31">
        <f t="shared" si="19"/>
        <v>0</v>
      </c>
      <c r="H1270" s="39" t="s">
        <v>62</v>
      </c>
      <c r="I1270" s="3"/>
      <c r="J1270" s="42"/>
      <c r="K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</row>
    <row r="1271" spans="1:22" x14ac:dyDescent="0.25">
      <c r="A1271" s="20">
        <v>42048</v>
      </c>
      <c r="B1271" s="21">
        <v>11968</v>
      </c>
      <c r="C1271" s="14" t="s">
        <v>14</v>
      </c>
      <c r="D1271" s="105">
        <v>204637.09</v>
      </c>
      <c r="E1271" s="23">
        <v>42062</v>
      </c>
      <c r="F1271" s="106">
        <v>204637.09</v>
      </c>
      <c r="G1271" s="31">
        <f t="shared" si="19"/>
        <v>0</v>
      </c>
      <c r="H1271" s="39" t="s">
        <v>183</v>
      </c>
      <c r="I1271" s="3"/>
      <c r="J1271" s="42"/>
      <c r="K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</row>
    <row r="1272" spans="1:22" x14ac:dyDescent="0.25">
      <c r="A1272" s="20">
        <v>42048</v>
      </c>
      <c r="B1272" s="21">
        <v>11969</v>
      </c>
      <c r="C1272" s="14" t="s">
        <v>59</v>
      </c>
      <c r="D1272" s="105">
        <v>25999.599999999999</v>
      </c>
      <c r="E1272" s="23">
        <v>42048</v>
      </c>
      <c r="F1272" s="106">
        <v>25999.599999999999</v>
      </c>
      <c r="G1272" s="31">
        <f t="shared" si="19"/>
        <v>0</v>
      </c>
      <c r="H1272" s="39" t="s">
        <v>9</v>
      </c>
      <c r="I1272" s="3"/>
      <c r="J1272" s="42"/>
      <c r="K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</row>
    <row r="1273" spans="1:22" x14ac:dyDescent="0.25">
      <c r="A1273" s="20">
        <v>42048</v>
      </c>
      <c r="B1273" s="21">
        <v>11970</v>
      </c>
      <c r="C1273" s="14" t="s">
        <v>232</v>
      </c>
      <c r="D1273" s="105">
        <v>20419.88</v>
      </c>
      <c r="E1273" s="23">
        <v>42048</v>
      </c>
      <c r="F1273" s="106">
        <v>20419.88</v>
      </c>
      <c r="G1273" s="31">
        <f t="shared" si="19"/>
        <v>0</v>
      </c>
      <c r="H1273" s="39" t="s">
        <v>9</v>
      </c>
      <c r="I1273" s="3"/>
      <c r="J1273" s="42"/>
      <c r="K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</row>
    <row r="1274" spans="1:22" x14ac:dyDescent="0.25">
      <c r="A1274" s="20">
        <v>42048</v>
      </c>
      <c r="B1274" s="21">
        <v>11971</v>
      </c>
      <c r="C1274" s="14" t="s">
        <v>192</v>
      </c>
      <c r="D1274" s="105">
        <v>22127.599999999999</v>
      </c>
      <c r="E1274" s="30">
        <v>42071</v>
      </c>
      <c r="F1274" s="144">
        <v>22127.599999999999</v>
      </c>
      <c r="G1274" s="31">
        <f t="shared" si="19"/>
        <v>0</v>
      </c>
      <c r="H1274" s="39" t="s">
        <v>9</v>
      </c>
      <c r="I1274" s="3"/>
      <c r="J1274" s="42"/>
      <c r="K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</row>
    <row r="1275" spans="1:22" x14ac:dyDescent="0.25">
      <c r="A1275" s="20">
        <v>42048</v>
      </c>
      <c r="B1275" s="21">
        <v>11972</v>
      </c>
      <c r="C1275" s="14" t="s">
        <v>107</v>
      </c>
      <c r="D1275" s="105">
        <v>3040.4</v>
      </c>
      <c r="E1275" s="23">
        <v>42048</v>
      </c>
      <c r="F1275" s="106">
        <v>3040.4</v>
      </c>
      <c r="G1275" s="31">
        <f t="shared" si="19"/>
        <v>0</v>
      </c>
      <c r="H1275" s="39" t="s">
        <v>9</v>
      </c>
      <c r="I1275" s="3"/>
      <c r="J1275" s="42"/>
      <c r="K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</row>
    <row r="1276" spans="1:22" x14ac:dyDescent="0.25">
      <c r="A1276" s="20">
        <v>42048</v>
      </c>
      <c r="B1276" s="21">
        <v>11973</v>
      </c>
      <c r="C1276" s="14" t="s">
        <v>101</v>
      </c>
      <c r="D1276" s="105">
        <v>1011.5</v>
      </c>
      <c r="E1276" s="23">
        <v>42049</v>
      </c>
      <c r="F1276" s="106">
        <v>1011.5</v>
      </c>
      <c r="G1276" s="31">
        <f t="shared" si="19"/>
        <v>0</v>
      </c>
      <c r="H1276" s="39" t="s">
        <v>19</v>
      </c>
      <c r="I1276" s="3"/>
      <c r="J1276" s="42"/>
      <c r="K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</row>
    <row r="1277" spans="1:22" x14ac:dyDescent="0.25">
      <c r="A1277" s="20">
        <v>42048</v>
      </c>
      <c r="B1277" s="21">
        <v>11974</v>
      </c>
      <c r="C1277" s="14" t="s">
        <v>647</v>
      </c>
      <c r="D1277" s="105">
        <v>4198.3999999999996</v>
      </c>
      <c r="E1277" s="23">
        <v>42048</v>
      </c>
      <c r="F1277" s="106">
        <v>4198.3999999999996</v>
      </c>
      <c r="G1277" s="31">
        <f t="shared" si="19"/>
        <v>0</v>
      </c>
      <c r="H1277" s="39" t="s">
        <v>9</v>
      </c>
      <c r="I1277" s="3"/>
      <c r="J1277" s="42"/>
      <c r="K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</row>
    <row r="1278" spans="1:22" x14ac:dyDescent="0.25">
      <c r="A1278" s="20">
        <v>42048</v>
      </c>
      <c r="B1278" s="21">
        <v>11975</v>
      </c>
      <c r="C1278" s="14" t="s">
        <v>96</v>
      </c>
      <c r="D1278" s="105">
        <v>5992</v>
      </c>
      <c r="E1278" s="23">
        <v>42049</v>
      </c>
      <c r="F1278" s="106">
        <v>5992</v>
      </c>
      <c r="G1278" s="31">
        <f t="shared" si="19"/>
        <v>0</v>
      </c>
      <c r="H1278" s="39" t="s">
        <v>19</v>
      </c>
      <c r="I1278" s="3"/>
      <c r="J1278" s="42"/>
      <c r="K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</row>
    <row r="1279" spans="1:22" x14ac:dyDescent="0.25">
      <c r="A1279" s="20">
        <v>42048</v>
      </c>
      <c r="B1279" s="21">
        <v>11976</v>
      </c>
      <c r="C1279" s="14" t="s">
        <v>250</v>
      </c>
      <c r="D1279" s="105">
        <v>2012</v>
      </c>
      <c r="E1279" s="23">
        <v>42049</v>
      </c>
      <c r="F1279" s="106">
        <v>2012</v>
      </c>
      <c r="G1279" s="31">
        <f t="shared" si="19"/>
        <v>0</v>
      </c>
      <c r="H1279" s="39" t="s">
        <v>19</v>
      </c>
      <c r="I1279" s="3"/>
      <c r="J1279" s="42"/>
      <c r="K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</row>
    <row r="1280" spans="1:22" x14ac:dyDescent="0.25">
      <c r="A1280" s="20">
        <v>42048</v>
      </c>
      <c r="B1280" s="21">
        <v>11977</v>
      </c>
      <c r="C1280" s="14" t="s">
        <v>95</v>
      </c>
      <c r="D1280" s="105">
        <v>4165</v>
      </c>
      <c r="E1280" s="23">
        <v>42049</v>
      </c>
      <c r="F1280" s="106">
        <v>4165</v>
      </c>
      <c r="G1280" s="31">
        <f t="shared" si="19"/>
        <v>0</v>
      </c>
      <c r="H1280" s="39" t="s">
        <v>19</v>
      </c>
      <c r="I1280" s="3"/>
      <c r="J1280" s="42"/>
      <c r="K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</row>
    <row r="1281" spans="1:22" x14ac:dyDescent="0.25">
      <c r="A1281" s="20">
        <v>42048</v>
      </c>
      <c r="B1281" s="21">
        <v>11978</v>
      </c>
      <c r="C1281" s="14" t="s">
        <v>93</v>
      </c>
      <c r="D1281" s="105">
        <v>2205</v>
      </c>
      <c r="E1281" s="23">
        <v>42049</v>
      </c>
      <c r="F1281" s="106">
        <v>2205</v>
      </c>
      <c r="G1281" s="31">
        <f t="shared" si="19"/>
        <v>0</v>
      </c>
      <c r="H1281" s="39" t="s">
        <v>19</v>
      </c>
      <c r="I1281" s="3"/>
      <c r="J1281" s="42"/>
      <c r="K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</row>
    <row r="1282" spans="1:22" x14ac:dyDescent="0.25">
      <c r="A1282" s="20">
        <v>42048</v>
      </c>
      <c r="B1282" s="21">
        <v>11979</v>
      </c>
      <c r="C1282" s="14" t="s">
        <v>301</v>
      </c>
      <c r="D1282" s="105">
        <v>1976.2</v>
      </c>
      <c r="E1282" s="23">
        <v>42049</v>
      </c>
      <c r="F1282" s="106">
        <v>1976.2</v>
      </c>
      <c r="G1282" s="31">
        <f t="shared" si="19"/>
        <v>0</v>
      </c>
      <c r="H1282" s="39" t="s">
        <v>9</v>
      </c>
      <c r="I1282" s="3"/>
      <c r="J1282" s="42"/>
      <c r="K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</row>
    <row r="1283" spans="1:22" x14ac:dyDescent="0.25">
      <c r="A1283" s="20">
        <v>42048</v>
      </c>
      <c r="B1283" s="21">
        <v>11980</v>
      </c>
      <c r="C1283" s="14" t="s">
        <v>98</v>
      </c>
      <c r="D1283" s="105">
        <v>1925.6</v>
      </c>
      <c r="E1283" s="23">
        <v>42049</v>
      </c>
      <c r="F1283" s="106">
        <v>1925.6</v>
      </c>
      <c r="G1283" s="31">
        <f t="shared" ref="G1283:G1346" si="20">D1283-F1283</f>
        <v>0</v>
      </c>
      <c r="H1283" s="39" t="s">
        <v>19</v>
      </c>
      <c r="I1283" s="3"/>
      <c r="J1283" s="42"/>
      <c r="K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</row>
    <row r="1284" spans="1:22" x14ac:dyDescent="0.25">
      <c r="A1284" s="20">
        <v>42048</v>
      </c>
      <c r="B1284" s="21">
        <v>11981</v>
      </c>
      <c r="C1284" s="14" t="s">
        <v>104</v>
      </c>
      <c r="D1284" s="105">
        <v>4279.2</v>
      </c>
      <c r="E1284" s="23">
        <v>42049</v>
      </c>
      <c r="F1284" s="106">
        <v>4279.2</v>
      </c>
      <c r="G1284" s="31">
        <f t="shared" si="20"/>
        <v>0</v>
      </c>
      <c r="H1284" s="39" t="s">
        <v>19</v>
      </c>
      <c r="I1284" s="3"/>
      <c r="J1284" s="42"/>
      <c r="K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</row>
    <row r="1285" spans="1:22" x14ac:dyDescent="0.25">
      <c r="A1285" s="20">
        <v>42048</v>
      </c>
      <c r="B1285" s="21">
        <v>11982</v>
      </c>
      <c r="C1285" s="14" t="s">
        <v>136</v>
      </c>
      <c r="D1285" s="105">
        <v>37810.800000000003</v>
      </c>
      <c r="E1285" s="29" t="s">
        <v>648</v>
      </c>
      <c r="F1285" s="106">
        <f>31500+6310.8</f>
        <v>37810.800000000003</v>
      </c>
      <c r="G1285" s="31">
        <f t="shared" si="20"/>
        <v>0</v>
      </c>
      <c r="H1285" s="39" t="s">
        <v>62</v>
      </c>
      <c r="I1285" s="3"/>
      <c r="J1285" s="42"/>
      <c r="K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</row>
    <row r="1286" spans="1:22" x14ac:dyDescent="0.25">
      <c r="A1286" s="20">
        <v>42048</v>
      </c>
      <c r="B1286" s="21">
        <v>11983</v>
      </c>
      <c r="C1286" s="14" t="s">
        <v>106</v>
      </c>
      <c r="D1286" s="105">
        <v>7595.5</v>
      </c>
      <c r="E1286" s="23">
        <v>42049</v>
      </c>
      <c r="F1286" s="106">
        <v>7595.5</v>
      </c>
      <c r="G1286" s="31">
        <f t="shared" si="20"/>
        <v>0</v>
      </c>
      <c r="H1286" s="39" t="s">
        <v>19</v>
      </c>
      <c r="I1286" s="3"/>
      <c r="J1286" s="42"/>
      <c r="K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</row>
    <row r="1287" spans="1:22" x14ac:dyDescent="0.25">
      <c r="A1287" s="20">
        <v>42048</v>
      </c>
      <c r="B1287" s="21">
        <v>11984</v>
      </c>
      <c r="C1287" s="14" t="s">
        <v>71</v>
      </c>
      <c r="D1287" s="105">
        <v>1318.08</v>
      </c>
      <c r="E1287" s="23">
        <v>42048</v>
      </c>
      <c r="F1287" s="106">
        <v>1318.08</v>
      </c>
      <c r="G1287" s="31">
        <f t="shared" si="20"/>
        <v>0</v>
      </c>
      <c r="H1287" s="39" t="s">
        <v>9</v>
      </c>
      <c r="I1287" s="3"/>
      <c r="J1287" s="42"/>
      <c r="K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</row>
    <row r="1288" spans="1:22" x14ac:dyDescent="0.25">
      <c r="A1288" s="20">
        <v>42048</v>
      </c>
      <c r="B1288" s="21">
        <v>11985</v>
      </c>
      <c r="C1288" s="14" t="s">
        <v>110</v>
      </c>
      <c r="D1288" s="105">
        <v>78416.350000000006</v>
      </c>
      <c r="E1288" s="29" t="s">
        <v>649</v>
      </c>
      <c r="F1288" s="106">
        <f>12450+65966.35</f>
        <v>78416.350000000006</v>
      </c>
      <c r="G1288" s="31">
        <f t="shared" si="20"/>
        <v>0</v>
      </c>
      <c r="H1288" s="39" t="s">
        <v>183</v>
      </c>
      <c r="I1288" s="3"/>
      <c r="J1288" s="42"/>
      <c r="K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</row>
    <row r="1289" spans="1:22" x14ac:dyDescent="0.25">
      <c r="A1289" s="20">
        <v>42048</v>
      </c>
      <c r="B1289" s="21">
        <v>11986</v>
      </c>
      <c r="C1289" s="14" t="s">
        <v>64</v>
      </c>
      <c r="D1289" s="105">
        <v>1808.8</v>
      </c>
      <c r="E1289" s="23">
        <v>42048</v>
      </c>
      <c r="F1289" s="106">
        <v>1808.8</v>
      </c>
      <c r="G1289" s="31">
        <f t="shared" si="20"/>
        <v>0</v>
      </c>
      <c r="H1289" s="39" t="s">
        <v>9</v>
      </c>
      <c r="I1289" s="3"/>
      <c r="J1289" s="42"/>
      <c r="K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</row>
    <row r="1290" spans="1:22" x14ac:dyDescent="0.25">
      <c r="A1290" s="20">
        <v>42048</v>
      </c>
      <c r="B1290" s="21">
        <v>11987</v>
      </c>
      <c r="C1290" s="14" t="s">
        <v>103</v>
      </c>
      <c r="D1290" s="105">
        <v>1068</v>
      </c>
      <c r="E1290" s="23">
        <v>42053</v>
      </c>
      <c r="F1290" s="106">
        <f>53.4+1014.6</f>
        <v>1068</v>
      </c>
      <c r="G1290" s="31">
        <f t="shared" si="20"/>
        <v>0</v>
      </c>
      <c r="H1290" s="39" t="s">
        <v>9</v>
      </c>
      <c r="I1290" s="3"/>
      <c r="J1290" s="42"/>
      <c r="K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</row>
    <row r="1291" spans="1:22" x14ac:dyDescent="0.25">
      <c r="A1291" s="20">
        <v>42048</v>
      </c>
      <c r="B1291" s="21">
        <v>11988</v>
      </c>
      <c r="C1291" s="14" t="s">
        <v>24</v>
      </c>
      <c r="D1291" s="105">
        <v>135185.97</v>
      </c>
      <c r="E1291" s="23">
        <v>42063</v>
      </c>
      <c r="F1291" s="106">
        <v>135185.97</v>
      </c>
      <c r="G1291" s="31">
        <f t="shared" si="20"/>
        <v>0</v>
      </c>
      <c r="H1291" s="39" t="s">
        <v>46</v>
      </c>
      <c r="I1291" s="3"/>
      <c r="J1291" s="42"/>
      <c r="K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</row>
    <row r="1292" spans="1:22" x14ac:dyDescent="0.25">
      <c r="A1292" s="20">
        <v>42048</v>
      </c>
      <c r="B1292" s="21">
        <v>11989</v>
      </c>
      <c r="C1292" s="14" t="s">
        <v>50</v>
      </c>
      <c r="D1292" s="105">
        <v>4275</v>
      </c>
      <c r="E1292" s="23">
        <v>42049</v>
      </c>
      <c r="F1292" s="106">
        <v>4275</v>
      </c>
      <c r="G1292" s="31">
        <f t="shared" si="20"/>
        <v>0</v>
      </c>
      <c r="H1292" s="39" t="s">
        <v>9</v>
      </c>
      <c r="I1292" s="3"/>
      <c r="J1292" s="42"/>
      <c r="K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</row>
    <row r="1293" spans="1:22" x14ac:dyDescent="0.25">
      <c r="A1293" s="20">
        <v>42048</v>
      </c>
      <c r="B1293" s="21">
        <v>11990</v>
      </c>
      <c r="C1293" s="14" t="s">
        <v>20</v>
      </c>
      <c r="D1293" s="105">
        <v>2072.3000000000002</v>
      </c>
      <c r="E1293" s="23">
        <v>42048</v>
      </c>
      <c r="F1293" s="106">
        <v>2072.3000000000002</v>
      </c>
      <c r="G1293" s="31">
        <f t="shared" si="20"/>
        <v>0</v>
      </c>
      <c r="H1293" s="39" t="s">
        <v>9</v>
      </c>
      <c r="I1293" s="3"/>
      <c r="J1293" s="42"/>
      <c r="K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</row>
    <row r="1294" spans="1:22" x14ac:dyDescent="0.25">
      <c r="A1294" s="20">
        <v>42048</v>
      </c>
      <c r="B1294" s="21">
        <v>11991</v>
      </c>
      <c r="C1294" s="14" t="s">
        <v>267</v>
      </c>
      <c r="D1294" s="105">
        <v>5042.8</v>
      </c>
      <c r="E1294" s="23">
        <v>42049</v>
      </c>
      <c r="F1294" s="106">
        <v>5042.8</v>
      </c>
      <c r="G1294" s="31">
        <f t="shared" si="20"/>
        <v>0</v>
      </c>
      <c r="H1294" s="39" t="s">
        <v>9</v>
      </c>
      <c r="I1294" s="3"/>
      <c r="J1294" s="42"/>
      <c r="K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</row>
    <row r="1295" spans="1:22" x14ac:dyDescent="0.25">
      <c r="A1295" s="20">
        <v>42048</v>
      </c>
      <c r="B1295" s="21">
        <v>11992</v>
      </c>
      <c r="C1295" s="14" t="s">
        <v>112</v>
      </c>
      <c r="D1295" s="105">
        <v>12388.2</v>
      </c>
      <c r="E1295" s="29" t="s">
        <v>650</v>
      </c>
      <c r="F1295" s="106">
        <f>9800+2588.2</f>
        <v>12388.2</v>
      </c>
      <c r="G1295" s="31">
        <f t="shared" si="20"/>
        <v>0</v>
      </c>
      <c r="H1295" s="39" t="s">
        <v>9</v>
      </c>
      <c r="I1295" s="3"/>
      <c r="J1295" s="42"/>
      <c r="K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</row>
    <row r="1296" spans="1:22" x14ac:dyDescent="0.25">
      <c r="A1296" s="20">
        <v>42048</v>
      </c>
      <c r="B1296" s="21">
        <v>11993</v>
      </c>
      <c r="C1296" s="14" t="s">
        <v>111</v>
      </c>
      <c r="D1296" s="105">
        <v>159189</v>
      </c>
      <c r="E1296" s="23">
        <v>42051</v>
      </c>
      <c r="F1296" s="106">
        <v>159189</v>
      </c>
      <c r="G1296" s="31">
        <f t="shared" si="20"/>
        <v>0</v>
      </c>
      <c r="H1296" s="39" t="s">
        <v>9</v>
      </c>
      <c r="I1296" s="3"/>
      <c r="J1296" s="42"/>
      <c r="K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</row>
    <row r="1297" spans="1:22" x14ac:dyDescent="0.25">
      <c r="A1297" s="20">
        <v>42048</v>
      </c>
      <c r="B1297" s="21">
        <v>11994</v>
      </c>
      <c r="C1297" s="14" t="s">
        <v>80</v>
      </c>
      <c r="D1297" s="105">
        <v>3969.4</v>
      </c>
      <c r="E1297" s="23">
        <v>42048</v>
      </c>
      <c r="F1297" s="106">
        <v>3969.4</v>
      </c>
      <c r="G1297" s="31">
        <f t="shared" si="20"/>
        <v>0</v>
      </c>
      <c r="H1297" s="39" t="s">
        <v>9</v>
      </c>
      <c r="I1297" s="3"/>
      <c r="J1297" s="42"/>
      <c r="K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</row>
    <row r="1298" spans="1:22" x14ac:dyDescent="0.25">
      <c r="A1298" s="20">
        <v>42048</v>
      </c>
      <c r="B1298" s="21">
        <v>11995</v>
      </c>
      <c r="C1298" s="14" t="s">
        <v>80</v>
      </c>
      <c r="D1298" s="105">
        <v>7524.8</v>
      </c>
      <c r="E1298" s="23">
        <v>42048</v>
      </c>
      <c r="F1298" s="106">
        <v>7524.8</v>
      </c>
      <c r="G1298" s="31">
        <f t="shared" si="20"/>
        <v>0</v>
      </c>
      <c r="H1298" s="39" t="s">
        <v>59</v>
      </c>
      <c r="I1298" s="3"/>
      <c r="J1298" s="42"/>
      <c r="K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</row>
    <row r="1299" spans="1:22" x14ac:dyDescent="0.25">
      <c r="A1299" s="20">
        <v>42048</v>
      </c>
      <c r="B1299" s="21">
        <v>11996</v>
      </c>
      <c r="C1299" s="14" t="s">
        <v>168</v>
      </c>
      <c r="D1299" s="105">
        <v>10911.8</v>
      </c>
      <c r="E1299" s="51">
        <v>42048</v>
      </c>
      <c r="F1299" s="106">
        <v>10911.8</v>
      </c>
      <c r="G1299" s="31">
        <f t="shared" si="20"/>
        <v>0</v>
      </c>
      <c r="H1299" s="39" t="s">
        <v>46</v>
      </c>
      <c r="I1299" s="3"/>
      <c r="J1299" s="42"/>
      <c r="K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</row>
    <row r="1300" spans="1:22" x14ac:dyDescent="0.25">
      <c r="A1300" s="20">
        <v>42048</v>
      </c>
      <c r="B1300" s="21">
        <v>11997</v>
      </c>
      <c r="C1300" s="14" t="s">
        <v>651</v>
      </c>
      <c r="D1300" s="105">
        <v>32089.599999999999</v>
      </c>
      <c r="E1300" s="23">
        <v>42049</v>
      </c>
      <c r="F1300" s="106">
        <v>32089.599999999999</v>
      </c>
      <c r="G1300" s="31">
        <f t="shared" si="20"/>
        <v>0</v>
      </c>
      <c r="H1300" s="39" t="s">
        <v>36</v>
      </c>
      <c r="I1300" s="3"/>
      <c r="J1300" s="42"/>
      <c r="K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</row>
    <row r="1301" spans="1:22" x14ac:dyDescent="0.25">
      <c r="A1301" s="20">
        <v>42048</v>
      </c>
      <c r="B1301" s="21">
        <v>11998</v>
      </c>
      <c r="C1301" s="14" t="s">
        <v>55</v>
      </c>
      <c r="D1301" s="105">
        <v>23411.55</v>
      </c>
      <c r="E1301" s="23">
        <v>42049</v>
      </c>
      <c r="F1301" s="106">
        <v>23411.55</v>
      </c>
      <c r="G1301" s="31">
        <f t="shared" si="20"/>
        <v>0</v>
      </c>
      <c r="H1301" s="39" t="s">
        <v>17</v>
      </c>
      <c r="I1301" s="3"/>
      <c r="J1301" s="42"/>
      <c r="K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</row>
    <row r="1302" spans="1:22" x14ac:dyDescent="0.25">
      <c r="A1302" s="20">
        <v>42048</v>
      </c>
      <c r="B1302" s="21">
        <v>11999</v>
      </c>
      <c r="C1302" s="14" t="s">
        <v>24</v>
      </c>
      <c r="D1302" s="105">
        <v>89820.4</v>
      </c>
      <c r="E1302" s="23">
        <v>42063</v>
      </c>
      <c r="F1302" s="106">
        <v>89820.4</v>
      </c>
      <c r="G1302" s="31">
        <f t="shared" si="20"/>
        <v>0</v>
      </c>
      <c r="H1302" s="39"/>
      <c r="I1302" s="3"/>
      <c r="J1302" s="42"/>
      <c r="K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</row>
    <row r="1303" spans="1:22" x14ac:dyDescent="0.25">
      <c r="A1303" s="20">
        <v>42049</v>
      </c>
      <c r="B1303" s="21">
        <v>12000</v>
      </c>
      <c r="C1303" s="14" t="s">
        <v>14</v>
      </c>
      <c r="D1303" s="105">
        <v>25827</v>
      </c>
      <c r="E1303" s="23">
        <v>42062</v>
      </c>
      <c r="F1303" s="106">
        <v>25827</v>
      </c>
      <c r="G1303" s="31">
        <f t="shared" si="20"/>
        <v>0</v>
      </c>
      <c r="H1303" s="39" t="s">
        <v>15</v>
      </c>
      <c r="I1303" s="3"/>
      <c r="J1303" s="42"/>
      <c r="K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</row>
    <row r="1304" spans="1:22" x14ac:dyDescent="0.25">
      <c r="A1304" s="20">
        <v>42049</v>
      </c>
      <c r="B1304" s="21">
        <v>12001</v>
      </c>
      <c r="C1304" s="14" t="s">
        <v>11</v>
      </c>
      <c r="D1304" s="105">
        <v>14315.4</v>
      </c>
      <c r="E1304" s="23">
        <v>42049</v>
      </c>
      <c r="F1304" s="106">
        <v>14315.4</v>
      </c>
      <c r="G1304" s="31">
        <f t="shared" si="20"/>
        <v>0</v>
      </c>
      <c r="H1304" s="39" t="s">
        <v>9</v>
      </c>
      <c r="I1304" s="3"/>
      <c r="J1304" s="42"/>
      <c r="K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</row>
    <row r="1305" spans="1:22" x14ac:dyDescent="0.25">
      <c r="A1305" s="20">
        <v>42049</v>
      </c>
      <c r="B1305" s="21">
        <v>12002</v>
      </c>
      <c r="C1305" s="14" t="s">
        <v>121</v>
      </c>
      <c r="D1305" s="105">
        <v>3409.6</v>
      </c>
      <c r="E1305" s="23">
        <v>42049</v>
      </c>
      <c r="F1305" s="106">
        <v>3409.6</v>
      </c>
      <c r="G1305" s="31">
        <f t="shared" si="20"/>
        <v>0</v>
      </c>
      <c r="H1305" s="39" t="s">
        <v>9</v>
      </c>
      <c r="I1305" s="3"/>
      <c r="J1305" s="42"/>
      <c r="K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</row>
    <row r="1306" spans="1:22" x14ac:dyDescent="0.25">
      <c r="A1306" s="20">
        <v>42049</v>
      </c>
      <c r="B1306" s="21">
        <v>12003</v>
      </c>
      <c r="C1306" s="14" t="s">
        <v>21</v>
      </c>
      <c r="D1306" s="105">
        <v>8004</v>
      </c>
      <c r="E1306" s="23">
        <v>42049</v>
      </c>
      <c r="F1306" s="106">
        <v>8004</v>
      </c>
      <c r="G1306" s="31">
        <f t="shared" si="20"/>
        <v>0</v>
      </c>
      <c r="H1306" s="39" t="s">
        <v>9</v>
      </c>
      <c r="I1306" s="3"/>
      <c r="J1306" s="42"/>
      <c r="K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</row>
    <row r="1307" spans="1:22" x14ac:dyDescent="0.25">
      <c r="A1307" s="20">
        <v>42049</v>
      </c>
      <c r="B1307" s="21">
        <v>12004</v>
      </c>
      <c r="C1307" s="14" t="s">
        <v>555</v>
      </c>
      <c r="D1307" s="105">
        <v>64577.1</v>
      </c>
      <c r="E1307" s="23">
        <v>42053</v>
      </c>
      <c r="F1307" s="106">
        <v>64577.1</v>
      </c>
      <c r="G1307" s="31">
        <f t="shared" si="20"/>
        <v>0</v>
      </c>
      <c r="H1307" s="39" t="s">
        <v>36</v>
      </c>
      <c r="I1307" s="3"/>
      <c r="J1307" s="42"/>
      <c r="K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</row>
    <row r="1308" spans="1:22" x14ac:dyDescent="0.25">
      <c r="A1308" s="20">
        <v>42049</v>
      </c>
      <c r="B1308" s="21">
        <v>12005</v>
      </c>
      <c r="C1308" s="14" t="s">
        <v>215</v>
      </c>
      <c r="D1308" s="105">
        <v>24252.2</v>
      </c>
      <c r="E1308" s="23">
        <v>42049</v>
      </c>
      <c r="F1308" s="106">
        <v>24252.2</v>
      </c>
      <c r="G1308" s="31">
        <f t="shared" si="20"/>
        <v>0</v>
      </c>
      <c r="H1308" s="39" t="s">
        <v>36</v>
      </c>
      <c r="I1308" s="3"/>
      <c r="J1308" s="42"/>
      <c r="K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</row>
    <row r="1309" spans="1:22" x14ac:dyDescent="0.25">
      <c r="A1309" s="20">
        <v>42049</v>
      </c>
      <c r="B1309" s="21">
        <v>12006</v>
      </c>
      <c r="C1309" s="14" t="s">
        <v>20</v>
      </c>
      <c r="D1309" s="105">
        <v>31335.1</v>
      </c>
      <c r="E1309" s="29" t="s">
        <v>652</v>
      </c>
      <c r="F1309" s="106">
        <f>30000+1335.1</f>
        <v>31335.1</v>
      </c>
      <c r="G1309" s="31">
        <f t="shared" si="20"/>
        <v>0</v>
      </c>
      <c r="H1309" s="39" t="s">
        <v>94</v>
      </c>
      <c r="I1309" s="3"/>
      <c r="J1309" s="42"/>
      <c r="K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</row>
    <row r="1310" spans="1:22" x14ac:dyDescent="0.25">
      <c r="A1310" s="20">
        <v>42049</v>
      </c>
      <c r="B1310" s="21">
        <v>12007</v>
      </c>
      <c r="C1310" s="14" t="s">
        <v>16</v>
      </c>
      <c r="D1310" s="105">
        <v>7030.4</v>
      </c>
      <c r="E1310" s="23">
        <v>42049</v>
      </c>
      <c r="F1310" s="106">
        <v>7030.4</v>
      </c>
      <c r="G1310" s="31">
        <f t="shared" si="20"/>
        <v>0</v>
      </c>
      <c r="H1310" s="19" t="s">
        <v>9</v>
      </c>
      <c r="I1310" s="3"/>
      <c r="J1310" s="42"/>
      <c r="K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</row>
    <row r="1311" spans="1:22" x14ac:dyDescent="0.25">
      <c r="A1311" s="20">
        <v>42049</v>
      </c>
      <c r="B1311" s="21">
        <v>12008</v>
      </c>
      <c r="C1311" s="14" t="s">
        <v>58</v>
      </c>
      <c r="D1311" s="105">
        <v>1080</v>
      </c>
      <c r="E1311" s="23">
        <v>42049</v>
      </c>
      <c r="F1311" s="106">
        <v>1080</v>
      </c>
      <c r="G1311" s="31">
        <f t="shared" si="20"/>
        <v>0</v>
      </c>
      <c r="H1311" s="57" t="s">
        <v>59</v>
      </c>
      <c r="I1311" s="3"/>
      <c r="J1311" s="42"/>
      <c r="K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</row>
    <row r="1312" spans="1:22" x14ac:dyDescent="0.25">
      <c r="A1312" s="20">
        <v>42049</v>
      </c>
      <c r="B1312" s="21">
        <v>12009</v>
      </c>
      <c r="C1312" s="14" t="s">
        <v>148</v>
      </c>
      <c r="D1312" s="105">
        <v>6447.2</v>
      </c>
      <c r="E1312" s="23">
        <v>42049</v>
      </c>
      <c r="F1312" s="106">
        <v>6447.2</v>
      </c>
      <c r="G1312" s="31">
        <f t="shared" si="20"/>
        <v>0</v>
      </c>
      <c r="H1312" s="19" t="s">
        <v>19</v>
      </c>
      <c r="I1312" s="3"/>
      <c r="J1312" s="42"/>
      <c r="K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</row>
    <row r="1313" spans="1:22" x14ac:dyDescent="0.25">
      <c r="A1313" s="20">
        <v>42049</v>
      </c>
      <c r="B1313" s="21">
        <v>12010</v>
      </c>
      <c r="C1313" s="14" t="s">
        <v>116</v>
      </c>
      <c r="D1313" s="105">
        <v>4627.8</v>
      </c>
      <c r="E1313" s="23">
        <v>42049</v>
      </c>
      <c r="F1313" s="106">
        <v>4627.8</v>
      </c>
      <c r="G1313" s="31">
        <f t="shared" si="20"/>
        <v>0</v>
      </c>
      <c r="H1313" s="19" t="s">
        <v>9</v>
      </c>
      <c r="I1313" s="3"/>
      <c r="J1313" s="42"/>
      <c r="K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</row>
    <row r="1314" spans="1:22" x14ac:dyDescent="0.25">
      <c r="A1314" s="20">
        <v>42049</v>
      </c>
      <c r="B1314" s="21">
        <v>12011</v>
      </c>
      <c r="C1314" s="14" t="s">
        <v>31</v>
      </c>
      <c r="D1314" s="105">
        <v>2355.1999999999998</v>
      </c>
      <c r="E1314" s="23">
        <v>42049</v>
      </c>
      <c r="F1314" s="106">
        <v>2355.1999999999998</v>
      </c>
      <c r="G1314" s="31">
        <f t="shared" si="20"/>
        <v>0</v>
      </c>
      <c r="H1314" s="19" t="s">
        <v>19</v>
      </c>
      <c r="I1314" s="3"/>
      <c r="J1314" s="42"/>
      <c r="K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</row>
    <row r="1315" spans="1:22" x14ac:dyDescent="0.25">
      <c r="A1315" s="20">
        <v>42049</v>
      </c>
      <c r="B1315" s="21">
        <v>12012</v>
      </c>
      <c r="C1315" s="14" t="s">
        <v>100</v>
      </c>
      <c r="D1315" s="105">
        <v>6156.4</v>
      </c>
      <c r="E1315" s="23">
        <v>42049</v>
      </c>
      <c r="F1315" s="106">
        <v>6156.4</v>
      </c>
      <c r="G1315" s="31">
        <f t="shared" si="20"/>
        <v>0</v>
      </c>
      <c r="H1315" s="19" t="s">
        <v>9</v>
      </c>
      <c r="I1315" s="3"/>
      <c r="J1315" s="42"/>
      <c r="K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</row>
    <row r="1316" spans="1:22" x14ac:dyDescent="0.25">
      <c r="A1316" s="20">
        <v>42049</v>
      </c>
      <c r="B1316" s="21">
        <v>12013</v>
      </c>
      <c r="C1316" s="14" t="s">
        <v>45</v>
      </c>
      <c r="D1316" s="105">
        <v>5974.5</v>
      </c>
      <c r="E1316" s="23">
        <v>42062</v>
      </c>
      <c r="F1316" s="106">
        <v>5974.5</v>
      </c>
      <c r="G1316" s="31">
        <f t="shared" si="20"/>
        <v>0</v>
      </c>
      <c r="H1316" s="19" t="s">
        <v>19</v>
      </c>
      <c r="I1316" s="3"/>
      <c r="J1316" s="42"/>
      <c r="K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</row>
    <row r="1317" spans="1:22" x14ac:dyDescent="0.25">
      <c r="A1317" s="20">
        <v>42049</v>
      </c>
      <c r="B1317" s="21">
        <v>12014</v>
      </c>
      <c r="C1317" s="14" t="s">
        <v>57</v>
      </c>
      <c r="D1317" s="105">
        <v>1800</v>
      </c>
      <c r="E1317" s="23">
        <v>42049</v>
      </c>
      <c r="F1317" s="106">
        <v>1800</v>
      </c>
      <c r="G1317" s="31">
        <f t="shared" si="20"/>
        <v>0</v>
      </c>
      <c r="H1317" s="19" t="s">
        <v>59</v>
      </c>
      <c r="I1317" s="3"/>
      <c r="J1317" s="42"/>
      <c r="K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</row>
    <row r="1318" spans="1:22" x14ac:dyDescent="0.25">
      <c r="A1318" s="20">
        <v>42049</v>
      </c>
      <c r="B1318" s="21">
        <v>12015</v>
      </c>
      <c r="C1318" s="14" t="s">
        <v>23</v>
      </c>
      <c r="D1318" s="105">
        <v>3436.4</v>
      </c>
      <c r="E1318" s="23">
        <v>42049</v>
      </c>
      <c r="F1318" s="106">
        <v>3436.4</v>
      </c>
      <c r="G1318" s="31">
        <f t="shared" si="20"/>
        <v>0</v>
      </c>
      <c r="H1318" s="19" t="s">
        <v>9</v>
      </c>
      <c r="I1318" s="3"/>
      <c r="J1318" s="42"/>
      <c r="K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</row>
    <row r="1319" spans="1:22" x14ac:dyDescent="0.25">
      <c r="A1319" s="20">
        <v>42049</v>
      </c>
      <c r="B1319" s="21">
        <v>12016</v>
      </c>
      <c r="C1319" s="14" t="s">
        <v>14</v>
      </c>
      <c r="D1319" s="105">
        <v>14852.6</v>
      </c>
      <c r="E1319" s="23">
        <v>42062</v>
      </c>
      <c r="F1319" s="106">
        <v>14852.6</v>
      </c>
      <c r="G1319" s="31">
        <f t="shared" si="20"/>
        <v>0</v>
      </c>
      <c r="H1319" s="19" t="s">
        <v>9</v>
      </c>
      <c r="I1319" s="3"/>
      <c r="J1319" s="42"/>
      <c r="K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</row>
    <row r="1320" spans="1:22" x14ac:dyDescent="0.25">
      <c r="A1320" s="20">
        <v>42049</v>
      </c>
      <c r="B1320" s="21">
        <v>12017</v>
      </c>
      <c r="C1320" s="14" t="s">
        <v>375</v>
      </c>
      <c r="D1320" s="105">
        <v>1444.8</v>
      </c>
      <c r="E1320" s="23">
        <v>42049</v>
      </c>
      <c r="F1320" s="106">
        <v>1444.8</v>
      </c>
      <c r="G1320" s="31">
        <f t="shared" si="20"/>
        <v>0</v>
      </c>
      <c r="H1320" s="19" t="s">
        <v>9</v>
      </c>
      <c r="I1320" s="3"/>
      <c r="J1320" s="42"/>
      <c r="K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</row>
    <row r="1321" spans="1:22" x14ac:dyDescent="0.25">
      <c r="A1321" s="20">
        <v>42049</v>
      </c>
      <c r="B1321" s="21">
        <v>12018</v>
      </c>
      <c r="C1321" s="14" t="s">
        <v>137</v>
      </c>
      <c r="D1321" s="105">
        <v>1547.6</v>
      </c>
      <c r="E1321" s="23">
        <v>42049</v>
      </c>
      <c r="F1321" s="106">
        <v>1547.6</v>
      </c>
      <c r="G1321" s="31">
        <f t="shared" si="20"/>
        <v>0</v>
      </c>
      <c r="H1321" s="19" t="s">
        <v>9</v>
      </c>
      <c r="I1321" s="3"/>
      <c r="J1321" s="42"/>
      <c r="K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</row>
    <row r="1322" spans="1:22" x14ac:dyDescent="0.25">
      <c r="A1322" s="20">
        <v>42049</v>
      </c>
      <c r="B1322" s="21">
        <v>12019</v>
      </c>
      <c r="C1322" s="14" t="s">
        <v>88</v>
      </c>
      <c r="D1322" s="105">
        <v>1640.3</v>
      </c>
      <c r="E1322" s="23">
        <v>42049</v>
      </c>
      <c r="F1322" s="106">
        <v>1640.3</v>
      </c>
      <c r="G1322" s="31">
        <f t="shared" si="20"/>
        <v>0</v>
      </c>
      <c r="H1322" s="19" t="s">
        <v>9</v>
      </c>
      <c r="I1322" s="3"/>
      <c r="J1322" s="42"/>
      <c r="K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</row>
    <row r="1323" spans="1:22" x14ac:dyDescent="0.25">
      <c r="A1323" s="20">
        <v>42049</v>
      </c>
      <c r="B1323" s="21">
        <v>12020</v>
      </c>
      <c r="C1323" s="14" t="s">
        <v>291</v>
      </c>
      <c r="D1323" s="105">
        <v>6764.32</v>
      </c>
      <c r="E1323" s="23">
        <v>42049</v>
      </c>
      <c r="F1323" s="106">
        <v>6764.32</v>
      </c>
      <c r="G1323" s="31">
        <f t="shared" si="20"/>
        <v>0</v>
      </c>
      <c r="H1323" s="19" t="s">
        <v>9</v>
      </c>
      <c r="I1323" s="3"/>
      <c r="J1323" s="42"/>
      <c r="K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</row>
    <row r="1324" spans="1:22" x14ac:dyDescent="0.25">
      <c r="A1324" s="20">
        <v>42049</v>
      </c>
      <c r="B1324" s="21">
        <v>12021</v>
      </c>
      <c r="C1324" s="14" t="s">
        <v>296</v>
      </c>
      <c r="D1324" s="105">
        <v>1601.1</v>
      </c>
      <c r="E1324" s="23">
        <v>42049</v>
      </c>
      <c r="F1324" s="106">
        <v>1601.1</v>
      </c>
      <c r="G1324" s="31">
        <f t="shared" si="20"/>
        <v>0</v>
      </c>
      <c r="H1324" s="19" t="s">
        <v>9</v>
      </c>
      <c r="I1324" s="3"/>
      <c r="J1324" s="42"/>
      <c r="K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</row>
    <row r="1325" spans="1:22" x14ac:dyDescent="0.25">
      <c r="A1325" s="20">
        <v>42049</v>
      </c>
      <c r="B1325" s="21">
        <v>12022</v>
      </c>
      <c r="C1325" s="14" t="s">
        <v>375</v>
      </c>
      <c r="D1325" s="105">
        <v>5468.2</v>
      </c>
      <c r="E1325" s="23">
        <v>42049</v>
      </c>
      <c r="F1325" s="106">
        <v>5468.2</v>
      </c>
      <c r="G1325" s="31">
        <f t="shared" si="20"/>
        <v>0</v>
      </c>
      <c r="H1325" s="19" t="s">
        <v>9</v>
      </c>
      <c r="I1325" s="3"/>
      <c r="J1325" s="42"/>
      <c r="K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</row>
    <row r="1326" spans="1:22" x14ac:dyDescent="0.25">
      <c r="A1326" s="20">
        <v>42049</v>
      </c>
      <c r="B1326" s="21">
        <v>12023</v>
      </c>
      <c r="C1326" s="14" t="s">
        <v>47</v>
      </c>
      <c r="D1326" s="105">
        <v>25428.799999999999</v>
      </c>
      <c r="E1326" s="23">
        <v>42049</v>
      </c>
      <c r="F1326" s="106">
        <v>25428.799999999999</v>
      </c>
      <c r="G1326" s="31">
        <f t="shared" si="20"/>
        <v>0</v>
      </c>
      <c r="H1326" s="19" t="s">
        <v>36</v>
      </c>
      <c r="I1326" s="3"/>
      <c r="J1326" s="42"/>
      <c r="K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</row>
    <row r="1327" spans="1:22" x14ac:dyDescent="0.25">
      <c r="A1327" s="20">
        <v>42049</v>
      </c>
      <c r="B1327" s="21">
        <v>12024</v>
      </c>
      <c r="C1327" s="14" t="s">
        <v>37</v>
      </c>
      <c r="D1327" s="105">
        <v>24265.8</v>
      </c>
      <c r="E1327" s="23">
        <v>42054</v>
      </c>
      <c r="F1327" s="106">
        <v>24265.8</v>
      </c>
      <c r="G1327" s="31">
        <f t="shared" si="20"/>
        <v>0</v>
      </c>
      <c r="H1327" s="19" t="s">
        <v>36</v>
      </c>
      <c r="I1327" s="3"/>
      <c r="J1327" s="42"/>
      <c r="K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</row>
    <row r="1328" spans="1:22" x14ac:dyDescent="0.25">
      <c r="A1328" s="20">
        <v>42049</v>
      </c>
      <c r="B1328" s="21">
        <v>12025</v>
      </c>
      <c r="C1328" s="14" t="s">
        <v>35</v>
      </c>
      <c r="D1328" s="105">
        <v>23457.45</v>
      </c>
      <c r="E1328" s="23">
        <v>42049</v>
      </c>
      <c r="F1328" s="106">
        <v>23457.45</v>
      </c>
      <c r="G1328" s="31">
        <f t="shared" si="20"/>
        <v>0</v>
      </c>
      <c r="H1328" s="19" t="s">
        <v>36</v>
      </c>
      <c r="I1328" s="3"/>
      <c r="J1328" s="42"/>
      <c r="K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</row>
    <row r="1329" spans="1:22" x14ac:dyDescent="0.25">
      <c r="A1329" s="20">
        <v>42049</v>
      </c>
      <c r="B1329" s="21">
        <v>12026</v>
      </c>
      <c r="C1329" s="14" t="s">
        <v>128</v>
      </c>
      <c r="D1329" s="105">
        <v>5252</v>
      </c>
      <c r="E1329" s="23">
        <v>42049</v>
      </c>
      <c r="F1329" s="106">
        <v>5252</v>
      </c>
      <c r="G1329" s="31">
        <f t="shared" si="20"/>
        <v>0</v>
      </c>
      <c r="H1329" s="19" t="s">
        <v>17</v>
      </c>
      <c r="I1329" s="3"/>
      <c r="J1329" s="42"/>
      <c r="K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</row>
    <row r="1330" spans="1:22" x14ac:dyDescent="0.25">
      <c r="A1330" s="20">
        <v>42049</v>
      </c>
      <c r="B1330" s="21">
        <v>12027</v>
      </c>
      <c r="C1330" s="14" t="s">
        <v>63</v>
      </c>
      <c r="D1330" s="105">
        <v>2272</v>
      </c>
      <c r="E1330" s="23">
        <v>42049</v>
      </c>
      <c r="F1330" s="106">
        <v>2272</v>
      </c>
      <c r="G1330" s="31">
        <f t="shared" si="20"/>
        <v>0</v>
      </c>
      <c r="H1330" s="19" t="s">
        <v>36</v>
      </c>
      <c r="K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</row>
    <row r="1331" spans="1:22" x14ac:dyDescent="0.25">
      <c r="A1331" s="20">
        <v>42049</v>
      </c>
      <c r="B1331" s="21">
        <v>12028</v>
      </c>
      <c r="C1331" s="14" t="s">
        <v>653</v>
      </c>
      <c r="D1331" s="105">
        <v>1368</v>
      </c>
      <c r="E1331" s="23">
        <v>42049</v>
      </c>
      <c r="F1331" s="106">
        <v>1368</v>
      </c>
      <c r="G1331" s="31">
        <f t="shared" si="20"/>
        <v>0</v>
      </c>
      <c r="H1331" s="19" t="s">
        <v>9</v>
      </c>
      <c r="K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</row>
    <row r="1332" spans="1:22" x14ac:dyDescent="0.25">
      <c r="A1332" s="20">
        <v>42049</v>
      </c>
      <c r="B1332" s="21">
        <v>12029</v>
      </c>
      <c r="C1332" s="14" t="s">
        <v>654</v>
      </c>
      <c r="D1332" s="105">
        <v>2988.6</v>
      </c>
      <c r="E1332" s="23">
        <v>42049</v>
      </c>
      <c r="F1332" s="106">
        <v>2988.6</v>
      </c>
      <c r="G1332" s="31">
        <f t="shared" si="20"/>
        <v>0</v>
      </c>
      <c r="H1332" s="19" t="s">
        <v>9</v>
      </c>
      <c r="K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</row>
    <row r="1333" spans="1:22" x14ac:dyDescent="0.25">
      <c r="A1333" s="20">
        <v>42049</v>
      </c>
      <c r="B1333" s="21">
        <v>12030</v>
      </c>
      <c r="C1333" s="14" t="s">
        <v>400</v>
      </c>
      <c r="D1333" s="105">
        <v>2312</v>
      </c>
      <c r="E1333" s="23">
        <v>42049</v>
      </c>
      <c r="F1333" s="106">
        <v>2312</v>
      </c>
      <c r="G1333" s="31">
        <f t="shared" si="20"/>
        <v>0</v>
      </c>
      <c r="H1333" s="19" t="s">
        <v>9</v>
      </c>
      <c r="K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</row>
    <row r="1334" spans="1:22" x14ac:dyDescent="0.25">
      <c r="A1334" s="20">
        <v>42049</v>
      </c>
      <c r="B1334" s="21">
        <v>12031</v>
      </c>
      <c r="C1334" s="14" t="s">
        <v>131</v>
      </c>
      <c r="D1334" s="105">
        <v>21512</v>
      </c>
      <c r="E1334" s="23">
        <v>42051</v>
      </c>
      <c r="F1334" s="106">
        <v>21512</v>
      </c>
      <c r="G1334" s="31">
        <f t="shared" si="20"/>
        <v>0</v>
      </c>
      <c r="H1334" s="19" t="s">
        <v>17</v>
      </c>
      <c r="K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</row>
    <row r="1335" spans="1:22" x14ac:dyDescent="0.25">
      <c r="A1335" s="20">
        <v>42049</v>
      </c>
      <c r="B1335" s="21">
        <v>12032</v>
      </c>
      <c r="C1335" s="14" t="s">
        <v>134</v>
      </c>
      <c r="D1335" s="105">
        <v>6384</v>
      </c>
      <c r="E1335" s="23">
        <v>42051</v>
      </c>
      <c r="F1335" s="106">
        <v>6384</v>
      </c>
      <c r="G1335" s="31">
        <f t="shared" si="20"/>
        <v>0</v>
      </c>
      <c r="H1335" s="19" t="s">
        <v>36</v>
      </c>
      <c r="K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</row>
    <row r="1336" spans="1:22" x14ac:dyDescent="0.25">
      <c r="A1336" s="20">
        <v>42049</v>
      </c>
      <c r="B1336" s="21">
        <v>12033</v>
      </c>
      <c r="C1336" s="14" t="s">
        <v>130</v>
      </c>
      <c r="D1336" s="105">
        <v>9718.2999999999993</v>
      </c>
      <c r="E1336" s="23">
        <v>42050</v>
      </c>
      <c r="F1336" s="106">
        <v>9718.2999999999993</v>
      </c>
      <c r="G1336" s="31">
        <f t="shared" si="20"/>
        <v>0</v>
      </c>
      <c r="H1336" s="19" t="s">
        <v>17</v>
      </c>
      <c r="K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</row>
    <row r="1337" spans="1:22" x14ac:dyDescent="0.25">
      <c r="A1337" s="20">
        <v>42049</v>
      </c>
      <c r="B1337" s="21">
        <v>12034</v>
      </c>
      <c r="C1337" s="14" t="s">
        <v>103</v>
      </c>
      <c r="D1337" s="105">
        <v>22930</v>
      </c>
      <c r="E1337" s="23">
        <v>42053</v>
      </c>
      <c r="F1337" s="106">
        <v>22930</v>
      </c>
      <c r="G1337" s="31">
        <f t="shared" si="20"/>
        <v>0</v>
      </c>
      <c r="H1337" s="19" t="s">
        <v>46</v>
      </c>
      <c r="K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</row>
    <row r="1338" spans="1:22" x14ac:dyDescent="0.25">
      <c r="A1338" s="20">
        <v>42049</v>
      </c>
      <c r="B1338" s="21">
        <v>12035</v>
      </c>
      <c r="C1338" s="14" t="s">
        <v>83</v>
      </c>
      <c r="D1338" s="105">
        <v>7672</v>
      </c>
      <c r="E1338" s="23">
        <v>42049</v>
      </c>
      <c r="F1338" s="106">
        <v>7672</v>
      </c>
      <c r="G1338" s="31">
        <f t="shared" si="20"/>
        <v>0</v>
      </c>
      <c r="H1338" s="19" t="s">
        <v>59</v>
      </c>
      <c r="K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</row>
    <row r="1339" spans="1:22" x14ac:dyDescent="0.25">
      <c r="A1339" s="20">
        <v>42049</v>
      </c>
      <c r="B1339" s="21">
        <v>12036</v>
      </c>
      <c r="C1339" s="14" t="s">
        <v>299</v>
      </c>
      <c r="D1339" s="105">
        <v>2970</v>
      </c>
      <c r="E1339" s="23">
        <v>42049</v>
      </c>
      <c r="F1339" s="106">
        <v>2970</v>
      </c>
      <c r="G1339" s="31">
        <f t="shared" si="20"/>
        <v>0</v>
      </c>
      <c r="H1339" s="19" t="s">
        <v>17</v>
      </c>
      <c r="K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</row>
    <row r="1340" spans="1:22" x14ac:dyDescent="0.25">
      <c r="A1340" s="20">
        <v>42049</v>
      </c>
      <c r="B1340" s="21">
        <v>12037</v>
      </c>
      <c r="C1340" s="14" t="s">
        <v>232</v>
      </c>
      <c r="D1340" s="105">
        <v>17347.2</v>
      </c>
      <c r="E1340" s="23">
        <v>42049</v>
      </c>
      <c r="F1340" s="106">
        <v>17347.2</v>
      </c>
      <c r="G1340" s="31">
        <f t="shared" si="20"/>
        <v>0</v>
      </c>
      <c r="H1340" s="19" t="s">
        <v>17</v>
      </c>
      <c r="K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</row>
    <row r="1341" spans="1:22" x14ac:dyDescent="0.25">
      <c r="A1341" s="20">
        <v>42049</v>
      </c>
      <c r="B1341" s="21">
        <v>12038</v>
      </c>
      <c r="C1341" s="14" t="s">
        <v>90</v>
      </c>
      <c r="D1341" s="105">
        <v>3979.8</v>
      </c>
      <c r="E1341" s="23">
        <v>42049</v>
      </c>
      <c r="F1341" s="106">
        <v>3979.8</v>
      </c>
      <c r="G1341" s="31">
        <f t="shared" si="20"/>
        <v>0</v>
      </c>
      <c r="H1341" s="19" t="s">
        <v>9</v>
      </c>
      <c r="K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</row>
    <row r="1342" spans="1:22" x14ac:dyDescent="0.25">
      <c r="A1342" s="20">
        <v>42049</v>
      </c>
      <c r="B1342" s="21">
        <v>12039</v>
      </c>
      <c r="C1342" s="14" t="s">
        <v>82</v>
      </c>
      <c r="D1342" s="105">
        <v>14238</v>
      </c>
      <c r="E1342" s="23">
        <v>42049</v>
      </c>
      <c r="F1342" s="106">
        <v>14238</v>
      </c>
      <c r="G1342" s="31">
        <f t="shared" si="20"/>
        <v>0</v>
      </c>
      <c r="H1342" s="19" t="s">
        <v>59</v>
      </c>
      <c r="K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</row>
    <row r="1343" spans="1:22" x14ac:dyDescent="0.25">
      <c r="A1343" s="20">
        <v>42049</v>
      </c>
      <c r="B1343" s="21">
        <v>12040</v>
      </c>
      <c r="C1343" s="14" t="s">
        <v>81</v>
      </c>
      <c r="D1343" s="105">
        <v>4104.2</v>
      </c>
      <c r="E1343" s="23">
        <v>42049</v>
      </c>
      <c r="F1343" s="106">
        <v>4104.2</v>
      </c>
      <c r="G1343" s="31">
        <f t="shared" si="20"/>
        <v>0</v>
      </c>
      <c r="H1343" s="19" t="s">
        <v>59</v>
      </c>
      <c r="K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</row>
    <row r="1344" spans="1:22" x14ac:dyDescent="0.25">
      <c r="A1344" s="20">
        <v>42049</v>
      </c>
      <c r="B1344" s="21">
        <v>12041</v>
      </c>
      <c r="C1344" s="14" t="s">
        <v>56</v>
      </c>
      <c r="D1344" s="105">
        <v>16926</v>
      </c>
      <c r="E1344" s="23">
        <v>42049</v>
      </c>
      <c r="F1344" s="106">
        <v>16926</v>
      </c>
      <c r="G1344" s="31">
        <f t="shared" si="20"/>
        <v>0</v>
      </c>
      <c r="H1344" s="19" t="s">
        <v>36</v>
      </c>
      <c r="J1344" s="107"/>
      <c r="K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</row>
    <row r="1345" spans="1:22" x14ac:dyDescent="0.25">
      <c r="A1345" s="20">
        <v>42049</v>
      </c>
      <c r="B1345" s="21">
        <v>12042</v>
      </c>
      <c r="C1345" s="14" t="s">
        <v>53</v>
      </c>
      <c r="D1345" s="105">
        <v>2557</v>
      </c>
      <c r="E1345" s="23">
        <v>42049</v>
      </c>
      <c r="F1345" s="106">
        <v>2557</v>
      </c>
      <c r="G1345" s="31">
        <f t="shared" si="20"/>
        <v>0</v>
      </c>
      <c r="H1345" s="19" t="s">
        <v>59</v>
      </c>
      <c r="J1345" s="107"/>
      <c r="K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</row>
    <row r="1346" spans="1:22" x14ac:dyDescent="0.25">
      <c r="A1346" s="20">
        <v>42049</v>
      </c>
      <c r="B1346" s="21">
        <v>12043</v>
      </c>
      <c r="C1346" s="14" t="s">
        <v>155</v>
      </c>
      <c r="D1346" s="105">
        <v>580</v>
      </c>
      <c r="E1346" s="23">
        <v>42049</v>
      </c>
      <c r="F1346" s="106">
        <v>580</v>
      </c>
      <c r="G1346" s="31">
        <f t="shared" si="20"/>
        <v>0</v>
      </c>
      <c r="H1346" s="19" t="s">
        <v>59</v>
      </c>
      <c r="J1346" s="107"/>
      <c r="K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</row>
    <row r="1347" spans="1:22" x14ac:dyDescent="0.25">
      <c r="A1347" s="20">
        <v>42049</v>
      </c>
      <c r="B1347" s="21">
        <v>12044</v>
      </c>
      <c r="C1347" s="14" t="s">
        <v>34</v>
      </c>
      <c r="D1347" s="105">
        <v>5898.9</v>
      </c>
      <c r="E1347" s="23">
        <v>42049</v>
      </c>
      <c r="F1347" s="106">
        <v>5898.9</v>
      </c>
      <c r="G1347" s="31">
        <f t="shared" ref="G1347:G1410" si="21">D1347-F1347</f>
        <v>0</v>
      </c>
      <c r="H1347" s="19" t="s">
        <v>9</v>
      </c>
      <c r="J1347" s="107"/>
      <c r="K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</row>
    <row r="1348" spans="1:22" x14ac:dyDescent="0.25">
      <c r="A1348" s="20">
        <v>42049</v>
      </c>
      <c r="B1348" s="21">
        <v>12045</v>
      </c>
      <c r="C1348" s="14" t="s">
        <v>292</v>
      </c>
      <c r="D1348" s="105">
        <v>3180</v>
      </c>
      <c r="E1348" s="23">
        <v>42049</v>
      </c>
      <c r="F1348" s="106">
        <v>3180</v>
      </c>
      <c r="G1348" s="31">
        <f t="shared" si="21"/>
        <v>0</v>
      </c>
      <c r="H1348" s="19" t="s">
        <v>59</v>
      </c>
      <c r="J1348" s="107"/>
      <c r="K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</row>
    <row r="1349" spans="1:22" x14ac:dyDescent="0.25">
      <c r="A1349" s="20">
        <v>42049</v>
      </c>
      <c r="B1349" s="21">
        <v>12046</v>
      </c>
      <c r="C1349" s="14" t="s">
        <v>151</v>
      </c>
      <c r="D1349" s="105">
        <v>13326.8</v>
      </c>
      <c r="E1349" s="23">
        <v>42051</v>
      </c>
      <c r="F1349" s="106">
        <v>13326.8</v>
      </c>
      <c r="G1349" s="31">
        <f t="shared" si="21"/>
        <v>0</v>
      </c>
      <c r="H1349" s="19" t="s">
        <v>9</v>
      </c>
      <c r="K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</row>
    <row r="1350" spans="1:22" x14ac:dyDescent="0.25">
      <c r="A1350" s="20">
        <v>42049</v>
      </c>
      <c r="B1350" s="21">
        <v>12047</v>
      </c>
      <c r="C1350" s="26" t="s">
        <v>12</v>
      </c>
      <c r="D1350" s="108">
        <v>0</v>
      </c>
      <c r="E1350" s="23"/>
      <c r="F1350" s="106"/>
      <c r="G1350" s="31">
        <f t="shared" si="21"/>
        <v>0</v>
      </c>
      <c r="H1350" s="19" t="s">
        <v>13</v>
      </c>
      <c r="K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</row>
    <row r="1351" spans="1:22" x14ac:dyDescent="0.25">
      <c r="A1351" s="20">
        <v>42049</v>
      </c>
      <c r="B1351" s="21">
        <v>12048</v>
      </c>
      <c r="C1351" s="14" t="s">
        <v>30</v>
      </c>
      <c r="D1351" s="105">
        <v>6723</v>
      </c>
      <c r="E1351" s="23">
        <v>42049</v>
      </c>
      <c r="F1351" s="106">
        <v>6723</v>
      </c>
      <c r="G1351" s="31">
        <f t="shared" si="21"/>
        <v>0</v>
      </c>
      <c r="H1351" s="19" t="s">
        <v>9</v>
      </c>
      <c r="K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</row>
    <row r="1352" spans="1:22" x14ac:dyDescent="0.25">
      <c r="A1352" s="20">
        <v>42049</v>
      </c>
      <c r="B1352" s="21">
        <v>12049</v>
      </c>
      <c r="C1352" s="14" t="s">
        <v>120</v>
      </c>
      <c r="D1352" s="105">
        <v>347.3</v>
      </c>
      <c r="E1352" s="23">
        <v>42049</v>
      </c>
      <c r="F1352" s="106">
        <v>347.3</v>
      </c>
      <c r="G1352" s="31">
        <f t="shared" si="21"/>
        <v>0</v>
      </c>
      <c r="H1352" s="19" t="s">
        <v>59</v>
      </c>
      <c r="K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</row>
    <row r="1353" spans="1:22" x14ac:dyDescent="0.25">
      <c r="A1353" s="20">
        <v>42049</v>
      </c>
      <c r="B1353" s="21">
        <v>12050</v>
      </c>
      <c r="C1353" s="14" t="s">
        <v>54</v>
      </c>
      <c r="D1353" s="105">
        <v>1800</v>
      </c>
      <c r="E1353" s="23">
        <v>42049</v>
      </c>
      <c r="F1353" s="106">
        <v>1800</v>
      </c>
      <c r="G1353" s="31">
        <f t="shared" si="21"/>
        <v>0</v>
      </c>
      <c r="H1353" s="19" t="s">
        <v>59</v>
      </c>
      <c r="K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</row>
    <row r="1354" spans="1:22" x14ac:dyDescent="0.25">
      <c r="A1354" s="20">
        <v>42049</v>
      </c>
      <c r="B1354" s="21">
        <v>12051</v>
      </c>
      <c r="C1354" s="110">
        <v>105</v>
      </c>
      <c r="D1354" s="105">
        <v>2880</v>
      </c>
      <c r="E1354" s="23">
        <v>42049</v>
      </c>
      <c r="F1354" s="106">
        <v>2880</v>
      </c>
      <c r="G1354" s="31">
        <f t="shared" si="21"/>
        <v>0</v>
      </c>
      <c r="H1354" s="19" t="s">
        <v>59</v>
      </c>
      <c r="K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</row>
    <row r="1355" spans="1:22" x14ac:dyDescent="0.25">
      <c r="A1355" s="20">
        <v>42049</v>
      </c>
      <c r="B1355" s="21">
        <v>12052</v>
      </c>
      <c r="C1355" s="14" t="s">
        <v>258</v>
      </c>
      <c r="D1355" s="105">
        <v>182</v>
      </c>
      <c r="E1355" s="23">
        <v>42049</v>
      </c>
      <c r="F1355" s="106">
        <v>182</v>
      </c>
      <c r="G1355" s="31">
        <f t="shared" si="21"/>
        <v>0</v>
      </c>
      <c r="H1355" s="19" t="s">
        <v>62</v>
      </c>
      <c r="K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</row>
    <row r="1356" spans="1:22" x14ac:dyDescent="0.25">
      <c r="A1356" s="20">
        <v>42049</v>
      </c>
      <c r="B1356" s="21">
        <v>12053</v>
      </c>
      <c r="C1356" s="14" t="s">
        <v>125</v>
      </c>
      <c r="D1356" s="105">
        <v>13965.6</v>
      </c>
      <c r="E1356" s="29" t="s">
        <v>655</v>
      </c>
      <c r="F1356" s="106">
        <f>7000+6965.6</f>
        <v>13965.6</v>
      </c>
      <c r="G1356" s="31">
        <f t="shared" si="21"/>
        <v>0</v>
      </c>
      <c r="H1356" s="19" t="s">
        <v>9</v>
      </c>
      <c r="K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</row>
    <row r="1357" spans="1:22" x14ac:dyDescent="0.25">
      <c r="A1357" s="20">
        <v>42049</v>
      </c>
      <c r="B1357" s="21">
        <v>12054</v>
      </c>
      <c r="C1357" s="14" t="s">
        <v>270</v>
      </c>
      <c r="D1357" s="105">
        <v>331.5</v>
      </c>
      <c r="E1357" s="23">
        <v>42049</v>
      </c>
      <c r="F1357" s="106">
        <v>331.5</v>
      </c>
      <c r="G1357" s="31">
        <f t="shared" si="21"/>
        <v>0</v>
      </c>
      <c r="H1357" s="19" t="s">
        <v>9</v>
      </c>
      <c r="K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</row>
    <row r="1358" spans="1:22" x14ac:dyDescent="0.25">
      <c r="A1358" s="20">
        <v>42049</v>
      </c>
      <c r="B1358" s="21">
        <v>12055</v>
      </c>
      <c r="C1358" s="14" t="s">
        <v>26</v>
      </c>
      <c r="D1358" s="105">
        <v>3312</v>
      </c>
      <c r="E1358" s="23">
        <v>42049</v>
      </c>
      <c r="F1358" s="106">
        <v>3312</v>
      </c>
      <c r="G1358" s="31">
        <f t="shared" si="21"/>
        <v>0</v>
      </c>
      <c r="H1358" s="19" t="s">
        <v>9</v>
      </c>
      <c r="K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</row>
    <row r="1359" spans="1:22" x14ac:dyDescent="0.25">
      <c r="A1359" s="20">
        <v>42049</v>
      </c>
      <c r="B1359" s="21">
        <v>12056</v>
      </c>
      <c r="C1359" s="14" t="s">
        <v>221</v>
      </c>
      <c r="D1359" s="105">
        <v>1789.4</v>
      </c>
      <c r="E1359" s="23">
        <v>42049</v>
      </c>
      <c r="F1359" s="106">
        <v>1789.4</v>
      </c>
      <c r="G1359" s="31">
        <f t="shared" si="21"/>
        <v>0</v>
      </c>
      <c r="H1359" s="19" t="s">
        <v>59</v>
      </c>
      <c r="K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</row>
    <row r="1360" spans="1:22" x14ac:dyDescent="0.25">
      <c r="A1360" s="20">
        <v>42049</v>
      </c>
      <c r="B1360" s="21">
        <v>12057</v>
      </c>
      <c r="C1360" s="14" t="s">
        <v>239</v>
      </c>
      <c r="D1360" s="105">
        <v>993.6</v>
      </c>
      <c r="E1360" s="23">
        <v>42049</v>
      </c>
      <c r="F1360" s="106">
        <v>993.6</v>
      </c>
      <c r="G1360" s="31">
        <f t="shared" si="21"/>
        <v>0</v>
      </c>
      <c r="H1360" s="19" t="s">
        <v>9</v>
      </c>
      <c r="K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</row>
    <row r="1361" spans="1:22" x14ac:dyDescent="0.25">
      <c r="A1361" s="20">
        <v>42049</v>
      </c>
      <c r="B1361" s="21">
        <v>12058</v>
      </c>
      <c r="C1361" s="14" t="s">
        <v>269</v>
      </c>
      <c r="D1361" s="105">
        <v>3250.85</v>
      </c>
      <c r="E1361" s="23">
        <v>42049</v>
      </c>
      <c r="F1361" s="106">
        <v>3250.85</v>
      </c>
      <c r="G1361" s="31">
        <f t="shared" si="21"/>
        <v>0</v>
      </c>
      <c r="H1361" s="19" t="s">
        <v>9</v>
      </c>
      <c r="K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</row>
    <row r="1362" spans="1:22" x14ac:dyDescent="0.25">
      <c r="A1362" s="20">
        <v>42049</v>
      </c>
      <c r="B1362" s="21">
        <v>12059</v>
      </c>
      <c r="C1362" s="14" t="s">
        <v>285</v>
      </c>
      <c r="D1362" s="105">
        <v>2550</v>
      </c>
      <c r="E1362" s="23">
        <v>42049</v>
      </c>
      <c r="F1362" s="106">
        <v>2550</v>
      </c>
      <c r="G1362" s="31">
        <f t="shared" si="21"/>
        <v>0</v>
      </c>
      <c r="H1362" s="19" t="s">
        <v>187</v>
      </c>
      <c r="I1362" s="3"/>
      <c r="J1362" s="42"/>
      <c r="K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</row>
    <row r="1363" spans="1:22" x14ac:dyDescent="0.25">
      <c r="A1363" s="20">
        <v>42049</v>
      </c>
      <c r="B1363" s="21">
        <v>12060</v>
      </c>
      <c r="C1363" s="14" t="s">
        <v>102</v>
      </c>
      <c r="D1363" s="105">
        <v>3384</v>
      </c>
      <c r="E1363" s="23">
        <v>42049</v>
      </c>
      <c r="F1363" s="106">
        <v>3384</v>
      </c>
      <c r="G1363" s="31">
        <f t="shared" si="21"/>
        <v>0</v>
      </c>
      <c r="H1363" s="19" t="s">
        <v>9</v>
      </c>
      <c r="I1363" s="3"/>
      <c r="J1363" s="42"/>
      <c r="K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</row>
    <row r="1364" spans="1:22" x14ac:dyDescent="0.25">
      <c r="A1364" s="20">
        <v>42049</v>
      </c>
      <c r="B1364" s="21">
        <v>12061</v>
      </c>
      <c r="C1364" s="14" t="s">
        <v>89</v>
      </c>
      <c r="D1364" s="105">
        <v>2067.1999999999998</v>
      </c>
      <c r="E1364" s="23">
        <v>42049</v>
      </c>
      <c r="F1364" s="106">
        <v>2067.1999999999998</v>
      </c>
      <c r="G1364" s="31">
        <f t="shared" si="21"/>
        <v>0</v>
      </c>
      <c r="H1364" s="19" t="s">
        <v>9</v>
      </c>
      <c r="I1364" s="3"/>
      <c r="J1364" s="42"/>
      <c r="K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</row>
    <row r="1365" spans="1:22" x14ac:dyDescent="0.25">
      <c r="A1365" s="20">
        <v>42049</v>
      </c>
      <c r="B1365" s="21">
        <v>12062</v>
      </c>
      <c r="C1365" s="14" t="s">
        <v>49</v>
      </c>
      <c r="D1365" s="105">
        <v>2272.4</v>
      </c>
      <c r="E1365" s="23">
        <v>42049</v>
      </c>
      <c r="F1365" s="106">
        <v>2272.4</v>
      </c>
      <c r="G1365" s="31">
        <f t="shared" si="21"/>
        <v>0</v>
      </c>
      <c r="H1365" s="19" t="s">
        <v>94</v>
      </c>
      <c r="I1365" s="3"/>
      <c r="J1365" s="42"/>
      <c r="K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</row>
    <row r="1366" spans="1:22" x14ac:dyDescent="0.25">
      <c r="A1366" s="20">
        <v>42049</v>
      </c>
      <c r="B1366" s="21">
        <v>12063</v>
      </c>
      <c r="C1366" s="14" t="s">
        <v>50</v>
      </c>
      <c r="D1366" s="105">
        <v>4504.3999999999996</v>
      </c>
      <c r="E1366" s="23">
        <v>42049</v>
      </c>
      <c r="F1366" s="106">
        <v>4504.3999999999996</v>
      </c>
      <c r="G1366" s="31">
        <f t="shared" si="21"/>
        <v>0</v>
      </c>
      <c r="H1366" s="19" t="s">
        <v>94</v>
      </c>
      <c r="I1366" s="3"/>
      <c r="J1366" s="42"/>
      <c r="K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</row>
    <row r="1367" spans="1:22" x14ac:dyDescent="0.25">
      <c r="A1367" s="20">
        <v>42049</v>
      </c>
      <c r="B1367" s="21">
        <v>12064</v>
      </c>
      <c r="C1367" s="14" t="s">
        <v>48</v>
      </c>
      <c r="D1367" s="105">
        <v>1440</v>
      </c>
      <c r="E1367" s="23">
        <v>42049</v>
      </c>
      <c r="F1367" s="106">
        <v>1440</v>
      </c>
      <c r="G1367" s="31">
        <f t="shared" si="21"/>
        <v>0</v>
      </c>
      <c r="H1367" s="19" t="s">
        <v>94</v>
      </c>
      <c r="I1367" s="3"/>
      <c r="J1367" s="42"/>
      <c r="K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</row>
    <row r="1368" spans="1:22" x14ac:dyDescent="0.25">
      <c r="A1368" s="20">
        <v>42049</v>
      </c>
      <c r="B1368" s="21">
        <v>12065</v>
      </c>
      <c r="C1368" s="14" t="s">
        <v>91</v>
      </c>
      <c r="D1368" s="105">
        <v>7502.4</v>
      </c>
      <c r="E1368" s="23">
        <v>42051</v>
      </c>
      <c r="F1368" s="106">
        <v>7502.4</v>
      </c>
      <c r="G1368" s="31">
        <f t="shared" si="21"/>
        <v>0</v>
      </c>
      <c r="H1368" s="19" t="s">
        <v>19</v>
      </c>
      <c r="I1368" s="3"/>
      <c r="J1368" s="42"/>
      <c r="K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</row>
    <row r="1369" spans="1:22" x14ac:dyDescent="0.25">
      <c r="A1369" s="20">
        <v>42049</v>
      </c>
      <c r="B1369" s="21">
        <v>12066</v>
      </c>
      <c r="C1369" s="14" t="s">
        <v>141</v>
      </c>
      <c r="D1369" s="105">
        <v>25727.5</v>
      </c>
      <c r="E1369" s="97" t="s">
        <v>759</v>
      </c>
      <c r="F1369" s="144">
        <f>7000+18727.5</f>
        <v>25727.5</v>
      </c>
      <c r="G1369" s="31">
        <f t="shared" si="21"/>
        <v>0</v>
      </c>
      <c r="H1369" s="19" t="s">
        <v>94</v>
      </c>
      <c r="I1369" s="3"/>
      <c r="J1369" s="42"/>
      <c r="K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</row>
    <row r="1370" spans="1:22" x14ac:dyDescent="0.25">
      <c r="A1370" s="20">
        <v>42049</v>
      </c>
      <c r="B1370" s="21">
        <v>12067</v>
      </c>
      <c r="C1370" s="14" t="s">
        <v>95</v>
      </c>
      <c r="D1370" s="105">
        <v>5274.5</v>
      </c>
      <c r="E1370" s="23">
        <v>42051</v>
      </c>
      <c r="F1370" s="106">
        <v>5274.5</v>
      </c>
      <c r="G1370" s="31">
        <f t="shared" si="21"/>
        <v>0</v>
      </c>
      <c r="H1370" s="19" t="s">
        <v>19</v>
      </c>
      <c r="I1370" s="3"/>
      <c r="J1370" s="42"/>
      <c r="K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</row>
    <row r="1371" spans="1:22" x14ac:dyDescent="0.25">
      <c r="A1371" s="20">
        <v>42049</v>
      </c>
      <c r="B1371" s="21">
        <v>12068</v>
      </c>
      <c r="C1371" s="14" t="s">
        <v>191</v>
      </c>
      <c r="D1371" s="105">
        <v>11980.8</v>
      </c>
      <c r="E1371" s="23">
        <v>42049</v>
      </c>
      <c r="F1371" s="106">
        <v>11980.8</v>
      </c>
      <c r="G1371" s="31">
        <f t="shared" si="21"/>
        <v>0</v>
      </c>
      <c r="H1371" s="19" t="s">
        <v>9</v>
      </c>
      <c r="I1371" s="3"/>
      <c r="J1371" s="42"/>
      <c r="K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</row>
    <row r="1372" spans="1:22" x14ac:dyDescent="0.25">
      <c r="A1372" s="20">
        <v>42049</v>
      </c>
      <c r="B1372" s="21">
        <v>12069</v>
      </c>
      <c r="C1372" s="14" t="s">
        <v>98</v>
      </c>
      <c r="D1372" s="105">
        <v>1916.2</v>
      </c>
      <c r="E1372" s="23">
        <v>42051</v>
      </c>
      <c r="F1372" s="106">
        <v>1916.2</v>
      </c>
      <c r="G1372" s="31">
        <f t="shared" si="21"/>
        <v>0</v>
      </c>
      <c r="H1372" s="19" t="s">
        <v>19</v>
      </c>
      <c r="I1372" s="3"/>
      <c r="J1372" s="42"/>
      <c r="K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</row>
    <row r="1373" spans="1:22" x14ac:dyDescent="0.25">
      <c r="A1373" s="20">
        <v>42049</v>
      </c>
      <c r="B1373" s="21">
        <v>12070</v>
      </c>
      <c r="C1373" s="14" t="s">
        <v>104</v>
      </c>
      <c r="D1373" s="105">
        <v>662.4</v>
      </c>
      <c r="E1373" s="23">
        <v>42051</v>
      </c>
      <c r="F1373" s="106">
        <v>662.4</v>
      </c>
      <c r="G1373" s="31">
        <f t="shared" si="21"/>
        <v>0</v>
      </c>
      <c r="H1373" s="19" t="s">
        <v>19</v>
      </c>
      <c r="I1373" s="3"/>
      <c r="J1373" s="42"/>
      <c r="K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</row>
    <row r="1374" spans="1:22" x14ac:dyDescent="0.25">
      <c r="A1374" s="20">
        <v>42049</v>
      </c>
      <c r="B1374" s="21">
        <v>12071</v>
      </c>
      <c r="C1374" s="14" t="s">
        <v>93</v>
      </c>
      <c r="D1374" s="105">
        <v>5301.5</v>
      </c>
      <c r="E1374" s="23">
        <v>42051</v>
      </c>
      <c r="F1374" s="106">
        <v>5301.5</v>
      </c>
      <c r="G1374" s="31">
        <f t="shared" si="21"/>
        <v>0</v>
      </c>
      <c r="H1374" s="19" t="s">
        <v>19</v>
      </c>
      <c r="I1374" s="3"/>
      <c r="J1374" s="42"/>
      <c r="K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</row>
    <row r="1375" spans="1:22" x14ac:dyDescent="0.25">
      <c r="A1375" s="20">
        <v>42049</v>
      </c>
      <c r="B1375" s="21">
        <v>12072</v>
      </c>
      <c r="C1375" s="14" t="s">
        <v>135</v>
      </c>
      <c r="D1375" s="105">
        <v>19465.3</v>
      </c>
      <c r="E1375" s="23">
        <v>42049</v>
      </c>
      <c r="F1375" s="106">
        <v>19465.3</v>
      </c>
      <c r="G1375" s="31">
        <f t="shared" si="21"/>
        <v>0</v>
      </c>
      <c r="H1375" s="19" t="s">
        <v>9</v>
      </c>
      <c r="I1375" s="3"/>
      <c r="J1375" s="42"/>
      <c r="K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</row>
    <row r="1376" spans="1:22" x14ac:dyDescent="0.25">
      <c r="A1376" s="20">
        <v>42049</v>
      </c>
      <c r="B1376" s="21">
        <v>12073</v>
      </c>
      <c r="C1376" s="14" t="s">
        <v>110</v>
      </c>
      <c r="D1376" s="105">
        <v>2604.3000000000002</v>
      </c>
      <c r="E1376" s="23">
        <v>42060</v>
      </c>
      <c r="F1376" s="106">
        <v>2604.3000000000002</v>
      </c>
      <c r="G1376" s="31">
        <f t="shared" si="21"/>
        <v>0</v>
      </c>
      <c r="H1376" s="19" t="s">
        <v>19</v>
      </c>
      <c r="I1376" s="3"/>
      <c r="J1376" s="42"/>
      <c r="K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</row>
    <row r="1377" spans="1:22" x14ac:dyDescent="0.25">
      <c r="A1377" s="20">
        <v>42049</v>
      </c>
      <c r="B1377" s="21">
        <v>12074</v>
      </c>
      <c r="C1377" s="14" t="s">
        <v>87</v>
      </c>
      <c r="D1377" s="105">
        <v>1726.4</v>
      </c>
      <c r="E1377" s="23">
        <v>42049</v>
      </c>
      <c r="F1377" s="106">
        <v>1726.4</v>
      </c>
      <c r="G1377" s="31">
        <f t="shared" si="21"/>
        <v>0</v>
      </c>
      <c r="H1377" s="19" t="s">
        <v>9</v>
      </c>
      <c r="I1377" s="3"/>
      <c r="J1377" s="42"/>
      <c r="K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</row>
    <row r="1378" spans="1:22" x14ac:dyDescent="0.25">
      <c r="A1378" s="20">
        <v>42049</v>
      </c>
      <c r="B1378" s="21">
        <v>12075</v>
      </c>
      <c r="C1378" s="14" t="s">
        <v>126</v>
      </c>
      <c r="D1378" s="105">
        <v>2638.4</v>
      </c>
      <c r="E1378" s="23">
        <v>42051</v>
      </c>
      <c r="F1378" s="106">
        <v>2638.4</v>
      </c>
      <c r="G1378" s="31">
        <f t="shared" si="21"/>
        <v>0</v>
      </c>
      <c r="H1378" s="19" t="s">
        <v>19</v>
      </c>
      <c r="K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</row>
    <row r="1379" spans="1:22" x14ac:dyDescent="0.25">
      <c r="A1379" s="20">
        <v>42049</v>
      </c>
      <c r="B1379" s="21">
        <v>12076</v>
      </c>
      <c r="C1379" s="14" t="s">
        <v>35</v>
      </c>
      <c r="D1379" s="105">
        <v>720</v>
      </c>
      <c r="E1379" s="23">
        <v>42049</v>
      </c>
      <c r="F1379" s="106">
        <v>720</v>
      </c>
      <c r="G1379" s="31">
        <f t="shared" si="21"/>
        <v>0</v>
      </c>
      <c r="H1379" s="19" t="s">
        <v>9</v>
      </c>
      <c r="K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</row>
    <row r="1380" spans="1:22" x14ac:dyDescent="0.25">
      <c r="A1380" s="20">
        <v>42049</v>
      </c>
      <c r="B1380" s="21">
        <v>12077</v>
      </c>
      <c r="C1380" s="14" t="s">
        <v>360</v>
      </c>
      <c r="D1380" s="105">
        <v>55.2</v>
      </c>
      <c r="E1380" s="23">
        <v>42049</v>
      </c>
      <c r="F1380" s="106">
        <v>55.2</v>
      </c>
      <c r="G1380" s="31">
        <f t="shared" si="21"/>
        <v>0</v>
      </c>
      <c r="H1380" s="19" t="s">
        <v>9</v>
      </c>
      <c r="K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</row>
    <row r="1381" spans="1:22" x14ac:dyDescent="0.25">
      <c r="A1381" s="20">
        <v>42049</v>
      </c>
      <c r="B1381" s="21">
        <v>12078</v>
      </c>
      <c r="C1381" s="14" t="s">
        <v>571</v>
      </c>
      <c r="D1381" s="105">
        <v>91669.2</v>
      </c>
      <c r="E1381" s="29" t="s">
        <v>656</v>
      </c>
      <c r="F1381" s="106">
        <f>30000+17200+13500+27000+3969.2</f>
        <v>91669.2</v>
      </c>
      <c r="G1381" s="31">
        <f t="shared" si="21"/>
        <v>0</v>
      </c>
      <c r="H1381" s="19" t="s">
        <v>149</v>
      </c>
      <c r="K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</row>
    <row r="1382" spans="1:22" x14ac:dyDescent="0.25">
      <c r="A1382" s="20">
        <v>42049</v>
      </c>
      <c r="B1382" s="21">
        <v>12079</v>
      </c>
      <c r="C1382" s="14" t="s">
        <v>111</v>
      </c>
      <c r="D1382" s="105">
        <v>27600</v>
      </c>
      <c r="E1382" s="23">
        <v>42066</v>
      </c>
      <c r="F1382" s="106">
        <v>27600</v>
      </c>
      <c r="G1382" s="31">
        <f t="shared" si="21"/>
        <v>0</v>
      </c>
      <c r="H1382" s="19" t="s">
        <v>149</v>
      </c>
      <c r="J1382" s="107"/>
      <c r="K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</row>
    <row r="1383" spans="1:22" x14ac:dyDescent="0.25">
      <c r="A1383" s="20">
        <v>42049</v>
      </c>
      <c r="B1383" s="21">
        <v>12080</v>
      </c>
      <c r="C1383" s="14" t="s">
        <v>24</v>
      </c>
      <c r="D1383" s="105">
        <v>4572.96</v>
      </c>
      <c r="E1383" s="23">
        <v>42062</v>
      </c>
      <c r="F1383" s="106">
        <v>4572.96</v>
      </c>
      <c r="G1383" s="31">
        <f t="shared" si="21"/>
        <v>0</v>
      </c>
      <c r="H1383" s="19" t="s">
        <v>9</v>
      </c>
      <c r="K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</row>
    <row r="1384" spans="1:22" x14ac:dyDescent="0.25">
      <c r="A1384" s="20">
        <v>42049</v>
      </c>
      <c r="B1384" s="21">
        <v>12081</v>
      </c>
      <c r="C1384" s="14" t="s">
        <v>24</v>
      </c>
      <c r="D1384" s="105">
        <v>204056.26</v>
      </c>
      <c r="E1384" s="23">
        <v>42063</v>
      </c>
      <c r="F1384" s="106">
        <v>204056.26</v>
      </c>
      <c r="G1384" s="31">
        <f t="shared" si="21"/>
        <v>0</v>
      </c>
      <c r="H1384" s="19" t="s">
        <v>183</v>
      </c>
      <c r="K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</row>
    <row r="1385" spans="1:22" x14ac:dyDescent="0.25">
      <c r="A1385" s="20">
        <v>42049</v>
      </c>
      <c r="B1385" s="21">
        <v>12082</v>
      </c>
      <c r="C1385" s="14" t="s">
        <v>602</v>
      </c>
      <c r="D1385" s="105">
        <v>8928.7999999999993</v>
      </c>
      <c r="E1385" s="23">
        <v>42056</v>
      </c>
      <c r="F1385" s="106">
        <v>8928.7999999999993</v>
      </c>
      <c r="G1385" s="31">
        <f t="shared" si="21"/>
        <v>0</v>
      </c>
      <c r="H1385" s="19" t="s">
        <v>9</v>
      </c>
      <c r="K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</row>
    <row r="1386" spans="1:22" x14ac:dyDescent="0.25">
      <c r="A1386" s="20">
        <v>42049</v>
      </c>
      <c r="B1386" s="21">
        <v>12083</v>
      </c>
      <c r="C1386" s="14" t="s">
        <v>111</v>
      </c>
      <c r="D1386" s="105">
        <v>412320</v>
      </c>
      <c r="E1386" s="23">
        <v>42051</v>
      </c>
      <c r="F1386" s="106">
        <v>412320</v>
      </c>
      <c r="G1386" s="31">
        <f t="shared" si="21"/>
        <v>0</v>
      </c>
      <c r="H1386" s="19" t="s">
        <v>62</v>
      </c>
      <c r="K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</row>
    <row r="1387" spans="1:22" x14ac:dyDescent="0.25">
      <c r="A1387" s="20">
        <v>42049</v>
      </c>
      <c r="B1387" s="21">
        <v>12084</v>
      </c>
      <c r="C1387" s="14" t="s">
        <v>64</v>
      </c>
      <c r="D1387" s="105">
        <v>2000.8</v>
      </c>
      <c r="E1387" s="23">
        <v>42049</v>
      </c>
      <c r="F1387" s="106">
        <v>2000.8</v>
      </c>
      <c r="G1387" s="31">
        <f t="shared" si="21"/>
        <v>0</v>
      </c>
      <c r="H1387" s="19" t="s">
        <v>9</v>
      </c>
      <c r="J1387" s="107"/>
      <c r="K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</row>
    <row r="1388" spans="1:22" x14ac:dyDescent="0.25">
      <c r="A1388" s="20">
        <v>42049</v>
      </c>
      <c r="B1388" s="21">
        <v>12085</v>
      </c>
      <c r="C1388" s="14" t="s">
        <v>136</v>
      </c>
      <c r="D1388" s="105">
        <v>648</v>
      </c>
      <c r="E1388" s="23">
        <v>42049</v>
      </c>
      <c r="F1388" s="106">
        <v>648</v>
      </c>
      <c r="G1388" s="31">
        <f t="shared" si="21"/>
        <v>0</v>
      </c>
      <c r="H1388" s="19" t="s">
        <v>9</v>
      </c>
      <c r="K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</row>
    <row r="1389" spans="1:22" x14ac:dyDescent="0.25">
      <c r="A1389" s="20">
        <v>42049</v>
      </c>
      <c r="B1389" s="21">
        <v>12086</v>
      </c>
      <c r="C1389" s="14" t="s">
        <v>103</v>
      </c>
      <c r="D1389" s="105">
        <v>47630.94</v>
      </c>
      <c r="E1389" s="23">
        <v>42053</v>
      </c>
      <c r="F1389" s="106">
        <f>933.94+46697</f>
        <v>47630.94</v>
      </c>
      <c r="G1389" s="31">
        <f t="shared" si="21"/>
        <v>0</v>
      </c>
      <c r="H1389" s="19" t="s">
        <v>94</v>
      </c>
      <c r="K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</row>
    <row r="1390" spans="1:22" x14ac:dyDescent="0.25">
      <c r="A1390" s="20">
        <v>42049</v>
      </c>
      <c r="B1390" s="21">
        <v>12087</v>
      </c>
      <c r="C1390" s="14" t="s">
        <v>90</v>
      </c>
      <c r="D1390" s="105">
        <v>558.79999999999995</v>
      </c>
      <c r="E1390" s="23">
        <v>42049</v>
      </c>
      <c r="F1390" s="106">
        <v>558.79999999999995</v>
      </c>
      <c r="G1390" s="31">
        <f t="shared" si="21"/>
        <v>0</v>
      </c>
      <c r="H1390" s="19" t="s">
        <v>9</v>
      </c>
      <c r="K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</row>
    <row r="1391" spans="1:22" x14ac:dyDescent="0.25">
      <c r="A1391" s="20">
        <v>42049</v>
      </c>
      <c r="B1391" s="21">
        <v>12088</v>
      </c>
      <c r="C1391" s="14" t="s">
        <v>102</v>
      </c>
      <c r="D1391" s="105">
        <v>1433.7</v>
      </c>
      <c r="E1391" s="23">
        <v>42049</v>
      </c>
      <c r="F1391" s="106">
        <v>1433.7</v>
      </c>
      <c r="G1391" s="31">
        <f t="shared" si="21"/>
        <v>0</v>
      </c>
      <c r="H1391" s="19" t="s">
        <v>9</v>
      </c>
      <c r="K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</row>
    <row r="1392" spans="1:22" x14ac:dyDescent="0.25">
      <c r="A1392" s="20">
        <v>42049</v>
      </c>
      <c r="B1392" s="21">
        <v>12089</v>
      </c>
      <c r="C1392" s="14" t="s">
        <v>105</v>
      </c>
      <c r="D1392" s="105">
        <v>612.9</v>
      </c>
      <c r="E1392" s="23">
        <v>42049</v>
      </c>
      <c r="F1392" s="106">
        <v>612.9</v>
      </c>
      <c r="G1392" s="31">
        <f t="shared" si="21"/>
        <v>0</v>
      </c>
      <c r="H1392" s="19" t="s">
        <v>9</v>
      </c>
      <c r="K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</row>
    <row r="1393" spans="1:22" x14ac:dyDescent="0.25">
      <c r="A1393" s="20">
        <v>42049</v>
      </c>
      <c r="B1393" s="21">
        <v>12090</v>
      </c>
      <c r="C1393" s="14" t="s">
        <v>145</v>
      </c>
      <c r="D1393" s="105">
        <v>1504</v>
      </c>
      <c r="E1393" s="23">
        <v>42049</v>
      </c>
      <c r="F1393" s="106">
        <v>1504</v>
      </c>
      <c r="G1393" s="31">
        <f t="shared" si="21"/>
        <v>0</v>
      </c>
      <c r="H1393" s="19" t="s">
        <v>9</v>
      </c>
      <c r="K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</row>
    <row r="1394" spans="1:22" x14ac:dyDescent="0.25">
      <c r="A1394" s="20">
        <v>42049</v>
      </c>
      <c r="B1394" s="21">
        <v>12091</v>
      </c>
      <c r="C1394" s="14" t="s">
        <v>24</v>
      </c>
      <c r="D1394" s="105">
        <v>190084.13</v>
      </c>
      <c r="E1394" s="23">
        <v>42063</v>
      </c>
      <c r="F1394" s="106">
        <v>190084.13</v>
      </c>
      <c r="G1394" s="31">
        <f t="shared" si="21"/>
        <v>0</v>
      </c>
      <c r="H1394" s="19" t="s">
        <v>149</v>
      </c>
      <c r="K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</row>
    <row r="1395" spans="1:22" x14ac:dyDescent="0.25">
      <c r="A1395" s="20">
        <v>42049</v>
      </c>
      <c r="B1395" s="21">
        <v>12092</v>
      </c>
      <c r="C1395" s="14" t="s">
        <v>35</v>
      </c>
      <c r="D1395" s="105">
        <v>23768.55</v>
      </c>
      <c r="E1395" s="23">
        <v>42051</v>
      </c>
      <c r="F1395" s="106">
        <v>23768.55</v>
      </c>
      <c r="G1395" s="31">
        <f t="shared" si="21"/>
        <v>0</v>
      </c>
      <c r="H1395" s="19" t="s">
        <v>36</v>
      </c>
      <c r="K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</row>
    <row r="1396" spans="1:22" x14ac:dyDescent="0.25">
      <c r="A1396" s="20">
        <v>42049</v>
      </c>
      <c r="B1396" s="21">
        <v>12093</v>
      </c>
      <c r="C1396" s="14" t="s">
        <v>256</v>
      </c>
      <c r="D1396" s="105">
        <v>6264.6</v>
      </c>
      <c r="E1396" s="23">
        <v>42049</v>
      </c>
      <c r="F1396" s="106">
        <v>6264.6</v>
      </c>
      <c r="G1396" s="31">
        <f t="shared" si="21"/>
        <v>0</v>
      </c>
      <c r="H1396" s="19" t="s">
        <v>36</v>
      </c>
      <c r="K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</row>
    <row r="1397" spans="1:22" x14ac:dyDescent="0.25">
      <c r="A1397" s="20">
        <v>42049</v>
      </c>
      <c r="B1397" s="21">
        <v>12094</v>
      </c>
      <c r="C1397" s="14" t="s">
        <v>267</v>
      </c>
      <c r="D1397" s="105">
        <v>5558.48</v>
      </c>
      <c r="E1397" s="23">
        <v>42051</v>
      </c>
      <c r="F1397" s="106">
        <v>5558.48</v>
      </c>
      <c r="G1397" s="31">
        <f t="shared" si="21"/>
        <v>0</v>
      </c>
      <c r="H1397" s="19" t="s">
        <v>17</v>
      </c>
      <c r="K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</row>
    <row r="1398" spans="1:22" x14ac:dyDescent="0.25">
      <c r="A1398" s="20">
        <v>42050</v>
      </c>
      <c r="B1398" s="21">
        <v>12095</v>
      </c>
      <c r="C1398" s="14" t="s">
        <v>148</v>
      </c>
      <c r="D1398" s="105">
        <v>4984</v>
      </c>
      <c r="E1398" s="23">
        <v>42050</v>
      </c>
      <c r="F1398" s="106">
        <v>4984</v>
      </c>
      <c r="G1398" s="31">
        <f t="shared" si="21"/>
        <v>0</v>
      </c>
      <c r="H1398" s="19" t="s">
        <v>9</v>
      </c>
      <c r="K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</row>
    <row r="1399" spans="1:22" x14ac:dyDescent="0.25">
      <c r="A1399" s="20">
        <v>42050</v>
      </c>
      <c r="B1399" s="21">
        <v>12096</v>
      </c>
      <c r="C1399" s="14" t="s">
        <v>21</v>
      </c>
      <c r="D1399" s="105">
        <v>9789.2000000000007</v>
      </c>
      <c r="E1399" s="23">
        <v>42050</v>
      </c>
      <c r="F1399" s="106">
        <v>9789.2000000000007</v>
      </c>
      <c r="G1399" s="31">
        <f t="shared" si="21"/>
        <v>0</v>
      </c>
      <c r="H1399" s="19" t="s">
        <v>9</v>
      </c>
      <c r="K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</row>
    <row r="1400" spans="1:22" x14ac:dyDescent="0.25">
      <c r="A1400" s="20">
        <v>42050</v>
      </c>
      <c r="B1400" s="21">
        <v>12097</v>
      </c>
      <c r="C1400" s="14" t="s">
        <v>14</v>
      </c>
      <c r="D1400" s="105">
        <v>18280.8</v>
      </c>
      <c r="E1400" s="23">
        <v>42062</v>
      </c>
      <c r="F1400" s="106">
        <v>18280.8</v>
      </c>
      <c r="G1400" s="31">
        <f t="shared" si="21"/>
        <v>0</v>
      </c>
      <c r="H1400" s="19" t="s">
        <v>15</v>
      </c>
      <c r="K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</row>
    <row r="1401" spans="1:22" x14ac:dyDescent="0.25">
      <c r="A1401" s="20">
        <v>42050</v>
      </c>
      <c r="B1401" s="21">
        <v>12098</v>
      </c>
      <c r="C1401" s="14" t="s">
        <v>16</v>
      </c>
      <c r="D1401" s="105">
        <v>7745.2</v>
      </c>
      <c r="E1401" s="23">
        <v>42050</v>
      </c>
      <c r="F1401" s="106">
        <v>7745.2</v>
      </c>
      <c r="G1401" s="31">
        <f t="shared" si="21"/>
        <v>0</v>
      </c>
      <c r="H1401" s="19" t="s">
        <v>17</v>
      </c>
      <c r="K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</row>
    <row r="1402" spans="1:22" x14ac:dyDescent="0.25">
      <c r="A1402" s="20">
        <v>42050</v>
      </c>
      <c r="B1402" s="21">
        <v>12099</v>
      </c>
      <c r="C1402" s="14" t="s">
        <v>158</v>
      </c>
      <c r="D1402" s="105">
        <v>6368.1</v>
      </c>
      <c r="E1402" s="23">
        <v>42050</v>
      </c>
      <c r="F1402" s="106">
        <v>6368.1</v>
      </c>
      <c r="G1402" s="31">
        <f t="shared" si="21"/>
        <v>0</v>
      </c>
      <c r="H1402" s="19" t="s">
        <v>9</v>
      </c>
      <c r="J1402" s="107"/>
      <c r="K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</row>
    <row r="1403" spans="1:22" x14ac:dyDescent="0.25">
      <c r="A1403" s="20">
        <v>42050</v>
      </c>
      <c r="B1403" s="21">
        <v>12100</v>
      </c>
      <c r="C1403" s="26" t="s">
        <v>12</v>
      </c>
      <c r="D1403" s="108">
        <v>0</v>
      </c>
      <c r="E1403" s="23"/>
      <c r="F1403" s="106"/>
      <c r="G1403" s="48">
        <f t="shared" si="21"/>
        <v>0</v>
      </c>
      <c r="H1403" s="19" t="s">
        <v>13</v>
      </c>
      <c r="K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</row>
    <row r="1404" spans="1:22" x14ac:dyDescent="0.25">
      <c r="A1404" s="20">
        <v>42050</v>
      </c>
      <c r="B1404" s="21">
        <v>12101</v>
      </c>
      <c r="C1404" s="14" t="s">
        <v>375</v>
      </c>
      <c r="D1404" s="105">
        <v>1776</v>
      </c>
      <c r="E1404" s="23">
        <v>42050</v>
      </c>
      <c r="F1404" s="106">
        <v>1776</v>
      </c>
      <c r="G1404" s="31">
        <f t="shared" si="21"/>
        <v>0</v>
      </c>
      <c r="H1404" s="19" t="s">
        <v>9</v>
      </c>
      <c r="K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</row>
    <row r="1405" spans="1:22" x14ac:dyDescent="0.25">
      <c r="A1405" s="20">
        <v>42050</v>
      </c>
      <c r="B1405" s="21">
        <v>12102</v>
      </c>
      <c r="C1405" s="14" t="s">
        <v>604</v>
      </c>
      <c r="D1405" s="105">
        <v>2730</v>
      </c>
      <c r="E1405" s="23">
        <v>42050</v>
      </c>
      <c r="F1405" s="106">
        <v>2730</v>
      </c>
      <c r="G1405" s="31">
        <f t="shared" si="21"/>
        <v>0</v>
      </c>
      <c r="H1405" s="19" t="s">
        <v>9</v>
      </c>
      <c r="K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</row>
    <row r="1406" spans="1:22" x14ac:dyDescent="0.25">
      <c r="A1406" s="20">
        <v>42050</v>
      </c>
      <c r="B1406" s="21">
        <v>12103</v>
      </c>
      <c r="C1406" s="14" t="s">
        <v>375</v>
      </c>
      <c r="D1406" s="105">
        <v>2339.1999999999998</v>
      </c>
      <c r="E1406" s="23">
        <v>42050</v>
      </c>
      <c r="F1406" s="106">
        <v>2339.1999999999998</v>
      </c>
      <c r="G1406" s="31">
        <f t="shared" si="21"/>
        <v>0</v>
      </c>
      <c r="H1406" s="19" t="s">
        <v>9</v>
      </c>
      <c r="K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</row>
    <row r="1407" spans="1:22" x14ac:dyDescent="0.25">
      <c r="A1407" s="20">
        <v>42050</v>
      </c>
      <c r="B1407" s="21">
        <v>12104</v>
      </c>
      <c r="C1407" s="14" t="s">
        <v>215</v>
      </c>
      <c r="D1407" s="105">
        <v>22847</v>
      </c>
      <c r="E1407" s="23">
        <v>42050</v>
      </c>
      <c r="F1407" s="106">
        <v>22847</v>
      </c>
      <c r="G1407" s="31">
        <f t="shared" si="21"/>
        <v>0</v>
      </c>
      <c r="H1407" s="19" t="s">
        <v>9</v>
      </c>
      <c r="K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</row>
    <row r="1408" spans="1:22" x14ac:dyDescent="0.25">
      <c r="A1408" s="20">
        <v>42050</v>
      </c>
      <c r="B1408" s="21">
        <v>12105</v>
      </c>
      <c r="C1408" s="14" t="s">
        <v>121</v>
      </c>
      <c r="D1408" s="105">
        <v>2774.4</v>
      </c>
      <c r="E1408" s="23">
        <v>42050</v>
      </c>
      <c r="F1408" s="106">
        <v>2774.4</v>
      </c>
      <c r="G1408" s="31">
        <f t="shared" si="21"/>
        <v>0</v>
      </c>
      <c r="H1408" s="19" t="s">
        <v>9</v>
      </c>
      <c r="K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</row>
    <row r="1409" spans="1:22" x14ac:dyDescent="0.25">
      <c r="A1409" s="20">
        <v>42050</v>
      </c>
      <c r="B1409" s="21">
        <v>12106</v>
      </c>
      <c r="C1409" s="14" t="s">
        <v>215</v>
      </c>
      <c r="D1409" s="105">
        <v>23768.55</v>
      </c>
      <c r="E1409" s="29" t="s">
        <v>657</v>
      </c>
      <c r="F1409" s="106">
        <f>12000+11768.55</f>
        <v>23768.55</v>
      </c>
      <c r="G1409" s="31">
        <f t="shared" si="21"/>
        <v>0</v>
      </c>
      <c r="H1409" s="19" t="s">
        <v>9</v>
      </c>
      <c r="K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</row>
    <row r="1410" spans="1:22" x14ac:dyDescent="0.25">
      <c r="A1410" s="20">
        <v>42050</v>
      </c>
      <c r="B1410" s="21">
        <v>12107</v>
      </c>
      <c r="C1410" s="14" t="s">
        <v>658</v>
      </c>
      <c r="D1410" s="105">
        <v>2076</v>
      </c>
      <c r="E1410" s="23">
        <v>42050</v>
      </c>
      <c r="F1410" s="106">
        <v>2076</v>
      </c>
      <c r="G1410" s="31">
        <f t="shared" si="21"/>
        <v>0</v>
      </c>
      <c r="H1410" s="19" t="s">
        <v>9</v>
      </c>
      <c r="K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</row>
    <row r="1411" spans="1:22" x14ac:dyDescent="0.25">
      <c r="A1411" s="20">
        <v>42050</v>
      </c>
      <c r="B1411" s="21">
        <v>12108</v>
      </c>
      <c r="C1411" s="14" t="s">
        <v>151</v>
      </c>
      <c r="D1411" s="105">
        <v>3875.4</v>
      </c>
      <c r="E1411" s="23">
        <v>42050</v>
      </c>
      <c r="F1411" s="106">
        <v>3875.4</v>
      </c>
      <c r="G1411" s="31">
        <f t="shared" ref="G1411:G1474" si="22">D1411-F1411</f>
        <v>0</v>
      </c>
      <c r="H1411" s="19" t="s">
        <v>9</v>
      </c>
      <c r="K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</row>
    <row r="1412" spans="1:22" x14ac:dyDescent="0.25">
      <c r="A1412" s="20">
        <v>42050</v>
      </c>
      <c r="B1412" s="21">
        <v>12109</v>
      </c>
      <c r="C1412" s="14" t="s">
        <v>20</v>
      </c>
      <c r="D1412" s="105">
        <v>17085.599999999999</v>
      </c>
      <c r="E1412" s="23">
        <v>42050</v>
      </c>
      <c r="F1412" s="106">
        <v>17085.599999999999</v>
      </c>
      <c r="G1412" s="31">
        <f t="shared" si="22"/>
        <v>0</v>
      </c>
      <c r="H1412" s="19" t="s">
        <v>187</v>
      </c>
      <c r="K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</row>
    <row r="1413" spans="1:22" x14ac:dyDescent="0.25">
      <c r="A1413" s="20">
        <v>42050</v>
      </c>
      <c r="B1413" s="21">
        <v>12110</v>
      </c>
      <c r="C1413" s="14" t="s">
        <v>24</v>
      </c>
      <c r="D1413" s="105">
        <v>28374.799999999999</v>
      </c>
      <c r="E1413" s="29" t="s">
        <v>659</v>
      </c>
      <c r="F1413" s="106">
        <f>27443.42+931.38</f>
        <v>28374.799999999999</v>
      </c>
      <c r="G1413" s="31">
        <f t="shared" si="22"/>
        <v>0</v>
      </c>
      <c r="H1413" s="19" t="s">
        <v>36</v>
      </c>
      <c r="K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</row>
    <row r="1414" spans="1:22" x14ac:dyDescent="0.25">
      <c r="A1414" s="20">
        <v>42050</v>
      </c>
      <c r="B1414" s="21">
        <v>12111</v>
      </c>
      <c r="C1414" s="14" t="s">
        <v>120</v>
      </c>
      <c r="D1414" s="105">
        <v>1068</v>
      </c>
      <c r="E1414" s="23">
        <v>42050</v>
      </c>
      <c r="F1414" s="106">
        <v>1068</v>
      </c>
      <c r="G1414" s="31">
        <f t="shared" si="22"/>
        <v>0</v>
      </c>
      <c r="H1414" s="19" t="s">
        <v>59</v>
      </c>
      <c r="K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</row>
    <row r="1415" spans="1:22" x14ac:dyDescent="0.25">
      <c r="A1415" s="20">
        <v>42050</v>
      </c>
      <c r="B1415" s="21">
        <v>12112</v>
      </c>
      <c r="C1415" s="14" t="s">
        <v>66</v>
      </c>
      <c r="D1415" s="105">
        <v>1160.8499999999999</v>
      </c>
      <c r="E1415" s="23">
        <v>42050</v>
      </c>
      <c r="F1415" s="106">
        <v>1160.8499999999999</v>
      </c>
      <c r="G1415" s="31">
        <f t="shared" si="22"/>
        <v>0</v>
      </c>
      <c r="H1415" s="19" t="s">
        <v>9</v>
      </c>
      <c r="K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</row>
    <row r="1416" spans="1:22" x14ac:dyDescent="0.25">
      <c r="A1416" s="20">
        <v>42050</v>
      </c>
      <c r="B1416" s="21">
        <v>12113</v>
      </c>
      <c r="C1416" s="14" t="s">
        <v>45</v>
      </c>
      <c r="D1416" s="105">
        <v>23987.85</v>
      </c>
      <c r="E1416" s="23">
        <v>42062</v>
      </c>
      <c r="F1416" s="106">
        <v>23987.85</v>
      </c>
      <c r="G1416" s="31">
        <f t="shared" si="22"/>
        <v>0</v>
      </c>
      <c r="H1416" s="19" t="s">
        <v>59</v>
      </c>
      <c r="K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</row>
    <row r="1417" spans="1:22" x14ac:dyDescent="0.25">
      <c r="A1417" s="20">
        <v>42050</v>
      </c>
      <c r="B1417" s="21">
        <v>12114</v>
      </c>
      <c r="C1417" s="14" t="s">
        <v>152</v>
      </c>
      <c r="D1417" s="105">
        <v>4127.3999999999996</v>
      </c>
      <c r="E1417" s="23">
        <v>42050</v>
      </c>
      <c r="F1417" s="106">
        <v>4127.3999999999996</v>
      </c>
      <c r="G1417" s="31">
        <f t="shared" si="22"/>
        <v>0</v>
      </c>
      <c r="H1417" s="19" t="s">
        <v>59</v>
      </c>
      <c r="J1417" s="119"/>
      <c r="K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</row>
    <row r="1418" spans="1:22" x14ac:dyDescent="0.25">
      <c r="A1418" s="20">
        <v>42050</v>
      </c>
      <c r="B1418" s="21">
        <v>12115</v>
      </c>
      <c r="C1418" s="14" t="s">
        <v>53</v>
      </c>
      <c r="D1418" s="105">
        <v>1900.5</v>
      </c>
      <c r="E1418" s="23">
        <v>42050</v>
      </c>
      <c r="F1418" s="106">
        <v>1900.5</v>
      </c>
      <c r="G1418" s="31">
        <f t="shared" si="22"/>
        <v>0</v>
      </c>
      <c r="H1418" s="19" t="s">
        <v>59</v>
      </c>
      <c r="J1418" s="107"/>
      <c r="K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</row>
    <row r="1419" spans="1:22" x14ac:dyDescent="0.25">
      <c r="A1419" s="20">
        <v>42050</v>
      </c>
      <c r="B1419" s="21">
        <v>12116</v>
      </c>
      <c r="C1419" s="14" t="s">
        <v>256</v>
      </c>
      <c r="D1419" s="105">
        <v>7494.2</v>
      </c>
      <c r="E1419" s="23">
        <v>42051</v>
      </c>
      <c r="F1419" s="106">
        <v>7494.2</v>
      </c>
      <c r="G1419" s="31">
        <f t="shared" si="22"/>
        <v>0</v>
      </c>
      <c r="H1419" s="19" t="s">
        <v>36</v>
      </c>
      <c r="K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</row>
    <row r="1420" spans="1:22" x14ac:dyDescent="0.25">
      <c r="A1420" s="20">
        <v>42050</v>
      </c>
      <c r="B1420" s="21">
        <v>12117</v>
      </c>
      <c r="C1420" s="14" t="s">
        <v>82</v>
      </c>
      <c r="D1420" s="105">
        <v>6069.5</v>
      </c>
      <c r="E1420" s="23">
        <v>42050</v>
      </c>
      <c r="F1420" s="106">
        <v>6069.5</v>
      </c>
      <c r="G1420" s="31">
        <f t="shared" si="22"/>
        <v>0</v>
      </c>
      <c r="H1420" s="19" t="s">
        <v>59</v>
      </c>
      <c r="K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</row>
    <row r="1421" spans="1:22" x14ac:dyDescent="0.25">
      <c r="A1421" s="20">
        <v>42050</v>
      </c>
      <c r="B1421" s="21">
        <v>12118</v>
      </c>
      <c r="C1421" s="14" t="s">
        <v>292</v>
      </c>
      <c r="D1421" s="105">
        <v>2664</v>
      </c>
      <c r="E1421" s="23">
        <v>42050</v>
      </c>
      <c r="F1421" s="106">
        <v>2664</v>
      </c>
      <c r="G1421" s="31">
        <f t="shared" si="22"/>
        <v>0</v>
      </c>
      <c r="H1421" s="19" t="s">
        <v>59</v>
      </c>
      <c r="K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</row>
    <row r="1422" spans="1:22" x14ac:dyDescent="0.25">
      <c r="A1422" s="20">
        <v>42050</v>
      </c>
      <c r="B1422" s="21">
        <v>12119</v>
      </c>
      <c r="C1422" s="14" t="s">
        <v>60</v>
      </c>
      <c r="D1422" s="105">
        <v>8687.7999999999993</v>
      </c>
      <c r="E1422" s="23">
        <v>42051</v>
      </c>
      <c r="F1422" s="106">
        <v>8687.7999999999993</v>
      </c>
      <c r="G1422" s="31">
        <f t="shared" si="22"/>
        <v>0</v>
      </c>
      <c r="H1422" s="19" t="s">
        <v>36</v>
      </c>
      <c r="K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</row>
    <row r="1423" spans="1:22" x14ac:dyDescent="0.25">
      <c r="A1423" s="20">
        <v>42050</v>
      </c>
      <c r="B1423" s="21">
        <v>12120</v>
      </c>
      <c r="C1423" s="14" t="s">
        <v>155</v>
      </c>
      <c r="D1423" s="105">
        <v>1925</v>
      </c>
      <c r="E1423" s="23">
        <v>42050</v>
      </c>
      <c r="F1423" s="106">
        <v>1925</v>
      </c>
      <c r="G1423" s="31">
        <f t="shared" si="22"/>
        <v>0</v>
      </c>
      <c r="H1423" s="19" t="s">
        <v>59</v>
      </c>
      <c r="K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</row>
    <row r="1424" spans="1:22" x14ac:dyDescent="0.25">
      <c r="A1424" s="20">
        <v>42050</v>
      </c>
      <c r="B1424" s="21">
        <v>12121</v>
      </c>
      <c r="C1424" s="14" t="s">
        <v>59</v>
      </c>
      <c r="D1424" s="105">
        <v>252</v>
      </c>
      <c r="E1424" s="23">
        <v>42051</v>
      </c>
      <c r="F1424" s="106">
        <v>252</v>
      </c>
      <c r="G1424" s="48">
        <f t="shared" si="22"/>
        <v>0</v>
      </c>
      <c r="H1424" s="19" t="s">
        <v>59</v>
      </c>
      <c r="K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</row>
    <row r="1425" spans="1:22" x14ac:dyDescent="0.25">
      <c r="A1425" s="20">
        <v>42050</v>
      </c>
      <c r="B1425" s="21">
        <v>12122</v>
      </c>
      <c r="C1425" s="14" t="s">
        <v>58</v>
      </c>
      <c r="D1425" s="105">
        <v>1080</v>
      </c>
      <c r="E1425" s="23">
        <v>42050</v>
      </c>
      <c r="F1425" s="106">
        <v>1080</v>
      </c>
      <c r="G1425" s="31">
        <f t="shared" si="22"/>
        <v>0</v>
      </c>
      <c r="H1425" s="19" t="s">
        <v>59</v>
      </c>
      <c r="K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</row>
    <row r="1426" spans="1:22" x14ac:dyDescent="0.25">
      <c r="A1426" s="20">
        <v>42050</v>
      </c>
      <c r="B1426" s="21">
        <v>12123</v>
      </c>
      <c r="C1426" s="14" t="s">
        <v>54</v>
      </c>
      <c r="D1426" s="105">
        <v>1800</v>
      </c>
      <c r="E1426" s="23">
        <v>42050</v>
      </c>
      <c r="F1426" s="106">
        <v>1800</v>
      </c>
      <c r="G1426" s="31">
        <f t="shared" si="22"/>
        <v>0</v>
      </c>
      <c r="H1426" s="19" t="s">
        <v>9</v>
      </c>
      <c r="I1426" s="3"/>
      <c r="J1426" s="42"/>
      <c r="K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</row>
    <row r="1427" spans="1:22" x14ac:dyDescent="0.25">
      <c r="A1427" s="20">
        <v>42050</v>
      </c>
      <c r="B1427" s="21">
        <v>12124</v>
      </c>
      <c r="C1427" s="110">
        <v>105</v>
      </c>
      <c r="D1427" s="105">
        <v>1440</v>
      </c>
      <c r="E1427" s="23">
        <v>42050</v>
      </c>
      <c r="F1427" s="106">
        <v>1440</v>
      </c>
      <c r="G1427" s="31">
        <f t="shared" si="22"/>
        <v>0</v>
      </c>
      <c r="H1427" s="19" t="s">
        <v>9</v>
      </c>
      <c r="I1427" s="3"/>
      <c r="J1427" s="42"/>
      <c r="K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</row>
    <row r="1428" spans="1:22" x14ac:dyDescent="0.25">
      <c r="A1428" s="20">
        <v>42050</v>
      </c>
      <c r="B1428" s="21">
        <v>12125</v>
      </c>
      <c r="C1428" s="14" t="s">
        <v>63</v>
      </c>
      <c r="D1428" s="105">
        <v>2154.6</v>
      </c>
      <c r="E1428" s="23">
        <v>42051</v>
      </c>
      <c r="F1428" s="106">
        <v>2154.6</v>
      </c>
      <c r="G1428" s="31">
        <f t="shared" si="22"/>
        <v>0</v>
      </c>
      <c r="H1428" s="19" t="s">
        <v>36</v>
      </c>
      <c r="I1428" s="3"/>
      <c r="J1428" s="42"/>
      <c r="K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</row>
    <row r="1429" spans="1:22" x14ac:dyDescent="0.25">
      <c r="A1429" s="20">
        <v>42050</v>
      </c>
      <c r="B1429" s="21">
        <v>12126</v>
      </c>
      <c r="C1429" s="14" t="s">
        <v>233</v>
      </c>
      <c r="D1429" s="105">
        <v>15276</v>
      </c>
      <c r="E1429" s="23">
        <v>42051</v>
      </c>
      <c r="F1429" s="106">
        <v>15276</v>
      </c>
      <c r="G1429" s="31">
        <f t="shared" si="22"/>
        <v>0</v>
      </c>
      <c r="H1429" s="19" t="s">
        <v>36</v>
      </c>
      <c r="I1429" s="3"/>
      <c r="J1429" s="42"/>
      <c r="K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</row>
    <row r="1430" spans="1:22" x14ac:dyDescent="0.25">
      <c r="A1430" s="20">
        <v>42050</v>
      </c>
      <c r="B1430" s="21">
        <v>12127</v>
      </c>
      <c r="C1430" s="14" t="s">
        <v>55</v>
      </c>
      <c r="D1430" s="105">
        <v>24082.2</v>
      </c>
      <c r="E1430" s="23">
        <v>42051</v>
      </c>
      <c r="F1430" s="106">
        <v>24082.2</v>
      </c>
      <c r="G1430" s="31">
        <f t="shared" si="22"/>
        <v>0</v>
      </c>
      <c r="H1430" s="19" t="s">
        <v>36</v>
      </c>
      <c r="I1430" s="3"/>
      <c r="J1430" s="42"/>
      <c r="K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</row>
    <row r="1431" spans="1:22" x14ac:dyDescent="0.25">
      <c r="A1431" s="20">
        <v>42050</v>
      </c>
      <c r="B1431" s="21">
        <v>12128</v>
      </c>
      <c r="C1431" s="14" t="s">
        <v>56</v>
      </c>
      <c r="D1431" s="105">
        <v>5467.4</v>
      </c>
      <c r="E1431" s="23">
        <v>42051</v>
      </c>
      <c r="F1431" s="106">
        <v>5467.4</v>
      </c>
      <c r="G1431" s="31">
        <f t="shared" si="22"/>
        <v>0</v>
      </c>
      <c r="H1431" s="19" t="s">
        <v>36</v>
      </c>
      <c r="I1431" s="3"/>
      <c r="J1431" s="42"/>
      <c r="K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</row>
    <row r="1432" spans="1:22" x14ac:dyDescent="0.25">
      <c r="A1432" s="20">
        <v>42050</v>
      </c>
      <c r="B1432" s="21">
        <v>12129</v>
      </c>
      <c r="C1432" s="14" t="s">
        <v>134</v>
      </c>
      <c r="D1432" s="105">
        <v>10287.299999999999</v>
      </c>
      <c r="E1432" s="23">
        <v>42051</v>
      </c>
      <c r="F1432" s="106">
        <v>10287.299999999999</v>
      </c>
      <c r="G1432" s="31">
        <f t="shared" si="22"/>
        <v>0</v>
      </c>
      <c r="H1432" s="19" t="s">
        <v>36</v>
      </c>
      <c r="I1432" s="3"/>
      <c r="J1432" s="42"/>
      <c r="K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</row>
    <row r="1433" spans="1:22" x14ac:dyDescent="0.25">
      <c r="A1433" s="20">
        <v>42050</v>
      </c>
      <c r="B1433" s="21">
        <v>12130</v>
      </c>
      <c r="C1433" s="14" t="s">
        <v>37</v>
      </c>
      <c r="D1433" s="105">
        <v>24069.45</v>
      </c>
      <c r="E1433" s="23">
        <v>42054</v>
      </c>
      <c r="F1433" s="106">
        <v>24069.45</v>
      </c>
      <c r="G1433" s="31">
        <f t="shared" si="22"/>
        <v>0</v>
      </c>
      <c r="H1433" s="19" t="s">
        <v>36</v>
      </c>
      <c r="I1433" s="3"/>
      <c r="J1433" s="42"/>
      <c r="K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</row>
    <row r="1434" spans="1:22" x14ac:dyDescent="0.25">
      <c r="A1434" s="20">
        <v>42050</v>
      </c>
      <c r="B1434" s="21">
        <v>12131</v>
      </c>
      <c r="C1434" s="14" t="s">
        <v>100</v>
      </c>
      <c r="D1434" s="105">
        <v>2743.8</v>
      </c>
      <c r="E1434" s="23">
        <v>42050</v>
      </c>
      <c r="F1434" s="106">
        <v>2743.8</v>
      </c>
      <c r="G1434" s="31">
        <f t="shared" si="22"/>
        <v>0</v>
      </c>
      <c r="H1434" s="19" t="s">
        <v>9</v>
      </c>
      <c r="I1434" s="3"/>
      <c r="J1434" s="42"/>
      <c r="K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</row>
    <row r="1435" spans="1:22" x14ac:dyDescent="0.25">
      <c r="A1435" s="20">
        <v>42050</v>
      </c>
      <c r="B1435" s="21">
        <v>12132</v>
      </c>
      <c r="C1435" s="14" t="s">
        <v>229</v>
      </c>
      <c r="D1435" s="105">
        <v>6341.2</v>
      </c>
      <c r="E1435" s="23">
        <v>42050</v>
      </c>
      <c r="F1435" s="106">
        <v>6341.2</v>
      </c>
      <c r="G1435" s="31">
        <f t="shared" si="22"/>
        <v>0</v>
      </c>
      <c r="H1435" s="19" t="s">
        <v>9</v>
      </c>
      <c r="I1435" s="3"/>
      <c r="J1435" s="42"/>
      <c r="K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</row>
    <row r="1436" spans="1:22" x14ac:dyDescent="0.25">
      <c r="A1436" s="20">
        <v>42050</v>
      </c>
      <c r="B1436" s="21">
        <v>12133</v>
      </c>
      <c r="C1436" s="14" t="s">
        <v>35</v>
      </c>
      <c r="D1436" s="105">
        <v>47758.95</v>
      </c>
      <c r="E1436" s="23">
        <v>42051</v>
      </c>
      <c r="F1436" s="106">
        <v>47758.95</v>
      </c>
      <c r="G1436" s="31">
        <f t="shared" si="22"/>
        <v>0</v>
      </c>
      <c r="H1436" s="19" t="s">
        <v>36</v>
      </c>
      <c r="I1436" s="3"/>
      <c r="J1436" s="42"/>
      <c r="K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</row>
    <row r="1437" spans="1:22" x14ac:dyDescent="0.25">
      <c r="A1437" s="20">
        <v>42050</v>
      </c>
      <c r="B1437" s="21">
        <v>12134</v>
      </c>
      <c r="C1437" s="14" t="s">
        <v>239</v>
      </c>
      <c r="D1437" s="105">
        <v>1463.2</v>
      </c>
      <c r="E1437" s="23">
        <v>42050</v>
      </c>
      <c r="F1437" s="106">
        <v>1463.2</v>
      </c>
      <c r="G1437" s="31">
        <f t="shared" si="22"/>
        <v>0</v>
      </c>
      <c r="H1437" s="19" t="s">
        <v>9</v>
      </c>
      <c r="I1437" s="3"/>
      <c r="J1437" s="42"/>
      <c r="K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</row>
    <row r="1438" spans="1:22" x14ac:dyDescent="0.25">
      <c r="A1438" s="20">
        <v>42050</v>
      </c>
      <c r="B1438" s="21">
        <v>12135</v>
      </c>
      <c r="C1438" s="14" t="s">
        <v>30</v>
      </c>
      <c r="D1438" s="105">
        <v>4483.8</v>
      </c>
      <c r="E1438" s="23">
        <v>42050</v>
      </c>
      <c r="F1438" s="106">
        <v>4483.8</v>
      </c>
      <c r="G1438" s="31">
        <f t="shared" si="22"/>
        <v>0</v>
      </c>
      <c r="H1438" s="19" t="s">
        <v>9</v>
      </c>
      <c r="I1438" s="3"/>
      <c r="J1438" s="42"/>
      <c r="K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</row>
    <row r="1439" spans="1:22" x14ac:dyDescent="0.25">
      <c r="A1439" s="20">
        <v>42050</v>
      </c>
      <c r="B1439" s="21">
        <v>12136</v>
      </c>
      <c r="C1439" s="14" t="s">
        <v>130</v>
      </c>
      <c r="D1439" s="105">
        <v>7028.6</v>
      </c>
      <c r="E1439" s="23">
        <v>42050</v>
      </c>
      <c r="F1439" s="106">
        <v>7028.6</v>
      </c>
      <c r="G1439" s="31">
        <f t="shared" si="22"/>
        <v>0</v>
      </c>
      <c r="H1439" s="39" t="s">
        <v>17</v>
      </c>
      <c r="I1439" s="3"/>
      <c r="J1439" s="42"/>
      <c r="K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</row>
    <row r="1440" spans="1:22" x14ac:dyDescent="0.25">
      <c r="A1440" s="20">
        <v>42050</v>
      </c>
      <c r="B1440" s="21">
        <v>12137</v>
      </c>
      <c r="C1440" s="14" t="s">
        <v>71</v>
      </c>
      <c r="D1440" s="105">
        <v>7770.76</v>
      </c>
      <c r="E1440" s="23">
        <v>42050</v>
      </c>
      <c r="F1440" s="106">
        <v>7770.76</v>
      </c>
      <c r="G1440" s="31">
        <f t="shared" si="22"/>
        <v>0</v>
      </c>
      <c r="H1440" s="39" t="s">
        <v>9</v>
      </c>
      <c r="I1440" s="3"/>
      <c r="J1440" s="42"/>
      <c r="K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</row>
    <row r="1441" spans="1:22" x14ac:dyDescent="0.25">
      <c r="A1441" s="20">
        <v>42050</v>
      </c>
      <c r="B1441" s="21">
        <v>12138</v>
      </c>
      <c r="C1441" s="14" t="s">
        <v>71</v>
      </c>
      <c r="D1441" s="105">
        <v>976.8</v>
      </c>
      <c r="E1441" s="23">
        <v>42050</v>
      </c>
      <c r="F1441" s="106">
        <v>976.8</v>
      </c>
      <c r="G1441" s="31">
        <f t="shared" si="22"/>
        <v>0</v>
      </c>
      <c r="H1441" s="39" t="s">
        <v>9</v>
      </c>
      <c r="I1441" s="3"/>
      <c r="J1441" s="42"/>
      <c r="K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</row>
    <row r="1442" spans="1:22" x14ac:dyDescent="0.25">
      <c r="A1442" s="20">
        <v>42050</v>
      </c>
      <c r="B1442" s="21">
        <v>12139</v>
      </c>
      <c r="C1442" s="14" t="s">
        <v>299</v>
      </c>
      <c r="D1442" s="105">
        <v>1473.4</v>
      </c>
      <c r="E1442" s="23">
        <v>42050</v>
      </c>
      <c r="F1442" s="106">
        <v>1473.4</v>
      </c>
      <c r="G1442" s="31">
        <f t="shared" si="22"/>
        <v>0</v>
      </c>
      <c r="H1442" s="39" t="s">
        <v>17</v>
      </c>
      <c r="I1442" s="3"/>
      <c r="J1442" s="42"/>
      <c r="K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</row>
    <row r="1443" spans="1:22" x14ac:dyDescent="0.25">
      <c r="A1443" s="20">
        <v>42050</v>
      </c>
      <c r="B1443" s="21">
        <v>12140</v>
      </c>
      <c r="C1443" s="14" t="s">
        <v>131</v>
      </c>
      <c r="D1443" s="105">
        <v>2289.65</v>
      </c>
      <c r="E1443" s="23">
        <v>42050</v>
      </c>
      <c r="F1443" s="106">
        <v>2289.65</v>
      </c>
      <c r="G1443" s="48">
        <f t="shared" si="22"/>
        <v>0</v>
      </c>
      <c r="H1443" s="39" t="s">
        <v>17</v>
      </c>
      <c r="I1443" s="3"/>
      <c r="J1443" s="42"/>
      <c r="K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</row>
    <row r="1444" spans="1:22" x14ac:dyDescent="0.25">
      <c r="A1444" s="20">
        <v>42050</v>
      </c>
      <c r="B1444" s="21">
        <v>12141</v>
      </c>
      <c r="C1444" s="14" t="s">
        <v>48</v>
      </c>
      <c r="D1444" s="105">
        <v>5483.2</v>
      </c>
      <c r="E1444" s="23">
        <v>42050</v>
      </c>
      <c r="F1444" s="106">
        <v>5483.2</v>
      </c>
      <c r="G1444" s="31">
        <f t="shared" si="22"/>
        <v>0</v>
      </c>
      <c r="H1444" s="39" t="s">
        <v>17</v>
      </c>
      <c r="I1444" s="3"/>
      <c r="J1444" s="42"/>
      <c r="K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</row>
    <row r="1445" spans="1:22" x14ac:dyDescent="0.25">
      <c r="A1445" s="20">
        <v>42050</v>
      </c>
      <c r="B1445" s="21">
        <v>12142</v>
      </c>
      <c r="C1445" s="14" t="s">
        <v>110</v>
      </c>
      <c r="D1445" s="105">
        <v>6584.4</v>
      </c>
      <c r="E1445" s="23">
        <v>42060</v>
      </c>
      <c r="F1445" s="106">
        <v>6584.4</v>
      </c>
      <c r="G1445" s="31">
        <f t="shared" si="22"/>
        <v>0</v>
      </c>
      <c r="H1445" s="39" t="s">
        <v>62</v>
      </c>
      <c r="I1445" s="3"/>
      <c r="J1445" s="42"/>
      <c r="K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</row>
    <row r="1446" spans="1:22" x14ac:dyDescent="0.25">
      <c r="A1446" s="20">
        <v>42050</v>
      </c>
      <c r="B1446" s="21">
        <v>12143</v>
      </c>
      <c r="C1446" s="14" t="s">
        <v>34</v>
      </c>
      <c r="D1446" s="105">
        <v>1869</v>
      </c>
      <c r="E1446" s="23">
        <v>42050</v>
      </c>
      <c r="F1446" s="106">
        <v>1869</v>
      </c>
      <c r="G1446" s="31">
        <f t="shared" si="22"/>
        <v>0</v>
      </c>
      <c r="H1446" s="39" t="s">
        <v>9</v>
      </c>
      <c r="I1446" s="3"/>
      <c r="J1446" s="42"/>
      <c r="K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</row>
    <row r="1447" spans="1:22" x14ac:dyDescent="0.25">
      <c r="A1447" s="20">
        <v>42050</v>
      </c>
      <c r="B1447" s="21">
        <v>12144</v>
      </c>
      <c r="C1447" s="14" t="s">
        <v>32</v>
      </c>
      <c r="D1447" s="105">
        <v>19971.8</v>
      </c>
      <c r="E1447" s="23">
        <v>42062</v>
      </c>
      <c r="F1447" s="106">
        <v>19971.8</v>
      </c>
      <c r="G1447" s="31">
        <f t="shared" si="22"/>
        <v>0</v>
      </c>
      <c r="H1447" s="39" t="s">
        <v>9</v>
      </c>
      <c r="I1447" s="3"/>
      <c r="J1447" s="42"/>
      <c r="K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</row>
    <row r="1448" spans="1:22" x14ac:dyDescent="0.25">
      <c r="A1448" s="20">
        <v>42050</v>
      </c>
      <c r="B1448" s="21">
        <v>12145</v>
      </c>
      <c r="C1448" s="14" t="s">
        <v>125</v>
      </c>
      <c r="D1448" s="105">
        <v>23630.85</v>
      </c>
      <c r="E1448" s="23">
        <v>42050</v>
      </c>
      <c r="F1448" s="106">
        <v>23630.85</v>
      </c>
      <c r="G1448" s="31">
        <f t="shared" si="22"/>
        <v>0</v>
      </c>
      <c r="H1448" s="39" t="s">
        <v>9</v>
      </c>
      <c r="I1448" s="3"/>
      <c r="J1448" s="42"/>
      <c r="K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</row>
    <row r="1449" spans="1:22" x14ac:dyDescent="0.25">
      <c r="A1449" s="20">
        <v>42050</v>
      </c>
      <c r="B1449" s="21">
        <v>12146</v>
      </c>
      <c r="C1449" s="14" t="s">
        <v>87</v>
      </c>
      <c r="D1449" s="105">
        <v>1350.8</v>
      </c>
      <c r="E1449" s="23">
        <v>42050</v>
      </c>
      <c r="F1449" s="106">
        <v>1350.8</v>
      </c>
      <c r="G1449" s="31">
        <f t="shared" si="22"/>
        <v>0</v>
      </c>
      <c r="H1449" s="39" t="s">
        <v>9</v>
      </c>
      <c r="I1449" s="3"/>
      <c r="J1449" s="42"/>
      <c r="K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</row>
    <row r="1450" spans="1:22" x14ac:dyDescent="0.25">
      <c r="A1450" s="20">
        <v>42050</v>
      </c>
      <c r="B1450" s="21">
        <v>12147</v>
      </c>
      <c r="C1450" s="14" t="s">
        <v>102</v>
      </c>
      <c r="D1450" s="105">
        <v>1195.2</v>
      </c>
      <c r="E1450" s="23">
        <v>42050</v>
      </c>
      <c r="F1450" s="106">
        <v>1195.2</v>
      </c>
      <c r="G1450" s="31">
        <f t="shared" si="22"/>
        <v>0</v>
      </c>
      <c r="H1450" s="39" t="s">
        <v>9</v>
      </c>
      <c r="I1450" s="3"/>
      <c r="J1450" s="42"/>
      <c r="K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</row>
    <row r="1451" spans="1:22" x14ac:dyDescent="0.25">
      <c r="A1451" s="20">
        <v>42050</v>
      </c>
      <c r="B1451" s="21">
        <v>12148</v>
      </c>
      <c r="C1451" s="14" t="s">
        <v>375</v>
      </c>
      <c r="D1451" s="105">
        <v>2317.6999999999998</v>
      </c>
      <c r="E1451" s="23">
        <v>42050</v>
      </c>
      <c r="F1451" s="106">
        <v>2317.6999999999998</v>
      </c>
      <c r="G1451" s="31">
        <f t="shared" si="22"/>
        <v>0</v>
      </c>
      <c r="H1451" s="39" t="s">
        <v>9</v>
      </c>
      <c r="I1451" s="3"/>
      <c r="J1451" s="42"/>
      <c r="K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</row>
    <row r="1452" spans="1:22" x14ac:dyDescent="0.25">
      <c r="A1452" s="20">
        <v>42050</v>
      </c>
      <c r="B1452" s="21">
        <v>12149</v>
      </c>
      <c r="C1452" s="14" t="s">
        <v>136</v>
      </c>
      <c r="D1452" s="105">
        <v>17930.2</v>
      </c>
      <c r="E1452" s="23">
        <v>42051</v>
      </c>
      <c r="F1452" s="106">
        <v>17930.2</v>
      </c>
      <c r="G1452" s="31">
        <f t="shared" si="22"/>
        <v>0</v>
      </c>
      <c r="H1452" s="39" t="s">
        <v>9</v>
      </c>
      <c r="I1452" s="3"/>
      <c r="J1452" s="42"/>
      <c r="K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</row>
    <row r="1453" spans="1:22" x14ac:dyDescent="0.25">
      <c r="A1453" s="20">
        <v>42050</v>
      </c>
      <c r="B1453" s="21">
        <v>12150</v>
      </c>
      <c r="C1453" s="14" t="s">
        <v>64</v>
      </c>
      <c r="D1453" s="105">
        <v>1181.8</v>
      </c>
      <c r="E1453" s="23">
        <v>42050</v>
      </c>
      <c r="F1453" s="106">
        <v>1181.8</v>
      </c>
      <c r="G1453" s="31">
        <f t="shared" si="22"/>
        <v>0</v>
      </c>
      <c r="H1453" s="39" t="s">
        <v>9</v>
      </c>
      <c r="I1453" s="3"/>
      <c r="J1453" s="42"/>
      <c r="K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</row>
    <row r="1454" spans="1:22" x14ac:dyDescent="0.25">
      <c r="A1454" s="20">
        <v>42050</v>
      </c>
      <c r="B1454" s="21">
        <v>12151</v>
      </c>
      <c r="C1454" s="14" t="s">
        <v>604</v>
      </c>
      <c r="D1454" s="105">
        <v>3980.8</v>
      </c>
      <c r="E1454" s="23">
        <v>42050</v>
      </c>
      <c r="F1454" s="106">
        <v>3980.8</v>
      </c>
      <c r="G1454" s="31">
        <f t="shared" si="22"/>
        <v>0</v>
      </c>
      <c r="H1454" s="39" t="s">
        <v>9</v>
      </c>
      <c r="I1454" s="3"/>
      <c r="J1454" s="42"/>
      <c r="K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</row>
    <row r="1455" spans="1:22" x14ac:dyDescent="0.25">
      <c r="A1455" s="20">
        <v>42050</v>
      </c>
      <c r="B1455" s="21">
        <v>12152</v>
      </c>
      <c r="C1455" s="14" t="s">
        <v>136</v>
      </c>
      <c r="D1455" s="105">
        <v>475.2</v>
      </c>
      <c r="E1455" s="23">
        <v>42050</v>
      </c>
      <c r="F1455" s="106">
        <v>475.2</v>
      </c>
      <c r="G1455" s="31">
        <f t="shared" si="22"/>
        <v>0</v>
      </c>
      <c r="H1455" s="39" t="s">
        <v>9</v>
      </c>
      <c r="I1455" s="3"/>
      <c r="J1455" s="42"/>
      <c r="K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</row>
    <row r="1456" spans="1:22" x14ac:dyDescent="0.25">
      <c r="A1456" s="20">
        <v>42050</v>
      </c>
      <c r="B1456" s="21">
        <v>12153</v>
      </c>
      <c r="C1456" s="14" t="s">
        <v>80</v>
      </c>
      <c r="D1456" s="105">
        <v>7745.4</v>
      </c>
      <c r="E1456" s="23">
        <v>42050</v>
      </c>
      <c r="F1456" s="106">
        <v>7745.4</v>
      </c>
      <c r="G1456" s="31">
        <f t="shared" si="22"/>
        <v>0</v>
      </c>
      <c r="H1456" s="39" t="s">
        <v>9</v>
      </c>
      <c r="I1456" s="3"/>
      <c r="J1456" s="42"/>
      <c r="K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</row>
    <row r="1457" spans="1:22" x14ac:dyDescent="0.25">
      <c r="A1457" s="20">
        <v>42050</v>
      </c>
      <c r="B1457" s="21">
        <v>12154</v>
      </c>
      <c r="C1457" s="14" t="s">
        <v>122</v>
      </c>
      <c r="D1457" s="105">
        <v>18878.400000000001</v>
      </c>
      <c r="E1457" s="23">
        <v>42050</v>
      </c>
      <c r="F1457" s="106">
        <v>18878.400000000001</v>
      </c>
      <c r="G1457" s="31">
        <f t="shared" si="22"/>
        <v>0</v>
      </c>
      <c r="H1457" s="39" t="s">
        <v>9</v>
      </c>
      <c r="I1457" s="3"/>
      <c r="J1457" s="42"/>
      <c r="K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</row>
    <row r="1458" spans="1:22" x14ac:dyDescent="0.25">
      <c r="A1458" s="20">
        <v>42050</v>
      </c>
      <c r="B1458" s="21">
        <v>12155</v>
      </c>
      <c r="C1458" s="14" t="s">
        <v>64</v>
      </c>
      <c r="D1458" s="105">
        <v>1360.4</v>
      </c>
      <c r="E1458" s="23">
        <v>42050</v>
      </c>
      <c r="F1458" s="106">
        <v>1360.4</v>
      </c>
      <c r="G1458" s="31">
        <f t="shared" si="22"/>
        <v>0</v>
      </c>
      <c r="H1458" s="39" t="s">
        <v>9</v>
      </c>
      <c r="J1458" s="107"/>
      <c r="K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</row>
    <row r="1459" spans="1:22" x14ac:dyDescent="0.25">
      <c r="A1459" s="20">
        <v>42050</v>
      </c>
      <c r="B1459" s="21">
        <v>12156</v>
      </c>
      <c r="C1459" s="14" t="s">
        <v>265</v>
      </c>
      <c r="D1459" s="105">
        <v>1020.6</v>
      </c>
      <c r="E1459" s="23">
        <v>42050</v>
      </c>
      <c r="F1459" s="106">
        <v>1020.5</v>
      </c>
      <c r="G1459" s="31">
        <f t="shared" si="22"/>
        <v>0.10000000000002274</v>
      </c>
      <c r="H1459" s="39" t="s">
        <v>9</v>
      </c>
      <c r="K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</row>
    <row r="1460" spans="1:22" x14ac:dyDescent="0.25">
      <c r="A1460" s="20">
        <v>42050</v>
      </c>
      <c r="B1460" s="21">
        <v>12157</v>
      </c>
      <c r="C1460" s="14" t="s">
        <v>328</v>
      </c>
      <c r="D1460" s="105">
        <v>4947.8</v>
      </c>
      <c r="E1460" s="23">
        <v>42050</v>
      </c>
      <c r="F1460" s="106">
        <v>4947.8</v>
      </c>
      <c r="G1460" s="31">
        <f t="shared" si="22"/>
        <v>0</v>
      </c>
      <c r="H1460" s="39" t="s">
        <v>62</v>
      </c>
      <c r="K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</row>
    <row r="1461" spans="1:22" x14ac:dyDescent="0.25">
      <c r="A1461" s="20">
        <v>42050</v>
      </c>
      <c r="B1461" s="21">
        <v>12158</v>
      </c>
      <c r="C1461" s="14" t="s">
        <v>234</v>
      </c>
      <c r="D1461" s="105">
        <v>158.4</v>
      </c>
      <c r="E1461" s="23">
        <v>42050</v>
      </c>
      <c r="F1461" s="106">
        <v>158.4</v>
      </c>
      <c r="G1461" s="31">
        <f t="shared" si="22"/>
        <v>0</v>
      </c>
      <c r="H1461" s="39" t="s">
        <v>9</v>
      </c>
      <c r="K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</row>
    <row r="1462" spans="1:22" x14ac:dyDescent="0.25">
      <c r="A1462" s="20">
        <v>42050</v>
      </c>
      <c r="B1462" s="21">
        <v>12159</v>
      </c>
      <c r="C1462" s="14" t="s">
        <v>24</v>
      </c>
      <c r="D1462" s="105">
        <v>68932.800000000003</v>
      </c>
      <c r="E1462" s="23">
        <v>42063</v>
      </c>
      <c r="F1462" s="106">
        <v>68932.800000000003</v>
      </c>
      <c r="G1462" s="31">
        <f t="shared" si="22"/>
        <v>0</v>
      </c>
      <c r="H1462" s="39" t="s">
        <v>59</v>
      </c>
      <c r="K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</row>
    <row r="1463" spans="1:22" x14ac:dyDescent="0.25">
      <c r="A1463" s="20">
        <v>42051</v>
      </c>
      <c r="B1463" s="21">
        <v>12160</v>
      </c>
      <c r="C1463" s="14" t="s">
        <v>16</v>
      </c>
      <c r="D1463" s="105">
        <v>5521.6</v>
      </c>
      <c r="E1463" s="23">
        <v>42051</v>
      </c>
      <c r="F1463" s="106">
        <v>5521.6</v>
      </c>
      <c r="G1463" s="31">
        <f t="shared" si="22"/>
        <v>0</v>
      </c>
      <c r="H1463" s="39" t="s">
        <v>17</v>
      </c>
      <c r="K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</row>
    <row r="1464" spans="1:22" x14ac:dyDescent="0.25">
      <c r="A1464" s="59">
        <v>42051</v>
      </c>
      <c r="B1464" s="21">
        <v>12161</v>
      </c>
      <c r="C1464" s="14" t="s">
        <v>14</v>
      </c>
      <c r="D1464" s="105">
        <v>36139.1</v>
      </c>
      <c r="E1464" s="23">
        <v>42062</v>
      </c>
      <c r="F1464" s="106">
        <v>36139.1</v>
      </c>
      <c r="G1464" s="31">
        <f t="shared" si="22"/>
        <v>0</v>
      </c>
      <c r="H1464" s="39" t="s">
        <v>15</v>
      </c>
      <c r="K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</row>
    <row r="1465" spans="1:22" x14ac:dyDescent="0.25">
      <c r="A1465" s="20">
        <v>42051</v>
      </c>
      <c r="B1465" s="21">
        <v>12162</v>
      </c>
      <c r="C1465" s="14" t="s">
        <v>54</v>
      </c>
      <c r="D1465" s="105">
        <v>1080</v>
      </c>
      <c r="E1465" s="23">
        <v>42051</v>
      </c>
      <c r="F1465" s="106">
        <v>1080</v>
      </c>
      <c r="G1465" s="31">
        <f t="shared" si="22"/>
        <v>0</v>
      </c>
      <c r="H1465" s="39" t="s">
        <v>59</v>
      </c>
      <c r="K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</row>
    <row r="1466" spans="1:22" x14ac:dyDescent="0.25">
      <c r="A1466" s="59">
        <v>42051</v>
      </c>
      <c r="B1466" s="21">
        <v>12163</v>
      </c>
      <c r="C1466" s="26" t="s">
        <v>12</v>
      </c>
      <c r="D1466" s="108">
        <v>0</v>
      </c>
      <c r="E1466" s="23"/>
      <c r="F1466" s="106"/>
      <c r="G1466" s="31">
        <f t="shared" si="22"/>
        <v>0</v>
      </c>
      <c r="H1466" s="39" t="s">
        <v>13</v>
      </c>
      <c r="K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</row>
    <row r="1467" spans="1:22" x14ac:dyDescent="0.25">
      <c r="A1467" s="20">
        <v>42051</v>
      </c>
      <c r="B1467" s="21">
        <v>12164</v>
      </c>
      <c r="C1467" s="14" t="s">
        <v>20</v>
      </c>
      <c r="D1467" s="105">
        <v>14582.7</v>
      </c>
      <c r="E1467" s="51">
        <v>42051</v>
      </c>
      <c r="F1467" s="106">
        <v>14582.7</v>
      </c>
      <c r="G1467" s="31">
        <f t="shared" si="22"/>
        <v>0</v>
      </c>
      <c r="H1467" s="39" t="s">
        <v>94</v>
      </c>
      <c r="K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</row>
    <row r="1468" spans="1:22" x14ac:dyDescent="0.25">
      <c r="A1468" s="59">
        <v>42051</v>
      </c>
      <c r="B1468" s="21">
        <v>12165</v>
      </c>
      <c r="C1468" s="14" t="s">
        <v>158</v>
      </c>
      <c r="D1468" s="105">
        <v>3437.7</v>
      </c>
      <c r="E1468" s="23">
        <v>42051</v>
      </c>
      <c r="F1468" s="106">
        <v>3437.7</v>
      </c>
      <c r="G1468" s="31">
        <f t="shared" si="22"/>
        <v>0</v>
      </c>
      <c r="H1468" s="39" t="s">
        <v>9</v>
      </c>
      <c r="K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</row>
    <row r="1469" spans="1:22" x14ac:dyDescent="0.25">
      <c r="A1469" s="20">
        <v>42051</v>
      </c>
      <c r="B1469" s="21">
        <v>12166</v>
      </c>
      <c r="C1469" s="14" t="s">
        <v>105</v>
      </c>
      <c r="D1469" s="105">
        <v>8314.2000000000007</v>
      </c>
      <c r="E1469" s="23">
        <v>42051</v>
      </c>
      <c r="F1469" s="106">
        <v>8314.2000000000007</v>
      </c>
      <c r="G1469" s="31">
        <f t="shared" si="22"/>
        <v>0</v>
      </c>
      <c r="H1469" s="39" t="s">
        <v>9</v>
      </c>
      <c r="K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</row>
    <row r="1470" spans="1:22" x14ac:dyDescent="0.25">
      <c r="A1470" s="59">
        <v>42051</v>
      </c>
      <c r="B1470" s="21">
        <v>12167</v>
      </c>
      <c r="C1470" s="14" t="s">
        <v>65</v>
      </c>
      <c r="D1470" s="105">
        <v>19129.2</v>
      </c>
      <c r="E1470" s="23">
        <v>42052</v>
      </c>
      <c r="F1470" s="106">
        <v>19129.2</v>
      </c>
      <c r="G1470" s="31">
        <f t="shared" si="22"/>
        <v>0</v>
      </c>
      <c r="H1470" s="39" t="s">
        <v>62</v>
      </c>
      <c r="K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</row>
    <row r="1471" spans="1:22" x14ac:dyDescent="0.25">
      <c r="A1471" s="20">
        <v>42051</v>
      </c>
      <c r="B1471" s="21">
        <v>12168</v>
      </c>
      <c r="C1471" s="14" t="s">
        <v>78</v>
      </c>
      <c r="D1471" s="105">
        <v>7839.2</v>
      </c>
      <c r="E1471" s="23">
        <v>42052</v>
      </c>
      <c r="F1471" s="106">
        <v>7839.2</v>
      </c>
      <c r="G1471" s="31">
        <f t="shared" si="22"/>
        <v>0</v>
      </c>
      <c r="H1471" s="39" t="s">
        <v>62</v>
      </c>
      <c r="K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</row>
    <row r="1472" spans="1:22" x14ac:dyDescent="0.25">
      <c r="A1472" s="59">
        <v>42051</v>
      </c>
      <c r="B1472" s="21">
        <v>12169</v>
      </c>
      <c r="C1472" s="14" t="s">
        <v>67</v>
      </c>
      <c r="D1472" s="105">
        <v>3384.8</v>
      </c>
      <c r="E1472" s="23">
        <v>42052</v>
      </c>
      <c r="F1472" s="106">
        <v>3384.8</v>
      </c>
      <c r="G1472" s="31">
        <f t="shared" si="22"/>
        <v>0</v>
      </c>
      <c r="H1472" s="39" t="s">
        <v>62</v>
      </c>
      <c r="K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</row>
    <row r="1473" spans="1:22" x14ac:dyDescent="0.25">
      <c r="A1473" s="20">
        <v>42051</v>
      </c>
      <c r="B1473" s="21">
        <v>12170</v>
      </c>
      <c r="C1473" s="14" t="s">
        <v>22</v>
      </c>
      <c r="D1473" s="105">
        <v>3216</v>
      </c>
      <c r="E1473" s="23">
        <v>42051</v>
      </c>
      <c r="F1473" s="106">
        <v>3216</v>
      </c>
      <c r="G1473" s="31">
        <f t="shared" si="22"/>
        <v>0</v>
      </c>
      <c r="H1473" s="39" t="s">
        <v>9</v>
      </c>
      <c r="K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</row>
    <row r="1474" spans="1:22" x14ac:dyDescent="0.25">
      <c r="A1474" s="59">
        <v>42051</v>
      </c>
      <c r="B1474" s="21">
        <v>12171</v>
      </c>
      <c r="C1474" s="14" t="s">
        <v>170</v>
      </c>
      <c r="D1474" s="105">
        <v>6500.8</v>
      </c>
      <c r="E1474" s="23">
        <v>42052</v>
      </c>
      <c r="F1474" s="106">
        <v>6500.8</v>
      </c>
      <c r="G1474" s="31">
        <f t="shared" si="22"/>
        <v>0</v>
      </c>
      <c r="H1474" s="39" t="s">
        <v>62</v>
      </c>
      <c r="I1474" s="3"/>
      <c r="J1474" s="42"/>
      <c r="K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</row>
    <row r="1475" spans="1:22" x14ac:dyDescent="0.25">
      <c r="A1475" s="20">
        <v>42051</v>
      </c>
      <c r="B1475" s="21">
        <v>12172</v>
      </c>
      <c r="C1475" s="14" t="s">
        <v>658</v>
      </c>
      <c r="D1475" s="105">
        <v>2918.5</v>
      </c>
      <c r="E1475" s="23">
        <v>42051</v>
      </c>
      <c r="F1475" s="106">
        <v>2918.5</v>
      </c>
      <c r="G1475" s="31">
        <f t="shared" ref="G1475:G1538" si="23">D1475-F1475</f>
        <v>0</v>
      </c>
      <c r="H1475" s="39" t="s">
        <v>9</v>
      </c>
      <c r="I1475" s="3"/>
      <c r="J1475" s="42"/>
      <c r="K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</row>
    <row r="1476" spans="1:22" x14ac:dyDescent="0.25">
      <c r="A1476" s="59">
        <v>42051</v>
      </c>
      <c r="B1476" s="21">
        <v>12173</v>
      </c>
      <c r="C1476" s="14" t="s">
        <v>148</v>
      </c>
      <c r="D1476" s="105">
        <v>3568</v>
      </c>
      <c r="E1476" s="23">
        <v>42051</v>
      </c>
      <c r="F1476" s="106">
        <v>3568</v>
      </c>
      <c r="G1476" s="31">
        <f t="shared" si="23"/>
        <v>0</v>
      </c>
      <c r="H1476" s="39" t="s">
        <v>9</v>
      </c>
      <c r="I1476" s="3"/>
      <c r="J1476" s="42"/>
      <c r="K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</row>
    <row r="1477" spans="1:22" x14ac:dyDescent="0.25">
      <c r="A1477" s="20">
        <v>42051</v>
      </c>
      <c r="B1477" s="21">
        <v>12174</v>
      </c>
      <c r="C1477" s="14" t="s">
        <v>75</v>
      </c>
      <c r="D1477" s="105">
        <v>22425.599999999999</v>
      </c>
      <c r="E1477" s="23">
        <v>42052</v>
      </c>
      <c r="F1477" s="106">
        <v>22425.599999999999</v>
      </c>
      <c r="G1477" s="31">
        <f t="shared" si="23"/>
        <v>0</v>
      </c>
      <c r="H1477" s="39" t="s">
        <v>62</v>
      </c>
      <c r="I1477" s="3"/>
      <c r="J1477" s="42"/>
      <c r="K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</row>
    <row r="1478" spans="1:22" x14ac:dyDescent="0.25">
      <c r="A1478" s="59">
        <v>42051</v>
      </c>
      <c r="B1478" s="21">
        <v>12175</v>
      </c>
      <c r="C1478" s="14" t="s">
        <v>243</v>
      </c>
      <c r="D1478" s="105">
        <v>1641.52</v>
      </c>
      <c r="E1478" s="23">
        <v>42052</v>
      </c>
      <c r="F1478" s="106">
        <v>1641.52</v>
      </c>
      <c r="G1478" s="31">
        <f t="shared" si="23"/>
        <v>0</v>
      </c>
      <c r="H1478" s="39" t="s">
        <v>62</v>
      </c>
      <c r="I1478" s="3"/>
      <c r="J1478" s="42"/>
      <c r="K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</row>
    <row r="1479" spans="1:22" x14ac:dyDescent="0.25">
      <c r="A1479" s="20">
        <v>42051</v>
      </c>
      <c r="B1479" s="21">
        <v>12176</v>
      </c>
      <c r="C1479" s="14" t="s">
        <v>294</v>
      </c>
      <c r="D1479" s="105">
        <v>1664.8</v>
      </c>
      <c r="E1479" s="23">
        <v>42051</v>
      </c>
      <c r="F1479" s="106">
        <v>1664.8</v>
      </c>
      <c r="G1479" s="31">
        <f t="shared" si="23"/>
        <v>0</v>
      </c>
      <c r="H1479" s="39" t="s">
        <v>9</v>
      </c>
      <c r="I1479" s="3"/>
      <c r="J1479" s="42"/>
      <c r="K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</row>
    <row r="1480" spans="1:22" x14ac:dyDescent="0.25">
      <c r="A1480" s="59">
        <v>42051</v>
      </c>
      <c r="B1480" s="21">
        <v>12177</v>
      </c>
      <c r="C1480" s="14" t="s">
        <v>176</v>
      </c>
      <c r="D1480" s="105">
        <v>9209</v>
      </c>
      <c r="E1480" s="30" t="s">
        <v>660</v>
      </c>
      <c r="F1480" s="106">
        <v>9209</v>
      </c>
      <c r="G1480" s="31">
        <f t="shared" si="23"/>
        <v>0</v>
      </c>
      <c r="H1480" s="39" t="s">
        <v>62</v>
      </c>
      <c r="I1480" s="3"/>
      <c r="J1480" s="42"/>
      <c r="K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</row>
    <row r="1481" spans="1:22" x14ac:dyDescent="0.25">
      <c r="A1481" s="20">
        <v>42051</v>
      </c>
      <c r="B1481" s="21">
        <v>12178</v>
      </c>
      <c r="C1481" s="14" t="s">
        <v>77</v>
      </c>
      <c r="D1481" s="105">
        <v>5939.5</v>
      </c>
      <c r="E1481" s="23">
        <v>42052</v>
      </c>
      <c r="F1481" s="106">
        <v>5939.5</v>
      </c>
      <c r="G1481" s="31">
        <f t="shared" si="23"/>
        <v>0</v>
      </c>
      <c r="H1481" s="39" t="s">
        <v>62</v>
      </c>
      <c r="I1481" s="3"/>
      <c r="J1481" s="42"/>
      <c r="K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</row>
    <row r="1482" spans="1:22" x14ac:dyDescent="0.25">
      <c r="A1482" s="59">
        <v>42051</v>
      </c>
      <c r="B1482" s="21">
        <v>12179</v>
      </c>
      <c r="C1482" s="14" t="s">
        <v>84</v>
      </c>
      <c r="D1482" s="105">
        <v>50683.6</v>
      </c>
      <c r="E1482" s="30" t="s">
        <v>661</v>
      </c>
      <c r="F1482" s="106">
        <v>50683.6</v>
      </c>
      <c r="G1482" s="31">
        <f t="shared" si="23"/>
        <v>0</v>
      </c>
      <c r="H1482" s="39" t="s">
        <v>62</v>
      </c>
      <c r="I1482" s="3"/>
      <c r="J1482" s="42"/>
      <c r="K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</row>
    <row r="1483" spans="1:22" x14ac:dyDescent="0.25">
      <c r="A1483" s="20">
        <v>42051</v>
      </c>
      <c r="B1483" s="21">
        <v>12180</v>
      </c>
      <c r="C1483" s="14" t="s">
        <v>72</v>
      </c>
      <c r="D1483" s="105">
        <v>14374.6</v>
      </c>
      <c r="E1483" s="30" t="s">
        <v>662</v>
      </c>
      <c r="F1483" s="106">
        <v>14374.6</v>
      </c>
      <c r="G1483" s="48">
        <f t="shared" si="23"/>
        <v>0</v>
      </c>
      <c r="H1483" s="39" t="s">
        <v>62</v>
      </c>
      <c r="I1483" s="3"/>
      <c r="J1483" s="42"/>
      <c r="K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</row>
    <row r="1484" spans="1:22" x14ac:dyDescent="0.25">
      <c r="A1484" s="59">
        <v>42051</v>
      </c>
      <c r="B1484" s="21">
        <v>12181</v>
      </c>
      <c r="C1484" s="14" t="s">
        <v>61</v>
      </c>
      <c r="D1484" s="105">
        <v>13119.2</v>
      </c>
      <c r="E1484" s="23">
        <v>42052</v>
      </c>
      <c r="F1484" s="106">
        <v>13119.2</v>
      </c>
      <c r="G1484" s="31">
        <f t="shared" si="23"/>
        <v>0</v>
      </c>
      <c r="H1484" s="39" t="s">
        <v>62</v>
      </c>
      <c r="I1484" s="3"/>
      <c r="J1484" s="42"/>
      <c r="K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</row>
    <row r="1485" spans="1:22" x14ac:dyDescent="0.25">
      <c r="A1485" s="20">
        <v>42051</v>
      </c>
      <c r="B1485" s="21">
        <v>12182</v>
      </c>
      <c r="C1485" s="14" t="s">
        <v>375</v>
      </c>
      <c r="D1485" s="105">
        <v>2486.4</v>
      </c>
      <c r="E1485" s="51">
        <v>42051</v>
      </c>
      <c r="F1485" s="106">
        <v>2486.4</v>
      </c>
      <c r="G1485" s="31">
        <f t="shared" si="23"/>
        <v>0</v>
      </c>
      <c r="H1485" s="39" t="s">
        <v>9</v>
      </c>
      <c r="I1485" s="3"/>
      <c r="J1485" s="42"/>
      <c r="K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</row>
    <row r="1486" spans="1:22" x14ac:dyDescent="0.25">
      <c r="A1486" s="59">
        <v>42051</v>
      </c>
      <c r="B1486" s="21">
        <v>12183</v>
      </c>
      <c r="C1486" s="14" t="s">
        <v>173</v>
      </c>
      <c r="D1486" s="105">
        <v>31192.2</v>
      </c>
      <c r="E1486" s="30" t="s">
        <v>663</v>
      </c>
      <c r="F1486" s="106">
        <v>31192.2</v>
      </c>
      <c r="G1486" s="31">
        <f t="shared" si="23"/>
        <v>0</v>
      </c>
      <c r="H1486" s="39" t="s">
        <v>62</v>
      </c>
      <c r="I1486" s="3"/>
      <c r="J1486" s="42"/>
      <c r="K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</row>
    <row r="1487" spans="1:22" x14ac:dyDescent="0.25">
      <c r="A1487" s="20">
        <v>42051</v>
      </c>
      <c r="B1487" s="21">
        <v>12184</v>
      </c>
      <c r="C1487" s="14" t="s">
        <v>151</v>
      </c>
      <c r="D1487" s="105">
        <v>6147.8</v>
      </c>
      <c r="E1487" s="23">
        <v>42052</v>
      </c>
      <c r="F1487" s="106">
        <v>6147.8</v>
      </c>
      <c r="G1487" s="31">
        <f t="shared" si="23"/>
        <v>0</v>
      </c>
      <c r="H1487" s="39" t="s">
        <v>9</v>
      </c>
      <c r="I1487" s="3"/>
      <c r="J1487" s="42"/>
      <c r="K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</row>
    <row r="1488" spans="1:22" x14ac:dyDescent="0.25">
      <c r="A1488" s="59">
        <v>42051</v>
      </c>
      <c r="B1488" s="21">
        <v>12185</v>
      </c>
      <c r="C1488" s="14" t="s">
        <v>135</v>
      </c>
      <c r="D1488" s="105">
        <v>4580</v>
      </c>
      <c r="E1488" s="23">
        <v>42051</v>
      </c>
      <c r="F1488" s="106">
        <v>4580</v>
      </c>
      <c r="G1488" s="31">
        <f t="shared" si="23"/>
        <v>0</v>
      </c>
      <c r="H1488" s="39" t="s">
        <v>9</v>
      </c>
      <c r="I1488" s="3"/>
      <c r="J1488" s="42"/>
      <c r="K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</row>
    <row r="1489" spans="1:22" x14ac:dyDescent="0.25">
      <c r="A1489" s="20">
        <v>42051</v>
      </c>
      <c r="B1489" s="21">
        <v>12186</v>
      </c>
      <c r="C1489" s="14" t="s">
        <v>83</v>
      </c>
      <c r="D1489" s="105">
        <v>3955</v>
      </c>
      <c r="E1489" s="23">
        <v>42051</v>
      </c>
      <c r="F1489" s="106">
        <v>3955</v>
      </c>
      <c r="G1489" s="31">
        <f t="shared" si="23"/>
        <v>0</v>
      </c>
      <c r="H1489" s="39" t="s">
        <v>59</v>
      </c>
      <c r="I1489" s="3"/>
      <c r="J1489" s="42"/>
      <c r="K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</row>
    <row r="1490" spans="1:22" x14ac:dyDescent="0.25">
      <c r="A1490" s="59">
        <v>42051</v>
      </c>
      <c r="B1490" s="21">
        <v>12187</v>
      </c>
      <c r="C1490" s="14" t="s">
        <v>125</v>
      </c>
      <c r="D1490" s="105">
        <v>11951.5</v>
      </c>
      <c r="E1490" s="23">
        <v>42057</v>
      </c>
      <c r="F1490" s="106">
        <v>11951.5</v>
      </c>
      <c r="G1490" s="31">
        <f t="shared" si="23"/>
        <v>0</v>
      </c>
      <c r="H1490" s="39" t="s">
        <v>9</v>
      </c>
      <c r="I1490" s="3"/>
      <c r="J1490" s="42"/>
      <c r="K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</row>
    <row r="1491" spans="1:22" x14ac:dyDescent="0.25">
      <c r="A1491" s="20">
        <v>42051</v>
      </c>
      <c r="B1491" s="21">
        <v>12188</v>
      </c>
      <c r="C1491" s="14" t="s">
        <v>151</v>
      </c>
      <c r="D1491" s="105">
        <v>329.4</v>
      </c>
      <c r="E1491" s="23">
        <v>42051</v>
      </c>
      <c r="F1491" s="106">
        <v>329.4</v>
      </c>
      <c r="G1491" s="31">
        <f t="shared" si="23"/>
        <v>0</v>
      </c>
      <c r="H1491" s="39" t="s">
        <v>9</v>
      </c>
      <c r="I1491" s="3"/>
      <c r="J1491" s="42"/>
      <c r="K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</row>
    <row r="1492" spans="1:22" x14ac:dyDescent="0.25">
      <c r="A1492" s="59">
        <v>42051</v>
      </c>
      <c r="B1492" s="21">
        <v>12189</v>
      </c>
      <c r="C1492" s="14" t="s">
        <v>375</v>
      </c>
      <c r="D1492" s="105">
        <v>2081.1999999999998</v>
      </c>
      <c r="E1492" s="23">
        <v>42051</v>
      </c>
      <c r="F1492" s="106">
        <v>2081.1999999999998</v>
      </c>
      <c r="G1492" s="31">
        <f t="shared" si="23"/>
        <v>0</v>
      </c>
      <c r="H1492" s="39" t="s">
        <v>9</v>
      </c>
      <c r="I1492" s="3"/>
      <c r="J1492" s="42"/>
      <c r="K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</row>
    <row r="1493" spans="1:22" x14ac:dyDescent="0.25">
      <c r="A1493" s="20">
        <v>42051</v>
      </c>
      <c r="B1493" s="21">
        <v>12190</v>
      </c>
      <c r="C1493" s="14" t="s">
        <v>82</v>
      </c>
      <c r="D1493" s="105">
        <v>2738</v>
      </c>
      <c r="E1493" s="23">
        <v>42051</v>
      </c>
      <c r="F1493" s="106">
        <v>2738</v>
      </c>
      <c r="G1493" s="31">
        <f t="shared" si="23"/>
        <v>0</v>
      </c>
      <c r="H1493" s="39" t="s">
        <v>59</v>
      </c>
      <c r="I1493" s="3"/>
      <c r="J1493" s="42"/>
      <c r="K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</row>
    <row r="1494" spans="1:22" x14ac:dyDescent="0.25">
      <c r="A1494" s="59">
        <v>42051</v>
      </c>
      <c r="B1494" s="21">
        <v>12191</v>
      </c>
      <c r="C1494" s="14" t="s">
        <v>120</v>
      </c>
      <c r="D1494" s="105">
        <v>1032</v>
      </c>
      <c r="E1494" s="23">
        <v>42051</v>
      </c>
      <c r="F1494" s="106">
        <v>1032</v>
      </c>
      <c r="G1494" s="31">
        <f t="shared" si="23"/>
        <v>0</v>
      </c>
      <c r="H1494" s="39" t="s">
        <v>59</v>
      </c>
      <c r="I1494" s="3"/>
      <c r="J1494" s="42"/>
      <c r="K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</row>
    <row r="1495" spans="1:22" x14ac:dyDescent="0.25">
      <c r="A1495" s="20">
        <v>42051</v>
      </c>
      <c r="B1495" s="21">
        <v>12192</v>
      </c>
      <c r="C1495" s="14" t="s">
        <v>172</v>
      </c>
      <c r="D1495" s="105">
        <v>5155.8</v>
      </c>
      <c r="E1495" s="23">
        <v>42052</v>
      </c>
      <c r="F1495" s="106">
        <v>5155.8</v>
      </c>
      <c r="G1495" s="31">
        <f t="shared" si="23"/>
        <v>0</v>
      </c>
      <c r="H1495" s="39" t="s">
        <v>62</v>
      </c>
      <c r="I1495" s="3"/>
      <c r="J1495" s="42"/>
      <c r="K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</row>
    <row r="1496" spans="1:22" x14ac:dyDescent="0.25">
      <c r="A1496" s="59">
        <v>42051</v>
      </c>
      <c r="B1496" s="21">
        <v>12193</v>
      </c>
      <c r="C1496" s="14" t="s">
        <v>31</v>
      </c>
      <c r="D1496" s="105">
        <v>2622</v>
      </c>
      <c r="E1496" s="23">
        <v>42051</v>
      </c>
      <c r="F1496" s="106">
        <v>2622</v>
      </c>
      <c r="G1496" s="31">
        <f t="shared" si="23"/>
        <v>0</v>
      </c>
      <c r="H1496" s="39" t="s">
        <v>59</v>
      </c>
      <c r="I1496" s="3"/>
      <c r="J1496" s="42"/>
      <c r="K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</row>
    <row r="1497" spans="1:22" x14ac:dyDescent="0.25">
      <c r="A1497" s="20">
        <v>42051</v>
      </c>
      <c r="B1497" s="21">
        <v>12194</v>
      </c>
      <c r="C1497" s="14" t="s">
        <v>30</v>
      </c>
      <c r="D1497" s="105">
        <v>4829.8</v>
      </c>
      <c r="E1497" s="23">
        <v>42051</v>
      </c>
      <c r="F1497" s="106">
        <v>4829.8</v>
      </c>
      <c r="G1497" s="31">
        <f t="shared" si="23"/>
        <v>0</v>
      </c>
      <c r="H1497" s="39" t="s">
        <v>9</v>
      </c>
      <c r="I1497" s="3"/>
      <c r="J1497" s="42"/>
      <c r="K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</row>
    <row r="1498" spans="1:22" x14ac:dyDescent="0.25">
      <c r="A1498" s="59">
        <v>42051</v>
      </c>
      <c r="B1498" s="21">
        <v>12195</v>
      </c>
      <c r="C1498" s="14" t="s">
        <v>664</v>
      </c>
      <c r="D1498" s="105">
        <v>1913.6</v>
      </c>
      <c r="E1498" s="23">
        <v>42051</v>
      </c>
      <c r="F1498" s="106">
        <v>1913.6</v>
      </c>
      <c r="G1498" s="31">
        <f t="shared" si="23"/>
        <v>0</v>
      </c>
      <c r="H1498" s="39" t="s">
        <v>59</v>
      </c>
      <c r="I1498" s="3"/>
      <c r="J1498" s="42"/>
      <c r="K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</row>
    <row r="1499" spans="1:22" x14ac:dyDescent="0.25">
      <c r="A1499" s="20">
        <v>42051</v>
      </c>
      <c r="B1499" s="21">
        <v>12196</v>
      </c>
      <c r="C1499" s="14" t="s">
        <v>43</v>
      </c>
      <c r="D1499" s="105">
        <v>9192.7000000000007</v>
      </c>
      <c r="E1499" s="23">
        <v>42051</v>
      </c>
      <c r="F1499" s="106">
        <v>9192.7000000000007</v>
      </c>
      <c r="G1499" s="31">
        <f t="shared" si="23"/>
        <v>0</v>
      </c>
      <c r="H1499" s="39" t="s">
        <v>9</v>
      </c>
      <c r="I1499" s="3"/>
      <c r="J1499" s="42"/>
      <c r="K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</row>
    <row r="1500" spans="1:22" x14ac:dyDescent="0.25">
      <c r="A1500" s="59">
        <v>42051</v>
      </c>
      <c r="B1500" s="21">
        <v>12197</v>
      </c>
      <c r="C1500" s="14" t="s">
        <v>14</v>
      </c>
      <c r="D1500" s="105">
        <v>84814.78</v>
      </c>
      <c r="E1500" s="23">
        <v>42062</v>
      </c>
      <c r="F1500" s="106">
        <v>84814.78</v>
      </c>
      <c r="G1500" s="31">
        <f t="shared" si="23"/>
        <v>0</v>
      </c>
      <c r="H1500" s="39" t="s">
        <v>46</v>
      </c>
      <c r="I1500" s="3"/>
      <c r="J1500" s="42"/>
      <c r="K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</row>
    <row r="1501" spans="1:22" x14ac:dyDescent="0.25">
      <c r="A1501" s="20">
        <v>42051</v>
      </c>
      <c r="B1501" s="21">
        <v>12198</v>
      </c>
      <c r="C1501" s="14" t="s">
        <v>270</v>
      </c>
      <c r="D1501" s="105">
        <v>226</v>
      </c>
      <c r="E1501" s="23">
        <v>42051</v>
      </c>
      <c r="F1501" s="106">
        <v>226</v>
      </c>
      <c r="G1501" s="31">
        <f t="shared" si="23"/>
        <v>0</v>
      </c>
      <c r="H1501" s="39" t="s">
        <v>9</v>
      </c>
      <c r="I1501" s="3"/>
      <c r="J1501" s="42"/>
      <c r="K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</row>
    <row r="1502" spans="1:22" x14ac:dyDescent="0.25">
      <c r="A1502" s="59">
        <v>42051</v>
      </c>
      <c r="B1502" s="21">
        <v>12199</v>
      </c>
      <c r="C1502" s="14" t="s">
        <v>81</v>
      </c>
      <c r="D1502" s="105">
        <v>1450.6</v>
      </c>
      <c r="E1502" s="23">
        <v>42051</v>
      </c>
      <c r="F1502" s="106">
        <v>1450.6</v>
      </c>
      <c r="G1502" s="31">
        <f t="shared" si="23"/>
        <v>0</v>
      </c>
      <c r="H1502" s="39" t="s">
        <v>59</v>
      </c>
      <c r="I1502" s="3"/>
      <c r="J1502" s="42"/>
      <c r="K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</row>
    <row r="1503" spans="1:22" x14ac:dyDescent="0.25">
      <c r="A1503" s="20">
        <v>42051</v>
      </c>
      <c r="B1503" s="21">
        <v>12200</v>
      </c>
      <c r="C1503" s="14" t="s">
        <v>167</v>
      </c>
      <c r="D1503" s="105">
        <v>603.20000000000005</v>
      </c>
      <c r="E1503" s="23">
        <v>42051</v>
      </c>
      <c r="F1503" s="106">
        <v>603.20000000000005</v>
      </c>
      <c r="G1503" s="31">
        <f t="shared" si="23"/>
        <v>0</v>
      </c>
      <c r="H1503" s="39" t="s">
        <v>59</v>
      </c>
      <c r="I1503" s="3"/>
      <c r="J1503" s="42"/>
      <c r="K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</row>
    <row r="1504" spans="1:22" x14ac:dyDescent="0.25">
      <c r="A1504" s="59">
        <v>42051</v>
      </c>
      <c r="B1504" s="21">
        <v>12201</v>
      </c>
      <c r="C1504" s="14" t="s">
        <v>53</v>
      </c>
      <c r="D1504" s="105">
        <v>941.5</v>
      </c>
      <c r="E1504" s="23">
        <v>42051</v>
      </c>
      <c r="F1504" s="106">
        <v>941.5</v>
      </c>
      <c r="G1504" s="31">
        <f t="shared" si="23"/>
        <v>0</v>
      </c>
      <c r="H1504" s="39" t="s">
        <v>59</v>
      </c>
      <c r="I1504" s="3"/>
      <c r="J1504" s="42"/>
      <c r="K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</row>
    <row r="1505" spans="1:22" x14ac:dyDescent="0.25">
      <c r="A1505" s="20">
        <v>42051</v>
      </c>
      <c r="B1505" s="21">
        <v>12202</v>
      </c>
      <c r="C1505" s="14" t="s">
        <v>57</v>
      </c>
      <c r="D1505" s="105">
        <v>900</v>
      </c>
      <c r="E1505" s="23">
        <v>42051</v>
      </c>
      <c r="F1505" s="106">
        <v>900</v>
      </c>
      <c r="G1505" s="31">
        <f t="shared" si="23"/>
        <v>0</v>
      </c>
      <c r="H1505" s="39" t="s">
        <v>59</v>
      </c>
      <c r="I1505" s="3"/>
      <c r="J1505" s="42"/>
      <c r="K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</row>
    <row r="1506" spans="1:22" x14ac:dyDescent="0.25">
      <c r="A1506" s="59">
        <v>42051</v>
      </c>
      <c r="B1506" s="21">
        <v>12203</v>
      </c>
      <c r="C1506" s="26" t="s">
        <v>12</v>
      </c>
      <c r="D1506" s="108">
        <v>0</v>
      </c>
      <c r="E1506" s="23"/>
      <c r="F1506" s="106"/>
      <c r="G1506" s="31">
        <f t="shared" si="23"/>
        <v>0</v>
      </c>
      <c r="H1506" s="39" t="s">
        <v>13</v>
      </c>
      <c r="K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</row>
    <row r="1507" spans="1:22" x14ac:dyDescent="0.25">
      <c r="A1507" s="20">
        <v>42051</v>
      </c>
      <c r="B1507" s="21">
        <v>12204</v>
      </c>
      <c r="C1507" s="14" t="s">
        <v>34</v>
      </c>
      <c r="D1507" s="105">
        <v>4582.5</v>
      </c>
      <c r="E1507" s="23">
        <v>42051</v>
      </c>
      <c r="F1507" s="106">
        <v>4582.5</v>
      </c>
      <c r="G1507" s="31">
        <f t="shared" si="23"/>
        <v>0</v>
      </c>
      <c r="H1507" s="39" t="s">
        <v>9</v>
      </c>
      <c r="K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</row>
    <row r="1508" spans="1:22" x14ac:dyDescent="0.25">
      <c r="A1508" s="59">
        <v>42051</v>
      </c>
      <c r="B1508" s="21">
        <v>12205</v>
      </c>
      <c r="C1508" s="14" t="s">
        <v>32</v>
      </c>
      <c r="D1508" s="105">
        <v>164271</v>
      </c>
      <c r="E1508" s="23">
        <v>42062</v>
      </c>
      <c r="F1508" s="106">
        <v>164271</v>
      </c>
      <c r="G1508" s="31">
        <f t="shared" si="23"/>
        <v>0</v>
      </c>
      <c r="H1508" s="39" t="s">
        <v>149</v>
      </c>
      <c r="K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</row>
    <row r="1509" spans="1:22" x14ac:dyDescent="0.25">
      <c r="A1509" s="20">
        <v>42051</v>
      </c>
      <c r="B1509" s="21">
        <v>12206</v>
      </c>
      <c r="C1509" s="14" t="s">
        <v>168</v>
      </c>
      <c r="D1509" s="105">
        <v>690</v>
      </c>
      <c r="E1509" s="23">
        <v>42051</v>
      </c>
      <c r="F1509" s="106">
        <v>690</v>
      </c>
      <c r="G1509" s="31">
        <f t="shared" si="23"/>
        <v>0</v>
      </c>
      <c r="H1509" s="39" t="s">
        <v>59</v>
      </c>
      <c r="K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</row>
    <row r="1510" spans="1:22" x14ac:dyDescent="0.25">
      <c r="A1510" s="59">
        <v>42051</v>
      </c>
      <c r="B1510" s="21">
        <v>12207</v>
      </c>
      <c r="C1510" s="14" t="s">
        <v>154</v>
      </c>
      <c r="D1510" s="105">
        <v>15112</v>
      </c>
      <c r="E1510" s="23">
        <v>42052</v>
      </c>
      <c r="F1510" s="106">
        <v>15112</v>
      </c>
      <c r="G1510" s="31">
        <f t="shared" si="23"/>
        <v>0</v>
      </c>
      <c r="H1510" s="39" t="s">
        <v>36</v>
      </c>
      <c r="K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</row>
    <row r="1511" spans="1:22" x14ac:dyDescent="0.25">
      <c r="A1511" s="20">
        <v>42051</v>
      </c>
      <c r="B1511" s="21">
        <v>12208</v>
      </c>
      <c r="C1511" s="26" t="s">
        <v>12</v>
      </c>
      <c r="D1511" s="108">
        <v>0</v>
      </c>
      <c r="E1511" s="23"/>
      <c r="F1511" s="106"/>
      <c r="G1511" s="31">
        <f t="shared" si="23"/>
        <v>0</v>
      </c>
      <c r="H1511" s="39" t="s">
        <v>13</v>
      </c>
      <c r="K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</row>
    <row r="1512" spans="1:22" x14ac:dyDescent="0.25">
      <c r="A1512" s="59">
        <v>42051</v>
      </c>
      <c r="B1512" s="21">
        <v>12209</v>
      </c>
      <c r="C1512" s="14" t="s">
        <v>131</v>
      </c>
      <c r="D1512" s="105">
        <v>7670.75</v>
      </c>
      <c r="E1512" s="23">
        <v>42054</v>
      </c>
      <c r="F1512" s="106">
        <v>7670.75</v>
      </c>
      <c r="G1512" s="31">
        <f t="shared" si="23"/>
        <v>0</v>
      </c>
      <c r="H1512" s="39" t="s">
        <v>62</v>
      </c>
      <c r="K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</row>
    <row r="1513" spans="1:22" x14ac:dyDescent="0.25">
      <c r="A1513" s="20">
        <v>42051</v>
      </c>
      <c r="B1513" s="21">
        <v>12210</v>
      </c>
      <c r="C1513" s="14" t="s">
        <v>299</v>
      </c>
      <c r="D1513" s="105">
        <v>2830.75</v>
      </c>
      <c r="E1513" s="23">
        <v>42051</v>
      </c>
      <c r="F1513" s="106">
        <v>2830.75</v>
      </c>
      <c r="G1513" s="31">
        <f t="shared" si="23"/>
        <v>0</v>
      </c>
      <c r="H1513" s="39" t="s">
        <v>17</v>
      </c>
      <c r="J1513" s="107"/>
      <c r="K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</row>
    <row r="1514" spans="1:22" x14ac:dyDescent="0.25">
      <c r="A1514" s="59">
        <v>42051</v>
      </c>
      <c r="B1514" s="21">
        <v>12211</v>
      </c>
      <c r="C1514" s="14" t="s">
        <v>130</v>
      </c>
      <c r="D1514" s="105">
        <v>7455.15</v>
      </c>
      <c r="E1514" s="23">
        <v>42051</v>
      </c>
      <c r="F1514" s="106">
        <v>7455.15</v>
      </c>
      <c r="G1514" s="31">
        <f t="shared" si="23"/>
        <v>0</v>
      </c>
      <c r="H1514" s="39" t="s">
        <v>17</v>
      </c>
      <c r="K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</row>
    <row r="1515" spans="1:22" x14ac:dyDescent="0.25">
      <c r="A1515" s="20">
        <v>42051</v>
      </c>
      <c r="B1515" s="21">
        <v>12212</v>
      </c>
      <c r="C1515" s="14" t="s">
        <v>128</v>
      </c>
      <c r="D1515" s="105">
        <v>1045.2</v>
      </c>
      <c r="E1515" s="23">
        <v>42051</v>
      </c>
      <c r="F1515" s="106">
        <v>1045.2</v>
      </c>
      <c r="G1515" s="31">
        <f t="shared" si="23"/>
        <v>0</v>
      </c>
      <c r="H1515" s="39" t="s">
        <v>17</v>
      </c>
      <c r="K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</row>
    <row r="1516" spans="1:22" x14ac:dyDescent="0.25">
      <c r="A1516" s="59">
        <v>42051</v>
      </c>
      <c r="B1516" s="21">
        <v>12213</v>
      </c>
      <c r="C1516" s="14" t="s">
        <v>256</v>
      </c>
      <c r="D1516" s="105">
        <v>4165.8</v>
      </c>
      <c r="E1516" s="23">
        <v>42052</v>
      </c>
      <c r="F1516" s="106">
        <v>4165.8</v>
      </c>
      <c r="G1516" s="31">
        <f t="shared" si="23"/>
        <v>0</v>
      </c>
      <c r="H1516" s="39" t="s">
        <v>36</v>
      </c>
      <c r="K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</row>
    <row r="1517" spans="1:22" x14ac:dyDescent="0.25">
      <c r="A1517" s="20">
        <v>42051</v>
      </c>
      <c r="B1517" s="21">
        <v>12214</v>
      </c>
      <c r="C1517" s="14" t="s">
        <v>26</v>
      </c>
      <c r="D1517" s="105">
        <v>1656</v>
      </c>
      <c r="E1517" s="23">
        <v>42051</v>
      </c>
      <c r="F1517" s="106">
        <v>1656</v>
      </c>
      <c r="G1517" s="31">
        <f t="shared" si="23"/>
        <v>0</v>
      </c>
      <c r="H1517" s="39" t="s">
        <v>27</v>
      </c>
      <c r="K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</row>
    <row r="1518" spans="1:22" x14ac:dyDescent="0.25">
      <c r="A1518" s="59">
        <v>42051</v>
      </c>
      <c r="B1518" s="21">
        <v>12215</v>
      </c>
      <c r="C1518" s="14" t="s">
        <v>164</v>
      </c>
      <c r="D1518" s="105">
        <v>2936</v>
      </c>
      <c r="E1518" s="23">
        <v>42051</v>
      </c>
      <c r="F1518" s="106">
        <v>2936</v>
      </c>
      <c r="G1518" s="31">
        <f t="shared" si="23"/>
        <v>0</v>
      </c>
      <c r="H1518" s="39" t="s">
        <v>9</v>
      </c>
      <c r="K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</row>
    <row r="1519" spans="1:22" x14ac:dyDescent="0.25">
      <c r="A1519" s="20">
        <v>42051</v>
      </c>
      <c r="B1519" s="21">
        <v>12216</v>
      </c>
      <c r="C1519" s="14" t="s">
        <v>45</v>
      </c>
      <c r="D1519" s="105">
        <v>74819.97</v>
      </c>
      <c r="E1519" s="23">
        <v>42062</v>
      </c>
      <c r="F1519" s="106">
        <v>74819.97</v>
      </c>
      <c r="G1519" s="31">
        <f t="shared" si="23"/>
        <v>0</v>
      </c>
      <c r="H1519" s="39" t="s">
        <v>46</v>
      </c>
      <c r="K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</row>
    <row r="1520" spans="1:22" x14ac:dyDescent="0.25">
      <c r="A1520" s="59">
        <v>42051</v>
      </c>
      <c r="B1520" s="21">
        <v>12217</v>
      </c>
      <c r="C1520" s="14" t="s">
        <v>37</v>
      </c>
      <c r="D1520" s="105">
        <v>20747.05</v>
      </c>
      <c r="E1520" s="23">
        <v>42063</v>
      </c>
      <c r="F1520" s="106">
        <v>20747.05</v>
      </c>
      <c r="G1520" s="31">
        <f t="shared" si="23"/>
        <v>0</v>
      </c>
      <c r="H1520" s="39" t="s">
        <v>36</v>
      </c>
      <c r="K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</row>
    <row r="1521" spans="1:22" x14ac:dyDescent="0.25">
      <c r="A1521" s="20">
        <v>42051</v>
      </c>
      <c r="B1521" s="21">
        <v>12218</v>
      </c>
      <c r="C1521" s="26" t="s">
        <v>12</v>
      </c>
      <c r="D1521" s="108">
        <v>0</v>
      </c>
      <c r="E1521" s="23"/>
      <c r="F1521" s="106"/>
      <c r="G1521" s="31">
        <f t="shared" si="23"/>
        <v>0</v>
      </c>
      <c r="H1521" s="39" t="s">
        <v>13</v>
      </c>
      <c r="J1521" s="107"/>
      <c r="K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</row>
    <row r="1522" spans="1:22" x14ac:dyDescent="0.25">
      <c r="A1522" s="59">
        <v>42051</v>
      </c>
      <c r="B1522" s="21">
        <v>12219</v>
      </c>
      <c r="C1522" s="14" t="s">
        <v>399</v>
      </c>
      <c r="D1522" s="105">
        <v>4688</v>
      </c>
      <c r="E1522" s="23">
        <v>42051</v>
      </c>
      <c r="F1522" s="106">
        <v>4688</v>
      </c>
      <c r="G1522" s="31">
        <f t="shared" si="23"/>
        <v>0</v>
      </c>
      <c r="H1522" s="39" t="s">
        <v>59</v>
      </c>
      <c r="J1522" s="107"/>
      <c r="K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</row>
    <row r="1523" spans="1:22" x14ac:dyDescent="0.25">
      <c r="A1523" s="20">
        <v>42051</v>
      </c>
      <c r="B1523" s="21">
        <v>12220</v>
      </c>
      <c r="C1523" s="14" t="s">
        <v>239</v>
      </c>
      <c r="D1523" s="105">
        <v>1896.3</v>
      </c>
      <c r="E1523" s="23">
        <v>42051</v>
      </c>
      <c r="F1523" s="106">
        <v>1896.3</v>
      </c>
      <c r="G1523" s="31">
        <f t="shared" si="23"/>
        <v>0</v>
      </c>
      <c r="H1523" s="39" t="s">
        <v>9</v>
      </c>
      <c r="K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</row>
    <row r="1524" spans="1:22" x14ac:dyDescent="0.25">
      <c r="A1524" s="59">
        <v>42051</v>
      </c>
      <c r="B1524" s="21">
        <v>12221</v>
      </c>
      <c r="C1524" s="14" t="s">
        <v>24</v>
      </c>
      <c r="D1524" s="105">
        <v>154486.12</v>
      </c>
      <c r="E1524" s="23">
        <v>42074</v>
      </c>
      <c r="F1524" s="106">
        <v>154486.12</v>
      </c>
      <c r="G1524" s="31">
        <f t="shared" si="23"/>
        <v>0</v>
      </c>
      <c r="H1524" s="39" t="s">
        <v>46</v>
      </c>
      <c r="K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</row>
    <row r="1525" spans="1:22" x14ac:dyDescent="0.25">
      <c r="A1525" s="20">
        <v>42051</v>
      </c>
      <c r="B1525" s="21">
        <v>12222</v>
      </c>
      <c r="C1525" s="14" t="s">
        <v>591</v>
      </c>
      <c r="D1525" s="105">
        <v>10446.299999999999</v>
      </c>
      <c r="E1525" s="23">
        <v>42052</v>
      </c>
      <c r="F1525" s="106">
        <v>10446.299999999999</v>
      </c>
      <c r="G1525" s="31">
        <f t="shared" si="23"/>
        <v>0</v>
      </c>
      <c r="H1525" s="39" t="s">
        <v>36</v>
      </c>
      <c r="K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</row>
    <row r="1526" spans="1:22" x14ac:dyDescent="0.25">
      <c r="A1526" s="59">
        <v>42051</v>
      </c>
      <c r="B1526" s="21">
        <v>12223</v>
      </c>
      <c r="C1526" s="14" t="s">
        <v>56</v>
      </c>
      <c r="D1526" s="105">
        <v>12090</v>
      </c>
      <c r="E1526" s="23">
        <v>42052</v>
      </c>
      <c r="F1526" s="106">
        <v>12090</v>
      </c>
      <c r="G1526" s="31">
        <f t="shared" si="23"/>
        <v>0</v>
      </c>
      <c r="H1526" s="39" t="s">
        <v>36</v>
      </c>
      <c r="K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</row>
    <row r="1527" spans="1:22" x14ac:dyDescent="0.25">
      <c r="A1527" s="20">
        <v>42051</v>
      </c>
      <c r="B1527" s="21">
        <v>12224</v>
      </c>
      <c r="C1527" s="14" t="s">
        <v>160</v>
      </c>
      <c r="D1527" s="105">
        <v>1496</v>
      </c>
      <c r="E1527" s="23">
        <v>42052</v>
      </c>
      <c r="F1527" s="106">
        <v>1496</v>
      </c>
      <c r="G1527" s="31">
        <f t="shared" si="23"/>
        <v>0</v>
      </c>
      <c r="H1527" s="39" t="s">
        <v>36</v>
      </c>
      <c r="K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</row>
    <row r="1528" spans="1:22" x14ac:dyDescent="0.25">
      <c r="A1528" s="59">
        <v>42051</v>
      </c>
      <c r="B1528" s="21">
        <v>12225</v>
      </c>
      <c r="C1528" s="14" t="s">
        <v>63</v>
      </c>
      <c r="D1528" s="105">
        <v>2431</v>
      </c>
      <c r="E1528" s="23">
        <v>42052</v>
      </c>
      <c r="F1528" s="106">
        <v>2431</v>
      </c>
      <c r="G1528" s="31">
        <f t="shared" si="23"/>
        <v>0</v>
      </c>
      <c r="H1528" s="39" t="s">
        <v>36</v>
      </c>
      <c r="K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</row>
    <row r="1529" spans="1:22" x14ac:dyDescent="0.25">
      <c r="A1529" s="20">
        <v>42051</v>
      </c>
      <c r="B1529" s="21">
        <v>12226</v>
      </c>
      <c r="C1529" s="14" t="s">
        <v>24</v>
      </c>
      <c r="D1529" s="105">
        <v>56070.6</v>
      </c>
      <c r="E1529" s="23">
        <v>42074</v>
      </c>
      <c r="F1529" s="106">
        <v>56070.6</v>
      </c>
      <c r="G1529" s="31">
        <f t="shared" si="23"/>
        <v>0</v>
      </c>
      <c r="H1529" s="39" t="s">
        <v>19</v>
      </c>
      <c r="K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</row>
    <row r="1530" spans="1:22" x14ac:dyDescent="0.25">
      <c r="A1530" s="59">
        <v>42051</v>
      </c>
      <c r="B1530" s="21">
        <v>12227</v>
      </c>
      <c r="C1530" s="14" t="s">
        <v>110</v>
      </c>
      <c r="D1530" s="105">
        <v>10284.9</v>
      </c>
      <c r="E1530" s="23">
        <v>42060</v>
      </c>
      <c r="F1530" s="106">
        <v>10284.9</v>
      </c>
      <c r="G1530" s="31">
        <f t="shared" si="23"/>
        <v>0</v>
      </c>
      <c r="H1530" s="39" t="s">
        <v>9</v>
      </c>
      <c r="K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</row>
    <row r="1531" spans="1:22" x14ac:dyDescent="0.25">
      <c r="A1531" s="20">
        <v>42051</v>
      </c>
      <c r="B1531" s="21">
        <v>12228</v>
      </c>
      <c r="C1531" s="14" t="s">
        <v>127</v>
      </c>
      <c r="D1531" s="105">
        <v>6714.9</v>
      </c>
      <c r="E1531" s="23">
        <v>42051</v>
      </c>
      <c r="F1531" s="106">
        <v>6714.9</v>
      </c>
      <c r="G1531" s="31">
        <f t="shared" si="23"/>
        <v>0</v>
      </c>
      <c r="H1531" s="39" t="s">
        <v>9</v>
      </c>
      <c r="K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</row>
    <row r="1532" spans="1:22" x14ac:dyDescent="0.25">
      <c r="A1532" s="59">
        <v>42051</v>
      </c>
      <c r="B1532" s="21">
        <v>12229</v>
      </c>
      <c r="C1532" s="14" t="s">
        <v>14</v>
      </c>
      <c r="D1532" s="105">
        <v>241242.75</v>
      </c>
      <c r="E1532" s="23">
        <v>42062</v>
      </c>
      <c r="F1532" s="106">
        <v>241242.75</v>
      </c>
      <c r="G1532" s="31">
        <f t="shared" si="23"/>
        <v>0</v>
      </c>
      <c r="H1532" s="39" t="s">
        <v>9</v>
      </c>
      <c r="K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</row>
    <row r="1533" spans="1:22" x14ac:dyDescent="0.25">
      <c r="A1533" s="20">
        <v>42051</v>
      </c>
      <c r="B1533" s="21">
        <v>12230</v>
      </c>
      <c r="C1533" s="14" t="s">
        <v>24</v>
      </c>
      <c r="D1533" s="105">
        <v>48475.5</v>
      </c>
      <c r="E1533" s="29" t="s">
        <v>768</v>
      </c>
      <c r="F1533" s="106">
        <f>37696.44+7198.04+3581.02</f>
        <v>48475.5</v>
      </c>
      <c r="G1533" s="31">
        <f t="shared" si="23"/>
        <v>0</v>
      </c>
      <c r="H1533" s="39" t="s">
        <v>183</v>
      </c>
      <c r="K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</row>
    <row r="1534" spans="1:22" x14ac:dyDescent="0.25">
      <c r="A1534" s="59">
        <v>42051</v>
      </c>
      <c r="B1534" s="21">
        <v>12231</v>
      </c>
      <c r="C1534" s="14" t="s">
        <v>110</v>
      </c>
      <c r="D1534" s="105">
        <v>79037.75</v>
      </c>
      <c r="E1534" s="23">
        <v>42060</v>
      </c>
      <c r="F1534" s="106">
        <v>79037.75</v>
      </c>
      <c r="G1534" s="31">
        <f t="shared" si="23"/>
        <v>0</v>
      </c>
      <c r="H1534" s="39" t="s">
        <v>183</v>
      </c>
      <c r="K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</row>
    <row r="1535" spans="1:22" x14ac:dyDescent="0.25">
      <c r="A1535" s="20">
        <v>42051</v>
      </c>
      <c r="B1535" s="21">
        <v>12232</v>
      </c>
      <c r="C1535" s="14" t="s">
        <v>89</v>
      </c>
      <c r="D1535" s="105">
        <v>4753.6000000000004</v>
      </c>
      <c r="E1535" s="23">
        <v>42051</v>
      </c>
      <c r="F1535" s="106">
        <v>4753.6000000000004</v>
      </c>
      <c r="G1535" s="31">
        <f t="shared" si="23"/>
        <v>0</v>
      </c>
      <c r="H1535" s="39" t="s">
        <v>9</v>
      </c>
      <c r="K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</row>
    <row r="1536" spans="1:22" x14ac:dyDescent="0.25">
      <c r="A1536" s="59">
        <v>42051</v>
      </c>
      <c r="B1536" s="21">
        <v>12233</v>
      </c>
      <c r="C1536" s="14" t="s">
        <v>264</v>
      </c>
      <c r="D1536" s="105">
        <v>21706.87</v>
      </c>
      <c r="E1536" s="23">
        <v>42052</v>
      </c>
      <c r="F1536" s="106">
        <v>21706.87</v>
      </c>
      <c r="G1536" s="31">
        <f t="shared" si="23"/>
        <v>0</v>
      </c>
      <c r="H1536" s="39" t="s">
        <v>19</v>
      </c>
      <c r="K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</row>
    <row r="1537" spans="1:22" x14ac:dyDescent="0.25">
      <c r="A1537" s="20">
        <v>42051</v>
      </c>
      <c r="B1537" s="21">
        <v>12234</v>
      </c>
      <c r="C1537" s="14" t="s">
        <v>66</v>
      </c>
      <c r="D1537" s="105">
        <v>828</v>
      </c>
      <c r="E1537" s="23">
        <v>42051</v>
      </c>
      <c r="F1537" s="106">
        <v>828</v>
      </c>
      <c r="G1537" s="31">
        <f t="shared" si="23"/>
        <v>0</v>
      </c>
      <c r="H1537" s="39" t="s">
        <v>9</v>
      </c>
      <c r="K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</row>
    <row r="1538" spans="1:22" x14ac:dyDescent="0.25">
      <c r="A1538" s="59">
        <v>42051</v>
      </c>
      <c r="B1538" s="21">
        <v>12235</v>
      </c>
      <c r="C1538" s="14" t="s">
        <v>66</v>
      </c>
      <c r="D1538" s="105">
        <v>1476.8</v>
      </c>
      <c r="E1538" s="23">
        <v>42051</v>
      </c>
      <c r="F1538" s="106">
        <v>1476.8</v>
      </c>
      <c r="G1538" s="31">
        <f t="shared" si="23"/>
        <v>0</v>
      </c>
      <c r="H1538" s="39" t="s">
        <v>9</v>
      </c>
      <c r="K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</row>
    <row r="1539" spans="1:22" x14ac:dyDescent="0.25">
      <c r="A1539" s="20">
        <v>42051</v>
      </c>
      <c r="B1539" s="21">
        <v>12236</v>
      </c>
      <c r="C1539" s="14" t="s">
        <v>229</v>
      </c>
      <c r="D1539" s="105">
        <v>1289.5999999999999</v>
      </c>
      <c r="E1539" s="23">
        <v>42052</v>
      </c>
      <c r="F1539" s="106">
        <v>1289.5999999999999</v>
      </c>
      <c r="G1539" s="31">
        <f t="shared" ref="G1539:G1602" si="24">D1539-F1539</f>
        <v>0</v>
      </c>
      <c r="H1539" s="39" t="s">
        <v>19</v>
      </c>
      <c r="K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</row>
    <row r="1540" spans="1:22" x14ac:dyDescent="0.25">
      <c r="A1540" s="59">
        <v>42051</v>
      </c>
      <c r="B1540" s="21">
        <v>12237</v>
      </c>
      <c r="C1540" s="14" t="s">
        <v>361</v>
      </c>
      <c r="D1540" s="105">
        <v>1825.6</v>
      </c>
      <c r="E1540" s="23">
        <v>42052</v>
      </c>
      <c r="F1540" s="106">
        <v>1825.6</v>
      </c>
      <c r="G1540" s="31">
        <f t="shared" si="24"/>
        <v>0</v>
      </c>
      <c r="H1540" s="39" t="s">
        <v>19</v>
      </c>
      <c r="K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</row>
    <row r="1541" spans="1:22" x14ac:dyDescent="0.25">
      <c r="A1541" s="20">
        <v>42051</v>
      </c>
      <c r="B1541" s="21">
        <v>12238</v>
      </c>
      <c r="C1541" s="14" t="s">
        <v>96</v>
      </c>
      <c r="D1541" s="105">
        <v>4959.5</v>
      </c>
      <c r="E1541" s="23">
        <v>42052</v>
      </c>
      <c r="F1541" s="106">
        <v>4959.5</v>
      </c>
      <c r="G1541" s="31">
        <f t="shared" si="24"/>
        <v>0</v>
      </c>
      <c r="H1541" s="39" t="s">
        <v>19</v>
      </c>
      <c r="K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</row>
    <row r="1542" spans="1:22" x14ac:dyDescent="0.25">
      <c r="A1542" s="59">
        <v>42051</v>
      </c>
      <c r="B1542" s="21">
        <v>12239</v>
      </c>
      <c r="C1542" s="14" t="s">
        <v>21</v>
      </c>
      <c r="D1542" s="105">
        <v>2938.85</v>
      </c>
      <c r="E1542" s="23">
        <v>42051</v>
      </c>
      <c r="F1542" s="106">
        <v>2938.85</v>
      </c>
      <c r="G1542" s="31">
        <f t="shared" si="24"/>
        <v>0</v>
      </c>
      <c r="H1542" s="39" t="s">
        <v>9</v>
      </c>
      <c r="K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</row>
    <row r="1543" spans="1:22" x14ac:dyDescent="0.25">
      <c r="A1543" s="20">
        <v>42051</v>
      </c>
      <c r="B1543" s="21">
        <v>12240</v>
      </c>
      <c r="C1543" s="14" t="s">
        <v>213</v>
      </c>
      <c r="D1543" s="105">
        <v>41822.800000000003</v>
      </c>
      <c r="E1543" s="30">
        <v>42153</v>
      </c>
      <c r="F1543" s="144">
        <v>41822.800000000003</v>
      </c>
      <c r="G1543" s="31">
        <f t="shared" si="24"/>
        <v>0</v>
      </c>
      <c r="H1543" s="39" t="s">
        <v>94</v>
      </c>
      <c r="K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</row>
    <row r="1544" spans="1:22" x14ac:dyDescent="0.25">
      <c r="A1544" s="59">
        <v>42051</v>
      </c>
      <c r="B1544" s="21">
        <v>12241</v>
      </c>
      <c r="C1544" s="14" t="s">
        <v>325</v>
      </c>
      <c r="D1544" s="105">
        <v>996</v>
      </c>
      <c r="E1544" s="23">
        <v>42052</v>
      </c>
      <c r="F1544" s="106">
        <v>996</v>
      </c>
      <c r="G1544" s="31">
        <f t="shared" si="24"/>
        <v>0</v>
      </c>
      <c r="H1544" s="39" t="s">
        <v>19</v>
      </c>
      <c r="K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</row>
    <row r="1545" spans="1:22" x14ac:dyDescent="0.25">
      <c r="A1545" s="20">
        <v>42051</v>
      </c>
      <c r="B1545" s="21">
        <v>12242</v>
      </c>
      <c r="C1545" s="14" t="s">
        <v>136</v>
      </c>
      <c r="D1545" s="105">
        <v>37651.199999999997</v>
      </c>
      <c r="E1545" s="29" t="s">
        <v>665</v>
      </c>
      <c r="F1545" s="106">
        <f>29680+7971.2</f>
        <v>37651.199999999997</v>
      </c>
      <c r="G1545" s="31">
        <f t="shared" si="24"/>
        <v>0</v>
      </c>
      <c r="H1545" s="39" t="s">
        <v>9</v>
      </c>
      <c r="K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</row>
    <row r="1546" spans="1:22" x14ac:dyDescent="0.25">
      <c r="A1546" s="59">
        <v>42051</v>
      </c>
      <c r="B1546" s="21">
        <v>12243</v>
      </c>
      <c r="C1546" s="14" t="s">
        <v>393</v>
      </c>
      <c r="D1546" s="105">
        <v>546</v>
      </c>
      <c r="E1546" s="23">
        <v>42052</v>
      </c>
      <c r="F1546" s="106">
        <v>546</v>
      </c>
      <c r="G1546" s="31">
        <f t="shared" si="24"/>
        <v>0</v>
      </c>
      <c r="H1546" s="39" t="s">
        <v>19</v>
      </c>
      <c r="K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</row>
    <row r="1547" spans="1:22" x14ac:dyDescent="0.25">
      <c r="A1547" s="20">
        <v>42051</v>
      </c>
      <c r="B1547" s="21">
        <v>12244</v>
      </c>
      <c r="C1547" s="14" t="s">
        <v>96</v>
      </c>
      <c r="D1547" s="105">
        <v>744</v>
      </c>
      <c r="E1547" s="23">
        <v>42052</v>
      </c>
      <c r="F1547" s="106">
        <v>744</v>
      </c>
      <c r="G1547" s="31">
        <f t="shared" si="24"/>
        <v>0</v>
      </c>
      <c r="H1547" s="39" t="s">
        <v>19</v>
      </c>
      <c r="K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</row>
    <row r="1548" spans="1:22" x14ac:dyDescent="0.25">
      <c r="A1548" s="59">
        <v>42051</v>
      </c>
      <c r="B1548" s="21">
        <v>12245</v>
      </c>
      <c r="C1548" s="14" t="s">
        <v>95</v>
      </c>
      <c r="D1548" s="105">
        <v>2856</v>
      </c>
      <c r="E1548" s="23">
        <v>42052</v>
      </c>
      <c r="F1548" s="106">
        <v>2856</v>
      </c>
      <c r="G1548" s="31">
        <f t="shared" si="24"/>
        <v>0</v>
      </c>
      <c r="H1548" s="39" t="s">
        <v>19</v>
      </c>
      <c r="K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</row>
    <row r="1549" spans="1:22" x14ac:dyDescent="0.25">
      <c r="A1549" s="20">
        <v>42051</v>
      </c>
      <c r="B1549" s="21">
        <v>12246</v>
      </c>
      <c r="C1549" s="14" t="s">
        <v>98</v>
      </c>
      <c r="D1549" s="105">
        <v>1979.3</v>
      </c>
      <c r="E1549" s="23">
        <v>42052</v>
      </c>
      <c r="F1549" s="106">
        <v>1979.3</v>
      </c>
      <c r="G1549" s="31">
        <f t="shared" si="24"/>
        <v>0</v>
      </c>
      <c r="H1549" s="39" t="s">
        <v>9</v>
      </c>
      <c r="K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</row>
    <row r="1550" spans="1:22" x14ac:dyDescent="0.25">
      <c r="A1550" s="59">
        <v>42051</v>
      </c>
      <c r="B1550" s="21">
        <v>12247</v>
      </c>
      <c r="C1550" s="14" t="s">
        <v>190</v>
      </c>
      <c r="D1550" s="105">
        <v>9071</v>
      </c>
      <c r="E1550" s="23">
        <v>42052</v>
      </c>
      <c r="F1550" s="106">
        <v>9071</v>
      </c>
      <c r="G1550" s="31">
        <f t="shared" si="24"/>
        <v>0</v>
      </c>
      <c r="H1550" s="39" t="s">
        <v>19</v>
      </c>
      <c r="J1550" s="107"/>
      <c r="K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</row>
    <row r="1551" spans="1:22" x14ac:dyDescent="0.25">
      <c r="A1551" s="20">
        <v>42051</v>
      </c>
      <c r="B1551" s="21">
        <v>12248</v>
      </c>
      <c r="C1551" s="14" t="s">
        <v>301</v>
      </c>
      <c r="D1551" s="105">
        <v>1393.6</v>
      </c>
      <c r="E1551" s="23">
        <v>42052</v>
      </c>
      <c r="F1551" s="106">
        <v>1393.6</v>
      </c>
      <c r="G1551" s="31">
        <f t="shared" si="24"/>
        <v>0</v>
      </c>
      <c r="H1551" s="39" t="s">
        <v>19</v>
      </c>
      <c r="K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</row>
    <row r="1552" spans="1:22" x14ac:dyDescent="0.25">
      <c r="A1552" s="59">
        <v>42051</v>
      </c>
      <c r="B1552" s="21">
        <v>12249</v>
      </c>
      <c r="C1552" s="14" t="s">
        <v>666</v>
      </c>
      <c r="D1552" s="105">
        <v>5872.18</v>
      </c>
      <c r="E1552" s="23">
        <v>42051</v>
      </c>
      <c r="F1552" s="106">
        <v>5872.18</v>
      </c>
      <c r="G1552" s="31">
        <f t="shared" si="24"/>
        <v>0</v>
      </c>
      <c r="H1552" s="39" t="s">
        <v>9</v>
      </c>
      <c r="K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</row>
    <row r="1553" spans="1:22" x14ac:dyDescent="0.25">
      <c r="A1553" s="20">
        <v>42051</v>
      </c>
      <c r="B1553" s="21">
        <v>12250</v>
      </c>
      <c r="C1553" s="14" t="s">
        <v>667</v>
      </c>
      <c r="D1553" s="105">
        <v>3244.8</v>
      </c>
      <c r="E1553" s="23">
        <v>42052</v>
      </c>
      <c r="F1553" s="106">
        <v>3244.8</v>
      </c>
      <c r="G1553" s="31">
        <f t="shared" si="24"/>
        <v>0</v>
      </c>
      <c r="H1553" s="39" t="s">
        <v>9</v>
      </c>
      <c r="K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</row>
    <row r="1554" spans="1:22" x14ac:dyDescent="0.25">
      <c r="A1554" s="59">
        <v>42051</v>
      </c>
      <c r="B1554" s="21">
        <v>12251</v>
      </c>
      <c r="C1554" s="14" t="s">
        <v>440</v>
      </c>
      <c r="D1554" s="105">
        <v>14164.4</v>
      </c>
      <c r="E1554" s="23">
        <v>42051</v>
      </c>
      <c r="F1554" s="106">
        <v>14164.4</v>
      </c>
      <c r="G1554" s="31">
        <f t="shared" si="24"/>
        <v>0</v>
      </c>
      <c r="H1554" s="39" t="s">
        <v>9</v>
      </c>
      <c r="I1554" s="3"/>
      <c r="J1554" s="42"/>
      <c r="K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</row>
    <row r="1555" spans="1:22" x14ac:dyDescent="0.25">
      <c r="A1555" s="20">
        <v>42051</v>
      </c>
      <c r="B1555" s="21">
        <v>12252</v>
      </c>
      <c r="C1555" s="14" t="s">
        <v>668</v>
      </c>
      <c r="D1555" s="105">
        <v>1239.5</v>
      </c>
      <c r="E1555" s="23">
        <v>42055</v>
      </c>
      <c r="F1555" s="106">
        <v>1239.5</v>
      </c>
      <c r="G1555" s="31">
        <f t="shared" si="24"/>
        <v>0</v>
      </c>
      <c r="H1555" s="39" t="s">
        <v>9</v>
      </c>
      <c r="I1555" s="3"/>
      <c r="J1555" s="42"/>
      <c r="K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</row>
    <row r="1556" spans="1:22" x14ac:dyDescent="0.25">
      <c r="A1556" s="59">
        <v>42051</v>
      </c>
      <c r="B1556" s="21">
        <v>12253</v>
      </c>
      <c r="C1556" s="14" t="s">
        <v>361</v>
      </c>
      <c r="D1556" s="105">
        <v>916</v>
      </c>
      <c r="E1556" s="23">
        <v>42052</v>
      </c>
      <c r="F1556" s="106">
        <v>916</v>
      </c>
      <c r="G1556" s="31">
        <f t="shared" si="24"/>
        <v>0</v>
      </c>
      <c r="H1556" s="39" t="s">
        <v>19</v>
      </c>
      <c r="I1556" s="3"/>
      <c r="J1556" s="42"/>
      <c r="K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</row>
    <row r="1557" spans="1:22" x14ac:dyDescent="0.25">
      <c r="A1557" s="20">
        <v>42051</v>
      </c>
      <c r="B1557" s="21">
        <v>12254</v>
      </c>
      <c r="C1557" s="14" t="s">
        <v>651</v>
      </c>
      <c r="D1557" s="105">
        <v>32175.360000000001</v>
      </c>
      <c r="E1557" s="23">
        <v>42052</v>
      </c>
      <c r="F1557" s="106">
        <v>32175.360000000001</v>
      </c>
      <c r="G1557" s="31">
        <f t="shared" si="24"/>
        <v>0</v>
      </c>
      <c r="H1557" s="39" t="s">
        <v>669</v>
      </c>
      <c r="I1557" s="3"/>
      <c r="J1557" s="42"/>
      <c r="K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</row>
    <row r="1558" spans="1:22" x14ac:dyDescent="0.25">
      <c r="A1558" s="59">
        <v>42051</v>
      </c>
      <c r="B1558" s="21">
        <v>12255</v>
      </c>
      <c r="C1558" s="14" t="s">
        <v>185</v>
      </c>
      <c r="D1558" s="105">
        <v>98427</v>
      </c>
      <c r="E1558" s="29" t="s">
        <v>670</v>
      </c>
      <c r="F1558" s="106">
        <f>9769.5+88657.5</f>
        <v>98427</v>
      </c>
      <c r="G1558" s="31">
        <f t="shared" si="24"/>
        <v>0</v>
      </c>
      <c r="H1558" s="39" t="s">
        <v>669</v>
      </c>
      <c r="I1558" s="3"/>
      <c r="J1558" s="42"/>
      <c r="K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</row>
    <row r="1559" spans="1:22" x14ac:dyDescent="0.25">
      <c r="A1559" s="20">
        <v>42051</v>
      </c>
      <c r="B1559" s="21">
        <v>12256</v>
      </c>
      <c r="C1559" s="14" t="s">
        <v>45</v>
      </c>
      <c r="D1559" s="105">
        <v>15291.4</v>
      </c>
      <c r="E1559" s="23">
        <v>42062</v>
      </c>
      <c r="F1559" s="106">
        <v>15291.4</v>
      </c>
      <c r="G1559" s="31">
        <f t="shared" si="24"/>
        <v>0</v>
      </c>
      <c r="H1559" s="39" t="s">
        <v>46</v>
      </c>
      <c r="I1559" s="3"/>
      <c r="J1559" s="42"/>
      <c r="K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</row>
    <row r="1560" spans="1:22" x14ac:dyDescent="0.25">
      <c r="A1560" s="59">
        <v>42051</v>
      </c>
      <c r="B1560" s="21">
        <v>12257</v>
      </c>
      <c r="C1560" s="14" t="s">
        <v>103</v>
      </c>
      <c r="D1560" s="105">
        <v>46220</v>
      </c>
      <c r="E1560" s="23">
        <v>42055</v>
      </c>
      <c r="F1560" s="106">
        <v>46220</v>
      </c>
      <c r="G1560" s="31">
        <f t="shared" si="24"/>
        <v>0</v>
      </c>
      <c r="H1560" s="39" t="s">
        <v>94</v>
      </c>
      <c r="I1560" s="3"/>
      <c r="J1560" s="42"/>
      <c r="K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</row>
    <row r="1561" spans="1:22" x14ac:dyDescent="0.25">
      <c r="A1561" s="20">
        <v>42051</v>
      </c>
      <c r="B1561" s="21">
        <v>12258</v>
      </c>
      <c r="C1561" s="14" t="s">
        <v>64</v>
      </c>
      <c r="D1561" s="105">
        <v>2006.4</v>
      </c>
      <c r="E1561" s="23">
        <v>42051</v>
      </c>
      <c r="F1561" s="106">
        <v>2006.4</v>
      </c>
      <c r="G1561" s="31">
        <f t="shared" si="24"/>
        <v>0</v>
      </c>
      <c r="H1561" s="39" t="s">
        <v>9</v>
      </c>
      <c r="I1561" s="3"/>
      <c r="J1561" s="42"/>
      <c r="K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</row>
    <row r="1562" spans="1:22" x14ac:dyDescent="0.25">
      <c r="A1562" s="59">
        <v>42051</v>
      </c>
      <c r="B1562" s="21">
        <v>12259</v>
      </c>
      <c r="C1562" s="14" t="s">
        <v>203</v>
      </c>
      <c r="D1562" s="105">
        <v>16102.4</v>
      </c>
      <c r="E1562" s="23">
        <v>42053</v>
      </c>
      <c r="F1562" s="106">
        <v>16102.4</v>
      </c>
      <c r="G1562" s="31">
        <f t="shared" si="24"/>
        <v>0</v>
      </c>
      <c r="H1562" s="39" t="s">
        <v>149</v>
      </c>
      <c r="I1562" s="3"/>
      <c r="J1562" s="42"/>
      <c r="K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</row>
    <row r="1563" spans="1:22" x14ac:dyDescent="0.25">
      <c r="A1563" s="20">
        <v>42051</v>
      </c>
      <c r="B1563" s="21">
        <v>12260</v>
      </c>
      <c r="C1563" s="14" t="s">
        <v>285</v>
      </c>
      <c r="D1563" s="105">
        <v>1050.3</v>
      </c>
      <c r="E1563" s="23">
        <v>42051</v>
      </c>
      <c r="F1563" s="106">
        <v>1050.3</v>
      </c>
      <c r="G1563" s="31">
        <f t="shared" si="24"/>
        <v>0</v>
      </c>
      <c r="H1563" s="39" t="s">
        <v>15</v>
      </c>
      <c r="I1563" s="3"/>
      <c r="J1563" s="42"/>
      <c r="K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</row>
    <row r="1564" spans="1:22" x14ac:dyDescent="0.25">
      <c r="A1564" s="59">
        <v>42051</v>
      </c>
      <c r="B1564" s="21">
        <v>12261</v>
      </c>
      <c r="C1564" s="14" t="s">
        <v>420</v>
      </c>
      <c r="D1564" s="105">
        <v>3483</v>
      </c>
      <c r="E1564" s="23">
        <v>42053</v>
      </c>
      <c r="F1564" s="106">
        <v>3483</v>
      </c>
      <c r="G1564" s="31">
        <f t="shared" si="24"/>
        <v>0</v>
      </c>
      <c r="H1564" s="39" t="s">
        <v>149</v>
      </c>
      <c r="I1564" s="3"/>
      <c r="J1564" s="42"/>
      <c r="K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</row>
    <row r="1565" spans="1:22" x14ac:dyDescent="0.25">
      <c r="A1565" s="20">
        <v>42051</v>
      </c>
      <c r="B1565" s="21">
        <v>12262</v>
      </c>
      <c r="C1565" s="14" t="s">
        <v>375</v>
      </c>
      <c r="D1565" s="105">
        <v>3267.4</v>
      </c>
      <c r="E1565" s="23">
        <v>42051</v>
      </c>
      <c r="F1565" s="106">
        <v>3267.4</v>
      </c>
      <c r="G1565" s="31">
        <f t="shared" si="24"/>
        <v>0</v>
      </c>
      <c r="H1565" s="39" t="s">
        <v>9</v>
      </c>
      <c r="I1565" s="3"/>
      <c r="J1565" s="42"/>
      <c r="K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</row>
    <row r="1566" spans="1:22" x14ac:dyDescent="0.25">
      <c r="A1566" s="59">
        <v>42051</v>
      </c>
      <c r="B1566" s="21">
        <v>12263</v>
      </c>
      <c r="C1566" s="14" t="s">
        <v>349</v>
      </c>
      <c r="D1566" s="105">
        <v>24234.6</v>
      </c>
      <c r="E1566" s="23">
        <v>42053</v>
      </c>
      <c r="F1566" s="106">
        <v>24234.6</v>
      </c>
      <c r="G1566" s="31">
        <f t="shared" si="24"/>
        <v>0</v>
      </c>
      <c r="H1566" s="39" t="s">
        <v>149</v>
      </c>
      <c r="I1566" s="3"/>
      <c r="J1566" s="42"/>
      <c r="K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</row>
    <row r="1567" spans="1:22" x14ac:dyDescent="0.25">
      <c r="A1567" s="20">
        <v>42051</v>
      </c>
      <c r="B1567" s="21">
        <v>12264</v>
      </c>
      <c r="C1567" s="14" t="s">
        <v>38</v>
      </c>
      <c r="D1567" s="105">
        <v>17598</v>
      </c>
      <c r="E1567" s="23">
        <v>42060</v>
      </c>
      <c r="F1567" s="106">
        <v>17598</v>
      </c>
      <c r="G1567" s="31">
        <f t="shared" si="24"/>
        <v>0</v>
      </c>
      <c r="H1567" s="39" t="s">
        <v>17</v>
      </c>
      <c r="I1567" s="3"/>
      <c r="J1567" s="42"/>
      <c r="K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</row>
    <row r="1568" spans="1:22" x14ac:dyDescent="0.25">
      <c r="A1568" s="59">
        <v>42051</v>
      </c>
      <c r="B1568" s="21">
        <v>12265</v>
      </c>
      <c r="C1568" s="14" t="s">
        <v>205</v>
      </c>
      <c r="D1568" s="105">
        <v>8322.4</v>
      </c>
      <c r="E1568" s="23">
        <v>42061</v>
      </c>
      <c r="F1568" s="106">
        <v>8322.4</v>
      </c>
      <c r="G1568" s="31">
        <f t="shared" si="24"/>
        <v>0</v>
      </c>
      <c r="H1568" s="39" t="s">
        <v>149</v>
      </c>
      <c r="I1568" s="3"/>
      <c r="J1568" s="42"/>
      <c r="K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</row>
    <row r="1569" spans="1:22" x14ac:dyDescent="0.25">
      <c r="A1569" s="20">
        <v>42051</v>
      </c>
      <c r="B1569" s="21">
        <v>12266</v>
      </c>
      <c r="C1569" s="14" t="s">
        <v>207</v>
      </c>
      <c r="D1569" s="105">
        <v>23371.54</v>
      </c>
      <c r="E1569" s="23">
        <v>42056</v>
      </c>
      <c r="F1569" s="106">
        <v>23371.54</v>
      </c>
      <c r="G1569" s="31">
        <f t="shared" si="24"/>
        <v>0</v>
      </c>
      <c r="H1569" s="39" t="s">
        <v>149</v>
      </c>
      <c r="I1569" s="3"/>
      <c r="J1569" s="42"/>
      <c r="K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</row>
    <row r="1570" spans="1:22" x14ac:dyDescent="0.25">
      <c r="A1570" s="59">
        <v>42051</v>
      </c>
      <c r="B1570" s="21">
        <v>12267</v>
      </c>
      <c r="C1570" s="14" t="s">
        <v>195</v>
      </c>
      <c r="D1570" s="105">
        <v>146671.45000000001</v>
      </c>
      <c r="E1570" s="30" t="s">
        <v>671</v>
      </c>
      <c r="F1570" s="106">
        <v>146671.45000000001</v>
      </c>
      <c r="G1570" s="31">
        <f t="shared" si="24"/>
        <v>0</v>
      </c>
      <c r="H1570" s="39" t="s">
        <v>149</v>
      </c>
      <c r="K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</row>
    <row r="1571" spans="1:22" x14ac:dyDescent="0.25">
      <c r="A1571" s="20">
        <v>42051</v>
      </c>
      <c r="B1571" s="21">
        <v>12268</v>
      </c>
      <c r="C1571" s="14" t="s">
        <v>68</v>
      </c>
      <c r="D1571" s="105">
        <v>4836</v>
      </c>
      <c r="E1571" s="23">
        <v>42053</v>
      </c>
      <c r="F1571" s="106">
        <v>4836</v>
      </c>
      <c r="G1571" s="31">
        <f t="shared" si="24"/>
        <v>0</v>
      </c>
      <c r="H1571" s="39" t="s">
        <v>149</v>
      </c>
      <c r="K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</row>
    <row r="1572" spans="1:22" x14ac:dyDescent="0.25">
      <c r="A1572" s="59">
        <v>42051</v>
      </c>
      <c r="B1572" s="21">
        <v>12269</v>
      </c>
      <c r="C1572" s="14" t="s">
        <v>199</v>
      </c>
      <c r="D1572" s="105">
        <v>16651.2</v>
      </c>
      <c r="E1572" s="23">
        <v>42053</v>
      </c>
      <c r="F1572" s="106">
        <v>16651.2</v>
      </c>
      <c r="G1572" s="31">
        <f t="shared" si="24"/>
        <v>0</v>
      </c>
      <c r="H1572" s="39" t="s">
        <v>149</v>
      </c>
      <c r="K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</row>
    <row r="1573" spans="1:22" x14ac:dyDescent="0.25">
      <c r="A1573" s="20">
        <v>42051</v>
      </c>
      <c r="B1573" s="21">
        <v>12270</v>
      </c>
      <c r="C1573" s="14" t="s">
        <v>446</v>
      </c>
      <c r="D1573" s="105">
        <v>9531.92</v>
      </c>
      <c r="E1573" s="30" t="s">
        <v>672</v>
      </c>
      <c r="F1573" s="106">
        <v>9531.92</v>
      </c>
      <c r="G1573" s="31">
        <f t="shared" si="24"/>
        <v>0</v>
      </c>
      <c r="H1573" s="39" t="s">
        <v>9</v>
      </c>
      <c r="K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</row>
    <row r="1574" spans="1:22" x14ac:dyDescent="0.25">
      <c r="A1574" s="59">
        <v>42051</v>
      </c>
      <c r="B1574" s="21">
        <v>12271</v>
      </c>
      <c r="C1574" s="14" t="s">
        <v>295</v>
      </c>
      <c r="D1574" s="105">
        <v>690</v>
      </c>
      <c r="E1574" s="23">
        <v>42051</v>
      </c>
      <c r="F1574" s="106">
        <v>690</v>
      </c>
      <c r="G1574" s="31">
        <f t="shared" si="24"/>
        <v>0</v>
      </c>
      <c r="H1574" s="39" t="s">
        <v>9</v>
      </c>
      <c r="K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</row>
    <row r="1575" spans="1:22" x14ac:dyDescent="0.25">
      <c r="A1575" s="20">
        <v>42051</v>
      </c>
      <c r="B1575" s="21">
        <v>12272</v>
      </c>
      <c r="C1575" s="14" t="s">
        <v>204</v>
      </c>
      <c r="D1575" s="105">
        <v>4995.2</v>
      </c>
      <c r="E1575" s="23">
        <v>42053</v>
      </c>
      <c r="F1575" s="106">
        <v>4995.2</v>
      </c>
      <c r="G1575" s="31">
        <f t="shared" si="24"/>
        <v>0</v>
      </c>
      <c r="H1575" s="39" t="s">
        <v>149</v>
      </c>
      <c r="K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</row>
    <row r="1576" spans="1:22" x14ac:dyDescent="0.25">
      <c r="A1576" s="59">
        <v>42051</v>
      </c>
      <c r="B1576" s="21">
        <v>12273</v>
      </c>
      <c r="C1576" s="14" t="s">
        <v>112</v>
      </c>
      <c r="D1576" s="105">
        <v>3945</v>
      </c>
      <c r="E1576" s="23">
        <v>42051</v>
      </c>
      <c r="F1576" s="106">
        <v>3945</v>
      </c>
      <c r="G1576" s="31">
        <f t="shared" si="24"/>
        <v>0</v>
      </c>
      <c r="H1576" s="39" t="s">
        <v>9</v>
      </c>
      <c r="K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</row>
    <row r="1577" spans="1:22" x14ac:dyDescent="0.25">
      <c r="A1577" s="20">
        <v>42051</v>
      </c>
      <c r="B1577" s="21">
        <v>12274</v>
      </c>
      <c r="C1577" s="14" t="s">
        <v>263</v>
      </c>
      <c r="D1577" s="105">
        <v>5412</v>
      </c>
      <c r="E1577" s="23">
        <v>42053</v>
      </c>
      <c r="F1577" s="106">
        <v>5412</v>
      </c>
      <c r="G1577" s="31">
        <f t="shared" si="24"/>
        <v>0</v>
      </c>
      <c r="H1577" s="39" t="s">
        <v>149</v>
      </c>
      <c r="K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</row>
    <row r="1578" spans="1:22" x14ac:dyDescent="0.25">
      <c r="A1578" s="59">
        <v>42051</v>
      </c>
      <c r="B1578" s="21">
        <v>12275</v>
      </c>
      <c r="C1578" s="14" t="s">
        <v>24</v>
      </c>
      <c r="D1578" s="105">
        <v>63597.599999999999</v>
      </c>
      <c r="E1578" s="23">
        <v>42074</v>
      </c>
      <c r="F1578" s="106">
        <v>63597.599999999999</v>
      </c>
      <c r="G1578" s="31">
        <f t="shared" si="24"/>
        <v>0</v>
      </c>
      <c r="H1578" s="39" t="s">
        <v>312</v>
      </c>
      <c r="K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</row>
    <row r="1579" spans="1:22" x14ac:dyDescent="0.25">
      <c r="A1579" s="20">
        <v>42051</v>
      </c>
      <c r="B1579" s="21">
        <v>12276</v>
      </c>
      <c r="C1579" s="14" t="s">
        <v>14</v>
      </c>
      <c r="D1579" s="105">
        <v>24820.799999999999</v>
      </c>
      <c r="E1579" s="23">
        <v>42062</v>
      </c>
      <c r="F1579" s="106">
        <v>24820.799999999999</v>
      </c>
      <c r="G1579" s="31">
        <f t="shared" si="24"/>
        <v>0</v>
      </c>
      <c r="H1579" s="39" t="s">
        <v>15</v>
      </c>
      <c r="K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</row>
    <row r="1580" spans="1:22" x14ac:dyDescent="0.25">
      <c r="A1580" s="59">
        <v>42051</v>
      </c>
      <c r="B1580" s="21">
        <v>12277</v>
      </c>
      <c r="C1580" s="14" t="s">
        <v>111</v>
      </c>
      <c r="D1580" s="105">
        <v>145427</v>
      </c>
      <c r="E1580" s="23">
        <v>42058</v>
      </c>
      <c r="F1580" s="106">
        <v>145427</v>
      </c>
      <c r="G1580" s="31">
        <f t="shared" si="24"/>
        <v>0</v>
      </c>
      <c r="H1580" s="39" t="s">
        <v>9</v>
      </c>
      <c r="K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</row>
    <row r="1581" spans="1:22" x14ac:dyDescent="0.25">
      <c r="A1581" s="20">
        <v>42051</v>
      </c>
      <c r="B1581" s="21">
        <v>12278</v>
      </c>
      <c r="C1581" s="14" t="s">
        <v>111</v>
      </c>
      <c r="D1581" s="105">
        <v>143932</v>
      </c>
      <c r="E1581" s="23">
        <v>42058</v>
      </c>
      <c r="F1581" s="106">
        <v>143932</v>
      </c>
      <c r="G1581" s="31">
        <f t="shared" si="24"/>
        <v>0</v>
      </c>
      <c r="H1581" s="39" t="s">
        <v>9</v>
      </c>
      <c r="K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</row>
    <row r="1582" spans="1:22" x14ac:dyDescent="0.25">
      <c r="A1582" s="59">
        <v>42051</v>
      </c>
      <c r="B1582" s="21">
        <v>12279</v>
      </c>
      <c r="C1582" s="14" t="s">
        <v>80</v>
      </c>
      <c r="D1582" s="105">
        <v>7250.4</v>
      </c>
      <c r="E1582" s="23">
        <v>42051</v>
      </c>
      <c r="F1582" s="106">
        <v>7250.4</v>
      </c>
      <c r="G1582" s="31">
        <f t="shared" si="24"/>
        <v>0</v>
      </c>
      <c r="H1582" s="39" t="s">
        <v>9</v>
      </c>
      <c r="K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</row>
    <row r="1583" spans="1:22" x14ac:dyDescent="0.25">
      <c r="A1583" s="20">
        <v>42051</v>
      </c>
      <c r="B1583" s="21">
        <v>12280</v>
      </c>
      <c r="C1583" s="14" t="s">
        <v>208</v>
      </c>
      <c r="D1583" s="105">
        <v>14900</v>
      </c>
      <c r="E1583" s="23">
        <v>42053</v>
      </c>
      <c r="F1583" s="106">
        <v>14900</v>
      </c>
      <c r="G1583" s="31">
        <f t="shared" si="24"/>
        <v>0</v>
      </c>
      <c r="H1583" s="39" t="s">
        <v>149</v>
      </c>
      <c r="K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</row>
    <row r="1584" spans="1:22" x14ac:dyDescent="0.25">
      <c r="A1584" s="59">
        <v>42051</v>
      </c>
      <c r="B1584" s="21">
        <v>12281</v>
      </c>
      <c r="C1584" s="14" t="s">
        <v>197</v>
      </c>
      <c r="D1584" s="105">
        <v>4708.6000000000004</v>
      </c>
      <c r="E1584" s="23">
        <v>42053</v>
      </c>
      <c r="F1584" s="106">
        <v>4708.6000000000004</v>
      </c>
      <c r="G1584" s="31">
        <f t="shared" si="24"/>
        <v>0</v>
      </c>
      <c r="H1584" s="39" t="s">
        <v>149</v>
      </c>
      <c r="J1584" s="107"/>
      <c r="K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</row>
    <row r="1585" spans="1:22" x14ac:dyDescent="0.25">
      <c r="A1585" s="20">
        <v>42051</v>
      </c>
      <c r="B1585" s="21">
        <v>12282</v>
      </c>
      <c r="C1585" s="14" t="s">
        <v>347</v>
      </c>
      <c r="D1585" s="105">
        <v>4160</v>
      </c>
      <c r="E1585" s="23">
        <v>42053</v>
      </c>
      <c r="F1585" s="106">
        <v>4160</v>
      </c>
      <c r="G1585" s="31">
        <f t="shared" si="24"/>
        <v>0</v>
      </c>
      <c r="H1585" s="39" t="s">
        <v>149</v>
      </c>
      <c r="K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</row>
    <row r="1586" spans="1:22" x14ac:dyDescent="0.25">
      <c r="A1586" s="59">
        <v>42051</v>
      </c>
      <c r="B1586" s="21">
        <v>12283</v>
      </c>
      <c r="C1586" s="14" t="s">
        <v>198</v>
      </c>
      <c r="D1586" s="105">
        <v>8108.58</v>
      </c>
      <c r="E1586" s="23">
        <v>42053</v>
      </c>
      <c r="F1586" s="106">
        <v>8108.58</v>
      </c>
      <c r="G1586" s="31">
        <f t="shared" si="24"/>
        <v>0</v>
      </c>
      <c r="H1586" s="39" t="s">
        <v>149</v>
      </c>
      <c r="I1586" s="3"/>
      <c r="J1586" s="42"/>
      <c r="K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</row>
    <row r="1587" spans="1:22" x14ac:dyDescent="0.25">
      <c r="A1587" s="20">
        <v>42051</v>
      </c>
      <c r="B1587" s="21">
        <v>12284</v>
      </c>
      <c r="C1587" s="14" t="s">
        <v>370</v>
      </c>
      <c r="D1587" s="105">
        <v>9300.6</v>
      </c>
      <c r="E1587" s="23">
        <v>42051</v>
      </c>
      <c r="F1587" s="106">
        <v>9300.6</v>
      </c>
      <c r="G1587" s="31">
        <f t="shared" si="24"/>
        <v>0</v>
      </c>
      <c r="H1587" s="39" t="s">
        <v>9</v>
      </c>
      <c r="I1587" s="3"/>
      <c r="J1587" s="42"/>
      <c r="K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</row>
    <row r="1588" spans="1:22" x14ac:dyDescent="0.25">
      <c r="A1588" s="59">
        <v>42051</v>
      </c>
      <c r="B1588" s="21">
        <v>12285</v>
      </c>
      <c r="C1588" s="14" t="s">
        <v>47</v>
      </c>
      <c r="D1588" s="105">
        <v>7004</v>
      </c>
      <c r="E1588" s="23">
        <v>42053</v>
      </c>
      <c r="F1588" s="106">
        <v>7004</v>
      </c>
      <c r="G1588" s="31">
        <f t="shared" si="24"/>
        <v>0</v>
      </c>
      <c r="H1588" s="39" t="s">
        <v>9</v>
      </c>
      <c r="I1588" s="3"/>
      <c r="J1588" s="42"/>
      <c r="K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</row>
    <row r="1589" spans="1:22" x14ac:dyDescent="0.25">
      <c r="A1589" s="20">
        <v>42051</v>
      </c>
      <c r="B1589" s="21">
        <v>12286</v>
      </c>
      <c r="C1589" s="14" t="s">
        <v>262</v>
      </c>
      <c r="D1589" s="105">
        <v>40915.949999999997</v>
      </c>
      <c r="E1589" s="29" t="s">
        <v>673</v>
      </c>
      <c r="F1589" s="106">
        <f>3297.6+37618.35</f>
        <v>40915.949999999997</v>
      </c>
      <c r="G1589" s="31">
        <f t="shared" si="24"/>
        <v>0</v>
      </c>
      <c r="H1589" s="39" t="s">
        <v>149</v>
      </c>
      <c r="I1589" s="3"/>
      <c r="J1589" s="42"/>
      <c r="K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</row>
    <row r="1590" spans="1:22" x14ac:dyDescent="0.25">
      <c r="A1590" s="59">
        <v>42051</v>
      </c>
      <c r="B1590" s="21">
        <v>12287</v>
      </c>
      <c r="C1590" s="26" t="s">
        <v>12</v>
      </c>
      <c r="D1590" s="108">
        <v>0</v>
      </c>
      <c r="E1590" s="29"/>
      <c r="F1590" s="106"/>
      <c r="G1590" s="31">
        <f t="shared" si="24"/>
        <v>0</v>
      </c>
      <c r="H1590" s="39" t="s">
        <v>13</v>
      </c>
      <c r="I1590" s="3"/>
      <c r="J1590" s="42"/>
      <c r="K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</row>
    <row r="1591" spans="1:22" x14ac:dyDescent="0.25">
      <c r="A1591" s="20">
        <v>42051</v>
      </c>
      <c r="B1591" s="21">
        <v>12288</v>
      </c>
      <c r="C1591" s="26" t="s">
        <v>12</v>
      </c>
      <c r="D1591" s="108">
        <v>0</v>
      </c>
      <c r="E1591" s="23"/>
      <c r="F1591" s="106"/>
      <c r="G1591" s="31">
        <f t="shared" si="24"/>
        <v>0</v>
      </c>
      <c r="H1591" s="39" t="s">
        <v>13</v>
      </c>
      <c r="I1591" s="3"/>
      <c r="J1591" s="42"/>
      <c r="K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</row>
    <row r="1592" spans="1:22" x14ac:dyDescent="0.25">
      <c r="A1592" s="59">
        <v>42051</v>
      </c>
      <c r="B1592" s="21">
        <v>12289</v>
      </c>
      <c r="C1592" s="14" t="s">
        <v>196</v>
      </c>
      <c r="D1592" s="105">
        <v>17514.900000000001</v>
      </c>
      <c r="E1592" s="23">
        <v>42053</v>
      </c>
      <c r="F1592" s="106">
        <v>17514.900000000001</v>
      </c>
      <c r="G1592" s="31">
        <f t="shared" si="24"/>
        <v>0</v>
      </c>
      <c r="H1592" s="39" t="s">
        <v>149</v>
      </c>
      <c r="I1592" s="3"/>
      <c r="J1592" s="42"/>
      <c r="K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</row>
    <row r="1593" spans="1:22" x14ac:dyDescent="0.25">
      <c r="A1593" s="20">
        <v>42051</v>
      </c>
      <c r="B1593" s="21">
        <v>12290</v>
      </c>
      <c r="C1593" s="14" t="s">
        <v>206</v>
      </c>
      <c r="D1593" s="105">
        <v>10126.4</v>
      </c>
      <c r="E1593" s="23">
        <v>42058</v>
      </c>
      <c r="F1593" s="106">
        <v>10126.4</v>
      </c>
      <c r="G1593" s="31">
        <f t="shared" si="24"/>
        <v>0</v>
      </c>
      <c r="H1593" s="39" t="s">
        <v>149</v>
      </c>
      <c r="I1593" s="3"/>
      <c r="J1593" s="42"/>
      <c r="K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</row>
    <row r="1594" spans="1:22" x14ac:dyDescent="0.25">
      <c r="A1594" s="20">
        <v>42051</v>
      </c>
      <c r="B1594" s="21">
        <v>12291</v>
      </c>
      <c r="C1594" s="14" t="s">
        <v>674</v>
      </c>
      <c r="D1594" s="105">
        <v>8976</v>
      </c>
      <c r="E1594" s="23">
        <v>42052</v>
      </c>
      <c r="F1594" s="106">
        <v>8976</v>
      </c>
      <c r="G1594" s="31">
        <f t="shared" si="24"/>
        <v>0</v>
      </c>
      <c r="H1594" s="39" t="s">
        <v>9</v>
      </c>
      <c r="I1594" s="3"/>
      <c r="J1594" s="42"/>
      <c r="K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</row>
    <row r="1595" spans="1:22" x14ac:dyDescent="0.25">
      <c r="A1595" s="20">
        <v>42052</v>
      </c>
      <c r="B1595" s="21">
        <v>12292</v>
      </c>
      <c r="C1595" s="14" t="s">
        <v>555</v>
      </c>
      <c r="D1595" s="105">
        <v>40542.699999999997</v>
      </c>
      <c r="E1595" s="23">
        <v>42055</v>
      </c>
      <c r="F1595" s="106">
        <v>40542.699999999997</v>
      </c>
      <c r="G1595" s="31">
        <f t="shared" si="24"/>
        <v>0</v>
      </c>
      <c r="H1595" s="39" t="s">
        <v>9</v>
      </c>
      <c r="I1595" s="3"/>
      <c r="J1595" s="42"/>
      <c r="K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</row>
    <row r="1596" spans="1:22" x14ac:dyDescent="0.25">
      <c r="A1596" s="20">
        <v>42052</v>
      </c>
      <c r="B1596" s="21">
        <v>12293</v>
      </c>
      <c r="C1596" s="14" t="s">
        <v>14</v>
      </c>
      <c r="D1596" s="105">
        <v>22887.5</v>
      </c>
      <c r="E1596" s="23">
        <v>42062</v>
      </c>
      <c r="F1596" s="106">
        <v>22887.5</v>
      </c>
      <c r="G1596" s="31">
        <f t="shared" si="24"/>
        <v>0</v>
      </c>
      <c r="H1596" s="39" t="s">
        <v>15</v>
      </c>
      <c r="I1596" s="3"/>
      <c r="J1596" s="42"/>
      <c r="K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</row>
    <row r="1597" spans="1:22" x14ac:dyDescent="0.25">
      <c r="A1597" s="20">
        <v>42052</v>
      </c>
      <c r="B1597" s="21">
        <v>12294</v>
      </c>
      <c r="C1597" s="14" t="s">
        <v>148</v>
      </c>
      <c r="D1597" s="105">
        <v>4897</v>
      </c>
      <c r="E1597" s="52"/>
      <c r="F1597" s="111"/>
      <c r="G1597" s="31">
        <f t="shared" si="24"/>
        <v>4897</v>
      </c>
      <c r="H1597" s="39" t="s">
        <v>9</v>
      </c>
      <c r="I1597" s="3"/>
      <c r="J1597" s="42"/>
      <c r="K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</row>
    <row r="1598" spans="1:22" x14ac:dyDescent="0.25">
      <c r="A1598" s="20">
        <v>42052</v>
      </c>
      <c r="B1598" s="21">
        <v>12295</v>
      </c>
      <c r="C1598" s="14" t="s">
        <v>21</v>
      </c>
      <c r="D1598" s="105">
        <v>5196.3999999999996</v>
      </c>
      <c r="E1598" s="23">
        <v>42052</v>
      </c>
      <c r="F1598" s="106">
        <v>5196.3999999999996</v>
      </c>
      <c r="G1598" s="31">
        <f t="shared" si="24"/>
        <v>0</v>
      </c>
      <c r="H1598" s="39" t="s">
        <v>9</v>
      </c>
      <c r="I1598" s="3"/>
      <c r="J1598" s="42"/>
      <c r="K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</row>
    <row r="1599" spans="1:22" x14ac:dyDescent="0.25">
      <c r="A1599" s="20">
        <v>42052</v>
      </c>
      <c r="B1599" s="21">
        <v>12296</v>
      </c>
      <c r="C1599" s="14" t="s">
        <v>215</v>
      </c>
      <c r="D1599" s="105">
        <v>4262.3999999999996</v>
      </c>
      <c r="E1599" s="23">
        <v>42052</v>
      </c>
      <c r="F1599" s="106">
        <v>4262.3999999999996</v>
      </c>
      <c r="G1599" s="31">
        <f t="shared" si="24"/>
        <v>0</v>
      </c>
      <c r="H1599" s="39" t="s">
        <v>9</v>
      </c>
      <c r="I1599" s="3"/>
      <c r="J1599" s="42"/>
      <c r="K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</row>
    <row r="1600" spans="1:22" x14ac:dyDescent="0.25">
      <c r="A1600" s="20">
        <v>42052</v>
      </c>
      <c r="B1600" s="21">
        <v>12297</v>
      </c>
      <c r="C1600" s="14" t="s">
        <v>16</v>
      </c>
      <c r="D1600" s="105">
        <v>3984.8</v>
      </c>
      <c r="E1600" s="23">
        <v>42052</v>
      </c>
      <c r="F1600" s="106">
        <v>3984.8</v>
      </c>
      <c r="G1600" s="31">
        <f t="shared" si="24"/>
        <v>0</v>
      </c>
      <c r="H1600" s="39" t="s">
        <v>9</v>
      </c>
      <c r="I1600" s="3"/>
      <c r="J1600" s="42"/>
      <c r="K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</row>
    <row r="1601" spans="1:22" x14ac:dyDescent="0.25">
      <c r="A1601" s="20">
        <v>42052</v>
      </c>
      <c r="B1601" s="21">
        <v>12298</v>
      </c>
      <c r="C1601" s="14" t="s">
        <v>20</v>
      </c>
      <c r="D1601" s="105">
        <v>3035.5</v>
      </c>
      <c r="E1601" s="23">
        <v>42052</v>
      </c>
      <c r="F1601" s="106">
        <v>3035.5</v>
      </c>
      <c r="G1601" s="31">
        <f t="shared" si="24"/>
        <v>0</v>
      </c>
      <c r="H1601" s="39" t="s">
        <v>94</v>
      </c>
      <c r="I1601" s="3"/>
      <c r="J1601" s="42"/>
      <c r="K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</row>
    <row r="1602" spans="1:22" x14ac:dyDescent="0.25">
      <c r="A1602" s="20">
        <v>42052</v>
      </c>
      <c r="B1602" s="21">
        <v>12299</v>
      </c>
      <c r="C1602" s="14" t="s">
        <v>267</v>
      </c>
      <c r="D1602" s="105">
        <v>1403.2</v>
      </c>
      <c r="E1602" s="23">
        <v>42052</v>
      </c>
      <c r="F1602" s="106">
        <v>1403.2</v>
      </c>
      <c r="G1602" s="31">
        <f t="shared" si="24"/>
        <v>0</v>
      </c>
      <c r="H1602" s="39" t="s">
        <v>94</v>
      </c>
      <c r="K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</row>
    <row r="1603" spans="1:22" x14ac:dyDescent="0.25">
      <c r="A1603" s="20">
        <v>42052</v>
      </c>
      <c r="B1603" s="21">
        <v>12300</v>
      </c>
      <c r="C1603" s="14" t="s">
        <v>100</v>
      </c>
      <c r="D1603" s="105">
        <v>4931.2</v>
      </c>
      <c r="E1603" s="23">
        <v>42052</v>
      </c>
      <c r="F1603" s="106">
        <v>4931.2</v>
      </c>
      <c r="G1603" s="31">
        <f t="shared" ref="G1603:G1666" si="25">D1603-F1603</f>
        <v>0</v>
      </c>
      <c r="H1603" s="39" t="s">
        <v>9</v>
      </c>
      <c r="K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</row>
    <row r="1604" spans="1:22" x14ac:dyDescent="0.25">
      <c r="A1604" s="20">
        <v>42052</v>
      </c>
      <c r="B1604" s="21">
        <v>12301</v>
      </c>
      <c r="C1604" s="14" t="s">
        <v>137</v>
      </c>
      <c r="D1604" s="105">
        <v>2897.4</v>
      </c>
      <c r="E1604" s="23">
        <v>42052</v>
      </c>
      <c r="F1604" s="106">
        <v>2897.4</v>
      </c>
      <c r="G1604" s="31">
        <f t="shared" si="25"/>
        <v>0</v>
      </c>
      <c r="H1604" s="39" t="s">
        <v>9</v>
      </c>
      <c r="K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</row>
    <row r="1605" spans="1:22" x14ac:dyDescent="0.25">
      <c r="A1605" s="20">
        <v>42052</v>
      </c>
      <c r="B1605" s="21">
        <v>12302</v>
      </c>
      <c r="C1605" s="14" t="s">
        <v>121</v>
      </c>
      <c r="D1605" s="105">
        <v>3264.7</v>
      </c>
      <c r="E1605" s="23">
        <v>42052</v>
      </c>
      <c r="F1605" s="106">
        <v>3264.7</v>
      </c>
      <c r="G1605" s="31">
        <f t="shared" si="25"/>
        <v>0</v>
      </c>
      <c r="H1605" s="39" t="s">
        <v>9</v>
      </c>
      <c r="K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</row>
    <row r="1606" spans="1:22" x14ac:dyDescent="0.25">
      <c r="A1606" s="20">
        <v>42052</v>
      </c>
      <c r="B1606" s="21">
        <v>12303</v>
      </c>
      <c r="C1606" s="14" t="s">
        <v>24</v>
      </c>
      <c r="D1606" s="105">
        <v>13507.2</v>
      </c>
      <c r="E1606" s="23">
        <v>42063</v>
      </c>
      <c r="F1606" s="106">
        <v>13507.2</v>
      </c>
      <c r="G1606" s="31">
        <f t="shared" si="25"/>
        <v>0</v>
      </c>
      <c r="H1606" s="39" t="s">
        <v>9</v>
      </c>
      <c r="K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</row>
    <row r="1607" spans="1:22" x14ac:dyDescent="0.25">
      <c r="A1607" s="20">
        <v>42052</v>
      </c>
      <c r="B1607" s="21">
        <v>12304</v>
      </c>
      <c r="C1607" s="14" t="s">
        <v>214</v>
      </c>
      <c r="D1607" s="105">
        <v>360</v>
      </c>
      <c r="E1607" s="23">
        <v>42052</v>
      </c>
      <c r="F1607" s="106">
        <v>360</v>
      </c>
      <c r="G1607" s="31">
        <f t="shared" si="25"/>
        <v>0</v>
      </c>
      <c r="H1607" s="39" t="s">
        <v>59</v>
      </c>
      <c r="K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</row>
    <row r="1608" spans="1:22" x14ac:dyDescent="0.25">
      <c r="A1608" s="20">
        <v>42052</v>
      </c>
      <c r="B1608" s="21">
        <v>12305</v>
      </c>
      <c r="C1608" s="14" t="s">
        <v>58</v>
      </c>
      <c r="D1608" s="105">
        <v>360</v>
      </c>
      <c r="E1608" s="23">
        <v>42052</v>
      </c>
      <c r="F1608" s="106">
        <v>360</v>
      </c>
      <c r="G1608" s="31">
        <f t="shared" si="25"/>
        <v>0</v>
      </c>
      <c r="H1608" s="39" t="s">
        <v>59</v>
      </c>
      <c r="K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</row>
    <row r="1609" spans="1:22" x14ac:dyDescent="0.25">
      <c r="A1609" s="20">
        <v>42052</v>
      </c>
      <c r="B1609" s="21">
        <v>12306</v>
      </c>
      <c r="C1609" s="14" t="s">
        <v>375</v>
      </c>
      <c r="D1609" s="105">
        <v>2784.8</v>
      </c>
      <c r="E1609" s="23">
        <v>42052</v>
      </c>
      <c r="F1609" s="106">
        <v>2784.8</v>
      </c>
      <c r="G1609" s="31">
        <f t="shared" si="25"/>
        <v>0</v>
      </c>
      <c r="H1609" s="39" t="s">
        <v>9</v>
      </c>
      <c r="K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</row>
    <row r="1610" spans="1:22" x14ac:dyDescent="0.25">
      <c r="A1610" s="20">
        <v>42052</v>
      </c>
      <c r="B1610" s="21">
        <v>12307</v>
      </c>
      <c r="C1610" s="14" t="s">
        <v>270</v>
      </c>
      <c r="D1610" s="105">
        <v>292.8</v>
      </c>
      <c r="E1610" s="23">
        <v>42052</v>
      </c>
      <c r="F1610" s="106">
        <v>292.8</v>
      </c>
      <c r="G1610" s="31">
        <f t="shared" si="25"/>
        <v>0</v>
      </c>
      <c r="H1610" s="39" t="s">
        <v>9</v>
      </c>
      <c r="K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</row>
    <row r="1611" spans="1:22" x14ac:dyDescent="0.25">
      <c r="A1611" s="20">
        <v>42052</v>
      </c>
      <c r="B1611" s="21">
        <v>12308</v>
      </c>
      <c r="C1611" s="14" t="s">
        <v>151</v>
      </c>
      <c r="D1611" s="105">
        <v>4188.8</v>
      </c>
      <c r="E1611" s="23">
        <v>42053</v>
      </c>
      <c r="F1611" s="106">
        <v>4188.8</v>
      </c>
      <c r="G1611" s="31">
        <f t="shared" si="25"/>
        <v>0</v>
      </c>
      <c r="H1611" s="39" t="s">
        <v>9</v>
      </c>
      <c r="K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</row>
    <row r="1612" spans="1:22" x14ac:dyDescent="0.25">
      <c r="A1612" s="20">
        <v>42052</v>
      </c>
      <c r="B1612" s="21">
        <v>12309</v>
      </c>
      <c r="C1612" s="14" t="s">
        <v>118</v>
      </c>
      <c r="D1612" s="105">
        <v>10719.2</v>
      </c>
      <c r="E1612" s="23">
        <v>42060</v>
      </c>
      <c r="F1612" s="106">
        <v>10719.2</v>
      </c>
      <c r="G1612" s="31">
        <f t="shared" si="25"/>
        <v>0</v>
      </c>
      <c r="H1612" s="39" t="s">
        <v>59</v>
      </c>
      <c r="K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</row>
    <row r="1613" spans="1:22" x14ac:dyDescent="0.25">
      <c r="A1613" s="20">
        <v>42052</v>
      </c>
      <c r="B1613" s="21">
        <v>12310</v>
      </c>
      <c r="C1613" s="14" t="s">
        <v>168</v>
      </c>
      <c r="D1613" s="105">
        <v>10687</v>
      </c>
      <c r="E1613" s="23">
        <v>42052</v>
      </c>
      <c r="F1613" s="106">
        <v>10687</v>
      </c>
      <c r="G1613" s="31">
        <f t="shared" si="25"/>
        <v>0</v>
      </c>
      <c r="H1613" s="39" t="s">
        <v>59</v>
      </c>
      <c r="K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</row>
    <row r="1614" spans="1:22" x14ac:dyDescent="0.25">
      <c r="A1614" s="20">
        <v>42052</v>
      </c>
      <c r="B1614" s="21">
        <v>12311</v>
      </c>
      <c r="C1614" s="14" t="s">
        <v>135</v>
      </c>
      <c r="D1614" s="105">
        <v>1111.3</v>
      </c>
      <c r="E1614" s="23">
        <v>42052</v>
      </c>
      <c r="F1614" s="106">
        <v>1111.3</v>
      </c>
      <c r="G1614" s="31">
        <f t="shared" si="25"/>
        <v>0</v>
      </c>
      <c r="H1614" s="39" t="s">
        <v>9</v>
      </c>
      <c r="K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</row>
    <row r="1615" spans="1:22" x14ac:dyDescent="0.25">
      <c r="A1615" s="20">
        <v>42052</v>
      </c>
      <c r="B1615" s="21">
        <v>12312</v>
      </c>
      <c r="C1615" s="14" t="s">
        <v>168</v>
      </c>
      <c r="D1615" s="105">
        <v>476</v>
      </c>
      <c r="E1615" s="23">
        <v>42052</v>
      </c>
      <c r="F1615" s="106">
        <v>476</v>
      </c>
      <c r="G1615" s="31">
        <f t="shared" si="25"/>
        <v>0</v>
      </c>
      <c r="H1615" s="39" t="s">
        <v>59</v>
      </c>
      <c r="J1615" s="120"/>
      <c r="K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</row>
    <row r="1616" spans="1:22" x14ac:dyDescent="0.25">
      <c r="A1616" s="20">
        <v>42052</v>
      </c>
      <c r="B1616" s="21">
        <v>12313</v>
      </c>
      <c r="C1616" s="14" t="s">
        <v>57</v>
      </c>
      <c r="D1616" s="105">
        <v>1080</v>
      </c>
      <c r="E1616" s="23">
        <v>42052</v>
      </c>
      <c r="F1616" s="106">
        <v>1080</v>
      </c>
      <c r="G1616" s="31">
        <f t="shared" si="25"/>
        <v>0</v>
      </c>
      <c r="H1616" s="39" t="s">
        <v>59</v>
      </c>
      <c r="K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</row>
    <row r="1617" spans="1:22" x14ac:dyDescent="0.25">
      <c r="A1617" s="20">
        <v>42052</v>
      </c>
      <c r="B1617" s="21">
        <v>12314</v>
      </c>
      <c r="C1617" s="14" t="s">
        <v>81</v>
      </c>
      <c r="D1617" s="105">
        <v>1855.6</v>
      </c>
      <c r="E1617" s="23">
        <v>42052</v>
      </c>
      <c r="F1617" s="106">
        <v>1855.6</v>
      </c>
      <c r="G1617" s="31">
        <f t="shared" si="25"/>
        <v>0</v>
      </c>
      <c r="H1617" s="39" t="s">
        <v>59</v>
      </c>
      <c r="K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</row>
    <row r="1618" spans="1:22" x14ac:dyDescent="0.25">
      <c r="A1618" s="20">
        <v>42052</v>
      </c>
      <c r="B1618" s="21">
        <v>12315</v>
      </c>
      <c r="C1618" s="14" t="s">
        <v>53</v>
      </c>
      <c r="D1618" s="105">
        <v>913.5</v>
      </c>
      <c r="E1618" s="23">
        <v>42052</v>
      </c>
      <c r="F1618" s="106">
        <v>913.5</v>
      </c>
      <c r="G1618" s="31">
        <f t="shared" si="25"/>
        <v>0</v>
      </c>
      <c r="H1618" s="39" t="s">
        <v>59</v>
      </c>
      <c r="I1618" s="3"/>
      <c r="J1618" s="42"/>
      <c r="K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</row>
    <row r="1619" spans="1:22" x14ac:dyDescent="0.25">
      <c r="A1619" s="20">
        <v>42052</v>
      </c>
      <c r="B1619" s="21">
        <v>12316</v>
      </c>
      <c r="C1619" s="14" t="s">
        <v>179</v>
      </c>
      <c r="D1619" s="105">
        <v>4779.8999999999996</v>
      </c>
      <c r="E1619" s="23">
        <v>42052</v>
      </c>
      <c r="F1619" s="106">
        <v>4779.8999999999996</v>
      </c>
      <c r="G1619" s="31">
        <f t="shared" si="25"/>
        <v>0</v>
      </c>
      <c r="H1619" s="39" t="s">
        <v>19</v>
      </c>
      <c r="I1619" s="3"/>
      <c r="J1619" s="42"/>
      <c r="K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</row>
    <row r="1620" spans="1:22" x14ac:dyDescent="0.25">
      <c r="A1620" s="20">
        <v>42052</v>
      </c>
      <c r="B1620" s="21">
        <v>12317</v>
      </c>
      <c r="C1620" s="14" t="s">
        <v>102</v>
      </c>
      <c r="D1620" s="105">
        <v>1914.6</v>
      </c>
      <c r="E1620" s="52"/>
      <c r="F1620" s="111"/>
      <c r="G1620" s="31">
        <f t="shared" si="25"/>
        <v>1914.6</v>
      </c>
      <c r="H1620" s="39" t="s">
        <v>62</v>
      </c>
      <c r="I1620" s="3"/>
      <c r="J1620" s="42"/>
      <c r="K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</row>
    <row r="1621" spans="1:22" x14ac:dyDescent="0.25">
      <c r="A1621" s="20">
        <v>42052</v>
      </c>
      <c r="B1621" s="21">
        <v>12318</v>
      </c>
      <c r="C1621" s="14" t="s">
        <v>226</v>
      </c>
      <c r="D1621" s="105">
        <v>1499.6</v>
      </c>
      <c r="E1621" s="23">
        <v>42052</v>
      </c>
      <c r="F1621" s="106">
        <v>1499.6</v>
      </c>
      <c r="G1621" s="31">
        <f t="shared" si="25"/>
        <v>0</v>
      </c>
      <c r="H1621" s="39" t="s">
        <v>19</v>
      </c>
      <c r="I1621" s="3"/>
      <c r="J1621" s="42"/>
      <c r="K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</row>
    <row r="1622" spans="1:22" x14ac:dyDescent="0.25">
      <c r="A1622" s="20">
        <v>42052</v>
      </c>
      <c r="B1622" s="21">
        <v>12319</v>
      </c>
      <c r="C1622" s="14" t="s">
        <v>232</v>
      </c>
      <c r="D1622" s="105">
        <v>5839.2</v>
      </c>
      <c r="E1622" s="23">
        <v>42052</v>
      </c>
      <c r="F1622" s="106">
        <v>5839.2</v>
      </c>
      <c r="G1622" s="31">
        <f t="shared" si="25"/>
        <v>0</v>
      </c>
      <c r="H1622" s="39" t="s">
        <v>9</v>
      </c>
      <c r="I1622" s="3"/>
      <c r="J1622" s="42"/>
      <c r="K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</row>
    <row r="1623" spans="1:22" x14ac:dyDescent="0.25">
      <c r="A1623" s="20">
        <v>42052</v>
      </c>
      <c r="B1623" s="21">
        <v>12320</v>
      </c>
      <c r="C1623" s="14" t="s">
        <v>375</v>
      </c>
      <c r="D1623" s="105">
        <v>2686.2</v>
      </c>
      <c r="E1623" s="23">
        <v>42052</v>
      </c>
      <c r="F1623" s="106">
        <v>2686.2</v>
      </c>
      <c r="G1623" s="31">
        <f t="shared" si="25"/>
        <v>0</v>
      </c>
      <c r="H1623" s="39" t="s">
        <v>9</v>
      </c>
      <c r="I1623" s="3"/>
      <c r="J1623" s="42"/>
      <c r="K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</row>
    <row r="1624" spans="1:22" x14ac:dyDescent="0.25">
      <c r="A1624" s="20">
        <v>42052</v>
      </c>
      <c r="B1624" s="21">
        <v>12321</v>
      </c>
      <c r="C1624" s="14" t="s">
        <v>120</v>
      </c>
      <c r="D1624" s="105">
        <v>1244</v>
      </c>
      <c r="E1624" s="23">
        <v>42052</v>
      </c>
      <c r="F1624" s="106">
        <v>1244</v>
      </c>
      <c r="G1624" s="31">
        <f t="shared" si="25"/>
        <v>0</v>
      </c>
      <c r="H1624" s="39" t="s">
        <v>59</v>
      </c>
      <c r="I1624" s="3"/>
      <c r="J1624" s="42"/>
      <c r="K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</row>
    <row r="1625" spans="1:22" x14ac:dyDescent="0.25">
      <c r="A1625" s="20">
        <v>42052</v>
      </c>
      <c r="B1625" s="21">
        <v>12322</v>
      </c>
      <c r="C1625" s="14" t="s">
        <v>82</v>
      </c>
      <c r="D1625" s="105">
        <v>5740</v>
      </c>
      <c r="E1625" s="23">
        <v>42052</v>
      </c>
      <c r="F1625" s="106">
        <v>5740</v>
      </c>
      <c r="G1625" s="31">
        <f t="shared" si="25"/>
        <v>0</v>
      </c>
      <c r="H1625" s="39" t="s">
        <v>59</v>
      </c>
      <c r="I1625" s="3"/>
      <c r="J1625" s="42"/>
      <c r="K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</row>
    <row r="1626" spans="1:22" x14ac:dyDescent="0.25">
      <c r="A1626" s="20">
        <v>42052</v>
      </c>
      <c r="B1626" s="21">
        <v>12323</v>
      </c>
      <c r="C1626" s="14" t="s">
        <v>125</v>
      </c>
      <c r="D1626" s="105">
        <v>8632</v>
      </c>
      <c r="E1626" s="23">
        <v>42055</v>
      </c>
      <c r="F1626" s="106">
        <v>8632</v>
      </c>
      <c r="G1626" s="31">
        <f t="shared" si="25"/>
        <v>0</v>
      </c>
      <c r="H1626" s="39" t="s">
        <v>9</v>
      </c>
      <c r="I1626" s="3"/>
      <c r="J1626" s="42"/>
      <c r="K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</row>
    <row r="1627" spans="1:22" x14ac:dyDescent="0.25">
      <c r="A1627" s="20">
        <v>42052</v>
      </c>
      <c r="B1627" s="21">
        <v>12324</v>
      </c>
      <c r="C1627" s="14" t="s">
        <v>45</v>
      </c>
      <c r="D1627" s="105">
        <v>2958.4</v>
      </c>
      <c r="E1627" s="23">
        <v>42062</v>
      </c>
      <c r="F1627" s="106">
        <v>2958.4</v>
      </c>
      <c r="G1627" s="31">
        <f t="shared" si="25"/>
        <v>0</v>
      </c>
      <c r="H1627" s="39" t="s">
        <v>59</v>
      </c>
      <c r="I1627" s="3"/>
      <c r="J1627" s="42"/>
      <c r="K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</row>
    <row r="1628" spans="1:22" x14ac:dyDescent="0.25">
      <c r="A1628" s="20">
        <v>42052</v>
      </c>
      <c r="B1628" s="21">
        <v>12325</v>
      </c>
      <c r="C1628" s="14" t="s">
        <v>118</v>
      </c>
      <c r="D1628" s="105">
        <v>1169.8</v>
      </c>
      <c r="E1628" s="23">
        <v>42052</v>
      </c>
      <c r="F1628" s="106">
        <v>1169.8</v>
      </c>
      <c r="G1628" s="31">
        <f t="shared" si="25"/>
        <v>0</v>
      </c>
      <c r="H1628" s="39" t="s">
        <v>59</v>
      </c>
      <c r="I1628" s="3"/>
      <c r="J1628" s="42"/>
      <c r="K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</row>
    <row r="1629" spans="1:22" x14ac:dyDescent="0.25">
      <c r="A1629" s="20">
        <v>42052</v>
      </c>
      <c r="B1629" s="21">
        <v>12326</v>
      </c>
      <c r="C1629" s="110">
        <v>105</v>
      </c>
      <c r="D1629" s="105">
        <v>1080</v>
      </c>
      <c r="E1629" s="23">
        <v>42052</v>
      </c>
      <c r="F1629" s="106">
        <v>1080</v>
      </c>
      <c r="G1629" s="31">
        <f t="shared" si="25"/>
        <v>0</v>
      </c>
      <c r="H1629" s="39" t="s">
        <v>59</v>
      </c>
      <c r="I1629" s="3"/>
      <c r="J1629" s="42"/>
      <c r="K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</row>
    <row r="1630" spans="1:22" x14ac:dyDescent="0.25">
      <c r="A1630" s="20">
        <v>42052</v>
      </c>
      <c r="B1630" s="21">
        <v>12327</v>
      </c>
      <c r="C1630" s="14" t="s">
        <v>71</v>
      </c>
      <c r="D1630" s="105">
        <v>5516.08</v>
      </c>
      <c r="E1630" s="23">
        <v>42052</v>
      </c>
      <c r="F1630" s="106">
        <v>5516.08</v>
      </c>
      <c r="G1630" s="31">
        <f t="shared" si="25"/>
        <v>0</v>
      </c>
      <c r="H1630" s="39" t="s">
        <v>9</v>
      </c>
      <c r="I1630" s="3"/>
      <c r="J1630" s="42"/>
      <c r="K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</row>
    <row r="1631" spans="1:22" x14ac:dyDescent="0.25">
      <c r="A1631" s="20">
        <v>42052</v>
      </c>
      <c r="B1631" s="21">
        <v>12328</v>
      </c>
      <c r="C1631" s="14" t="s">
        <v>169</v>
      </c>
      <c r="D1631" s="105">
        <v>1472</v>
      </c>
      <c r="E1631" s="23">
        <v>42052</v>
      </c>
      <c r="F1631" s="106">
        <v>1472</v>
      </c>
      <c r="G1631" s="31">
        <f t="shared" si="25"/>
        <v>0</v>
      </c>
      <c r="H1631" s="39" t="s">
        <v>59</v>
      </c>
      <c r="I1631" s="3"/>
      <c r="J1631" s="42"/>
      <c r="K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</row>
    <row r="1632" spans="1:22" x14ac:dyDescent="0.25">
      <c r="A1632" s="20">
        <v>42052</v>
      </c>
      <c r="B1632" s="21">
        <v>12329</v>
      </c>
      <c r="C1632" s="14" t="s">
        <v>118</v>
      </c>
      <c r="D1632" s="105">
        <v>1352</v>
      </c>
      <c r="E1632" s="23">
        <v>42060</v>
      </c>
      <c r="F1632" s="106">
        <v>1352</v>
      </c>
      <c r="G1632" s="31">
        <f t="shared" si="25"/>
        <v>0</v>
      </c>
      <c r="H1632" s="39" t="s">
        <v>59</v>
      </c>
      <c r="I1632" s="3"/>
      <c r="J1632" s="42"/>
      <c r="K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</row>
    <row r="1633" spans="1:22" x14ac:dyDescent="0.25">
      <c r="A1633" s="20">
        <v>42052</v>
      </c>
      <c r="B1633" s="21">
        <v>12330</v>
      </c>
      <c r="C1633" s="14" t="s">
        <v>26</v>
      </c>
      <c r="D1633" s="105">
        <v>2080</v>
      </c>
      <c r="E1633" s="23">
        <v>42052</v>
      </c>
      <c r="F1633" s="106">
        <v>2080</v>
      </c>
      <c r="G1633" s="31">
        <f t="shared" si="25"/>
        <v>0</v>
      </c>
      <c r="H1633" s="39" t="s">
        <v>27</v>
      </c>
      <c r="I1633" s="3"/>
      <c r="J1633" s="42"/>
      <c r="K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</row>
    <row r="1634" spans="1:22" x14ac:dyDescent="0.25">
      <c r="A1634" s="20">
        <v>42052</v>
      </c>
      <c r="B1634" s="21">
        <v>12331</v>
      </c>
      <c r="C1634" s="14" t="s">
        <v>165</v>
      </c>
      <c r="D1634" s="105">
        <v>2904.45</v>
      </c>
      <c r="E1634" s="23">
        <v>42052</v>
      </c>
      <c r="F1634" s="106">
        <v>2904.45</v>
      </c>
      <c r="G1634" s="31">
        <f t="shared" si="25"/>
        <v>0</v>
      </c>
      <c r="H1634" s="39" t="s">
        <v>17</v>
      </c>
      <c r="K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</row>
    <row r="1635" spans="1:22" x14ac:dyDescent="0.25">
      <c r="A1635" s="20">
        <v>42052</v>
      </c>
      <c r="B1635" s="21">
        <v>12332</v>
      </c>
      <c r="C1635" s="14" t="s">
        <v>131</v>
      </c>
      <c r="D1635" s="105">
        <v>4415.25</v>
      </c>
      <c r="E1635" s="23">
        <v>42052</v>
      </c>
      <c r="F1635" s="106">
        <v>4415.25</v>
      </c>
      <c r="G1635" s="31">
        <f t="shared" si="25"/>
        <v>0</v>
      </c>
      <c r="H1635" s="39" t="s">
        <v>17</v>
      </c>
      <c r="K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</row>
    <row r="1636" spans="1:22" x14ac:dyDescent="0.25">
      <c r="A1636" s="20">
        <v>42052</v>
      </c>
      <c r="B1636" s="21">
        <v>12333</v>
      </c>
      <c r="C1636" s="14" t="s">
        <v>130</v>
      </c>
      <c r="D1636" s="105">
        <v>2672.2</v>
      </c>
      <c r="E1636" s="23">
        <v>42056</v>
      </c>
      <c r="F1636" s="106">
        <v>2672.2</v>
      </c>
      <c r="G1636" s="31">
        <f t="shared" si="25"/>
        <v>0</v>
      </c>
      <c r="H1636" s="39" t="s">
        <v>17</v>
      </c>
      <c r="K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</row>
    <row r="1637" spans="1:22" x14ac:dyDescent="0.25">
      <c r="A1637" s="20">
        <v>42052</v>
      </c>
      <c r="B1637" s="21">
        <v>12334</v>
      </c>
      <c r="C1637" s="14" t="s">
        <v>232</v>
      </c>
      <c r="D1637" s="105">
        <v>4676.3999999999996</v>
      </c>
      <c r="E1637" s="23">
        <v>42052</v>
      </c>
      <c r="F1637" s="106">
        <v>4676.3999999999996</v>
      </c>
      <c r="G1637" s="31">
        <f t="shared" si="25"/>
        <v>0</v>
      </c>
      <c r="H1637" s="39" t="s">
        <v>17</v>
      </c>
      <c r="K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</row>
    <row r="1638" spans="1:22" x14ac:dyDescent="0.25">
      <c r="A1638" s="20">
        <v>42052</v>
      </c>
      <c r="B1638" s="21">
        <v>12335</v>
      </c>
      <c r="C1638" s="14" t="s">
        <v>128</v>
      </c>
      <c r="D1638" s="105">
        <v>4357.5</v>
      </c>
      <c r="E1638" s="23">
        <v>42052</v>
      </c>
      <c r="F1638" s="106">
        <v>4357.6000000000004</v>
      </c>
      <c r="G1638" s="31">
        <f t="shared" si="25"/>
        <v>-0.1000000000003638</v>
      </c>
      <c r="H1638" s="39" t="s">
        <v>17</v>
      </c>
      <c r="K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</row>
    <row r="1639" spans="1:22" x14ac:dyDescent="0.25">
      <c r="A1639" s="20">
        <v>42052</v>
      </c>
      <c r="B1639" s="21">
        <v>12336</v>
      </c>
      <c r="C1639" s="14" t="s">
        <v>34</v>
      </c>
      <c r="D1639" s="105">
        <v>1908</v>
      </c>
      <c r="E1639" s="23">
        <v>42052</v>
      </c>
      <c r="F1639" s="106">
        <v>1908</v>
      </c>
      <c r="G1639" s="31">
        <f t="shared" si="25"/>
        <v>0</v>
      </c>
      <c r="H1639" s="39" t="s">
        <v>9</v>
      </c>
      <c r="K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</row>
    <row r="1640" spans="1:22" x14ac:dyDescent="0.25">
      <c r="A1640" s="20">
        <v>42052</v>
      </c>
      <c r="B1640" s="21">
        <v>12337</v>
      </c>
      <c r="C1640" s="14" t="s">
        <v>229</v>
      </c>
      <c r="D1640" s="105">
        <v>3646.46</v>
      </c>
      <c r="E1640" s="23">
        <v>42052</v>
      </c>
      <c r="F1640" s="106">
        <v>3646.46</v>
      </c>
      <c r="G1640" s="31">
        <f t="shared" si="25"/>
        <v>0</v>
      </c>
      <c r="H1640" s="39" t="s">
        <v>9</v>
      </c>
      <c r="K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</row>
    <row r="1641" spans="1:22" x14ac:dyDescent="0.25">
      <c r="A1641" s="20">
        <v>42052</v>
      </c>
      <c r="B1641" s="21">
        <v>12338</v>
      </c>
      <c r="C1641" s="14" t="s">
        <v>155</v>
      </c>
      <c r="D1641" s="105">
        <v>3481.6</v>
      </c>
      <c r="E1641" s="23">
        <v>42052</v>
      </c>
      <c r="F1641" s="106">
        <v>3481.6</v>
      </c>
      <c r="G1641" s="31">
        <f t="shared" si="25"/>
        <v>0</v>
      </c>
      <c r="H1641" s="39" t="s">
        <v>9</v>
      </c>
      <c r="K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</row>
    <row r="1642" spans="1:22" x14ac:dyDescent="0.25">
      <c r="A1642" s="20">
        <v>42052</v>
      </c>
      <c r="B1642" s="21">
        <v>12339</v>
      </c>
      <c r="C1642" s="14" t="s">
        <v>675</v>
      </c>
      <c r="D1642" s="105">
        <v>468</v>
      </c>
      <c r="E1642" s="23">
        <v>42052</v>
      </c>
      <c r="F1642" s="106">
        <v>468</v>
      </c>
      <c r="G1642" s="31">
        <f t="shared" si="25"/>
        <v>0</v>
      </c>
      <c r="H1642" s="39" t="s">
        <v>312</v>
      </c>
      <c r="J1642" s="107"/>
      <c r="K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</row>
    <row r="1643" spans="1:22" x14ac:dyDescent="0.25">
      <c r="A1643" s="20">
        <v>42052</v>
      </c>
      <c r="B1643" s="21">
        <v>12340</v>
      </c>
      <c r="C1643" s="14" t="s">
        <v>89</v>
      </c>
      <c r="D1643" s="105">
        <v>2596</v>
      </c>
      <c r="E1643" s="23">
        <v>42052</v>
      </c>
      <c r="F1643" s="106">
        <v>2596</v>
      </c>
      <c r="G1643" s="31">
        <f t="shared" si="25"/>
        <v>0</v>
      </c>
      <c r="H1643" s="39" t="s">
        <v>9</v>
      </c>
      <c r="K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</row>
    <row r="1644" spans="1:22" x14ac:dyDescent="0.25">
      <c r="A1644" s="20">
        <v>42052</v>
      </c>
      <c r="B1644" s="21">
        <v>12341</v>
      </c>
      <c r="C1644" s="14" t="s">
        <v>48</v>
      </c>
      <c r="D1644" s="105">
        <v>6047.4</v>
      </c>
      <c r="E1644" s="23">
        <v>42052</v>
      </c>
      <c r="F1644" s="106">
        <v>6047.4</v>
      </c>
      <c r="G1644" s="31">
        <f t="shared" si="25"/>
        <v>0</v>
      </c>
      <c r="H1644" s="39" t="s">
        <v>94</v>
      </c>
      <c r="K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</row>
    <row r="1645" spans="1:22" x14ac:dyDescent="0.25">
      <c r="A1645" s="20">
        <v>42052</v>
      </c>
      <c r="B1645" s="21">
        <v>12342</v>
      </c>
      <c r="C1645" s="14" t="s">
        <v>87</v>
      </c>
      <c r="D1645" s="105">
        <v>1828.4</v>
      </c>
      <c r="E1645" s="23">
        <v>42052</v>
      </c>
      <c r="F1645" s="106">
        <v>1828.4</v>
      </c>
      <c r="G1645" s="31">
        <f t="shared" si="25"/>
        <v>0</v>
      </c>
      <c r="H1645" s="39" t="s">
        <v>9</v>
      </c>
      <c r="K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</row>
    <row r="1646" spans="1:22" x14ac:dyDescent="0.25">
      <c r="A1646" s="20">
        <v>42052</v>
      </c>
      <c r="B1646" s="21">
        <v>12343</v>
      </c>
      <c r="C1646" s="14" t="s">
        <v>49</v>
      </c>
      <c r="D1646" s="105">
        <v>1826.2</v>
      </c>
      <c r="E1646" s="23">
        <v>42052</v>
      </c>
      <c r="F1646" s="106">
        <v>1826.2</v>
      </c>
      <c r="G1646" s="31">
        <f t="shared" si="25"/>
        <v>0</v>
      </c>
      <c r="H1646" s="39" t="s">
        <v>94</v>
      </c>
      <c r="K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</row>
    <row r="1647" spans="1:22" x14ac:dyDescent="0.25">
      <c r="A1647" s="20">
        <v>42052</v>
      </c>
      <c r="B1647" s="21">
        <v>12344</v>
      </c>
      <c r="C1647" s="14" t="s">
        <v>93</v>
      </c>
      <c r="D1647" s="105">
        <v>1354.5</v>
      </c>
      <c r="E1647" s="23">
        <v>42052</v>
      </c>
      <c r="F1647" s="106">
        <v>1354.5</v>
      </c>
      <c r="G1647" s="31">
        <f t="shared" si="25"/>
        <v>0</v>
      </c>
      <c r="H1647" s="39" t="s">
        <v>94</v>
      </c>
      <c r="K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</row>
    <row r="1648" spans="1:22" x14ac:dyDescent="0.25">
      <c r="A1648" s="20">
        <v>42052</v>
      </c>
      <c r="B1648" s="21">
        <v>12345</v>
      </c>
      <c r="C1648" s="14" t="s">
        <v>95</v>
      </c>
      <c r="D1648" s="105">
        <v>1879.5</v>
      </c>
      <c r="E1648" s="23">
        <v>42052</v>
      </c>
      <c r="F1648" s="106">
        <v>1879.5</v>
      </c>
      <c r="G1648" s="31">
        <f t="shared" si="25"/>
        <v>0</v>
      </c>
      <c r="H1648" s="39" t="s">
        <v>94</v>
      </c>
      <c r="K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</row>
    <row r="1649" spans="1:22" x14ac:dyDescent="0.25">
      <c r="A1649" s="20">
        <v>42052</v>
      </c>
      <c r="B1649" s="21">
        <v>12346</v>
      </c>
      <c r="C1649" s="14" t="s">
        <v>250</v>
      </c>
      <c r="D1649" s="105">
        <v>2380.6</v>
      </c>
      <c r="E1649" s="23">
        <v>42052</v>
      </c>
      <c r="F1649" s="106">
        <v>2380.6</v>
      </c>
      <c r="G1649" s="31">
        <f t="shared" si="25"/>
        <v>0</v>
      </c>
      <c r="H1649" s="39" t="s">
        <v>94</v>
      </c>
      <c r="K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</row>
    <row r="1650" spans="1:22" x14ac:dyDescent="0.25">
      <c r="A1650" s="20">
        <v>42052</v>
      </c>
      <c r="B1650" s="21">
        <v>12347</v>
      </c>
      <c r="C1650" s="14" t="s">
        <v>98</v>
      </c>
      <c r="D1650" s="105">
        <v>1877.6</v>
      </c>
      <c r="E1650" s="23">
        <v>42052</v>
      </c>
      <c r="F1650" s="106">
        <v>1877.6</v>
      </c>
      <c r="G1650" s="31">
        <f t="shared" si="25"/>
        <v>0</v>
      </c>
      <c r="H1650" s="39" t="s">
        <v>266</v>
      </c>
      <c r="I1650" s="3"/>
      <c r="J1650" s="42"/>
      <c r="K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</row>
    <row r="1651" spans="1:22" x14ac:dyDescent="0.25">
      <c r="A1651" s="20">
        <v>42052</v>
      </c>
      <c r="B1651" s="21">
        <v>12348</v>
      </c>
      <c r="C1651" s="14" t="s">
        <v>20</v>
      </c>
      <c r="D1651" s="105">
        <v>2483</v>
      </c>
      <c r="E1651" s="23">
        <v>42055</v>
      </c>
      <c r="F1651" s="106">
        <v>2483</v>
      </c>
      <c r="G1651" s="31">
        <f t="shared" si="25"/>
        <v>0</v>
      </c>
      <c r="H1651" s="39" t="s">
        <v>94</v>
      </c>
      <c r="I1651" s="3"/>
      <c r="J1651" s="42"/>
      <c r="K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</row>
    <row r="1652" spans="1:22" x14ac:dyDescent="0.25">
      <c r="A1652" s="20">
        <v>42052</v>
      </c>
      <c r="B1652" s="21">
        <v>12349</v>
      </c>
      <c r="C1652" s="14" t="s">
        <v>99</v>
      </c>
      <c r="D1652" s="105">
        <v>828</v>
      </c>
      <c r="E1652" s="23">
        <v>42052</v>
      </c>
      <c r="F1652" s="106">
        <v>828</v>
      </c>
      <c r="G1652" s="31">
        <f t="shared" si="25"/>
        <v>0</v>
      </c>
      <c r="H1652" s="39" t="s">
        <v>94</v>
      </c>
      <c r="I1652" s="3"/>
      <c r="J1652" s="42"/>
      <c r="K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</row>
    <row r="1653" spans="1:22" x14ac:dyDescent="0.25">
      <c r="A1653" s="20">
        <v>42052</v>
      </c>
      <c r="B1653" s="21">
        <v>12350</v>
      </c>
      <c r="C1653" s="14" t="s">
        <v>66</v>
      </c>
      <c r="D1653" s="105">
        <v>1545.6</v>
      </c>
      <c r="E1653" s="23">
        <v>42052</v>
      </c>
      <c r="F1653" s="106">
        <v>1545.6</v>
      </c>
      <c r="G1653" s="31">
        <f t="shared" si="25"/>
        <v>0</v>
      </c>
      <c r="H1653" s="39" t="s">
        <v>9</v>
      </c>
      <c r="I1653" s="3"/>
      <c r="J1653" s="42"/>
      <c r="K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</row>
    <row r="1654" spans="1:22" x14ac:dyDescent="0.25">
      <c r="A1654" s="20">
        <v>42052</v>
      </c>
      <c r="B1654" s="21">
        <v>12351</v>
      </c>
      <c r="C1654" s="14" t="s">
        <v>213</v>
      </c>
      <c r="D1654" s="105">
        <v>31832.6</v>
      </c>
      <c r="E1654" s="30">
        <v>42153</v>
      </c>
      <c r="F1654" s="144">
        <v>31832.6</v>
      </c>
      <c r="G1654" s="31">
        <f t="shared" si="25"/>
        <v>0</v>
      </c>
      <c r="H1654" s="39" t="s">
        <v>187</v>
      </c>
      <c r="I1654" s="3"/>
      <c r="J1654" s="42"/>
      <c r="K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</row>
    <row r="1655" spans="1:22" x14ac:dyDescent="0.25">
      <c r="A1655" s="20">
        <v>42052</v>
      </c>
      <c r="B1655" s="21">
        <v>12352</v>
      </c>
      <c r="C1655" s="14" t="s">
        <v>375</v>
      </c>
      <c r="D1655" s="105">
        <v>1085.7</v>
      </c>
      <c r="E1655" s="23">
        <v>42052</v>
      </c>
      <c r="F1655" s="106">
        <v>1085.7</v>
      </c>
      <c r="G1655" s="31">
        <f t="shared" si="25"/>
        <v>0</v>
      </c>
      <c r="H1655" s="39" t="s">
        <v>9</v>
      </c>
      <c r="I1655" s="3"/>
      <c r="J1655" s="42"/>
      <c r="K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</row>
    <row r="1656" spans="1:22" x14ac:dyDescent="0.25">
      <c r="A1656" s="20">
        <v>42052</v>
      </c>
      <c r="B1656" s="21">
        <v>12353</v>
      </c>
      <c r="C1656" s="14" t="s">
        <v>571</v>
      </c>
      <c r="D1656" s="105">
        <v>1456</v>
      </c>
      <c r="E1656" s="23">
        <v>42052</v>
      </c>
      <c r="F1656" s="106">
        <v>1456</v>
      </c>
      <c r="G1656" s="31">
        <f t="shared" si="25"/>
        <v>0</v>
      </c>
      <c r="H1656" s="39" t="s">
        <v>187</v>
      </c>
      <c r="I1656" s="3"/>
      <c r="J1656" s="42"/>
      <c r="K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</row>
    <row r="1657" spans="1:22" x14ac:dyDescent="0.25">
      <c r="A1657" s="20">
        <v>42052</v>
      </c>
      <c r="B1657" s="21">
        <v>12354</v>
      </c>
      <c r="C1657" s="14" t="s">
        <v>141</v>
      </c>
      <c r="D1657" s="105">
        <v>8467.4</v>
      </c>
      <c r="E1657" s="30">
        <v>42065</v>
      </c>
      <c r="F1657" s="144">
        <v>8467.4</v>
      </c>
      <c r="G1657" s="31">
        <f t="shared" si="25"/>
        <v>0</v>
      </c>
      <c r="H1657" s="39" t="s">
        <v>62</v>
      </c>
      <c r="I1657" s="3"/>
      <c r="J1657" s="42"/>
      <c r="K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</row>
    <row r="1658" spans="1:22" x14ac:dyDescent="0.25">
      <c r="A1658" s="20">
        <v>42052</v>
      </c>
      <c r="B1658" s="21">
        <v>12355</v>
      </c>
      <c r="C1658" s="14" t="s">
        <v>42</v>
      </c>
      <c r="D1658" s="105">
        <v>72</v>
      </c>
      <c r="E1658" s="23">
        <v>42052</v>
      </c>
      <c r="F1658" s="106">
        <v>72</v>
      </c>
      <c r="G1658" s="31">
        <f t="shared" si="25"/>
        <v>0</v>
      </c>
      <c r="H1658" s="39" t="s">
        <v>183</v>
      </c>
      <c r="I1658" s="3"/>
      <c r="J1658" s="42"/>
      <c r="K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</row>
    <row r="1659" spans="1:22" x14ac:dyDescent="0.25">
      <c r="A1659" s="20">
        <v>42052</v>
      </c>
      <c r="B1659" s="21">
        <v>12356</v>
      </c>
      <c r="C1659" s="14" t="s">
        <v>37</v>
      </c>
      <c r="D1659" s="105">
        <v>23317.200000000001</v>
      </c>
      <c r="E1659" s="23">
        <v>42063</v>
      </c>
      <c r="F1659" s="106">
        <v>23317.200000000001</v>
      </c>
      <c r="G1659" s="31">
        <f t="shared" si="25"/>
        <v>0</v>
      </c>
      <c r="H1659" s="39" t="s">
        <v>17</v>
      </c>
      <c r="I1659" s="3"/>
      <c r="J1659" s="42"/>
      <c r="K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</row>
    <row r="1660" spans="1:22" x14ac:dyDescent="0.25">
      <c r="A1660" s="20">
        <v>42052</v>
      </c>
      <c r="B1660" s="21">
        <v>12357</v>
      </c>
      <c r="C1660" s="14" t="s">
        <v>108</v>
      </c>
      <c r="D1660" s="105">
        <v>21849.360000000001</v>
      </c>
      <c r="E1660" s="30">
        <v>42068</v>
      </c>
      <c r="F1660" s="144">
        <v>21849.360000000001</v>
      </c>
      <c r="G1660" s="31">
        <f t="shared" si="25"/>
        <v>0</v>
      </c>
      <c r="H1660" s="39" t="s">
        <v>62</v>
      </c>
      <c r="I1660" s="3"/>
      <c r="J1660" s="42"/>
      <c r="K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</row>
    <row r="1661" spans="1:22" x14ac:dyDescent="0.25">
      <c r="A1661" s="20">
        <v>42052</v>
      </c>
      <c r="B1661" s="21">
        <v>12358</v>
      </c>
      <c r="C1661" s="26" t="s">
        <v>12</v>
      </c>
      <c r="D1661" s="108">
        <v>0</v>
      </c>
      <c r="E1661" s="23"/>
      <c r="F1661" s="106"/>
      <c r="G1661" s="31">
        <f t="shared" si="25"/>
        <v>0</v>
      </c>
      <c r="H1661" s="39" t="s">
        <v>13</v>
      </c>
      <c r="I1661" s="3"/>
      <c r="J1661" s="42"/>
      <c r="K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</row>
    <row r="1662" spans="1:22" x14ac:dyDescent="0.25">
      <c r="A1662" s="20">
        <v>42052</v>
      </c>
      <c r="B1662" s="21">
        <v>12359</v>
      </c>
      <c r="C1662" s="26" t="s">
        <v>12</v>
      </c>
      <c r="D1662" s="108">
        <v>0</v>
      </c>
      <c r="E1662" s="23"/>
      <c r="F1662" s="106"/>
      <c r="G1662" s="31">
        <f t="shared" si="25"/>
        <v>0</v>
      </c>
      <c r="H1662" s="39" t="s">
        <v>13</v>
      </c>
      <c r="I1662" s="3"/>
      <c r="J1662" s="42"/>
      <c r="K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</row>
    <row r="1663" spans="1:22" x14ac:dyDescent="0.25">
      <c r="A1663" s="20">
        <v>42052</v>
      </c>
      <c r="B1663" s="21">
        <v>12360</v>
      </c>
      <c r="C1663" s="14" t="s">
        <v>110</v>
      </c>
      <c r="D1663" s="105">
        <v>52715.48</v>
      </c>
      <c r="E1663" s="23">
        <v>42060</v>
      </c>
      <c r="F1663" s="106">
        <v>52715.48</v>
      </c>
      <c r="G1663" s="31">
        <f t="shared" si="25"/>
        <v>0</v>
      </c>
      <c r="H1663" s="39" t="s">
        <v>46</v>
      </c>
      <c r="I1663" s="3"/>
      <c r="J1663" s="42"/>
      <c r="K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</row>
    <row r="1664" spans="1:22" x14ac:dyDescent="0.25">
      <c r="A1664" s="20">
        <v>42052</v>
      </c>
      <c r="B1664" s="21">
        <v>12361</v>
      </c>
      <c r="C1664" s="14" t="s">
        <v>24</v>
      </c>
      <c r="D1664" s="105">
        <v>23290.720000000001</v>
      </c>
      <c r="E1664" s="23">
        <v>42063</v>
      </c>
      <c r="F1664" s="106">
        <v>23290.720000000001</v>
      </c>
      <c r="G1664" s="31">
        <f t="shared" si="25"/>
        <v>0</v>
      </c>
      <c r="H1664" s="39" t="s">
        <v>46</v>
      </c>
      <c r="I1664" s="3"/>
      <c r="J1664" s="42"/>
      <c r="K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</row>
    <row r="1665" spans="1:22" x14ac:dyDescent="0.25">
      <c r="A1665" s="20">
        <v>42052</v>
      </c>
      <c r="B1665" s="21">
        <v>12362</v>
      </c>
      <c r="C1665" s="14" t="s">
        <v>549</v>
      </c>
      <c r="D1665" s="105">
        <v>16772.400000000001</v>
      </c>
      <c r="E1665" s="23">
        <v>42053</v>
      </c>
      <c r="F1665" s="106">
        <v>16772.400000000001</v>
      </c>
      <c r="G1665" s="31">
        <f t="shared" si="25"/>
        <v>0</v>
      </c>
      <c r="H1665" s="39" t="s">
        <v>19</v>
      </c>
      <c r="I1665" s="3"/>
      <c r="J1665" s="42"/>
      <c r="K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</row>
    <row r="1666" spans="1:22" x14ac:dyDescent="0.25">
      <c r="A1666" s="20">
        <v>42052</v>
      </c>
      <c r="B1666" s="21">
        <v>12363</v>
      </c>
      <c r="C1666" s="14" t="s">
        <v>136</v>
      </c>
      <c r="D1666" s="105">
        <v>18514.8</v>
      </c>
      <c r="E1666" s="51">
        <v>42053</v>
      </c>
      <c r="F1666" s="106">
        <v>18514.8</v>
      </c>
      <c r="G1666" s="31">
        <f t="shared" si="25"/>
        <v>0</v>
      </c>
      <c r="H1666" s="39" t="s">
        <v>19</v>
      </c>
      <c r="K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</row>
    <row r="1667" spans="1:22" x14ac:dyDescent="0.25">
      <c r="A1667" s="20">
        <v>42052</v>
      </c>
      <c r="B1667" s="21">
        <v>12364</v>
      </c>
      <c r="C1667" s="14" t="s">
        <v>80</v>
      </c>
      <c r="D1667" s="105">
        <v>7120.8</v>
      </c>
      <c r="E1667" s="23">
        <v>42052</v>
      </c>
      <c r="F1667" s="106">
        <v>7120.8</v>
      </c>
      <c r="G1667" s="31">
        <f t="shared" ref="G1667:G1730" si="26">D1667-F1667</f>
        <v>0</v>
      </c>
      <c r="H1667" s="39" t="s">
        <v>9</v>
      </c>
      <c r="K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</row>
    <row r="1668" spans="1:22" x14ac:dyDescent="0.25">
      <c r="A1668" s="20">
        <v>42052</v>
      </c>
      <c r="B1668" s="21">
        <v>12365</v>
      </c>
      <c r="C1668" s="14" t="s">
        <v>252</v>
      </c>
      <c r="D1668" s="105">
        <v>4456</v>
      </c>
      <c r="E1668" s="23">
        <v>42052</v>
      </c>
      <c r="F1668" s="106">
        <v>4456</v>
      </c>
      <c r="G1668" s="31">
        <f t="shared" si="26"/>
        <v>0</v>
      </c>
      <c r="H1668" s="39" t="s">
        <v>9</v>
      </c>
      <c r="K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</row>
    <row r="1669" spans="1:22" x14ac:dyDescent="0.25">
      <c r="A1669" s="20">
        <v>42052</v>
      </c>
      <c r="B1669" s="21">
        <v>12366</v>
      </c>
      <c r="C1669" s="14" t="s">
        <v>90</v>
      </c>
      <c r="D1669" s="105">
        <v>499.2</v>
      </c>
      <c r="E1669" s="23">
        <v>42052</v>
      </c>
      <c r="F1669" s="106">
        <v>499.2</v>
      </c>
      <c r="G1669" s="31">
        <f t="shared" si="26"/>
        <v>0</v>
      </c>
      <c r="H1669" s="19" t="s">
        <v>9</v>
      </c>
      <c r="K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</row>
    <row r="1670" spans="1:22" x14ac:dyDescent="0.25">
      <c r="A1670" s="20">
        <v>42052</v>
      </c>
      <c r="B1670" s="21">
        <v>12367</v>
      </c>
      <c r="C1670" s="14" t="s">
        <v>24</v>
      </c>
      <c r="D1670" s="105">
        <v>109647.98</v>
      </c>
      <c r="E1670" s="23">
        <v>42063</v>
      </c>
      <c r="F1670" s="106">
        <v>109647.98</v>
      </c>
      <c r="G1670" s="31">
        <f t="shared" si="26"/>
        <v>0</v>
      </c>
      <c r="H1670" s="19" t="s">
        <v>46</v>
      </c>
      <c r="K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</row>
    <row r="1671" spans="1:22" x14ac:dyDescent="0.25">
      <c r="A1671" s="20">
        <v>42052</v>
      </c>
      <c r="B1671" s="21">
        <v>12368</v>
      </c>
      <c r="C1671" s="14" t="s">
        <v>18</v>
      </c>
      <c r="D1671" s="105">
        <v>66408.759999999995</v>
      </c>
      <c r="E1671" s="23">
        <v>42057</v>
      </c>
      <c r="F1671" s="106">
        <v>66408.759999999995</v>
      </c>
      <c r="G1671" s="31">
        <f t="shared" si="26"/>
        <v>0</v>
      </c>
      <c r="H1671" s="19" t="s">
        <v>9</v>
      </c>
      <c r="K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</row>
    <row r="1672" spans="1:22" x14ac:dyDescent="0.25">
      <c r="A1672" s="20">
        <v>42053</v>
      </c>
      <c r="B1672" s="21">
        <v>12369</v>
      </c>
      <c r="C1672" s="14" t="s">
        <v>24</v>
      </c>
      <c r="D1672" s="105">
        <v>133430.35</v>
      </c>
      <c r="E1672" s="23">
        <v>42063</v>
      </c>
      <c r="F1672" s="106">
        <v>133430.35</v>
      </c>
      <c r="G1672" s="31">
        <f t="shared" si="26"/>
        <v>0</v>
      </c>
      <c r="H1672" s="19" t="s">
        <v>17</v>
      </c>
      <c r="J1672" s="107"/>
      <c r="K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</row>
    <row r="1673" spans="1:22" x14ac:dyDescent="0.25">
      <c r="A1673" s="20">
        <v>42053</v>
      </c>
      <c r="B1673" s="21">
        <v>12370</v>
      </c>
      <c r="C1673" s="76" t="s">
        <v>148</v>
      </c>
      <c r="D1673" s="121">
        <v>3472</v>
      </c>
      <c r="E1673" s="29" t="s">
        <v>676</v>
      </c>
      <c r="F1673" s="106">
        <f>2072+1400</f>
        <v>3472</v>
      </c>
      <c r="G1673" s="31">
        <f t="shared" si="26"/>
        <v>0</v>
      </c>
      <c r="H1673" s="19" t="s">
        <v>9</v>
      </c>
      <c r="J1673" s="107"/>
      <c r="K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</row>
    <row r="1674" spans="1:22" x14ac:dyDescent="0.25">
      <c r="A1674" s="20">
        <v>42053</v>
      </c>
      <c r="B1674" s="21">
        <v>12371</v>
      </c>
      <c r="C1674" s="14" t="s">
        <v>121</v>
      </c>
      <c r="D1674" s="105">
        <v>2532.6</v>
      </c>
      <c r="E1674" s="23">
        <v>42053</v>
      </c>
      <c r="F1674" s="106">
        <v>2532.6</v>
      </c>
      <c r="G1674" s="31">
        <f t="shared" si="26"/>
        <v>0</v>
      </c>
      <c r="H1674" s="19" t="s">
        <v>9</v>
      </c>
      <c r="K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</row>
    <row r="1675" spans="1:22" x14ac:dyDescent="0.25">
      <c r="A1675" s="20">
        <v>42053</v>
      </c>
      <c r="B1675" s="21">
        <v>12372</v>
      </c>
      <c r="C1675" s="14" t="s">
        <v>158</v>
      </c>
      <c r="D1675" s="105">
        <v>8029</v>
      </c>
      <c r="E1675" s="23">
        <v>42053</v>
      </c>
      <c r="F1675" s="106">
        <v>8029</v>
      </c>
      <c r="G1675" s="31">
        <f t="shared" si="26"/>
        <v>0</v>
      </c>
      <c r="H1675" s="19" t="s">
        <v>9</v>
      </c>
      <c r="K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</row>
    <row r="1676" spans="1:22" x14ac:dyDescent="0.25">
      <c r="A1676" s="20">
        <v>42053</v>
      </c>
      <c r="B1676" s="21">
        <v>12373</v>
      </c>
      <c r="C1676" s="14" t="s">
        <v>21</v>
      </c>
      <c r="D1676" s="105">
        <v>4547.3999999999996</v>
      </c>
      <c r="E1676" s="23">
        <v>42053</v>
      </c>
      <c r="F1676" s="106">
        <v>4547.3999999999996</v>
      </c>
      <c r="G1676" s="31">
        <f t="shared" si="26"/>
        <v>0</v>
      </c>
      <c r="H1676" s="19" t="s">
        <v>9</v>
      </c>
      <c r="K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</row>
    <row r="1677" spans="1:22" x14ac:dyDescent="0.25">
      <c r="A1677" s="20">
        <v>42053</v>
      </c>
      <c r="B1677" s="21">
        <v>12374</v>
      </c>
      <c r="C1677" s="14" t="s">
        <v>32</v>
      </c>
      <c r="D1677" s="105">
        <v>177243</v>
      </c>
      <c r="E1677" s="23">
        <v>42062</v>
      </c>
      <c r="F1677" s="106">
        <v>177243</v>
      </c>
      <c r="G1677" s="31">
        <f t="shared" si="26"/>
        <v>0</v>
      </c>
      <c r="H1677" s="19" t="s">
        <v>15</v>
      </c>
      <c r="K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</row>
    <row r="1678" spans="1:22" x14ac:dyDescent="0.25">
      <c r="A1678" s="20">
        <v>42053</v>
      </c>
      <c r="B1678" s="21">
        <v>12375</v>
      </c>
      <c r="C1678" s="14" t="s">
        <v>236</v>
      </c>
      <c r="D1678" s="105">
        <v>44380.800000000003</v>
      </c>
      <c r="E1678" s="97" t="s">
        <v>747</v>
      </c>
      <c r="F1678" s="144">
        <f>9425.46+20000+14955.34</f>
        <v>44380.800000000003</v>
      </c>
      <c r="G1678" s="31">
        <f t="shared" si="26"/>
        <v>0</v>
      </c>
      <c r="H1678" s="19" t="s">
        <v>19</v>
      </c>
      <c r="K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</row>
    <row r="1679" spans="1:22" x14ac:dyDescent="0.25">
      <c r="A1679" s="20">
        <v>42053</v>
      </c>
      <c r="B1679" s="21">
        <v>12376</v>
      </c>
      <c r="C1679" s="14" t="s">
        <v>157</v>
      </c>
      <c r="D1679" s="105">
        <v>2486.4</v>
      </c>
      <c r="E1679" s="23">
        <v>42053</v>
      </c>
      <c r="F1679" s="106">
        <v>2486.4</v>
      </c>
      <c r="G1679" s="31">
        <f t="shared" si="26"/>
        <v>0</v>
      </c>
      <c r="H1679" s="19" t="s">
        <v>9</v>
      </c>
      <c r="K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</row>
    <row r="1680" spans="1:22" x14ac:dyDescent="0.25">
      <c r="A1680" s="20">
        <v>42053</v>
      </c>
      <c r="B1680" s="21">
        <v>12377</v>
      </c>
      <c r="C1680" s="14" t="s">
        <v>26</v>
      </c>
      <c r="D1680" s="105">
        <v>1104</v>
      </c>
      <c r="E1680" s="23">
        <v>42053</v>
      </c>
      <c r="F1680" s="106">
        <v>1104</v>
      </c>
      <c r="G1680" s="31">
        <f t="shared" si="26"/>
        <v>0</v>
      </c>
      <c r="H1680" s="19" t="s">
        <v>27</v>
      </c>
      <c r="K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</row>
    <row r="1681" spans="1:22" x14ac:dyDescent="0.25">
      <c r="A1681" s="20">
        <v>42053</v>
      </c>
      <c r="B1681" s="21">
        <v>12378</v>
      </c>
      <c r="C1681" s="14" t="s">
        <v>157</v>
      </c>
      <c r="D1681" s="105">
        <v>338.1</v>
      </c>
      <c r="E1681" s="23">
        <v>42053</v>
      </c>
      <c r="F1681" s="106">
        <v>338.1</v>
      </c>
      <c r="G1681" s="31">
        <f t="shared" si="26"/>
        <v>0</v>
      </c>
      <c r="H1681" s="19" t="s">
        <v>9</v>
      </c>
      <c r="K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</row>
    <row r="1682" spans="1:22" x14ac:dyDescent="0.25">
      <c r="A1682" s="20">
        <v>42053</v>
      </c>
      <c r="B1682" s="21">
        <v>12379</v>
      </c>
      <c r="C1682" s="14" t="s">
        <v>375</v>
      </c>
      <c r="D1682" s="105">
        <v>1982.2</v>
      </c>
      <c r="E1682" s="23">
        <v>42053</v>
      </c>
      <c r="F1682" s="106">
        <v>1982.2</v>
      </c>
      <c r="G1682" s="31">
        <f t="shared" si="26"/>
        <v>0</v>
      </c>
      <c r="H1682" s="19" t="s">
        <v>9</v>
      </c>
      <c r="K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</row>
    <row r="1683" spans="1:22" x14ac:dyDescent="0.25">
      <c r="A1683" s="20">
        <v>42053</v>
      </c>
      <c r="B1683" s="21">
        <v>12380</v>
      </c>
      <c r="C1683" s="14" t="s">
        <v>25</v>
      </c>
      <c r="D1683" s="105">
        <v>816.2</v>
      </c>
      <c r="E1683" s="23">
        <v>42053</v>
      </c>
      <c r="F1683" s="106">
        <v>816.2</v>
      </c>
      <c r="G1683" s="31">
        <f t="shared" si="26"/>
        <v>0</v>
      </c>
      <c r="H1683" s="62" t="s">
        <v>9</v>
      </c>
      <c r="J1683" s="107"/>
      <c r="K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</row>
    <row r="1684" spans="1:22" x14ac:dyDescent="0.25">
      <c r="A1684" s="20">
        <v>42053</v>
      </c>
      <c r="B1684" s="21">
        <v>12381</v>
      </c>
      <c r="C1684" s="14" t="s">
        <v>151</v>
      </c>
      <c r="D1684" s="105">
        <v>4596</v>
      </c>
      <c r="E1684" s="23">
        <v>42055</v>
      </c>
      <c r="F1684" s="106">
        <v>4596</v>
      </c>
      <c r="G1684" s="31">
        <f t="shared" si="26"/>
        <v>0</v>
      </c>
      <c r="H1684" s="62" t="s">
        <v>9</v>
      </c>
      <c r="J1684" s="107"/>
      <c r="K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</row>
    <row r="1685" spans="1:22" x14ac:dyDescent="0.25">
      <c r="A1685" s="20">
        <v>42053</v>
      </c>
      <c r="B1685" s="21">
        <v>12382</v>
      </c>
      <c r="C1685" s="14" t="s">
        <v>383</v>
      </c>
      <c r="D1685" s="105">
        <v>1264.3</v>
      </c>
      <c r="E1685" s="23">
        <v>42053</v>
      </c>
      <c r="F1685" s="106">
        <v>1264.3</v>
      </c>
      <c r="G1685" s="31">
        <f t="shared" si="26"/>
        <v>0</v>
      </c>
      <c r="H1685" s="62" t="s">
        <v>9</v>
      </c>
      <c r="K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</row>
    <row r="1686" spans="1:22" x14ac:dyDescent="0.25">
      <c r="A1686" s="20">
        <v>42053</v>
      </c>
      <c r="B1686" s="21">
        <v>12383</v>
      </c>
      <c r="C1686" s="14" t="s">
        <v>14</v>
      </c>
      <c r="D1686" s="105">
        <v>142829.66</v>
      </c>
      <c r="E1686" s="23">
        <v>42062</v>
      </c>
      <c r="F1686" s="106">
        <v>142829.66</v>
      </c>
      <c r="G1686" s="31">
        <f t="shared" si="26"/>
        <v>0</v>
      </c>
      <c r="H1686" s="62" t="s">
        <v>46</v>
      </c>
      <c r="K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</row>
    <row r="1687" spans="1:22" x14ac:dyDescent="0.25">
      <c r="A1687" s="20">
        <v>42053</v>
      </c>
      <c r="B1687" s="21">
        <v>12384</v>
      </c>
      <c r="C1687" s="14" t="s">
        <v>24</v>
      </c>
      <c r="D1687" s="105">
        <v>39348.800000000003</v>
      </c>
      <c r="E1687" s="23">
        <v>42063</v>
      </c>
      <c r="F1687" s="106">
        <v>39348.800000000003</v>
      </c>
      <c r="G1687" s="31">
        <f t="shared" si="26"/>
        <v>0</v>
      </c>
      <c r="H1687" s="62" t="s">
        <v>94</v>
      </c>
      <c r="K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</row>
    <row r="1688" spans="1:22" x14ac:dyDescent="0.25">
      <c r="A1688" s="20">
        <v>42053</v>
      </c>
      <c r="B1688" s="21">
        <v>12385</v>
      </c>
      <c r="C1688" s="14" t="s">
        <v>215</v>
      </c>
      <c r="D1688" s="105">
        <v>32779.74</v>
      </c>
      <c r="E1688" s="23">
        <v>42053</v>
      </c>
      <c r="F1688" s="106">
        <v>32779.74</v>
      </c>
      <c r="G1688" s="31">
        <f t="shared" si="26"/>
        <v>0</v>
      </c>
      <c r="H1688" s="62" t="s">
        <v>36</v>
      </c>
      <c r="K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</row>
    <row r="1689" spans="1:22" x14ac:dyDescent="0.25">
      <c r="A1689" s="20">
        <v>42053</v>
      </c>
      <c r="B1689" s="21">
        <v>12386</v>
      </c>
      <c r="C1689" s="14" t="s">
        <v>145</v>
      </c>
      <c r="D1689" s="105">
        <v>5988</v>
      </c>
      <c r="E1689" s="23">
        <v>42053</v>
      </c>
      <c r="F1689" s="106">
        <v>5988</v>
      </c>
      <c r="G1689" s="31">
        <f t="shared" si="26"/>
        <v>0</v>
      </c>
      <c r="H1689" s="62" t="s">
        <v>9</v>
      </c>
      <c r="K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</row>
    <row r="1690" spans="1:22" x14ac:dyDescent="0.25">
      <c r="A1690" s="20">
        <v>42053</v>
      </c>
      <c r="B1690" s="21">
        <v>12387</v>
      </c>
      <c r="C1690" s="14" t="s">
        <v>336</v>
      </c>
      <c r="D1690" s="105">
        <v>2082.9</v>
      </c>
      <c r="E1690" s="23">
        <v>42053</v>
      </c>
      <c r="F1690" s="106">
        <v>2082.9</v>
      </c>
      <c r="G1690" s="31">
        <f t="shared" si="26"/>
        <v>0</v>
      </c>
      <c r="H1690" s="19" t="s">
        <v>9</v>
      </c>
      <c r="K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</row>
    <row r="1691" spans="1:22" x14ac:dyDescent="0.25">
      <c r="A1691" s="20">
        <v>42053</v>
      </c>
      <c r="B1691" s="21">
        <v>12388</v>
      </c>
      <c r="C1691" s="14" t="s">
        <v>14</v>
      </c>
      <c r="D1691" s="105">
        <v>11164.5</v>
      </c>
      <c r="E1691" s="23">
        <v>42062</v>
      </c>
      <c r="F1691" s="106">
        <v>11164.5</v>
      </c>
      <c r="G1691" s="31">
        <f t="shared" si="26"/>
        <v>0</v>
      </c>
      <c r="H1691" s="62" t="s">
        <v>312</v>
      </c>
      <c r="K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</row>
    <row r="1692" spans="1:22" x14ac:dyDescent="0.25">
      <c r="A1692" s="20">
        <v>42053</v>
      </c>
      <c r="B1692" s="21">
        <v>12389</v>
      </c>
      <c r="C1692" s="14" t="s">
        <v>239</v>
      </c>
      <c r="D1692" s="105">
        <v>865</v>
      </c>
      <c r="E1692" s="23">
        <v>42053</v>
      </c>
      <c r="F1692" s="106">
        <v>865</v>
      </c>
      <c r="G1692" s="31">
        <f t="shared" si="26"/>
        <v>0</v>
      </c>
      <c r="H1692" s="62" t="s">
        <v>9</v>
      </c>
      <c r="K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</row>
    <row r="1693" spans="1:22" x14ac:dyDescent="0.25">
      <c r="A1693" s="20">
        <v>42053</v>
      </c>
      <c r="B1693" s="21">
        <v>12390</v>
      </c>
      <c r="C1693" s="14" t="s">
        <v>214</v>
      </c>
      <c r="D1693" s="105">
        <v>900</v>
      </c>
      <c r="E1693" s="23">
        <v>42053</v>
      </c>
      <c r="F1693" s="106">
        <v>900</v>
      </c>
      <c r="G1693" s="31">
        <f t="shared" si="26"/>
        <v>0</v>
      </c>
      <c r="H1693" s="62" t="s">
        <v>17</v>
      </c>
      <c r="K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</row>
    <row r="1694" spans="1:22" x14ac:dyDescent="0.25">
      <c r="A1694" s="20">
        <v>42053</v>
      </c>
      <c r="B1694" s="21">
        <v>12391</v>
      </c>
      <c r="C1694" s="110">
        <v>105</v>
      </c>
      <c r="D1694" s="105">
        <v>540</v>
      </c>
      <c r="E1694" s="23">
        <v>42053</v>
      </c>
      <c r="F1694" s="106">
        <v>540</v>
      </c>
      <c r="G1694" s="31">
        <f t="shared" si="26"/>
        <v>0</v>
      </c>
      <c r="H1694" s="62" t="s">
        <v>17</v>
      </c>
      <c r="K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</row>
    <row r="1695" spans="1:22" x14ac:dyDescent="0.25">
      <c r="A1695" s="20">
        <v>42053</v>
      </c>
      <c r="B1695" s="21">
        <v>12392</v>
      </c>
      <c r="C1695" s="14" t="s">
        <v>47</v>
      </c>
      <c r="D1695" s="105">
        <v>21784.799999999999</v>
      </c>
      <c r="E1695" s="23">
        <v>42053</v>
      </c>
      <c r="F1695" s="106">
        <v>21784.799999999999</v>
      </c>
      <c r="G1695" s="31">
        <f t="shared" si="26"/>
        <v>0</v>
      </c>
      <c r="H1695" s="62" t="s">
        <v>9</v>
      </c>
      <c r="K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</row>
    <row r="1696" spans="1:22" x14ac:dyDescent="0.25">
      <c r="A1696" s="20">
        <v>42053</v>
      </c>
      <c r="B1696" s="21">
        <v>12393</v>
      </c>
      <c r="C1696" s="14" t="s">
        <v>45</v>
      </c>
      <c r="D1696" s="105">
        <v>8257</v>
      </c>
      <c r="E1696" s="23">
        <v>42062</v>
      </c>
      <c r="F1696" s="106">
        <v>8257</v>
      </c>
      <c r="G1696" s="31">
        <f t="shared" si="26"/>
        <v>0</v>
      </c>
      <c r="H1696" s="62" t="s">
        <v>17</v>
      </c>
      <c r="K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</row>
    <row r="1697" spans="1:22" x14ac:dyDescent="0.25">
      <c r="A1697" s="20">
        <v>42053</v>
      </c>
      <c r="B1697" s="21">
        <v>12394</v>
      </c>
      <c r="C1697" s="14" t="s">
        <v>363</v>
      </c>
      <c r="D1697" s="105">
        <v>1072.5</v>
      </c>
      <c r="E1697" s="23">
        <v>42054</v>
      </c>
      <c r="F1697" s="106">
        <v>1072.5</v>
      </c>
      <c r="G1697" s="31">
        <f t="shared" si="26"/>
        <v>0</v>
      </c>
      <c r="H1697" s="62" t="s">
        <v>9</v>
      </c>
      <c r="K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</row>
    <row r="1698" spans="1:22" x14ac:dyDescent="0.25">
      <c r="A1698" s="20">
        <v>42053</v>
      </c>
      <c r="B1698" s="21">
        <v>12395</v>
      </c>
      <c r="C1698" s="14" t="s">
        <v>168</v>
      </c>
      <c r="D1698" s="105">
        <v>9432</v>
      </c>
      <c r="E1698" s="23">
        <v>42053</v>
      </c>
      <c r="F1698" s="118">
        <v>9432</v>
      </c>
      <c r="G1698" s="31">
        <f t="shared" si="26"/>
        <v>0</v>
      </c>
      <c r="H1698" s="62" t="s">
        <v>17</v>
      </c>
      <c r="K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</row>
    <row r="1699" spans="1:22" x14ac:dyDescent="0.25">
      <c r="A1699" s="20">
        <v>42053</v>
      </c>
      <c r="B1699" s="21">
        <v>12396</v>
      </c>
      <c r="C1699" s="14" t="s">
        <v>118</v>
      </c>
      <c r="D1699" s="105">
        <v>10088</v>
      </c>
      <c r="E1699" s="23">
        <v>42060</v>
      </c>
      <c r="F1699" s="118">
        <v>10088</v>
      </c>
      <c r="G1699" s="31">
        <f t="shared" si="26"/>
        <v>0</v>
      </c>
      <c r="H1699" s="62" t="s">
        <v>17</v>
      </c>
      <c r="K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</row>
    <row r="1700" spans="1:22" x14ac:dyDescent="0.25">
      <c r="A1700" s="20">
        <v>42053</v>
      </c>
      <c r="B1700" s="21">
        <v>12397</v>
      </c>
      <c r="C1700" s="14" t="s">
        <v>128</v>
      </c>
      <c r="D1700" s="105">
        <v>10784.8</v>
      </c>
      <c r="E1700" s="23">
        <v>42054</v>
      </c>
      <c r="F1700" s="118">
        <v>10784.8</v>
      </c>
      <c r="G1700" s="31">
        <f t="shared" si="26"/>
        <v>0</v>
      </c>
      <c r="H1700" s="62" t="s">
        <v>94</v>
      </c>
      <c r="K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</row>
    <row r="1701" spans="1:22" x14ac:dyDescent="0.25">
      <c r="A1701" s="20">
        <v>42053</v>
      </c>
      <c r="B1701" s="21">
        <v>12398</v>
      </c>
      <c r="C1701" s="14" t="s">
        <v>31</v>
      </c>
      <c r="D1701" s="105">
        <v>3192.4</v>
      </c>
      <c r="E1701" s="23">
        <v>42053</v>
      </c>
      <c r="F1701" s="118">
        <v>3192.4</v>
      </c>
      <c r="G1701" s="31">
        <f t="shared" si="26"/>
        <v>0</v>
      </c>
      <c r="H1701" s="62" t="s">
        <v>17</v>
      </c>
      <c r="K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</row>
    <row r="1702" spans="1:22" x14ac:dyDescent="0.25">
      <c r="A1702" s="20">
        <v>42053</v>
      </c>
      <c r="B1702" s="21">
        <v>12399</v>
      </c>
      <c r="C1702" s="14" t="s">
        <v>168</v>
      </c>
      <c r="D1702" s="105">
        <v>1914.9</v>
      </c>
      <c r="E1702" s="23">
        <v>42053</v>
      </c>
      <c r="F1702" s="118">
        <v>1914.9</v>
      </c>
      <c r="G1702" s="31">
        <f t="shared" si="26"/>
        <v>0</v>
      </c>
      <c r="H1702" s="62" t="s">
        <v>17</v>
      </c>
      <c r="K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</row>
    <row r="1703" spans="1:22" x14ac:dyDescent="0.25">
      <c r="A1703" s="20">
        <v>42053</v>
      </c>
      <c r="B1703" s="21">
        <v>12400</v>
      </c>
      <c r="C1703" s="14" t="s">
        <v>43</v>
      </c>
      <c r="D1703" s="105">
        <v>3116.4</v>
      </c>
      <c r="E1703" s="23">
        <v>42053</v>
      </c>
      <c r="F1703" s="118">
        <v>3116.4</v>
      </c>
      <c r="G1703" s="31">
        <f t="shared" si="26"/>
        <v>0</v>
      </c>
      <c r="H1703" s="62" t="s">
        <v>9</v>
      </c>
      <c r="K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</row>
    <row r="1704" spans="1:22" x14ac:dyDescent="0.25">
      <c r="A1704" s="20">
        <v>42053</v>
      </c>
      <c r="B1704" s="21">
        <v>12401</v>
      </c>
      <c r="C1704" s="14" t="s">
        <v>48</v>
      </c>
      <c r="D1704" s="105">
        <v>2424</v>
      </c>
      <c r="E1704" s="23">
        <v>42054</v>
      </c>
      <c r="F1704" s="118">
        <v>2424</v>
      </c>
      <c r="G1704" s="31">
        <f t="shared" si="26"/>
        <v>0</v>
      </c>
      <c r="H1704" s="62" t="s">
        <v>94</v>
      </c>
      <c r="J1704" s="107"/>
      <c r="K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</row>
    <row r="1705" spans="1:22" x14ac:dyDescent="0.25">
      <c r="A1705" s="20">
        <v>42053</v>
      </c>
      <c r="B1705" s="21">
        <v>12402</v>
      </c>
      <c r="C1705" s="14" t="s">
        <v>677</v>
      </c>
      <c r="D1705" s="105">
        <v>3600</v>
      </c>
      <c r="E1705" s="23">
        <v>42054</v>
      </c>
      <c r="F1705" s="118">
        <v>3600</v>
      </c>
      <c r="G1705" s="31">
        <f t="shared" si="26"/>
        <v>0</v>
      </c>
      <c r="H1705" s="62" t="s">
        <v>94</v>
      </c>
      <c r="K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</row>
    <row r="1706" spans="1:22" x14ac:dyDescent="0.25">
      <c r="A1706" s="20">
        <v>42053</v>
      </c>
      <c r="B1706" s="21">
        <v>12403</v>
      </c>
      <c r="C1706" s="14" t="s">
        <v>399</v>
      </c>
      <c r="D1706" s="105">
        <v>5489</v>
      </c>
      <c r="E1706" s="23">
        <v>42054</v>
      </c>
      <c r="F1706" s="118">
        <v>5489</v>
      </c>
      <c r="G1706" s="31">
        <f t="shared" si="26"/>
        <v>0</v>
      </c>
      <c r="H1706" s="62" t="s">
        <v>94</v>
      </c>
      <c r="K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</row>
    <row r="1707" spans="1:22" x14ac:dyDescent="0.25">
      <c r="A1707" s="20">
        <v>42053</v>
      </c>
      <c r="B1707" s="21">
        <v>12404</v>
      </c>
      <c r="C1707" s="14" t="s">
        <v>245</v>
      </c>
      <c r="D1707" s="105">
        <v>2786.94</v>
      </c>
      <c r="E1707" s="30" t="s">
        <v>678</v>
      </c>
      <c r="F1707" s="118">
        <v>2786.94</v>
      </c>
      <c r="G1707" s="31">
        <f t="shared" si="26"/>
        <v>0</v>
      </c>
      <c r="H1707" s="62" t="s">
        <v>9</v>
      </c>
      <c r="K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</row>
    <row r="1708" spans="1:22" x14ac:dyDescent="0.25">
      <c r="A1708" s="20">
        <v>42053</v>
      </c>
      <c r="B1708" s="21">
        <v>12405</v>
      </c>
      <c r="C1708" s="14" t="s">
        <v>89</v>
      </c>
      <c r="D1708" s="105">
        <v>2973.2</v>
      </c>
      <c r="E1708" s="23">
        <v>42053</v>
      </c>
      <c r="F1708" s="118">
        <v>2973.2</v>
      </c>
      <c r="G1708" s="31">
        <f t="shared" si="26"/>
        <v>0</v>
      </c>
      <c r="H1708" s="62" t="s">
        <v>9</v>
      </c>
      <c r="K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</row>
    <row r="1709" spans="1:22" x14ac:dyDescent="0.25">
      <c r="A1709" s="20">
        <v>42053</v>
      </c>
      <c r="B1709" s="21">
        <v>12406</v>
      </c>
      <c r="C1709" s="14" t="s">
        <v>140</v>
      </c>
      <c r="D1709" s="105">
        <v>7825.8</v>
      </c>
      <c r="E1709" s="23">
        <v>42054</v>
      </c>
      <c r="F1709" s="118">
        <v>7825.8</v>
      </c>
      <c r="G1709" s="31">
        <f t="shared" si="26"/>
        <v>0</v>
      </c>
      <c r="H1709" s="62" t="s">
        <v>94</v>
      </c>
      <c r="K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</row>
    <row r="1710" spans="1:22" x14ac:dyDescent="0.25">
      <c r="A1710" s="20">
        <v>42053</v>
      </c>
      <c r="B1710" s="21">
        <v>12407</v>
      </c>
      <c r="C1710" s="14" t="s">
        <v>190</v>
      </c>
      <c r="D1710" s="105">
        <v>4366</v>
      </c>
      <c r="E1710" s="23">
        <v>42054</v>
      </c>
      <c r="F1710" s="118">
        <v>4366</v>
      </c>
      <c r="G1710" s="31">
        <f t="shared" si="26"/>
        <v>0</v>
      </c>
      <c r="H1710" s="62" t="s">
        <v>94</v>
      </c>
      <c r="K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</row>
    <row r="1711" spans="1:22" x14ac:dyDescent="0.25">
      <c r="A1711" s="20">
        <v>42053</v>
      </c>
      <c r="B1711" s="21">
        <v>12408</v>
      </c>
      <c r="C1711" s="14" t="s">
        <v>95</v>
      </c>
      <c r="D1711" s="105">
        <v>1701</v>
      </c>
      <c r="E1711" s="23">
        <v>42054</v>
      </c>
      <c r="F1711" s="118">
        <v>1701</v>
      </c>
      <c r="G1711" s="31">
        <f t="shared" si="26"/>
        <v>0</v>
      </c>
      <c r="H1711" s="62" t="s">
        <v>94</v>
      </c>
      <c r="K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</row>
    <row r="1712" spans="1:22" x14ac:dyDescent="0.25">
      <c r="A1712" s="20">
        <v>42053</v>
      </c>
      <c r="B1712" s="21">
        <v>12409</v>
      </c>
      <c r="C1712" s="14" t="s">
        <v>104</v>
      </c>
      <c r="D1712" s="105">
        <v>3366.8</v>
      </c>
      <c r="E1712" s="23">
        <v>42054</v>
      </c>
      <c r="F1712" s="118">
        <v>3366.8</v>
      </c>
      <c r="G1712" s="31">
        <f t="shared" si="26"/>
        <v>0</v>
      </c>
      <c r="H1712" s="62" t="s">
        <v>94</v>
      </c>
      <c r="K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</row>
    <row r="1713" spans="1:22" x14ac:dyDescent="0.25">
      <c r="A1713" s="20">
        <v>42053</v>
      </c>
      <c r="B1713" s="21">
        <v>12410</v>
      </c>
      <c r="C1713" s="14" t="s">
        <v>213</v>
      </c>
      <c r="D1713" s="105">
        <v>7048.8</v>
      </c>
      <c r="E1713" s="23">
        <v>42055</v>
      </c>
      <c r="F1713" s="118">
        <v>7048.8</v>
      </c>
      <c r="G1713" s="31">
        <f t="shared" si="26"/>
        <v>0</v>
      </c>
      <c r="H1713" s="62" t="s">
        <v>94</v>
      </c>
      <c r="K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</row>
    <row r="1714" spans="1:22" x14ac:dyDescent="0.25">
      <c r="A1714" s="20">
        <v>42053</v>
      </c>
      <c r="B1714" s="21">
        <v>12411</v>
      </c>
      <c r="C1714" s="14" t="s">
        <v>24</v>
      </c>
      <c r="D1714" s="105">
        <v>99330</v>
      </c>
      <c r="E1714" s="23">
        <v>42063</v>
      </c>
      <c r="F1714" s="118">
        <v>99330</v>
      </c>
      <c r="G1714" s="31">
        <f t="shared" si="26"/>
        <v>0</v>
      </c>
      <c r="H1714" s="62" t="s">
        <v>183</v>
      </c>
      <c r="I1714" s="3"/>
      <c r="J1714" s="42"/>
      <c r="K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</row>
    <row r="1715" spans="1:22" x14ac:dyDescent="0.25">
      <c r="A1715" s="20">
        <v>42053</v>
      </c>
      <c r="B1715" s="21">
        <v>12412</v>
      </c>
      <c r="C1715" s="14" t="s">
        <v>87</v>
      </c>
      <c r="D1715" s="105">
        <v>998.8</v>
      </c>
      <c r="E1715" s="23">
        <v>42053</v>
      </c>
      <c r="F1715" s="118">
        <v>998.8</v>
      </c>
      <c r="G1715" s="31">
        <f t="shared" si="26"/>
        <v>0</v>
      </c>
      <c r="H1715" s="62" t="s">
        <v>9</v>
      </c>
      <c r="I1715" s="3"/>
      <c r="J1715" s="42"/>
      <c r="K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</row>
    <row r="1716" spans="1:22" x14ac:dyDescent="0.25">
      <c r="A1716" s="20">
        <v>42053</v>
      </c>
      <c r="B1716" s="21">
        <v>12413</v>
      </c>
      <c r="C1716" s="14" t="s">
        <v>136</v>
      </c>
      <c r="D1716" s="105">
        <v>13164.6</v>
      </c>
      <c r="E1716" s="23">
        <v>42054</v>
      </c>
      <c r="F1716" s="118">
        <v>13164.6</v>
      </c>
      <c r="G1716" s="31">
        <f t="shared" si="26"/>
        <v>0</v>
      </c>
      <c r="H1716" s="62" t="s">
        <v>9</v>
      </c>
      <c r="I1716" s="3"/>
      <c r="J1716" s="42"/>
      <c r="K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</row>
    <row r="1717" spans="1:22" x14ac:dyDescent="0.25">
      <c r="A1717" s="20">
        <v>42053</v>
      </c>
      <c r="B1717" s="21">
        <v>12414</v>
      </c>
      <c r="C1717" s="14" t="s">
        <v>78</v>
      </c>
      <c r="D1717" s="105">
        <v>6145.6</v>
      </c>
      <c r="E1717" s="23">
        <v>42054</v>
      </c>
      <c r="F1717" s="118">
        <v>6145.6</v>
      </c>
      <c r="G1717" s="31">
        <f t="shared" si="26"/>
        <v>0</v>
      </c>
      <c r="H1717" s="62" t="s">
        <v>62</v>
      </c>
      <c r="I1717" s="3"/>
      <c r="J1717" s="42"/>
      <c r="K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</row>
    <row r="1718" spans="1:22" x14ac:dyDescent="0.25">
      <c r="A1718" s="20">
        <v>42053</v>
      </c>
      <c r="B1718" s="21">
        <v>12415</v>
      </c>
      <c r="C1718" s="14" t="s">
        <v>67</v>
      </c>
      <c r="D1718" s="105">
        <v>3184.4</v>
      </c>
      <c r="E1718" s="23">
        <v>42054</v>
      </c>
      <c r="F1718" s="118">
        <v>3184.4</v>
      </c>
      <c r="G1718" s="31">
        <f t="shared" si="26"/>
        <v>0</v>
      </c>
      <c r="H1718" s="62" t="s">
        <v>62</v>
      </c>
      <c r="I1718" s="3"/>
      <c r="J1718" s="42"/>
      <c r="K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</row>
    <row r="1719" spans="1:22" x14ac:dyDescent="0.25">
      <c r="A1719" s="20">
        <v>42053</v>
      </c>
      <c r="B1719" s="21">
        <v>12416</v>
      </c>
      <c r="C1719" s="14" t="s">
        <v>268</v>
      </c>
      <c r="D1719" s="105">
        <v>6742.8</v>
      </c>
      <c r="E1719" s="23">
        <v>42054</v>
      </c>
      <c r="F1719" s="118">
        <v>6742.8</v>
      </c>
      <c r="G1719" s="31">
        <f t="shared" si="26"/>
        <v>0</v>
      </c>
      <c r="H1719" s="62" t="s">
        <v>62</v>
      </c>
      <c r="I1719" s="3"/>
      <c r="J1719" s="42"/>
      <c r="K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</row>
    <row r="1720" spans="1:22" x14ac:dyDescent="0.25">
      <c r="A1720" s="20">
        <v>42053</v>
      </c>
      <c r="B1720" s="21">
        <v>12417</v>
      </c>
      <c r="C1720" s="14" t="s">
        <v>37</v>
      </c>
      <c r="D1720" s="105">
        <v>42649.62</v>
      </c>
      <c r="E1720" s="23">
        <v>42063</v>
      </c>
      <c r="F1720" s="118">
        <v>42649.62</v>
      </c>
      <c r="G1720" s="31">
        <f t="shared" si="26"/>
        <v>0</v>
      </c>
      <c r="H1720" s="62" t="s">
        <v>36</v>
      </c>
      <c r="I1720" s="3"/>
      <c r="J1720" s="42"/>
      <c r="K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</row>
    <row r="1721" spans="1:22" x14ac:dyDescent="0.25">
      <c r="A1721" s="20">
        <v>42053</v>
      </c>
      <c r="B1721" s="21">
        <v>12418</v>
      </c>
      <c r="C1721" s="14" t="s">
        <v>65</v>
      </c>
      <c r="D1721" s="105">
        <v>15792.8</v>
      </c>
      <c r="E1721" s="23">
        <v>42054</v>
      </c>
      <c r="F1721" s="118">
        <v>15792.8</v>
      </c>
      <c r="G1721" s="31">
        <f t="shared" si="26"/>
        <v>0</v>
      </c>
      <c r="H1721" s="62" t="s">
        <v>62</v>
      </c>
      <c r="I1721" s="3"/>
      <c r="J1721" s="42"/>
      <c r="K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</row>
    <row r="1722" spans="1:22" x14ac:dyDescent="0.25">
      <c r="A1722" s="20">
        <v>42053</v>
      </c>
      <c r="B1722" s="21">
        <v>12419</v>
      </c>
      <c r="C1722" s="14" t="s">
        <v>75</v>
      </c>
      <c r="D1722" s="105">
        <v>18279.8</v>
      </c>
      <c r="E1722" s="23">
        <v>42054</v>
      </c>
      <c r="F1722" s="118">
        <v>18279.8</v>
      </c>
      <c r="G1722" s="31">
        <f t="shared" si="26"/>
        <v>0</v>
      </c>
      <c r="H1722" s="62" t="s">
        <v>62</v>
      </c>
      <c r="I1722" s="3"/>
      <c r="J1722" s="42"/>
      <c r="K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</row>
    <row r="1723" spans="1:22" x14ac:dyDescent="0.25">
      <c r="A1723" s="20">
        <v>42053</v>
      </c>
      <c r="B1723" s="21">
        <v>12420</v>
      </c>
      <c r="C1723" s="14" t="s">
        <v>60</v>
      </c>
      <c r="D1723" s="105">
        <v>5637.6</v>
      </c>
      <c r="E1723" s="23">
        <v>42055</v>
      </c>
      <c r="F1723" s="118">
        <v>5637.6</v>
      </c>
      <c r="G1723" s="31">
        <f t="shared" si="26"/>
        <v>0</v>
      </c>
      <c r="H1723" s="62" t="s">
        <v>36</v>
      </c>
      <c r="I1723" s="3"/>
      <c r="J1723" s="42"/>
      <c r="K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</row>
    <row r="1724" spans="1:22" x14ac:dyDescent="0.25">
      <c r="A1724" s="20">
        <v>42053</v>
      </c>
      <c r="B1724" s="21">
        <v>12421</v>
      </c>
      <c r="C1724" s="14" t="s">
        <v>170</v>
      </c>
      <c r="D1724" s="105">
        <v>5633.4</v>
      </c>
      <c r="E1724" s="23">
        <v>42054</v>
      </c>
      <c r="F1724" s="118">
        <v>5633.4</v>
      </c>
      <c r="G1724" s="31">
        <f t="shared" si="26"/>
        <v>0</v>
      </c>
      <c r="H1724" s="62" t="s">
        <v>62</v>
      </c>
      <c r="I1724" s="3"/>
      <c r="J1724" s="42"/>
      <c r="K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</row>
    <row r="1725" spans="1:22" x14ac:dyDescent="0.25">
      <c r="A1725" s="20">
        <v>42053</v>
      </c>
      <c r="B1725" s="21">
        <v>12422</v>
      </c>
      <c r="C1725" s="14" t="s">
        <v>178</v>
      </c>
      <c r="D1725" s="105">
        <v>15103</v>
      </c>
      <c r="E1725" s="23">
        <v>42054</v>
      </c>
      <c r="F1725" s="118">
        <v>15103</v>
      </c>
      <c r="G1725" s="31">
        <f t="shared" si="26"/>
        <v>0</v>
      </c>
      <c r="H1725" s="62" t="s">
        <v>62</v>
      </c>
      <c r="I1725" s="3"/>
      <c r="J1725" s="42"/>
      <c r="K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</row>
    <row r="1726" spans="1:22" x14ac:dyDescent="0.25">
      <c r="A1726" s="20">
        <v>42053</v>
      </c>
      <c r="B1726" s="21">
        <v>12423</v>
      </c>
      <c r="C1726" s="14" t="s">
        <v>56</v>
      </c>
      <c r="D1726" s="105">
        <v>12283</v>
      </c>
      <c r="E1726" s="23">
        <v>42055</v>
      </c>
      <c r="F1726" s="118">
        <v>12283</v>
      </c>
      <c r="G1726" s="31">
        <f t="shared" si="26"/>
        <v>0</v>
      </c>
      <c r="H1726" s="62" t="s">
        <v>36</v>
      </c>
      <c r="I1726" s="3"/>
      <c r="J1726" s="42"/>
      <c r="K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</row>
    <row r="1727" spans="1:22" x14ac:dyDescent="0.25">
      <c r="A1727" s="20">
        <v>42053</v>
      </c>
      <c r="B1727" s="21">
        <v>12424</v>
      </c>
      <c r="C1727" s="14" t="s">
        <v>367</v>
      </c>
      <c r="D1727" s="105">
        <v>53595.72</v>
      </c>
      <c r="E1727" s="23">
        <v>42063</v>
      </c>
      <c r="F1727" s="118">
        <v>53595.72</v>
      </c>
      <c r="G1727" s="31">
        <f t="shared" si="26"/>
        <v>0</v>
      </c>
      <c r="H1727" s="62" t="s">
        <v>19</v>
      </c>
      <c r="I1727" s="3"/>
      <c r="J1727" s="42"/>
      <c r="K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</row>
    <row r="1728" spans="1:22" x14ac:dyDescent="0.25">
      <c r="A1728" s="20">
        <v>42053</v>
      </c>
      <c r="B1728" s="21">
        <v>12425</v>
      </c>
      <c r="C1728" s="14" t="s">
        <v>64</v>
      </c>
      <c r="D1728" s="105">
        <v>1565.6</v>
      </c>
      <c r="E1728" s="23">
        <v>42053</v>
      </c>
      <c r="F1728" s="118">
        <v>1565.6</v>
      </c>
      <c r="G1728" s="31">
        <f t="shared" si="26"/>
        <v>0</v>
      </c>
      <c r="H1728" s="62" t="s">
        <v>9</v>
      </c>
      <c r="I1728" s="3"/>
      <c r="J1728" s="42"/>
      <c r="K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</row>
    <row r="1729" spans="1:22" x14ac:dyDescent="0.25">
      <c r="A1729" s="20">
        <v>42053</v>
      </c>
      <c r="B1729" s="21">
        <v>12426</v>
      </c>
      <c r="C1729" s="14" t="s">
        <v>136</v>
      </c>
      <c r="D1729" s="105">
        <v>3248.6</v>
      </c>
      <c r="E1729" s="23">
        <v>42053</v>
      </c>
      <c r="F1729" s="118">
        <v>3248.6</v>
      </c>
      <c r="G1729" s="31">
        <f t="shared" si="26"/>
        <v>0</v>
      </c>
      <c r="H1729" s="62" t="s">
        <v>9</v>
      </c>
      <c r="I1729" s="3"/>
      <c r="J1729" s="42"/>
      <c r="K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</row>
    <row r="1730" spans="1:22" x14ac:dyDescent="0.25">
      <c r="A1730" s="20">
        <v>42053</v>
      </c>
      <c r="B1730" s="21">
        <v>12427</v>
      </c>
      <c r="C1730" s="14" t="s">
        <v>143</v>
      </c>
      <c r="D1730" s="105">
        <v>12910</v>
      </c>
      <c r="E1730" s="23">
        <v>42059</v>
      </c>
      <c r="F1730" s="118">
        <v>12910</v>
      </c>
      <c r="G1730" s="31">
        <f t="shared" si="26"/>
        <v>0</v>
      </c>
      <c r="H1730" s="62" t="s">
        <v>187</v>
      </c>
      <c r="K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</row>
    <row r="1731" spans="1:22" x14ac:dyDescent="0.25">
      <c r="A1731" s="20">
        <v>42053</v>
      </c>
      <c r="B1731" s="21">
        <v>12428</v>
      </c>
      <c r="C1731" s="14" t="s">
        <v>118</v>
      </c>
      <c r="D1731" s="105">
        <v>14920</v>
      </c>
      <c r="E1731" s="23">
        <v>42060</v>
      </c>
      <c r="F1731" s="118">
        <v>14920</v>
      </c>
      <c r="G1731" s="31">
        <f t="shared" ref="G1731:G1794" si="27">D1731-F1731</f>
        <v>0</v>
      </c>
      <c r="H1731" s="62" t="s">
        <v>187</v>
      </c>
      <c r="K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</row>
    <row r="1732" spans="1:22" x14ac:dyDescent="0.25">
      <c r="A1732" s="20">
        <v>42053</v>
      </c>
      <c r="B1732" s="21">
        <v>12429</v>
      </c>
      <c r="C1732" s="14" t="s">
        <v>122</v>
      </c>
      <c r="D1732" s="105">
        <v>33950</v>
      </c>
      <c r="E1732" s="23">
        <v>42053</v>
      </c>
      <c r="F1732" s="118">
        <v>33950</v>
      </c>
      <c r="G1732" s="31">
        <f t="shared" si="27"/>
        <v>0</v>
      </c>
      <c r="H1732" s="62" t="s">
        <v>9</v>
      </c>
      <c r="K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</row>
    <row r="1733" spans="1:22" x14ac:dyDescent="0.25">
      <c r="A1733" s="20">
        <v>42053</v>
      </c>
      <c r="B1733" s="21">
        <v>12430</v>
      </c>
      <c r="C1733" s="14" t="s">
        <v>400</v>
      </c>
      <c r="D1733" s="105">
        <v>3286</v>
      </c>
      <c r="E1733" s="23">
        <v>42053</v>
      </c>
      <c r="F1733" s="118">
        <v>3286</v>
      </c>
      <c r="G1733" s="31">
        <f t="shared" si="27"/>
        <v>0</v>
      </c>
      <c r="H1733" s="62" t="s">
        <v>9</v>
      </c>
      <c r="K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</row>
    <row r="1734" spans="1:22" x14ac:dyDescent="0.25">
      <c r="A1734" s="20">
        <v>42053</v>
      </c>
      <c r="B1734" s="21">
        <v>12431</v>
      </c>
      <c r="C1734" s="14" t="s">
        <v>571</v>
      </c>
      <c r="D1734" s="105">
        <v>32724.6</v>
      </c>
      <c r="E1734" s="23">
        <v>42053</v>
      </c>
      <c r="F1734" s="118">
        <v>32724.6</v>
      </c>
      <c r="G1734" s="31">
        <f t="shared" si="27"/>
        <v>0</v>
      </c>
      <c r="H1734" s="62" t="s">
        <v>187</v>
      </c>
      <c r="K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</row>
    <row r="1735" spans="1:22" x14ac:dyDescent="0.25">
      <c r="A1735" s="20">
        <v>42053</v>
      </c>
      <c r="B1735" s="21">
        <v>12432</v>
      </c>
      <c r="C1735" s="14" t="s">
        <v>651</v>
      </c>
      <c r="D1735" s="105">
        <v>28923.200000000001</v>
      </c>
      <c r="E1735" s="23">
        <v>42054</v>
      </c>
      <c r="F1735" s="118">
        <v>28923.200000000001</v>
      </c>
      <c r="G1735" s="31">
        <f t="shared" si="27"/>
        <v>0</v>
      </c>
      <c r="H1735" s="62" t="s">
        <v>19</v>
      </c>
      <c r="K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</row>
    <row r="1736" spans="1:22" x14ac:dyDescent="0.25">
      <c r="A1736" s="20">
        <v>42053</v>
      </c>
      <c r="B1736" s="21">
        <v>12433</v>
      </c>
      <c r="C1736" s="14" t="s">
        <v>24</v>
      </c>
      <c r="D1736" s="105">
        <v>124693.92</v>
      </c>
      <c r="E1736" s="23">
        <v>42063</v>
      </c>
      <c r="F1736" s="118">
        <v>124693.92</v>
      </c>
      <c r="G1736" s="31">
        <f t="shared" si="27"/>
        <v>0</v>
      </c>
      <c r="H1736" s="62" t="s">
        <v>46</v>
      </c>
      <c r="K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</row>
    <row r="1737" spans="1:22" x14ac:dyDescent="0.25">
      <c r="A1737" s="20">
        <v>42053</v>
      </c>
      <c r="B1737" s="21">
        <v>12434</v>
      </c>
      <c r="C1737" s="14" t="s">
        <v>80</v>
      </c>
      <c r="D1737" s="105">
        <v>8128</v>
      </c>
      <c r="E1737" s="23">
        <v>42053</v>
      </c>
      <c r="F1737" s="118">
        <f>812.8+7315.2</f>
        <v>8128</v>
      </c>
      <c r="G1737" s="31">
        <f t="shared" si="27"/>
        <v>0</v>
      </c>
      <c r="H1737" s="62" t="s">
        <v>9</v>
      </c>
      <c r="K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</row>
    <row r="1738" spans="1:22" x14ac:dyDescent="0.25">
      <c r="A1738" s="20">
        <v>42053</v>
      </c>
      <c r="B1738" s="21">
        <v>12435</v>
      </c>
      <c r="C1738" s="14" t="s">
        <v>426</v>
      </c>
      <c r="D1738" s="105">
        <v>7280</v>
      </c>
      <c r="E1738" s="23">
        <v>42053</v>
      </c>
      <c r="F1738" s="118">
        <v>7280</v>
      </c>
      <c r="G1738" s="31">
        <f t="shared" si="27"/>
        <v>0</v>
      </c>
      <c r="H1738" s="62" t="s">
        <v>9</v>
      </c>
      <c r="K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</row>
    <row r="1739" spans="1:22" x14ac:dyDescent="0.25">
      <c r="A1739" s="20">
        <v>42053</v>
      </c>
      <c r="B1739" s="21">
        <v>12436</v>
      </c>
      <c r="C1739" s="14" t="s">
        <v>24</v>
      </c>
      <c r="D1739" s="105">
        <v>43549.1</v>
      </c>
      <c r="E1739" s="30" t="s">
        <v>770</v>
      </c>
      <c r="F1739" s="145">
        <f>36079.12+7469.98</f>
        <v>43549.100000000006</v>
      </c>
      <c r="G1739" s="31">
        <f t="shared" si="27"/>
        <v>0</v>
      </c>
      <c r="H1739" s="62" t="s">
        <v>187</v>
      </c>
      <c r="K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</row>
    <row r="1740" spans="1:22" x14ac:dyDescent="0.25">
      <c r="A1740" s="20">
        <v>42053</v>
      </c>
      <c r="B1740" s="21">
        <v>12437</v>
      </c>
      <c r="C1740" s="14" t="s">
        <v>152</v>
      </c>
      <c r="D1740" s="105">
        <v>10419</v>
      </c>
      <c r="E1740" s="23">
        <v>42054</v>
      </c>
      <c r="F1740" s="118">
        <v>10419</v>
      </c>
      <c r="G1740" s="31">
        <f t="shared" si="27"/>
        <v>0</v>
      </c>
      <c r="H1740" s="62" t="s">
        <v>312</v>
      </c>
      <c r="K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</row>
    <row r="1741" spans="1:22" x14ac:dyDescent="0.25">
      <c r="A1741" s="20">
        <v>42053</v>
      </c>
      <c r="B1741" s="21">
        <v>12438</v>
      </c>
      <c r="C1741" s="14" t="s">
        <v>426</v>
      </c>
      <c r="D1741" s="105">
        <v>2132</v>
      </c>
      <c r="E1741" s="23">
        <v>42053</v>
      </c>
      <c r="F1741" s="118">
        <v>2132</v>
      </c>
      <c r="G1741" s="31">
        <f t="shared" si="27"/>
        <v>0</v>
      </c>
      <c r="H1741" s="62" t="s">
        <v>9</v>
      </c>
      <c r="K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</row>
    <row r="1742" spans="1:22" x14ac:dyDescent="0.25">
      <c r="A1742" s="20">
        <v>42053</v>
      </c>
      <c r="B1742" s="21">
        <v>12439</v>
      </c>
      <c r="C1742" s="14" t="s">
        <v>286</v>
      </c>
      <c r="D1742" s="105">
        <v>355</v>
      </c>
      <c r="E1742" s="23">
        <v>42053</v>
      </c>
      <c r="F1742" s="118">
        <v>355</v>
      </c>
      <c r="G1742" s="31">
        <f t="shared" si="27"/>
        <v>0</v>
      </c>
      <c r="H1742" s="62" t="s">
        <v>9</v>
      </c>
      <c r="K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</row>
    <row r="1743" spans="1:22" x14ac:dyDescent="0.25">
      <c r="A1743" s="20">
        <v>42054</v>
      </c>
      <c r="B1743" s="21">
        <v>12440</v>
      </c>
      <c r="C1743" s="14" t="s">
        <v>112</v>
      </c>
      <c r="D1743" s="105">
        <v>7536</v>
      </c>
      <c r="E1743" s="23">
        <v>42054</v>
      </c>
      <c r="F1743" s="118">
        <v>7536</v>
      </c>
      <c r="G1743" s="31">
        <f t="shared" si="27"/>
        <v>0</v>
      </c>
      <c r="H1743" s="62" t="s">
        <v>62</v>
      </c>
      <c r="K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</row>
    <row r="1744" spans="1:22" x14ac:dyDescent="0.25">
      <c r="A1744" s="20">
        <v>42054</v>
      </c>
      <c r="B1744" s="21">
        <v>12441</v>
      </c>
      <c r="C1744" s="14" t="s">
        <v>555</v>
      </c>
      <c r="D1744" s="105">
        <v>76596.679999999993</v>
      </c>
      <c r="E1744" s="23">
        <v>42055</v>
      </c>
      <c r="F1744" s="118">
        <v>76596.679999999993</v>
      </c>
      <c r="G1744" s="31">
        <f t="shared" si="27"/>
        <v>0</v>
      </c>
      <c r="H1744" s="62" t="s">
        <v>9</v>
      </c>
      <c r="K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</row>
    <row r="1745" spans="1:22" x14ac:dyDescent="0.25">
      <c r="A1745" s="20">
        <v>42054</v>
      </c>
      <c r="B1745" s="21">
        <v>12442</v>
      </c>
      <c r="C1745" s="14" t="s">
        <v>14</v>
      </c>
      <c r="D1745" s="105">
        <v>22769.5</v>
      </c>
      <c r="E1745" s="23">
        <v>42062</v>
      </c>
      <c r="F1745" s="118">
        <v>22769.5</v>
      </c>
      <c r="G1745" s="31">
        <f t="shared" si="27"/>
        <v>0</v>
      </c>
      <c r="H1745" s="62" t="s">
        <v>15</v>
      </c>
      <c r="J1745" s="107"/>
      <c r="K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</row>
    <row r="1746" spans="1:22" x14ac:dyDescent="0.25">
      <c r="A1746" s="20">
        <v>42054</v>
      </c>
      <c r="B1746" s="21">
        <v>12443</v>
      </c>
      <c r="C1746" s="14" t="s">
        <v>16</v>
      </c>
      <c r="D1746" s="105">
        <v>7756.8</v>
      </c>
      <c r="E1746" s="23">
        <v>42054</v>
      </c>
      <c r="F1746" s="118">
        <v>7756.8</v>
      </c>
      <c r="G1746" s="31">
        <f t="shared" si="27"/>
        <v>0</v>
      </c>
      <c r="H1746" s="62" t="s">
        <v>17</v>
      </c>
      <c r="J1746" s="107"/>
      <c r="K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</row>
    <row r="1747" spans="1:22" x14ac:dyDescent="0.25">
      <c r="A1747" s="20">
        <v>42054</v>
      </c>
      <c r="B1747" s="21">
        <v>12444</v>
      </c>
      <c r="C1747" s="110">
        <v>105</v>
      </c>
      <c r="D1747" s="105">
        <v>540</v>
      </c>
      <c r="E1747" s="23">
        <v>42055</v>
      </c>
      <c r="F1747" s="118">
        <v>540</v>
      </c>
      <c r="G1747" s="31">
        <f t="shared" si="27"/>
        <v>0</v>
      </c>
      <c r="H1747" s="62" t="s">
        <v>59</v>
      </c>
      <c r="K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</row>
    <row r="1748" spans="1:22" x14ac:dyDescent="0.25">
      <c r="A1748" s="20">
        <v>42054</v>
      </c>
      <c r="B1748" s="21">
        <v>12445</v>
      </c>
      <c r="C1748" s="14" t="s">
        <v>214</v>
      </c>
      <c r="D1748" s="105">
        <v>900</v>
      </c>
      <c r="E1748" s="23">
        <v>42055</v>
      </c>
      <c r="F1748" s="118">
        <v>900</v>
      </c>
      <c r="G1748" s="31">
        <f t="shared" si="27"/>
        <v>0</v>
      </c>
      <c r="H1748" s="62" t="s">
        <v>59</v>
      </c>
      <c r="K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</row>
    <row r="1749" spans="1:22" x14ac:dyDescent="0.25">
      <c r="A1749" s="20">
        <v>42054</v>
      </c>
      <c r="B1749" s="21">
        <v>12446</v>
      </c>
      <c r="C1749" s="14" t="s">
        <v>103</v>
      </c>
      <c r="D1749" s="105">
        <v>25673.61</v>
      </c>
      <c r="E1749" s="23">
        <v>42055</v>
      </c>
      <c r="F1749" s="118">
        <v>25673.61</v>
      </c>
      <c r="G1749" s="31">
        <f t="shared" si="27"/>
        <v>0</v>
      </c>
      <c r="H1749" s="62" t="s">
        <v>19</v>
      </c>
      <c r="K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</row>
    <row r="1750" spans="1:22" x14ac:dyDescent="0.25">
      <c r="A1750" s="20">
        <v>42054</v>
      </c>
      <c r="B1750" s="21">
        <v>12447</v>
      </c>
      <c r="C1750" s="14" t="s">
        <v>679</v>
      </c>
      <c r="D1750" s="105">
        <v>21858.6</v>
      </c>
      <c r="E1750" s="23">
        <v>42054</v>
      </c>
      <c r="F1750" s="118">
        <v>21858.6</v>
      </c>
      <c r="G1750" s="31">
        <f t="shared" si="27"/>
        <v>0</v>
      </c>
      <c r="H1750" s="62" t="s">
        <v>149</v>
      </c>
      <c r="K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</row>
    <row r="1751" spans="1:22" x14ac:dyDescent="0.25">
      <c r="A1751" s="20">
        <v>42054</v>
      </c>
      <c r="B1751" s="21">
        <v>12448</v>
      </c>
      <c r="C1751" s="14" t="s">
        <v>20</v>
      </c>
      <c r="D1751" s="105">
        <v>30629.85</v>
      </c>
      <c r="E1751" s="29" t="s">
        <v>680</v>
      </c>
      <c r="F1751" s="118">
        <f>29000+1629.85</f>
        <v>30629.85</v>
      </c>
      <c r="G1751" s="31">
        <f t="shared" si="27"/>
        <v>0</v>
      </c>
      <c r="H1751" s="62" t="s">
        <v>94</v>
      </c>
      <c r="K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</row>
    <row r="1752" spans="1:22" x14ac:dyDescent="0.25">
      <c r="A1752" s="20">
        <v>42054</v>
      </c>
      <c r="B1752" s="21">
        <v>12449</v>
      </c>
      <c r="C1752" s="14" t="s">
        <v>49</v>
      </c>
      <c r="D1752" s="105">
        <v>2081.8000000000002</v>
      </c>
      <c r="E1752" s="51">
        <v>42054</v>
      </c>
      <c r="F1752" s="118">
        <v>2081.8000000000002</v>
      </c>
      <c r="G1752" s="31">
        <f t="shared" si="27"/>
        <v>0</v>
      </c>
      <c r="H1752" s="62" t="s">
        <v>94</v>
      </c>
      <c r="K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</row>
    <row r="1753" spans="1:22" x14ac:dyDescent="0.25">
      <c r="A1753" s="20">
        <v>42054</v>
      </c>
      <c r="B1753" s="21">
        <v>12450</v>
      </c>
      <c r="C1753" s="26" t="s">
        <v>12</v>
      </c>
      <c r="D1753" s="108">
        <v>0</v>
      </c>
      <c r="E1753" s="23"/>
      <c r="F1753" s="118"/>
      <c r="G1753" s="31">
        <f t="shared" si="27"/>
        <v>0</v>
      </c>
      <c r="H1753" s="62" t="s">
        <v>13</v>
      </c>
      <c r="K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</row>
    <row r="1754" spans="1:22" x14ac:dyDescent="0.25">
      <c r="A1754" s="20">
        <v>42054</v>
      </c>
      <c r="B1754" s="21">
        <v>12451</v>
      </c>
      <c r="C1754" s="14" t="s">
        <v>249</v>
      </c>
      <c r="D1754" s="105">
        <v>4626</v>
      </c>
      <c r="E1754" s="30" t="s">
        <v>942</v>
      </c>
      <c r="F1754" s="145">
        <f>3600+1026</f>
        <v>4626</v>
      </c>
      <c r="G1754" s="31">
        <f t="shared" si="27"/>
        <v>0</v>
      </c>
      <c r="H1754" s="62" t="s">
        <v>94</v>
      </c>
      <c r="K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</row>
    <row r="1755" spans="1:22" x14ac:dyDescent="0.25">
      <c r="A1755" s="20">
        <v>42054</v>
      </c>
      <c r="B1755" s="21">
        <v>12452</v>
      </c>
      <c r="C1755" s="14" t="s">
        <v>148</v>
      </c>
      <c r="D1755" s="105">
        <v>3232</v>
      </c>
      <c r="E1755" s="23">
        <v>42055</v>
      </c>
      <c r="F1755" s="118">
        <v>3232</v>
      </c>
      <c r="G1755" s="31">
        <f t="shared" si="27"/>
        <v>0</v>
      </c>
      <c r="H1755" s="62" t="s">
        <v>9</v>
      </c>
      <c r="K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</row>
    <row r="1756" spans="1:22" x14ac:dyDescent="0.25">
      <c r="A1756" s="20">
        <v>42054</v>
      </c>
      <c r="B1756" s="21">
        <v>12453</v>
      </c>
      <c r="C1756" s="14" t="s">
        <v>375</v>
      </c>
      <c r="D1756" s="105">
        <v>8849.0499999999993</v>
      </c>
      <c r="E1756" s="23">
        <v>42054</v>
      </c>
      <c r="F1756" s="118">
        <v>8849.0499999999993</v>
      </c>
      <c r="G1756" s="31">
        <f t="shared" si="27"/>
        <v>0</v>
      </c>
      <c r="H1756" s="62" t="s">
        <v>9</v>
      </c>
      <c r="K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</row>
    <row r="1757" spans="1:22" x14ac:dyDescent="0.25">
      <c r="A1757" s="20">
        <v>42054</v>
      </c>
      <c r="B1757" s="21">
        <v>12454</v>
      </c>
      <c r="C1757" s="14" t="s">
        <v>100</v>
      </c>
      <c r="D1757" s="105">
        <v>5373.4</v>
      </c>
      <c r="E1757" s="51">
        <v>42054</v>
      </c>
      <c r="F1757" s="118">
        <v>5373.4</v>
      </c>
      <c r="G1757" s="31">
        <f t="shared" si="27"/>
        <v>0</v>
      </c>
      <c r="H1757" s="62" t="s">
        <v>62</v>
      </c>
      <c r="K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</row>
    <row r="1758" spans="1:22" x14ac:dyDescent="0.25">
      <c r="A1758" s="20">
        <v>42054</v>
      </c>
      <c r="B1758" s="21">
        <v>12455</v>
      </c>
      <c r="C1758" s="14" t="s">
        <v>406</v>
      </c>
      <c r="D1758" s="105">
        <v>12944.4</v>
      </c>
      <c r="E1758" s="23">
        <v>42055</v>
      </c>
      <c r="F1758" s="118">
        <v>12944.4</v>
      </c>
      <c r="G1758" s="31">
        <f t="shared" si="27"/>
        <v>0</v>
      </c>
      <c r="H1758" s="62" t="s">
        <v>36</v>
      </c>
      <c r="K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</row>
    <row r="1759" spans="1:22" x14ac:dyDescent="0.25">
      <c r="A1759" s="20">
        <v>42054</v>
      </c>
      <c r="B1759" s="21">
        <v>12456</v>
      </c>
      <c r="C1759" s="14" t="s">
        <v>185</v>
      </c>
      <c r="D1759" s="105">
        <v>104000</v>
      </c>
      <c r="E1759" s="23">
        <v>42054</v>
      </c>
      <c r="F1759" s="118">
        <v>104000</v>
      </c>
      <c r="G1759" s="31">
        <f t="shared" si="27"/>
        <v>0</v>
      </c>
      <c r="H1759" s="62" t="s">
        <v>149</v>
      </c>
      <c r="K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</row>
    <row r="1760" spans="1:22" x14ac:dyDescent="0.25">
      <c r="A1760" s="20">
        <v>42054</v>
      </c>
      <c r="B1760" s="21">
        <v>12457</v>
      </c>
      <c r="C1760" s="14" t="s">
        <v>57</v>
      </c>
      <c r="D1760" s="105">
        <v>540</v>
      </c>
      <c r="E1760" s="23">
        <v>42055</v>
      </c>
      <c r="F1760" s="118">
        <v>540</v>
      </c>
      <c r="G1760" s="31">
        <f t="shared" si="27"/>
        <v>0</v>
      </c>
      <c r="H1760" s="62" t="s">
        <v>9</v>
      </c>
      <c r="K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</row>
    <row r="1761" spans="1:22" x14ac:dyDescent="0.25">
      <c r="A1761" s="20">
        <v>42054</v>
      </c>
      <c r="B1761" s="21">
        <v>12458</v>
      </c>
      <c r="C1761" s="14" t="s">
        <v>114</v>
      </c>
      <c r="D1761" s="105">
        <v>1107.5999999999999</v>
      </c>
      <c r="E1761" s="23">
        <v>42054</v>
      </c>
      <c r="F1761" s="118">
        <v>1107.5999999999999</v>
      </c>
      <c r="G1761" s="31">
        <f t="shared" si="27"/>
        <v>0</v>
      </c>
      <c r="H1761" s="62" t="s">
        <v>9</v>
      </c>
      <c r="K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</row>
    <row r="1762" spans="1:22" x14ac:dyDescent="0.25">
      <c r="A1762" s="20">
        <v>42054</v>
      </c>
      <c r="B1762" s="21">
        <v>12459</v>
      </c>
      <c r="C1762" s="14" t="s">
        <v>681</v>
      </c>
      <c r="D1762" s="105">
        <v>5432.4</v>
      </c>
      <c r="E1762" s="23">
        <v>42054</v>
      </c>
      <c r="F1762" s="118">
        <v>5432.4</v>
      </c>
      <c r="G1762" s="31">
        <f t="shared" si="27"/>
        <v>0</v>
      </c>
      <c r="H1762" s="62" t="s">
        <v>9</v>
      </c>
      <c r="I1762" s="3"/>
      <c r="J1762" s="42"/>
      <c r="K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</row>
    <row r="1763" spans="1:22" x14ac:dyDescent="0.25">
      <c r="A1763" s="20">
        <v>42054</v>
      </c>
      <c r="B1763" s="21">
        <v>12460</v>
      </c>
      <c r="C1763" s="14" t="s">
        <v>474</v>
      </c>
      <c r="D1763" s="105">
        <v>3920.4</v>
      </c>
      <c r="E1763" s="23">
        <v>42054</v>
      </c>
      <c r="F1763" s="118">
        <v>3920.4</v>
      </c>
      <c r="G1763" s="31">
        <f t="shared" si="27"/>
        <v>0</v>
      </c>
      <c r="H1763" s="62" t="s">
        <v>9</v>
      </c>
      <c r="I1763" s="3"/>
      <c r="J1763" s="42"/>
      <c r="K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</row>
    <row r="1764" spans="1:22" x14ac:dyDescent="0.25">
      <c r="A1764" s="20">
        <v>42054</v>
      </c>
      <c r="B1764" s="21">
        <v>12461</v>
      </c>
      <c r="C1764" s="14" t="s">
        <v>604</v>
      </c>
      <c r="D1764" s="105">
        <v>1216.8</v>
      </c>
      <c r="E1764" s="23">
        <v>42054</v>
      </c>
      <c r="F1764" s="118">
        <v>1216.8</v>
      </c>
      <c r="G1764" s="31">
        <f t="shared" si="27"/>
        <v>0</v>
      </c>
      <c r="H1764" s="62" t="s">
        <v>9</v>
      </c>
      <c r="I1764" s="3"/>
      <c r="J1764" s="42"/>
      <c r="K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</row>
    <row r="1765" spans="1:22" x14ac:dyDescent="0.25">
      <c r="A1765" s="20">
        <v>42054</v>
      </c>
      <c r="B1765" s="21">
        <v>12462</v>
      </c>
      <c r="C1765" s="14" t="s">
        <v>682</v>
      </c>
      <c r="D1765" s="105">
        <v>5963.4</v>
      </c>
      <c r="E1765" s="23">
        <v>42054</v>
      </c>
      <c r="F1765" s="118">
        <v>5963.4</v>
      </c>
      <c r="G1765" s="31">
        <f t="shared" si="27"/>
        <v>0</v>
      </c>
      <c r="H1765" s="62" t="s">
        <v>9</v>
      </c>
      <c r="I1765" s="3"/>
      <c r="J1765" s="42"/>
      <c r="K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</row>
    <row r="1766" spans="1:22" x14ac:dyDescent="0.25">
      <c r="A1766" s="20">
        <v>42054</v>
      </c>
      <c r="B1766" s="21">
        <v>12463</v>
      </c>
      <c r="C1766" s="14" t="s">
        <v>683</v>
      </c>
      <c r="D1766" s="105">
        <v>1109.3599999999999</v>
      </c>
      <c r="E1766" s="23">
        <v>42054</v>
      </c>
      <c r="F1766" s="118">
        <v>1109.3599999999999</v>
      </c>
      <c r="G1766" s="31">
        <f t="shared" si="27"/>
        <v>0</v>
      </c>
      <c r="H1766" s="62" t="s">
        <v>9</v>
      </c>
      <c r="I1766" s="3"/>
      <c r="J1766" s="42"/>
      <c r="K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</row>
    <row r="1767" spans="1:22" x14ac:dyDescent="0.25">
      <c r="A1767" s="20">
        <v>42054</v>
      </c>
      <c r="B1767" s="21">
        <v>12464</v>
      </c>
      <c r="C1767" s="14" t="s">
        <v>38</v>
      </c>
      <c r="D1767" s="105">
        <v>35133</v>
      </c>
      <c r="E1767" s="23">
        <v>42060</v>
      </c>
      <c r="F1767" s="118">
        <v>35133</v>
      </c>
      <c r="G1767" s="31">
        <f t="shared" si="27"/>
        <v>0</v>
      </c>
      <c r="H1767" s="62" t="s">
        <v>59</v>
      </c>
      <c r="I1767" s="3"/>
      <c r="J1767" s="42"/>
      <c r="K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</row>
    <row r="1768" spans="1:22" x14ac:dyDescent="0.25">
      <c r="A1768" s="20">
        <v>42054</v>
      </c>
      <c r="B1768" s="21">
        <v>12465</v>
      </c>
      <c r="C1768" s="14" t="s">
        <v>267</v>
      </c>
      <c r="D1768" s="105">
        <v>2074</v>
      </c>
      <c r="E1768" s="23">
        <v>42054</v>
      </c>
      <c r="F1768" s="118">
        <v>2074</v>
      </c>
      <c r="G1768" s="31">
        <f t="shared" si="27"/>
        <v>0</v>
      </c>
      <c r="H1768" s="62" t="s">
        <v>187</v>
      </c>
      <c r="I1768" s="3"/>
      <c r="J1768" s="42"/>
      <c r="K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</row>
    <row r="1769" spans="1:22" x14ac:dyDescent="0.25">
      <c r="A1769" s="20">
        <v>42054</v>
      </c>
      <c r="B1769" s="21">
        <v>12466</v>
      </c>
      <c r="C1769" s="14" t="s">
        <v>47</v>
      </c>
      <c r="D1769" s="105">
        <v>17646</v>
      </c>
      <c r="E1769" s="23">
        <v>42055</v>
      </c>
      <c r="F1769" s="118">
        <v>17646</v>
      </c>
      <c r="G1769" s="31">
        <f t="shared" si="27"/>
        <v>0</v>
      </c>
      <c r="H1769" s="62" t="s">
        <v>36</v>
      </c>
      <c r="I1769" s="3"/>
      <c r="J1769" s="42"/>
      <c r="K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</row>
    <row r="1770" spans="1:22" x14ac:dyDescent="0.25">
      <c r="A1770" s="20">
        <v>42054</v>
      </c>
      <c r="B1770" s="21">
        <v>12467</v>
      </c>
      <c r="C1770" s="14" t="s">
        <v>45</v>
      </c>
      <c r="D1770" s="105">
        <v>9009</v>
      </c>
      <c r="E1770" s="23">
        <v>42062</v>
      </c>
      <c r="F1770" s="118">
        <v>9009</v>
      </c>
      <c r="G1770" s="31">
        <f t="shared" si="27"/>
        <v>0</v>
      </c>
      <c r="H1770" s="62" t="s">
        <v>9</v>
      </c>
      <c r="I1770" s="3"/>
      <c r="J1770" s="42"/>
      <c r="K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</row>
    <row r="1771" spans="1:22" x14ac:dyDescent="0.25">
      <c r="A1771" s="20">
        <v>42054</v>
      </c>
      <c r="B1771" s="21">
        <v>12468</v>
      </c>
      <c r="C1771" s="14" t="s">
        <v>406</v>
      </c>
      <c r="D1771" s="105">
        <v>33469.58</v>
      </c>
      <c r="E1771" s="23">
        <v>42055</v>
      </c>
      <c r="F1771" s="118">
        <v>33469.58</v>
      </c>
      <c r="G1771" s="31">
        <f t="shared" si="27"/>
        <v>0</v>
      </c>
      <c r="H1771" s="62" t="s">
        <v>36</v>
      </c>
      <c r="I1771" s="3"/>
      <c r="J1771" s="42"/>
      <c r="K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</row>
    <row r="1772" spans="1:22" x14ac:dyDescent="0.25">
      <c r="A1772" s="20">
        <v>42054</v>
      </c>
      <c r="B1772" s="21">
        <v>12469</v>
      </c>
      <c r="C1772" s="14" t="s">
        <v>128</v>
      </c>
      <c r="D1772" s="105">
        <v>10951.2</v>
      </c>
      <c r="E1772" s="23">
        <v>42054</v>
      </c>
      <c r="F1772" s="118">
        <v>10951.2</v>
      </c>
      <c r="G1772" s="31">
        <f t="shared" si="27"/>
        <v>0</v>
      </c>
      <c r="H1772" s="62" t="s">
        <v>17</v>
      </c>
      <c r="I1772" s="3"/>
      <c r="J1772" s="42"/>
      <c r="K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</row>
    <row r="1773" spans="1:22" x14ac:dyDescent="0.25">
      <c r="A1773" s="20">
        <v>42054</v>
      </c>
      <c r="B1773" s="21">
        <v>12470</v>
      </c>
      <c r="C1773" s="14" t="s">
        <v>35</v>
      </c>
      <c r="D1773" s="105">
        <v>22644.16</v>
      </c>
      <c r="E1773" s="23">
        <v>42055</v>
      </c>
      <c r="F1773" s="118">
        <v>22644.16</v>
      </c>
      <c r="G1773" s="31">
        <f t="shared" si="27"/>
        <v>0</v>
      </c>
      <c r="H1773" s="62" t="s">
        <v>36</v>
      </c>
      <c r="I1773" s="3"/>
      <c r="J1773" s="42"/>
      <c r="K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</row>
    <row r="1774" spans="1:22" x14ac:dyDescent="0.25">
      <c r="A1774" s="20">
        <v>42054</v>
      </c>
      <c r="B1774" s="21">
        <v>12471</v>
      </c>
      <c r="C1774" s="14" t="s">
        <v>34</v>
      </c>
      <c r="D1774" s="105">
        <v>2520</v>
      </c>
      <c r="E1774" s="23">
        <v>42054</v>
      </c>
      <c r="F1774" s="118">
        <v>2520</v>
      </c>
      <c r="G1774" s="31">
        <f t="shared" si="27"/>
        <v>0</v>
      </c>
      <c r="H1774" s="62" t="s">
        <v>9</v>
      </c>
      <c r="I1774" s="3"/>
      <c r="J1774" s="42"/>
      <c r="K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</row>
    <row r="1775" spans="1:22" x14ac:dyDescent="0.25">
      <c r="A1775" s="20">
        <v>42054</v>
      </c>
      <c r="B1775" s="21">
        <v>12472</v>
      </c>
      <c r="C1775" s="14" t="s">
        <v>55</v>
      </c>
      <c r="D1775" s="105">
        <v>19951.099999999999</v>
      </c>
      <c r="E1775" s="23">
        <v>42055</v>
      </c>
      <c r="F1775" s="118">
        <v>19951.099999999999</v>
      </c>
      <c r="G1775" s="31">
        <f t="shared" si="27"/>
        <v>0</v>
      </c>
      <c r="H1775" s="62" t="s">
        <v>36</v>
      </c>
      <c r="I1775" s="3"/>
      <c r="J1775" s="42"/>
      <c r="K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</row>
    <row r="1776" spans="1:22" x14ac:dyDescent="0.25">
      <c r="A1776" s="20">
        <v>42054</v>
      </c>
      <c r="B1776" s="21">
        <v>12473</v>
      </c>
      <c r="C1776" s="14" t="s">
        <v>83</v>
      </c>
      <c r="D1776" s="105">
        <v>8172.6</v>
      </c>
      <c r="E1776" s="23">
        <v>42055</v>
      </c>
      <c r="F1776" s="118">
        <v>8172.6</v>
      </c>
      <c r="G1776" s="31">
        <f t="shared" si="27"/>
        <v>0</v>
      </c>
      <c r="H1776" s="62" t="s">
        <v>59</v>
      </c>
      <c r="I1776" s="3"/>
      <c r="J1776" s="42"/>
      <c r="K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</row>
    <row r="1777" spans="1:22" x14ac:dyDescent="0.25">
      <c r="A1777" s="20">
        <v>42054</v>
      </c>
      <c r="B1777" s="21">
        <v>12474</v>
      </c>
      <c r="C1777" s="14" t="s">
        <v>168</v>
      </c>
      <c r="D1777" s="105">
        <v>8388</v>
      </c>
      <c r="E1777" s="23">
        <v>42055</v>
      </c>
      <c r="F1777" s="118">
        <v>8388</v>
      </c>
      <c r="G1777" s="31">
        <f t="shared" si="27"/>
        <v>0</v>
      </c>
      <c r="H1777" s="62" t="s">
        <v>59</v>
      </c>
      <c r="I1777" s="3"/>
      <c r="J1777" s="42"/>
      <c r="K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</row>
    <row r="1778" spans="1:22" x14ac:dyDescent="0.25">
      <c r="A1778" s="20">
        <v>42054</v>
      </c>
      <c r="B1778" s="21">
        <v>12475</v>
      </c>
      <c r="C1778" s="14" t="s">
        <v>684</v>
      </c>
      <c r="D1778" s="105">
        <v>4160</v>
      </c>
      <c r="E1778" s="23">
        <v>42055</v>
      </c>
      <c r="F1778" s="118">
        <v>4160</v>
      </c>
      <c r="G1778" s="31">
        <f t="shared" si="27"/>
        <v>0</v>
      </c>
      <c r="H1778" s="62" t="s">
        <v>36</v>
      </c>
      <c r="K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</row>
    <row r="1779" spans="1:22" x14ac:dyDescent="0.25">
      <c r="A1779" s="20">
        <v>42054</v>
      </c>
      <c r="B1779" s="21">
        <v>12476</v>
      </c>
      <c r="C1779" s="14" t="s">
        <v>81</v>
      </c>
      <c r="D1779" s="105">
        <v>1802</v>
      </c>
      <c r="E1779" s="23">
        <v>42055</v>
      </c>
      <c r="F1779" s="118">
        <v>1802</v>
      </c>
      <c r="G1779" s="31">
        <f t="shared" si="27"/>
        <v>0</v>
      </c>
      <c r="H1779" s="62" t="s">
        <v>59</v>
      </c>
      <c r="K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</row>
    <row r="1780" spans="1:22" x14ac:dyDescent="0.25">
      <c r="A1780" s="20">
        <v>42054</v>
      </c>
      <c r="B1780" s="21">
        <v>12477</v>
      </c>
      <c r="C1780" s="14" t="s">
        <v>116</v>
      </c>
      <c r="D1780" s="105">
        <v>4325.3999999999996</v>
      </c>
      <c r="E1780" s="23">
        <v>42055</v>
      </c>
      <c r="F1780" s="118">
        <v>4325.3999999999996</v>
      </c>
      <c r="G1780" s="31">
        <f t="shared" si="27"/>
        <v>0</v>
      </c>
      <c r="H1780" s="62" t="s">
        <v>59</v>
      </c>
      <c r="K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</row>
    <row r="1781" spans="1:22" x14ac:dyDescent="0.25">
      <c r="A1781" s="20">
        <v>42054</v>
      </c>
      <c r="B1781" s="21">
        <v>12478</v>
      </c>
      <c r="C1781" s="14" t="s">
        <v>664</v>
      </c>
      <c r="D1781" s="105">
        <v>1288</v>
      </c>
      <c r="E1781" s="23">
        <v>42055</v>
      </c>
      <c r="F1781" s="118">
        <v>1288</v>
      </c>
      <c r="G1781" s="31">
        <f t="shared" si="27"/>
        <v>0</v>
      </c>
      <c r="H1781" s="62" t="s">
        <v>59</v>
      </c>
      <c r="K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</row>
    <row r="1782" spans="1:22" x14ac:dyDescent="0.25">
      <c r="A1782" s="20">
        <v>42054</v>
      </c>
      <c r="B1782" s="21">
        <v>12479</v>
      </c>
      <c r="C1782" s="14" t="s">
        <v>120</v>
      </c>
      <c r="D1782" s="105">
        <v>1704</v>
      </c>
      <c r="E1782" s="23">
        <v>42055</v>
      </c>
      <c r="F1782" s="118">
        <v>1704</v>
      </c>
      <c r="G1782" s="31">
        <f t="shared" si="27"/>
        <v>0</v>
      </c>
      <c r="H1782" s="62" t="s">
        <v>59</v>
      </c>
      <c r="K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</row>
    <row r="1783" spans="1:22" x14ac:dyDescent="0.25">
      <c r="A1783" s="20">
        <v>42054</v>
      </c>
      <c r="B1783" s="21">
        <v>12480</v>
      </c>
      <c r="C1783" s="14" t="s">
        <v>292</v>
      </c>
      <c r="D1783" s="122">
        <v>2288</v>
      </c>
      <c r="E1783" s="23">
        <v>42055</v>
      </c>
      <c r="F1783" s="118">
        <v>2288</v>
      </c>
      <c r="G1783" s="31">
        <f t="shared" si="27"/>
        <v>0</v>
      </c>
      <c r="H1783" s="56" t="s">
        <v>59</v>
      </c>
      <c r="K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</row>
    <row r="1784" spans="1:22" x14ac:dyDescent="0.25">
      <c r="A1784" s="20">
        <v>42054</v>
      </c>
      <c r="B1784" s="21">
        <v>12481</v>
      </c>
      <c r="C1784" s="14" t="s">
        <v>167</v>
      </c>
      <c r="D1784" s="105">
        <v>551.20000000000005</v>
      </c>
      <c r="E1784" s="23">
        <v>42055</v>
      </c>
      <c r="F1784" s="118">
        <v>551.20000000000005</v>
      </c>
      <c r="G1784" s="31">
        <f t="shared" si="27"/>
        <v>0</v>
      </c>
      <c r="H1784" s="56" t="s">
        <v>59</v>
      </c>
      <c r="K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</row>
    <row r="1785" spans="1:22" x14ac:dyDescent="0.25">
      <c r="A1785" s="20">
        <v>42054</v>
      </c>
      <c r="B1785" s="21">
        <v>12482</v>
      </c>
      <c r="C1785" s="14" t="s">
        <v>53</v>
      </c>
      <c r="D1785" s="105">
        <v>854</v>
      </c>
      <c r="E1785" s="23">
        <v>42055</v>
      </c>
      <c r="F1785" s="118">
        <v>854</v>
      </c>
      <c r="G1785" s="31">
        <f t="shared" si="27"/>
        <v>0</v>
      </c>
      <c r="H1785" s="56" t="s">
        <v>9</v>
      </c>
      <c r="K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</row>
    <row r="1786" spans="1:22" x14ac:dyDescent="0.25">
      <c r="A1786" s="20">
        <v>42054</v>
      </c>
      <c r="B1786" s="21">
        <v>12483</v>
      </c>
      <c r="C1786" s="14" t="s">
        <v>37</v>
      </c>
      <c r="D1786" s="105">
        <v>45160.75</v>
      </c>
      <c r="E1786" s="23">
        <v>42063</v>
      </c>
      <c r="F1786" s="118">
        <v>45160.75</v>
      </c>
      <c r="G1786" s="31">
        <f t="shared" si="27"/>
        <v>0</v>
      </c>
      <c r="H1786" s="56" t="s">
        <v>36</v>
      </c>
      <c r="J1786" s="107"/>
      <c r="K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</row>
    <row r="1787" spans="1:22" x14ac:dyDescent="0.25">
      <c r="A1787" s="20">
        <v>42054</v>
      </c>
      <c r="B1787" s="21">
        <v>12484</v>
      </c>
      <c r="C1787" s="14" t="s">
        <v>256</v>
      </c>
      <c r="D1787" s="105">
        <v>4171.1000000000004</v>
      </c>
      <c r="E1787" s="23">
        <v>42055</v>
      </c>
      <c r="F1787" s="118">
        <v>4171.1000000000004</v>
      </c>
      <c r="G1787" s="31">
        <f t="shared" si="27"/>
        <v>0</v>
      </c>
      <c r="H1787" s="56" t="s">
        <v>36</v>
      </c>
      <c r="K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</row>
    <row r="1788" spans="1:22" x14ac:dyDescent="0.25">
      <c r="A1788" s="20">
        <v>42054</v>
      </c>
      <c r="B1788" s="21">
        <v>12485</v>
      </c>
      <c r="C1788" s="14" t="s">
        <v>82</v>
      </c>
      <c r="D1788" s="105">
        <v>5612</v>
      </c>
      <c r="E1788" s="23">
        <v>42055</v>
      </c>
      <c r="F1788" s="118">
        <v>5612</v>
      </c>
      <c r="G1788" s="31">
        <f t="shared" si="27"/>
        <v>0</v>
      </c>
      <c r="H1788" s="56" t="s">
        <v>59</v>
      </c>
      <c r="K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</row>
    <row r="1789" spans="1:22" x14ac:dyDescent="0.25">
      <c r="A1789" s="20">
        <v>42054</v>
      </c>
      <c r="B1789" s="21">
        <v>12486</v>
      </c>
      <c r="C1789" s="14" t="s">
        <v>685</v>
      </c>
      <c r="D1789" s="105">
        <v>1744</v>
      </c>
      <c r="E1789" s="23">
        <v>42055</v>
      </c>
      <c r="F1789" s="118">
        <v>1744</v>
      </c>
      <c r="G1789" s="31">
        <f t="shared" si="27"/>
        <v>0</v>
      </c>
      <c r="H1789" s="56" t="s">
        <v>59</v>
      </c>
      <c r="K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</row>
    <row r="1790" spans="1:22" x14ac:dyDescent="0.25">
      <c r="A1790" s="20">
        <v>42054</v>
      </c>
      <c r="B1790" s="21">
        <v>12487</v>
      </c>
      <c r="C1790" s="14" t="s">
        <v>45</v>
      </c>
      <c r="D1790" s="105">
        <v>86062.9</v>
      </c>
      <c r="E1790" s="23">
        <v>42062</v>
      </c>
      <c r="F1790" s="118">
        <v>86062.9</v>
      </c>
      <c r="G1790" s="31">
        <f t="shared" si="27"/>
        <v>0</v>
      </c>
      <c r="H1790" s="56" t="s">
        <v>183</v>
      </c>
      <c r="K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</row>
    <row r="1791" spans="1:22" x14ac:dyDescent="0.25">
      <c r="A1791" s="20">
        <v>42054</v>
      </c>
      <c r="B1791" s="21">
        <v>12488</v>
      </c>
      <c r="C1791" s="14" t="s">
        <v>686</v>
      </c>
      <c r="D1791" s="105">
        <v>2040</v>
      </c>
      <c r="E1791" s="23">
        <v>42055</v>
      </c>
      <c r="F1791" s="118">
        <v>2040</v>
      </c>
      <c r="G1791" s="31">
        <f t="shared" si="27"/>
        <v>0</v>
      </c>
      <c r="H1791" s="56" t="s">
        <v>15</v>
      </c>
      <c r="K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</row>
    <row r="1792" spans="1:22" x14ac:dyDescent="0.25">
      <c r="A1792" s="20">
        <v>42054</v>
      </c>
      <c r="B1792" s="21">
        <v>12489</v>
      </c>
      <c r="C1792" s="14" t="s">
        <v>675</v>
      </c>
      <c r="D1792" s="105">
        <v>540</v>
      </c>
      <c r="E1792" s="23">
        <v>42054</v>
      </c>
      <c r="F1792" s="118">
        <v>540</v>
      </c>
      <c r="G1792" s="31">
        <f t="shared" si="27"/>
        <v>0</v>
      </c>
      <c r="H1792" s="56" t="s">
        <v>9</v>
      </c>
      <c r="K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</row>
    <row r="1793" spans="1:22" x14ac:dyDescent="0.25">
      <c r="A1793" s="20">
        <v>42054</v>
      </c>
      <c r="B1793" s="21">
        <v>12490</v>
      </c>
      <c r="C1793" s="14" t="s">
        <v>471</v>
      </c>
      <c r="D1793" s="105">
        <v>5124</v>
      </c>
      <c r="E1793" s="23">
        <v>42062</v>
      </c>
      <c r="F1793" s="118">
        <v>5124</v>
      </c>
      <c r="G1793" s="31">
        <f t="shared" si="27"/>
        <v>0</v>
      </c>
      <c r="H1793" s="56" t="s">
        <v>187</v>
      </c>
      <c r="K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</row>
    <row r="1794" spans="1:22" x14ac:dyDescent="0.25">
      <c r="A1794" s="20">
        <v>42054</v>
      </c>
      <c r="B1794" s="21">
        <v>12491</v>
      </c>
      <c r="C1794" s="14" t="s">
        <v>130</v>
      </c>
      <c r="D1794" s="105">
        <v>3254.6</v>
      </c>
      <c r="E1794" s="23">
        <v>42056</v>
      </c>
      <c r="F1794" s="118">
        <v>3254.6</v>
      </c>
      <c r="G1794" s="31">
        <f t="shared" si="27"/>
        <v>0</v>
      </c>
      <c r="H1794" s="56" t="s">
        <v>17</v>
      </c>
      <c r="J1794" s="107"/>
      <c r="K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</row>
    <row r="1795" spans="1:22" x14ac:dyDescent="0.25">
      <c r="A1795" s="20">
        <v>42054</v>
      </c>
      <c r="B1795" s="21">
        <v>12492</v>
      </c>
      <c r="C1795" s="14" t="s">
        <v>165</v>
      </c>
      <c r="D1795" s="105">
        <v>2646.5</v>
      </c>
      <c r="E1795" s="23">
        <v>42054</v>
      </c>
      <c r="F1795" s="118">
        <v>2646.5</v>
      </c>
      <c r="G1795" s="31">
        <f t="shared" ref="G1795:G1858" si="28">D1795-F1795</f>
        <v>0</v>
      </c>
      <c r="H1795" s="56" t="s">
        <v>17</v>
      </c>
      <c r="J1795" s="123"/>
      <c r="K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</row>
    <row r="1796" spans="1:22" x14ac:dyDescent="0.25">
      <c r="A1796" s="20">
        <v>42054</v>
      </c>
      <c r="B1796" s="21">
        <v>12493</v>
      </c>
      <c r="C1796" s="14" t="s">
        <v>135</v>
      </c>
      <c r="D1796" s="105">
        <v>9546</v>
      </c>
      <c r="E1796" s="23">
        <v>42054</v>
      </c>
      <c r="F1796" s="118">
        <v>9546</v>
      </c>
      <c r="G1796" s="31">
        <f t="shared" si="28"/>
        <v>0</v>
      </c>
      <c r="H1796" s="56" t="s">
        <v>9</v>
      </c>
      <c r="J1796" s="123"/>
      <c r="K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</row>
    <row r="1797" spans="1:22" x14ac:dyDescent="0.25">
      <c r="A1797" s="20">
        <v>42054</v>
      </c>
      <c r="B1797" s="21">
        <v>12494</v>
      </c>
      <c r="C1797" s="14" t="s">
        <v>131</v>
      </c>
      <c r="D1797" s="105">
        <v>7388</v>
      </c>
      <c r="E1797" s="29" t="s">
        <v>687</v>
      </c>
      <c r="F1797" s="118">
        <f>443.65+6944.35</f>
        <v>7388</v>
      </c>
      <c r="G1797" s="31">
        <f t="shared" si="28"/>
        <v>0</v>
      </c>
      <c r="H1797" s="56" t="s">
        <v>17</v>
      </c>
      <c r="J1797" s="123"/>
      <c r="K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</row>
    <row r="1798" spans="1:22" x14ac:dyDescent="0.25">
      <c r="A1798" s="20">
        <v>42054</v>
      </c>
      <c r="B1798" s="21">
        <v>12495</v>
      </c>
      <c r="C1798" s="14" t="s">
        <v>50</v>
      </c>
      <c r="D1798" s="105">
        <v>4573</v>
      </c>
      <c r="E1798" s="23">
        <v>42054</v>
      </c>
      <c r="F1798" s="118">
        <v>4573</v>
      </c>
      <c r="G1798" s="31">
        <f t="shared" si="28"/>
        <v>0</v>
      </c>
      <c r="H1798" s="56" t="s">
        <v>17</v>
      </c>
      <c r="J1798" s="123"/>
      <c r="K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</row>
    <row r="1799" spans="1:22" x14ac:dyDescent="0.25">
      <c r="A1799" s="20">
        <v>42054</v>
      </c>
      <c r="B1799" s="21">
        <v>12496</v>
      </c>
      <c r="C1799" s="14" t="s">
        <v>135</v>
      </c>
      <c r="D1799" s="105">
        <v>667</v>
      </c>
      <c r="E1799" s="23">
        <v>42054</v>
      </c>
      <c r="F1799" s="118">
        <v>667</v>
      </c>
      <c r="G1799" s="31">
        <f t="shared" si="28"/>
        <v>0</v>
      </c>
      <c r="H1799" s="56" t="s">
        <v>9</v>
      </c>
      <c r="J1799" s="123"/>
      <c r="K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</row>
    <row r="1800" spans="1:22" x14ac:dyDescent="0.25">
      <c r="A1800" s="20">
        <v>42054</v>
      </c>
      <c r="B1800" s="21">
        <v>12497</v>
      </c>
      <c r="C1800" s="14" t="s">
        <v>151</v>
      </c>
      <c r="D1800" s="105">
        <v>675</v>
      </c>
      <c r="E1800" s="23">
        <v>42054</v>
      </c>
      <c r="F1800" s="118">
        <v>675</v>
      </c>
      <c r="G1800" s="31">
        <f t="shared" si="28"/>
        <v>0</v>
      </c>
      <c r="H1800" s="56" t="s">
        <v>9</v>
      </c>
      <c r="J1800" s="123"/>
      <c r="K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</row>
    <row r="1801" spans="1:22" x14ac:dyDescent="0.25">
      <c r="A1801" s="20">
        <v>42054</v>
      </c>
      <c r="B1801" s="21">
        <v>12498</v>
      </c>
      <c r="C1801" s="14" t="s">
        <v>151</v>
      </c>
      <c r="D1801" s="105">
        <v>2700</v>
      </c>
      <c r="E1801" s="23">
        <v>42054</v>
      </c>
      <c r="F1801" s="118">
        <v>2700</v>
      </c>
      <c r="G1801" s="31">
        <f t="shared" si="28"/>
        <v>0</v>
      </c>
      <c r="H1801" s="56" t="s">
        <v>62</v>
      </c>
      <c r="J1801" s="123"/>
      <c r="K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</row>
    <row r="1802" spans="1:22" x14ac:dyDescent="0.25">
      <c r="A1802" s="20">
        <v>42054</v>
      </c>
      <c r="B1802" s="21">
        <v>12499</v>
      </c>
      <c r="C1802" s="14" t="s">
        <v>48</v>
      </c>
      <c r="D1802" s="105">
        <v>6324.8</v>
      </c>
      <c r="E1802" s="23">
        <v>42054</v>
      </c>
      <c r="F1802" s="118">
        <v>6324.8</v>
      </c>
      <c r="G1802" s="31">
        <f t="shared" si="28"/>
        <v>0</v>
      </c>
      <c r="H1802" s="56" t="s">
        <v>183</v>
      </c>
      <c r="J1802" s="123"/>
      <c r="K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</row>
    <row r="1803" spans="1:22" x14ac:dyDescent="0.25">
      <c r="A1803" s="20">
        <v>42054</v>
      </c>
      <c r="B1803" s="21">
        <v>12500</v>
      </c>
      <c r="C1803" s="14" t="s">
        <v>26</v>
      </c>
      <c r="D1803" s="105">
        <v>2208</v>
      </c>
      <c r="E1803" s="23">
        <v>42054</v>
      </c>
      <c r="F1803" s="118">
        <v>2208</v>
      </c>
      <c r="G1803" s="31">
        <f t="shared" si="28"/>
        <v>0</v>
      </c>
      <c r="H1803" s="56" t="s">
        <v>27</v>
      </c>
      <c r="J1803" s="123"/>
      <c r="K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</row>
    <row r="1804" spans="1:22" x14ac:dyDescent="0.25">
      <c r="A1804" s="20">
        <v>42054</v>
      </c>
      <c r="B1804" s="21">
        <v>12501</v>
      </c>
      <c r="C1804" s="14" t="s">
        <v>87</v>
      </c>
      <c r="D1804" s="105">
        <v>2154.6</v>
      </c>
      <c r="E1804" s="23">
        <v>42054</v>
      </c>
      <c r="F1804" s="118">
        <v>2154.6</v>
      </c>
      <c r="G1804" s="31">
        <f t="shared" si="28"/>
        <v>0</v>
      </c>
      <c r="H1804" s="56" t="s">
        <v>17</v>
      </c>
      <c r="J1804" s="123"/>
      <c r="K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</row>
    <row r="1805" spans="1:22" x14ac:dyDescent="0.25">
      <c r="A1805" s="20">
        <v>42054</v>
      </c>
      <c r="B1805" s="21">
        <v>12502</v>
      </c>
      <c r="C1805" s="26" t="s">
        <v>12</v>
      </c>
      <c r="D1805" s="108">
        <v>0</v>
      </c>
      <c r="E1805" s="29"/>
      <c r="F1805" s="118"/>
      <c r="G1805" s="31">
        <f t="shared" si="28"/>
        <v>0</v>
      </c>
      <c r="H1805" s="56" t="s">
        <v>13</v>
      </c>
      <c r="J1805" s="123"/>
      <c r="K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</row>
    <row r="1806" spans="1:22" x14ac:dyDescent="0.25">
      <c r="A1806" s="20">
        <v>42054</v>
      </c>
      <c r="B1806" s="21">
        <v>12503</v>
      </c>
      <c r="C1806" s="14" t="s">
        <v>192</v>
      </c>
      <c r="D1806" s="105">
        <v>1350</v>
      </c>
      <c r="E1806" s="23">
        <v>42055</v>
      </c>
      <c r="F1806" s="118">
        <v>1350</v>
      </c>
      <c r="G1806" s="31">
        <f t="shared" si="28"/>
        <v>0</v>
      </c>
      <c r="H1806" s="56" t="s">
        <v>17</v>
      </c>
      <c r="J1806" s="123"/>
      <c r="K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</row>
    <row r="1807" spans="1:22" x14ac:dyDescent="0.25">
      <c r="A1807" s="20">
        <v>42054</v>
      </c>
      <c r="B1807" s="21">
        <v>12504</v>
      </c>
      <c r="C1807" s="14" t="s">
        <v>221</v>
      </c>
      <c r="D1807" s="105">
        <v>1674.4</v>
      </c>
      <c r="E1807" s="23">
        <v>42054</v>
      </c>
      <c r="F1807" s="118">
        <v>1674.4</v>
      </c>
      <c r="G1807" s="31">
        <f t="shared" si="28"/>
        <v>0</v>
      </c>
      <c r="H1807" s="56" t="s">
        <v>17</v>
      </c>
      <c r="J1807" s="123"/>
      <c r="K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</row>
    <row r="1808" spans="1:22" x14ac:dyDescent="0.25">
      <c r="A1808" s="20">
        <v>42054</v>
      </c>
      <c r="B1808" s="21">
        <v>12505</v>
      </c>
      <c r="C1808" s="14" t="s">
        <v>213</v>
      </c>
      <c r="D1808" s="105">
        <v>7000</v>
      </c>
      <c r="E1808" s="23">
        <v>42054</v>
      </c>
      <c r="F1808" s="118">
        <v>7000</v>
      </c>
      <c r="G1808" s="31">
        <f t="shared" si="28"/>
        <v>0</v>
      </c>
      <c r="H1808" s="56" t="s">
        <v>19</v>
      </c>
      <c r="J1808" s="123"/>
      <c r="K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</row>
    <row r="1809" spans="1:22" x14ac:dyDescent="0.25">
      <c r="A1809" s="20">
        <v>42054</v>
      </c>
      <c r="B1809" s="21">
        <v>12506</v>
      </c>
      <c r="C1809" s="14" t="s">
        <v>305</v>
      </c>
      <c r="D1809" s="105">
        <v>3125.2</v>
      </c>
      <c r="E1809" s="23">
        <v>42054</v>
      </c>
      <c r="F1809" s="118">
        <v>3125.2</v>
      </c>
      <c r="G1809" s="31">
        <f t="shared" si="28"/>
        <v>0</v>
      </c>
      <c r="H1809" s="56" t="s">
        <v>9</v>
      </c>
      <c r="J1809" s="123"/>
      <c r="K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</row>
    <row r="1810" spans="1:22" x14ac:dyDescent="0.25">
      <c r="A1810" s="20">
        <v>42054</v>
      </c>
      <c r="B1810" s="21">
        <v>12507</v>
      </c>
      <c r="C1810" s="14" t="s">
        <v>247</v>
      </c>
      <c r="D1810" s="105">
        <v>5660.4</v>
      </c>
      <c r="E1810" s="23">
        <v>42054</v>
      </c>
      <c r="F1810" s="118">
        <v>5660.4</v>
      </c>
      <c r="G1810" s="31">
        <f t="shared" si="28"/>
        <v>0</v>
      </c>
      <c r="H1810" s="56" t="s">
        <v>19</v>
      </c>
      <c r="J1810" s="123"/>
      <c r="K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</row>
    <row r="1811" spans="1:22" x14ac:dyDescent="0.25">
      <c r="A1811" s="20">
        <v>42054</v>
      </c>
      <c r="B1811" s="21">
        <v>12508</v>
      </c>
      <c r="C1811" s="14" t="s">
        <v>100</v>
      </c>
      <c r="D1811" s="105">
        <v>6526.7</v>
      </c>
      <c r="E1811" s="23">
        <v>42054</v>
      </c>
      <c r="F1811" s="118">
        <v>6526.7</v>
      </c>
      <c r="G1811" s="31">
        <f t="shared" si="28"/>
        <v>0</v>
      </c>
      <c r="H1811" s="56" t="s">
        <v>9</v>
      </c>
      <c r="J1811" s="123"/>
      <c r="K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</row>
    <row r="1812" spans="1:22" x14ac:dyDescent="0.25">
      <c r="A1812" s="20">
        <v>42054</v>
      </c>
      <c r="B1812" s="21">
        <v>12509</v>
      </c>
      <c r="C1812" s="14" t="s">
        <v>111</v>
      </c>
      <c r="D1812" s="105">
        <v>116521</v>
      </c>
      <c r="E1812" s="23">
        <v>42058</v>
      </c>
      <c r="F1812" s="118">
        <v>116521</v>
      </c>
      <c r="G1812" s="31">
        <f t="shared" si="28"/>
        <v>0</v>
      </c>
      <c r="H1812" s="56" t="s">
        <v>19</v>
      </c>
      <c r="J1812" s="123"/>
      <c r="K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</row>
    <row r="1813" spans="1:22" x14ac:dyDescent="0.25">
      <c r="A1813" s="20">
        <v>42054</v>
      </c>
      <c r="B1813" s="21">
        <v>12510</v>
      </c>
      <c r="C1813" s="14" t="s">
        <v>89</v>
      </c>
      <c r="D1813" s="105">
        <v>2895</v>
      </c>
      <c r="E1813" s="23">
        <v>42054</v>
      </c>
      <c r="F1813" s="118">
        <v>2895</v>
      </c>
      <c r="G1813" s="31">
        <f t="shared" si="28"/>
        <v>0</v>
      </c>
      <c r="H1813" s="56" t="s">
        <v>9</v>
      </c>
      <c r="J1813" s="123"/>
      <c r="K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</row>
    <row r="1814" spans="1:22" x14ac:dyDescent="0.25">
      <c r="A1814" s="20">
        <v>42054</v>
      </c>
      <c r="B1814" s="21">
        <v>12511</v>
      </c>
      <c r="C1814" s="14" t="s">
        <v>111</v>
      </c>
      <c r="D1814" s="105">
        <v>84027</v>
      </c>
      <c r="E1814" s="23">
        <v>42058</v>
      </c>
      <c r="F1814" s="118">
        <v>84027</v>
      </c>
      <c r="G1814" s="31">
        <f t="shared" si="28"/>
        <v>0</v>
      </c>
      <c r="H1814" s="56" t="s">
        <v>19</v>
      </c>
      <c r="J1814" s="123"/>
      <c r="K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</row>
    <row r="1815" spans="1:22" x14ac:dyDescent="0.25">
      <c r="A1815" s="20">
        <v>42054</v>
      </c>
      <c r="B1815" s="21">
        <v>12512</v>
      </c>
      <c r="C1815" s="14" t="s">
        <v>110</v>
      </c>
      <c r="D1815" s="105">
        <v>19715.28</v>
      </c>
      <c r="E1815" s="23">
        <v>42060</v>
      </c>
      <c r="F1815" s="118">
        <v>19715.28</v>
      </c>
      <c r="G1815" s="31">
        <f t="shared" si="28"/>
        <v>0</v>
      </c>
      <c r="H1815" s="56" t="s">
        <v>46</v>
      </c>
      <c r="J1815" s="123"/>
      <c r="K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</row>
    <row r="1816" spans="1:22" x14ac:dyDescent="0.25">
      <c r="A1816" s="20">
        <v>42054</v>
      </c>
      <c r="B1816" s="21">
        <v>12513</v>
      </c>
      <c r="C1816" s="14" t="s">
        <v>229</v>
      </c>
      <c r="D1816" s="105">
        <v>8691.64</v>
      </c>
      <c r="E1816" s="23">
        <v>42054</v>
      </c>
      <c r="F1816" s="124">
        <v>6691.64</v>
      </c>
      <c r="G1816" s="125">
        <f t="shared" si="28"/>
        <v>1999.9999999999991</v>
      </c>
      <c r="H1816" s="161" t="s">
        <v>9</v>
      </c>
      <c r="I1816" s="162"/>
      <c r="J1816" s="163"/>
      <c r="K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</row>
    <row r="1817" spans="1:22" x14ac:dyDescent="0.25">
      <c r="A1817" s="20">
        <v>42054</v>
      </c>
      <c r="B1817" s="21">
        <v>12514</v>
      </c>
      <c r="C1817" s="14" t="s">
        <v>233</v>
      </c>
      <c r="D1817" s="105">
        <v>15830.8</v>
      </c>
      <c r="E1817" s="23">
        <v>42054</v>
      </c>
      <c r="F1817" s="118">
        <v>15830.8</v>
      </c>
      <c r="G1817" s="31">
        <f t="shared" si="28"/>
        <v>0</v>
      </c>
      <c r="H1817" s="56" t="s">
        <v>62</v>
      </c>
      <c r="J1817" s="123"/>
      <c r="K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</row>
    <row r="1818" spans="1:22" x14ac:dyDescent="0.25">
      <c r="A1818" s="20">
        <v>42054</v>
      </c>
      <c r="B1818" s="21">
        <v>12515</v>
      </c>
      <c r="C1818" s="14" t="s">
        <v>110</v>
      </c>
      <c r="D1818" s="105">
        <v>11273</v>
      </c>
      <c r="E1818" s="29" t="s">
        <v>688</v>
      </c>
      <c r="F1818" s="118">
        <f>3967.94+7305.06</f>
        <v>11273</v>
      </c>
      <c r="G1818" s="31">
        <f t="shared" si="28"/>
        <v>0</v>
      </c>
      <c r="H1818" s="56" t="s">
        <v>46</v>
      </c>
      <c r="J1818" s="123"/>
      <c r="K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</row>
    <row r="1819" spans="1:22" x14ac:dyDescent="0.25">
      <c r="A1819" s="20">
        <v>42054</v>
      </c>
      <c r="B1819" s="21">
        <v>12516</v>
      </c>
      <c r="C1819" s="14" t="s">
        <v>106</v>
      </c>
      <c r="D1819" s="105">
        <v>6766.4</v>
      </c>
      <c r="E1819" s="23">
        <v>42059</v>
      </c>
      <c r="F1819" s="118">
        <v>6766.4</v>
      </c>
      <c r="G1819" s="31">
        <f t="shared" si="28"/>
        <v>0</v>
      </c>
      <c r="H1819" s="56" t="s">
        <v>15</v>
      </c>
      <c r="J1819" s="123"/>
      <c r="K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</row>
    <row r="1820" spans="1:22" x14ac:dyDescent="0.25">
      <c r="A1820" s="20">
        <v>42054</v>
      </c>
      <c r="B1820" s="21">
        <v>12517</v>
      </c>
      <c r="C1820" s="14" t="s">
        <v>93</v>
      </c>
      <c r="D1820" s="105">
        <v>2439.5</v>
      </c>
      <c r="E1820" s="23">
        <v>42055</v>
      </c>
      <c r="F1820" s="118">
        <v>2439.5</v>
      </c>
      <c r="G1820" s="31">
        <f t="shared" si="28"/>
        <v>0</v>
      </c>
      <c r="H1820" s="56" t="s">
        <v>94</v>
      </c>
      <c r="J1820" s="123"/>
      <c r="K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</row>
    <row r="1821" spans="1:22" x14ac:dyDescent="0.25">
      <c r="A1821" s="20">
        <v>42054</v>
      </c>
      <c r="B1821" s="21">
        <v>12518</v>
      </c>
      <c r="C1821" s="14" t="s">
        <v>221</v>
      </c>
      <c r="D1821" s="105">
        <v>1766.4</v>
      </c>
      <c r="E1821" s="23">
        <v>42055</v>
      </c>
      <c r="F1821" s="118">
        <v>1766.4</v>
      </c>
      <c r="G1821" s="31">
        <f t="shared" si="28"/>
        <v>0</v>
      </c>
      <c r="H1821" s="56" t="s">
        <v>94</v>
      </c>
      <c r="J1821" s="123"/>
      <c r="K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</row>
    <row r="1822" spans="1:22" x14ac:dyDescent="0.25">
      <c r="A1822" s="20">
        <v>42054</v>
      </c>
      <c r="B1822" s="21">
        <v>12519</v>
      </c>
      <c r="C1822" s="14" t="s">
        <v>96</v>
      </c>
      <c r="D1822" s="105">
        <v>5035</v>
      </c>
      <c r="E1822" s="23">
        <v>42055</v>
      </c>
      <c r="F1822" s="118">
        <v>5035</v>
      </c>
      <c r="G1822" s="31">
        <f t="shared" si="28"/>
        <v>0</v>
      </c>
      <c r="H1822" s="56" t="s">
        <v>94</v>
      </c>
      <c r="J1822" s="123"/>
      <c r="K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</row>
    <row r="1823" spans="1:22" x14ac:dyDescent="0.25">
      <c r="A1823" s="20">
        <v>42054</v>
      </c>
      <c r="B1823" s="21">
        <v>12520</v>
      </c>
      <c r="C1823" s="14" t="s">
        <v>24</v>
      </c>
      <c r="D1823" s="105">
        <v>3510</v>
      </c>
      <c r="E1823" s="23">
        <v>42063</v>
      </c>
      <c r="F1823" s="118">
        <v>3510</v>
      </c>
      <c r="G1823" s="31">
        <f t="shared" si="28"/>
        <v>0</v>
      </c>
      <c r="H1823" s="56" t="s">
        <v>9</v>
      </c>
      <c r="J1823" s="123"/>
      <c r="K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</row>
    <row r="1824" spans="1:22" x14ac:dyDescent="0.25">
      <c r="A1824" s="20">
        <v>42054</v>
      </c>
      <c r="B1824" s="21">
        <v>12521</v>
      </c>
      <c r="C1824" s="14" t="s">
        <v>689</v>
      </c>
      <c r="D1824" s="105">
        <v>2120.4</v>
      </c>
      <c r="E1824" s="23">
        <v>42055</v>
      </c>
      <c r="F1824" s="118">
        <v>2120.4</v>
      </c>
      <c r="G1824" s="31">
        <f t="shared" si="28"/>
        <v>0</v>
      </c>
      <c r="H1824" s="56" t="s">
        <v>9</v>
      </c>
      <c r="J1824" s="123"/>
      <c r="K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</row>
    <row r="1825" spans="1:22" x14ac:dyDescent="0.25">
      <c r="A1825" s="20">
        <v>42054</v>
      </c>
      <c r="B1825" s="21">
        <v>12522</v>
      </c>
      <c r="C1825" s="14" t="s">
        <v>252</v>
      </c>
      <c r="D1825" s="105">
        <v>1576</v>
      </c>
      <c r="E1825" s="23">
        <v>42054</v>
      </c>
      <c r="F1825" s="118">
        <v>1576</v>
      </c>
      <c r="G1825" s="31">
        <f t="shared" si="28"/>
        <v>0</v>
      </c>
      <c r="H1825" s="56" t="s">
        <v>9</v>
      </c>
      <c r="J1825" s="123"/>
      <c r="K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</row>
    <row r="1826" spans="1:22" x14ac:dyDescent="0.25">
      <c r="A1826" s="20">
        <v>42054</v>
      </c>
      <c r="B1826" s="21">
        <v>12523</v>
      </c>
      <c r="C1826" s="14" t="s">
        <v>136</v>
      </c>
      <c r="D1826" s="105">
        <v>39775.800000000003</v>
      </c>
      <c r="E1826" s="29" t="s">
        <v>690</v>
      </c>
      <c r="F1826" s="118">
        <f>12800+26975.8</f>
        <v>39775.800000000003</v>
      </c>
      <c r="G1826" s="31">
        <f t="shared" si="28"/>
        <v>0</v>
      </c>
      <c r="H1826" s="56" t="s">
        <v>9</v>
      </c>
      <c r="J1826" s="123"/>
      <c r="K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</row>
    <row r="1827" spans="1:22" x14ac:dyDescent="0.25">
      <c r="A1827" s="20">
        <v>42054</v>
      </c>
      <c r="B1827" s="21">
        <v>12524</v>
      </c>
      <c r="C1827" s="14" t="s">
        <v>651</v>
      </c>
      <c r="D1827" s="105">
        <v>13035.2</v>
      </c>
      <c r="E1827" s="23">
        <v>42054</v>
      </c>
      <c r="F1827" s="118">
        <v>13035.2</v>
      </c>
      <c r="G1827" s="31">
        <f t="shared" si="28"/>
        <v>0</v>
      </c>
      <c r="H1827" s="56" t="s">
        <v>19</v>
      </c>
      <c r="J1827" s="123"/>
      <c r="K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</row>
    <row r="1828" spans="1:22" x14ac:dyDescent="0.25">
      <c r="A1828" s="20">
        <v>42054</v>
      </c>
      <c r="B1828" s="21">
        <v>12525</v>
      </c>
      <c r="C1828" s="14" t="s">
        <v>33</v>
      </c>
      <c r="D1828" s="105">
        <v>1401.6</v>
      </c>
      <c r="E1828" s="23">
        <v>42054</v>
      </c>
      <c r="F1828" s="118">
        <v>1401.6</v>
      </c>
      <c r="G1828" s="31">
        <f t="shared" si="28"/>
        <v>0</v>
      </c>
      <c r="H1828" s="56" t="s">
        <v>62</v>
      </c>
      <c r="J1828" s="123"/>
      <c r="K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</row>
    <row r="1829" spans="1:22" x14ac:dyDescent="0.25">
      <c r="A1829" s="20">
        <v>42054</v>
      </c>
      <c r="B1829" s="21">
        <v>12526</v>
      </c>
      <c r="C1829" s="14" t="s">
        <v>33</v>
      </c>
      <c r="D1829" s="105">
        <v>537.6</v>
      </c>
      <c r="E1829" s="23">
        <v>42054</v>
      </c>
      <c r="F1829" s="118">
        <v>537.6</v>
      </c>
      <c r="G1829" s="31">
        <f t="shared" si="28"/>
        <v>0</v>
      </c>
      <c r="H1829" s="56" t="s">
        <v>9</v>
      </c>
      <c r="J1829" s="123"/>
      <c r="K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</row>
    <row r="1830" spans="1:22" x14ac:dyDescent="0.25">
      <c r="A1830" s="20">
        <v>42054</v>
      </c>
      <c r="B1830" s="21">
        <v>12527</v>
      </c>
      <c r="C1830" s="14" t="s">
        <v>33</v>
      </c>
      <c r="D1830" s="105">
        <v>242.4</v>
      </c>
      <c r="E1830" s="23">
        <v>42054</v>
      </c>
      <c r="F1830" s="118">
        <v>242.4</v>
      </c>
      <c r="G1830" s="31">
        <f t="shared" si="28"/>
        <v>0</v>
      </c>
      <c r="H1830" s="56" t="s">
        <v>9</v>
      </c>
      <c r="J1830" s="123"/>
      <c r="K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</row>
    <row r="1831" spans="1:22" x14ac:dyDescent="0.25">
      <c r="A1831" s="20">
        <v>42054</v>
      </c>
      <c r="B1831" s="21">
        <v>12528</v>
      </c>
      <c r="C1831" s="14" t="s">
        <v>14</v>
      </c>
      <c r="D1831" s="105">
        <v>138587.76</v>
      </c>
      <c r="E1831" s="23">
        <v>42062</v>
      </c>
      <c r="F1831" s="118">
        <v>138587.76</v>
      </c>
      <c r="G1831" s="31">
        <f t="shared" si="28"/>
        <v>0</v>
      </c>
      <c r="H1831" s="56" t="s">
        <v>9</v>
      </c>
      <c r="J1831" s="123"/>
      <c r="K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</row>
    <row r="1832" spans="1:22" x14ac:dyDescent="0.25">
      <c r="A1832" s="20">
        <v>42054</v>
      </c>
      <c r="B1832" s="21">
        <v>12529</v>
      </c>
      <c r="C1832" s="14" t="s">
        <v>64</v>
      </c>
      <c r="D1832" s="105">
        <v>1831.6</v>
      </c>
      <c r="E1832" s="23">
        <v>42054</v>
      </c>
      <c r="F1832" s="118">
        <v>1831.6</v>
      </c>
      <c r="G1832" s="31">
        <f t="shared" si="28"/>
        <v>0</v>
      </c>
      <c r="H1832" s="56" t="s">
        <v>9</v>
      </c>
      <c r="J1832" s="123"/>
      <c r="K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</row>
    <row r="1833" spans="1:22" x14ac:dyDescent="0.25">
      <c r="A1833" s="20">
        <v>42054</v>
      </c>
      <c r="B1833" s="21">
        <v>12530</v>
      </c>
      <c r="C1833" s="14" t="s">
        <v>341</v>
      </c>
      <c r="D1833" s="105">
        <v>400.2</v>
      </c>
      <c r="E1833" s="23">
        <v>42054</v>
      </c>
      <c r="F1833" s="118">
        <v>400.2</v>
      </c>
      <c r="G1833" s="31">
        <f t="shared" si="28"/>
        <v>0</v>
      </c>
      <c r="H1833" s="56" t="s">
        <v>9</v>
      </c>
      <c r="J1833" s="123"/>
      <c r="K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</row>
    <row r="1834" spans="1:22" x14ac:dyDescent="0.25">
      <c r="A1834" s="20">
        <v>42054</v>
      </c>
      <c r="B1834" s="21">
        <v>12531</v>
      </c>
      <c r="C1834" s="14" t="s">
        <v>110</v>
      </c>
      <c r="D1834" s="105">
        <v>43841.84</v>
      </c>
      <c r="E1834" s="23">
        <v>42063</v>
      </c>
      <c r="F1834" s="118">
        <v>43841.84</v>
      </c>
      <c r="G1834" s="31">
        <f t="shared" si="28"/>
        <v>0</v>
      </c>
      <c r="H1834" s="56" t="s">
        <v>183</v>
      </c>
      <c r="J1834" s="123"/>
      <c r="K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</row>
    <row r="1835" spans="1:22" x14ac:dyDescent="0.25">
      <c r="A1835" s="20">
        <v>42054</v>
      </c>
      <c r="B1835" s="21">
        <v>12532</v>
      </c>
      <c r="C1835" s="14" t="s">
        <v>14</v>
      </c>
      <c r="D1835" s="105">
        <v>23131.439999999999</v>
      </c>
      <c r="E1835" s="23">
        <v>42062</v>
      </c>
      <c r="F1835" s="118">
        <v>23131.439999999999</v>
      </c>
      <c r="G1835" s="31">
        <f t="shared" si="28"/>
        <v>0</v>
      </c>
      <c r="H1835" s="56" t="s">
        <v>46</v>
      </c>
      <c r="J1835" s="123"/>
      <c r="K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</row>
    <row r="1836" spans="1:22" x14ac:dyDescent="0.25">
      <c r="A1836" s="20">
        <v>42054</v>
      </c>
      <c r="B1836" s="21">
        <v>12533</v>
      </c>
      <c r="C1836" s="14" t="s">
        <v>64</v>
      </c>
      <c r="D1836" s="105">
        <v>1622.6</v>
      </c>
      <c r="E1836" s="23">
        <v>42054</v>
      </c>
      <c r="F1836" s="118">
        <v>1622.6</v>
      </c>
      <c r="G1836" s="31">
        <f t="shared" si="28"/>
        <v>0</v>
      </c>
      <c r="H1836" s="56" t="s">
        <v>9</v>
      </c>
      <c r="J1836" s="123"/>
      <c r="K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</row>
    <row r="1837" spans="1:22" x14ac:dyDescent="0.25">
      <c r="A1837" s="20">
        <v>42054</v>
      </c>
      <c r="B1837" s="21">
        <v>12534</v>
      </c>
      <c r="C1837" s="14" t="s">
        <v>76</v>
      </c>
      <c r="D1837" s="105">
        <v>3267</v>
      </c>
      <c r="E1837" s="23">
        <v>42054</v>
      </c>
      <c r="F1837" s="118">
        <v>3267</v>
      </c>
      <c r="G1837" s="31">
        <f t="shared" si="28"/>
        <v>0</v>
      </c>
      <c r="H1837" s="56" t="s">
        <v>9</v>
      </c>
      <c r="J1837" s="123"/>
      <c r="K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</row>
    <row r="1838" spans="1:22" x14ac:dyDescent="0.25">
      <c r="A1838" s="20">
        <v>42054</v>
      </c>
      <c r="B1838" s="21">
        <v>12535</v>
      </c>
      <c r="C1838" s="14" t="s">
        <v>349</v>
      </c>
      <c r="D1838" s="105">
        <v>4263.75</v>
      </c>
      <c r="E1838" s="23">
        <v>42056</v>
      </c>
      <c r="F1838" s="118">
        <v>4263.75</v>
      </c>
      <c r="G1838" s="31">
        <f t="shared" si="28"/>
        <v>0</v>
      </c>
      <c r="H1838" s="56" t="s">
        <v>149</v>
      </c>
      <c r="J1838" s="123"/>
      <c r="K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</row>
    <row r="1839" spans="1:22" x14ac:dyDescent="0.25">
      <c r="A1839" s="20">
        <v>42054</v>
      </c>
      <c r="B1839" s="21">
        <v>12536</v>
      </c>
      <c r="C1839" s="14" t="s">
        <v>552</v>
      </c>
      <c r="D1839" s="105">
        <v>1811.25</v>
      </c>
      <c r="E1839" s="23">
        <v>42056</v>
      </c>
      <c r="F1839" s="118">
        <v>1811.25</v>
      </c>
      <c r="G1839" s="31">
        <f t="shared" si="28"/>
        <v>0</v>
      </c>
      <c r="H1839" s="56" t="s">
        <v>149</v>
      </c>
      <c r="J1839" s="123"/>
      <c r="K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</row>
    <row r="1840" spans="1:22" x14ac:dyDescent="0.25">
      <c r="A1840" s="20">
        <v>42054</v>
      </c>
      <c r="B1840" s="21">
        <v>12537</v>
      </c>
      <c r="C1840" s="14" t="s">
        <v>419</v>
      </c>
      <c r="D1840" s="105">
        <v>525.6</v>
      </c>
      <c r="E1840" s="23">
        <v>42054</v>
      </c>
      <c r="F1840" s="118">
        <v>525.6</v>
      </c>
      <c r="G1840" s="31">
        <f t="shared" si="28"/>
        <v>0</v>
      </c>
      <c r="H1840" s="56" t="s">
        <v>9</v>
      </c>
      <c r="J1840" s="123"/>
      <c r="K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</row>
    <row r="1841" spans="1:22" x14ac:dyDescent="0.25">
      <c r="A1841" s="20">
        <v>42054</v>
      </c>
      <c r="B1841" s="21">
        <v>12538</v>
      </c>
      <c r="C1841" s="14" t="s">
        <v>200</v>
      </c>
      <c r="D1841" s="105">
        <v>1740.35</v>
      </c>
      <c r="E1841" s="23">
        <v>42056</v>
      </c>
      <c r="F1841" s="118">
        <v>1740.35</v>
      </c>
      <c r="G1841" s="31">
        <f t="shared" si="28"/>
        <v>0</v>
      </c>
      <c r="H1841" s="56" t="s">
        <v>149</v>
      </c>
      <c r="J1841" s="123"/>
      <c r="K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</row>
    <row r="1842" spans="1:22" x14ac:dyDescent="0.25">
      <c r="A1842" s="20">
        <v>42054</v>
      </c>
      <c r="B1842" s="21">
        <v>12539</v>
      </c>
      <c r="C1842" s="14" t="s">
        <v>440</v>
      </c>
      <c r="D1842" s="105">
        <v>1494.9</v>
      </c>
      <c r="E1842" s="23">
        <v>42054</v>
      </c>
      <c r="F1842" s="118">
        <v>1494.4</v>
      </c>
      <c r="G1842" s="31">
        <f t="shared" si="28"/>
        <v>0.5</v>
      </c>
      <c r="H1842" s="56" t="s">
        <v>9</v>
      </c>
      <c r="J1842" s="123"/>
      <c r="K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</row>
    <row r="1843" spans="1:22" x14ac:dyDescent="0.25">
      <c r="A1843" s="20">
        <v>42054</v>
      </c>
      <c r="B1843" s="21">
        <v>12540</v>
      </c>
      <c r="C1843" s="14" t="s">
        <v>552</v>
      </c>
      <c r="D1843" s="105">
        <v>18314.330000000002</v>
      </c>
      <c r="E1843" s="23">
        <v>42056</v>
      </c>
      <c r="F1843" s="118">
        <v>18314.330000000002</v>
      </c>
      <c r="G1843" s="31">
        <f t="shared" si="28"/>
        <v>0</v>
      </c>
      <c r="H1843" s="56" t="s">
        <v>149</v>
      </c>
      <c r="J1843" s="123"/>
      <c r="K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</row>
    <row r="1844" spans="1:22" x14ac:dyDescent="0.25">
      <c r="A1844" s="20">
        <v>42054</v>
      </c>
      <c r="B1844" s="21">
        <v>12541</v>
      </c>
      <c r="C1844" s="14" t="s">
        <v>691</v>
      </c>
      <c r="D1844" s="105">
        <v>9375.5</v>
      </c>
      <c r="E1844" s="23">
        <v>42060</v>
      </c>
      <c r="F1844" s="118">
        <v>9375.5</v>
      </c>
      <c r="G1844" s="31">
        <f t="shared" si="28"/>
        <v>0</v>
      </c>
      <c r="H1844" s="56" t="s">
        <v>312</v>
      </c>
      <c r="J1844" s="123"/>
      <c r="K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</row>
    <row r="1845" spans="1:22" x14ac:dyDescent="0.25">
      <c r="A1845" s="20">
        <v>42054</v>
      </c>
      <c r="B1845" s="21">
        <v>12542</v>
      </c>
      <c r="C1845" s="14" t="s">
        <v>265</v>
      </c>
      <c r="D1845" s="105">
        <v>3832.6</v>
      </c>
      <c r="E1845" s="23">
        <v>42054</v>
      </c>
      <c r="F1845" s="118">
        <v>3832.6</v>
      </c>
      <c r="G1845" s="31">
        <f t="shared" si="28"/>
        <v>0</v>
      </c>
      <c r="H1845" s="56" t="s">
        <v>9</v>
      </c>
      <c r="J1845" s="123"/>
      <c r="K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</row>
    <row r="1846" spans="1:22" x14ac:dyDescent="0.25">
      <c r="A1846" s="20">
        <v>42054</v>
      </c>
      <c r="B1846" s="21">
        <v>12543</v>
      </c>
      <c r="C1846" s="14" t="s">
        <v>265</v>
      </c>
      <c r="D1846" s="105">
        <v>648</v>
      </c>
      <c r="E1846" s="23">
        <v>42054</v>
      </c>
      <c r="F1846" s="118">
        <v>648</v>
      </c>
      <c r="G1846" s="31">
        <f t="shared" si="28"/>
        <v>0</v>
      </c>
      <c r="H1846" s="56" t="s">
        <v>9</v>
      </c>
      <c r="J1846" s="123"/>
      <c r="K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</row>
    <row r="1847" spans="1:22" x14ac:dyDescent="0.25">
      <c r="A1847" s="20">
        <v>42054</v>
      </c>
      <c r="B1847" s="21">
        <v>12544</v>
      </c>
      <c r="C1847" s="14" t="s">
        <v>198</v>
      </c>
      <c r="D1847" s="105">
        <v>14729.1</v>
      </c>
      <c r="E1847" s="23">
        <v>42056</v>
      </c>
      <c r="F1847" s="118">
        <v>14729.1</v>
      </c>
      <c r="G1847" s="31">
        <f t="shared" si="28"/>
        <v>0</v>
      </c>
      <c r="H1847" s="56" t="s">
        <v>149</v>
      </c>
      <c r="J1847" s="123"/>
      <c r="K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</row>
    <row r="1848" spans="1:22" x14ac:dyDescent="0.25">
      <c r="A1848" s="20">
        <v>42054</v>
      </c>
      <c r="B1848" s="21">
        <v>12545</v>
      </c>
      <c r="C1848" s="14" t="s">
        <v>206</v>
      </c>
      <c r="D1848" s="105">
        <v>29826</v>
      </c>
      <c r="E1848" s="29" t="s">
        <v>692</v>
      </c>
      <c r="F1848" s="118">
        <f>10530+19296</f>
        <v>29826</v>
      </c>
      <c r="G1848" s="31">
        <f t="shared" si="28"/>
        <v>0</v>
      </c>
      <c r="H1848" s="56" t="s">
        <v>149</v>
      </c>
      <c r="J1848" s="123"/>
      <c r="K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</row>
    <row r="1849" spans="1:22" x14ac:dyDescent="0.25">
      <c r="A1849" s="20">
        <v>42054</v>
      </c>
      <c r="B1849" s="21">
        <v>12546</v>
      </c>
      <c r="C1849" s="14" t="s">
        <v>197</v>
      </c>
      <c r="D1849" s="105">
        <v>4070</v>
      </c>
      <c r="E1849" s="23">
        <v>42056</v>
      </c>
      <c r="F1849" s="118">
        <v>4070</v>
      </c>
      <c r="G1849" s="31">
        <f t="shared" si="28"/>
        <v>0</v>
      </c>
      <c r="H1849" s="56" t="s">
        <v>149</v>
      </c>
      <c r="J1849" s="123"/>
      <c r="K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</row>
    <row r="1850" spans="1:22" x14ac:dyDescent="0.25">
      <c r="A1850" s="20">
        <v>42054</v>
      </c>
      <c r="B1850" s="21">
        <v>12547</v>
      </c>
      <c r="C1850" s="14" t="s">
        <v>208</v>
      </c>
      <c r="D1850" s="105">
        <v>14914.8</v>
      </c>
      <c r="E1850" s="23">
        <v>42056</v>
      </c>
      <c r="F1850" s="118">
        <v>14914.8</v>
      </c>
      <c r="G1850" s="31">
        <f t="shared" si="28"/>
        <v>0</v>
      </c>
      <c r="H1850" s="56" t="s">
        <v>149</v>
      </c>
      <c r="J1850" s="123"/>
      <c r="K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</row>
    <row r="1851" spans="1:22" x14ac:dyDescent="0.25">
      <c r="A1851" s="20">
        <v>42054</v>
      </c>
      <c r="B1851" s="21">
        <v>12548</v>
      </c>
      <c r="C1851" s="14" t="s">
        <v>208</v>
      </c>
      <c r="D1851" s="105">
        <v>4543.6000000000004</v>
      </c>
      <c r="E1851" s="23">
        <v>42056</v>
      </c>
      <c r="F1851" s="118">
        <v>4543.6000000000004</v>
      </c>
      <c r="G1851" s="31">
        <f t="shared" si="28"/>
        <v>0</v>
      </c>
      <c r="H1851" s="56" t="s">
        <v>149</v>
      </c>
      <c r="J1851" s="123"/>
      <c r="K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</row>
    <row r="1852" spans="1:22" x14ac:dyDescent="0.25">
      <c r="A1852" s="20">
        <v>42054</v>
      </c>
      <c r="B1852" s="21">
        <v>12549</v>
      </c>
      <c r="C1852" s="14" t="s">
        <v>24</v>
      </c>
      <c r="D1852" s="105">
        <v>52467.5</v>
      </c>
      <c r="E1852" s="30">
        <v>42074</v>
      </c>
      <c r="F1852" s="145">
        <v>52467.5</v>
      </c>
      <c r="G1852" s="31">
        <f t="shared" si="28"/>
        <v>0</v>
      </c>
      <c r="H1852" s="56" t="s">
        <v>183</v>
      </c>
      <c r="J1852" s="123"/>
      <c r="K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</row>
    <row r="1853" spans="1:22" x14ac:dyDescent="0.25">
      <c r="A1853" s="20">
        <v>42054</v>
      </c>
      <c r="B1853" s="21">
        <v>12550</v>
      </c>
      <c r="C1853" s="14" t="s">
        <v>204</v>
      </c>
      <c r="D1853" s="105">
        <v>5306.6</v>
      </c>
      <c r="E1853" s="23">
        <v>42056</v>
      </c>
      <c r="F1853" s="118">
        <v>5306.6</v>
      </c>
      <c r="G1853" s="31">
        <f t="shared" si="28"/>
        <v>0</v>
      </c>
      <c r="H1853" s="56" t="s">
        <v>149</v>
      </c>
      <c r="J1853" s="123"/>
      <c r="K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</row>
    <row r="1854" spans="1:22" x14ac:dyDescent="0.25">
      <c r="A1854" s="20">
        <v>42054</v>
      </c>
      <c r="B1854" s="21">
        <v>12551</v>
      </c>
      <c r="C1854" s="14" t="s">
        <v>24</v>
      </c>
      <c r="D1854" s="105">
        <v>111405.14</v>
      </c>
      <c r="E1854" s="30">
        <v>42074</v>
      </c>
      <c r="F1854" s="145">
        <v>111405.14</v>
      </c>
      <c r="G1854" s="31">
        <f t="shared" si="28"/>
        <v>0</v>
      </c>
      <c r="H1854" s="56" t="s">
        <v>36</v>
      </c>
      <c r="J1854" s="123"/>
      <c r="K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</row>
    <row r="1855" spans="1:22" x14ac:dyDescent="0.25">
      <c r="A1855" s="20">
        <v>42054</v>
      </c>
      <c r="B1855" s="21">
        <v>12552</v>
      </c>
      <c r="C1855" s="14" t="s">
        <v>420</v>
      </c>
      <c r="D1855" s="105">
        <v>4057.65</v>
      </c>
      <c r="E1855" s="23">
        <v>42056</v>
      </c>
      <c r="F1855" s="118">
        <v>4057.65</v>
      </c>
      <c r="G1855" s="31">
        <f t="shared" si="28"/>
        <v>0</v>
      </c>
      <c r="H1855" s="56" t="s">
        <v>149</v>
      </c>
      <c r="J1855" s="123"/>
      <c r="K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</row>
    <row r="1856" spans="1:22" x14ac:dyDescent="0.25">
      <c r="A1856" s="20">
        <v>42054</v>
      </c>
      <c r="B1856" s="21">
        <v>12553</v>
      </c>
      <c r="C1856" s="14" t="s">
        <v>80</v>
      </c>
      <c r="D1856" s="105">
        <v>7315.2</v>
      </c>
      <c r="E1856" s="23">
        <v>42054</v>
      </c>
      <c r="F1856" s="118">
        <v>7315.2</v>
      </c>
      <c r="G1856" s="31">
        <f t="shared" si="28"/>
        <v>0</v>
      </c>
      <c r="H1856" s="56" t="s">
        <v>9</v>
      </c>
      <c r="J1856" s="123"/>
      <c r="K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</row>
    <row r="1857" spans="1:22" x14ac:dyDescent="0.25">
      <c r="A1857" s="20">
        <v>42054</v>
      </c>
      <c r="B1857" s="21">
        <v>12554</v>
      </c>
      <c r="C1857" s="26" t="s">
        <v>12</v>
      </c>
      <c r="D1857" s="108">
        <v>0</v>
      </c>
      <c r="E1857" s="23"/>
      <c r="F1857" s="118"/>
      <c r="G1857" s="31">
        <f t="shared" si="28"/>
        <v>0</v>
      </c>
      <c r="H1857" s="56" t="s">
        <v>13</v>
      </c>
      <c r="J1857" s="123"/>
      <c r="K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</row>
    <row r="1858" spans="1:22" x14ac:dyDescent="0.25">
      <c r="A1858" s="20">
        <v>42054</v>
      </c>
      <c r="B1858" s="21">
        <v>12555</v>
      </c>
      <c r="C1858" s="14" t="s">
        <v>32</v>
      </c>
      <c r="D1858" s="105">
        <v>5616</v>
      </c>
      <c r="E1858" s="23">
        <v>42062</v>
      </c>
      <c r="F1858" s="118">
        <v>5616</v>
      </c>
      <c r="G1858" s="31">
        <f t="shared" si="28"/>
        <v>0</v>
      </c>
      <c r="H1858" s="56" t="s">
        <v>17</v>
      </c>
      <c r="J1858" s="123"/>
      <c r="K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</row>
    <row r="1859" spans="1:22" x14ac:dyDescent="0.25">
      <c r="A1859" s="20">
        <v>42054</v>
      </c>
      <c r="B1859" s="21">
        <v>12556</v>
      </c>
      <c r="C1859" s="14" t="s">
        <v>262</v>
      </c>
      <c r="D1859" s="105">
        <v>31281.599999999999</v>
      </c>
      <c r="E1859" s="23">
        <v>42061</v>
      </c>
      <c r="F1859" s="118">
        <v>31281.599999999999</v>
      </c>
      <c r="G1859" s="31">
        <f t="shared" ref="G1859:G1922" si="29">D1859-F1859</f>
        <v>0</v>
      </c>
      <c r="H1859" s="56" t="s">
        <v>149</v>
      </c>
      <c r="J1859" s="123"/>
      <c r="K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</row>
    <row r="1860" spans="1:22" x14ac:dyDescent="0.25">
      <c r="A1860" s="20">
        <v>42054</v>
      </c>
      <c r="B1860" s="21">
        <v>12557</v>
      </c>
      <c r="C1860" s="14" t="s">
        <v>693</v>
      </c>
      <c r="D1860" s="105">
        <v>64.8</v>
      </c>
      <c r="E1860" s="23">
        <v>42054</v>
      </c>
      <c r="F1860" s="106">
        <v>64.8</v>
      </c>
      <c r="G1860" s="31">
        <f t="shared" si="29"/>
        <v>0</v>
      </c>
      <c r="H1860" s="39" t="s">
        <v>9</v>
      </c>
      <c r="J1860" s="123"/>
      <c r="K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</row>
    <row r="1861" spans="1:22" x14ac:dyDescent="0.25">
      <c r="A1861" s="20">
        <v>42054</v>
      </c>
      <c r="B1861" s="21">
        <v>12558</v>
      </c>
      <c r="C1861" s="14" t="s">
        <v>207</v>
      </c>
      <c r="D1861" s="105">
        <v>67762.25</v>
      </c>
      <c r="E1861" s="23">
        <v>42060</v>
      </c>
      <c r="F1861" s="106">
        <v>67762.25</v>
      </c>
      <c r="G1861" s="31">
        <f t="shared" si="29"/>
        <v>0</v>
      </c>
      <c r="H1861" s="39" t="s">
        <v>149</v>
      </c>
      <c r="J1861" s="123"/>
      <c r="K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</row>
    <row r="1862" spans="1:22" x14ac:dyDescent="0.25">
      <c r="A1862" s="20">
        <v>42054</v>
      </c>
      <c r="B1862" s="21">
        <v>12559</v>
      </c>
      <c r="C1862" s="14" t="s">
        <v>195</v>
      </c>
      <c r="D1862" s="105">
        <v>130192.97</v>
      </c>
      <c r="E1862" s="23">
        <v>42056</v>
      </c>
      <c r="F1862" s="106">
        <v>130192.97</v>
      </c>
      <c r="G1862" s="31">
        <f t="shared" si="29"/>
        <v>0</v>
      </c>
      <c r="H1862" s="39" t="s">
        <v>9</v>
      </c>
      <c r="J1862" s="123"/>
      <c r="K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</row>
    <row r="1863" spans="1:22" x14ac:dyDescent="0.25">
      <c r="A1863" s="20">
        <v>42055</v>
      </c>
      <c r="B1863" s="21">
        <v>12560</v>
      </c>
      <c r="C1863" s="14" t="s">
        <v>21</v>
      </c>
      <c r="D1863" s="105">
        <v>2983.9</v>
      </c>
      <c r="E1863" s="23">
        <v>42055</v>
      </c>
      <c r="F1863" s="106">
        <v>2983.9</v>
      </c>
      <c r="G1863" s="31">
        <f t="shared" si="29"/>
        <v>0</v>
      </c>
      <c r="H1863" s="39" t="s">
        <v>9</v>
      </c>
      <c r="J1863" s="123"/>
      <c r="K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</row>
    <row r="1864" spans="1:22" x14ac:dyDescent="0.25">
      <c r="A1864" s="20">
        <v>42055</v>
      </c>
      <c r="B1864" s="21">
        <v>12561</v>
      </c>
      <c r="C1864" s="14" t="s">
        <v>158</v>
      </c>
      <c r="D1864" s="105">
        <v>2176</v>
      </c>
      <c r="E1864" s="23">
        <v>42055</v>
      </c>
      <c r="F1864" s="106">
        <v>2176</v>
      </c>
      <c r="G1864" s="31">
        <f t="shared" si="29"/>
        <v>0</v>
      </c>
      <c r="H1864" s="39" t="s">
        <v>9</v>
      </c>
      <c r="J1864" s="123"/>
      <c r="K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</row>
    <row r="1865" spans="1:22" x14ac:dyDescent="0.25">
      <c r="A1865" s="20">
        <v>42055</v>
      </c>
      <c r="B1865" s="21">
        <v>12562</v>
      </c>
      <c r="C1865" s="14" t="s">
        <v>267</v>
      </c>
      <c r="D1865" s="105">
        <v>1851.02</v>
      </c>
      <c r="E1865" s="23">
        <v>42055</v>
      </c>
      <c r="F1865" s="106">
        <v>1851.02</v>
      </c>
      <c r="G1865" s="31">
        <f t="shared" si="29"/>
        <v>0</v>
      </c>
      <c r="H1865" s="39" t="s">
        <v>19</v>
      </c>
      <c r="J1865" s="123"/>
      <c r="K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</row>
    <row r="1866" spans="1:22" x14ac:dyDescent="0.25">
      <c r="A1866" s="20">
        <v>42055</v>
      </c>
      <c r="B1866" s="21">
        <v>12563</v>
      </c>
      <c r="C1866" s="14" t="s">
        <v>14</v>
      </c>
      <c r="D1866" s="105">
        <v>32427.8</v>
      </c>
      <c r="E1866" s="65">
        <v>42062</v>
      </c>
      <c r="F1866" s="106">
        <v>32427.8</v>
      </c>
      <c r="G1866" s="31">
        <f t="shared" si="29"/>
        <v>0</v>
      </c>
      <c r="H1866" s="39" t="s">
        <v>9</v>
      </c>
      <c r="J1866" s="123"/>
      <c r="K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</row>
    <row r="1867" spans="1:22" x14ac:dyDescent="0.25">
      <c r="A1867" s="20">
        <v>42055</v>
      </c>
      <c r="B1867" s="21">
        <v>12564</v>
      </c>
      <c r="C1867" s="14" t="s">
        <v>22</v>
      </c>
      <c r="D1867" s="105">
        <v>1636.8</v>
      </c>
      <c r="E1867" s="65">
        <v>42055</v>
      </c>
      <c r="F1867" s="106">
        <v>1636.8</v>
      </c>
      <c r="G1867" s="31">
        <f t="shared" si="29"/>
        <v>0</v>
      </c>
      <c r="H1867" s="39" t="s">
        <v>9</v>
      </c>
      <c r="J1867" s="123"/>
      <c r="K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</row>
    <row r="1868" spans="1:22" x14ac:dyDescent="0.25">
      <c r="A1868" s="20">
        <v>42055</v>
      </c>
      <c r="B1868" s="21">
        <v>12565</v>
      </c>
      <c r="C1868" s="26" t="s">
        <v>12</v>
      </c>
      <c r="D1868" s="108">
        <v>0</v>
      </c>
      <c r="E1868" s="65"/>
      <c r="F1868" s="106"/>
      <c r="G1868" s="31">
        <f t="shared" si="29"/>
        <v>0</v>
      </c>
      <c r="H1868" s="39" t="s">
        <v>13</v>
      </c>
      <c r="J1868" s="123"/>
      <c r="K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</row>
    <row r="1869" spans="1:22" x14ac:dyDescent="0.25">
      <c r="A1869" s="20">
        <v>42055</v>
      </c>
      <c r="B1869" s="21">
        <v>12566</v>
      </c>
      <c r="C1869" s="14" t="s">
        <v>148</v>
      </c>
      <c r="D1869" s="105">
        <v>3596</v>
      </c>
      <c r="E1869" s="65">
        <v>42056</v>
      </c>
      <c r="F1869" s="106">
        <v>3596</v>
      </c>
      <c r="G1869" s="31">
        <f t="shared" si="29"/>
        <v>0</v>
      </c>
      <c r="H1869" s="39" t="s">
        <v>9</v>
      </c>
      <c r="J1869" s="123"/>
      <c r="K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</row>
    <row r="1870" spans="1:22" x14ac:dyDescent="0.25">
      <c r="A1870" s="20">
        <v>42055</v>
      </c>
      <c r="B1870" s="21">
        <v>12567</v>
      </c>
      <c r="C1870" s="14" t="s">
        <v>16</v>
      </c>
      <c r="D1870" s="105">
        <v>7089.8</v>
      </c>
      <c r="E1870" s="65">
        <v>42055</v>
      </c>
      <c r="F1870" s="106">
        <v>7089.8</v>
      </c>
      <c r="G1870" s="31">
        <f t="shared" si="29"/>
        <v>0</v>
      </c>
      <c r="H1870" s="19" t="s">
        <v>19</v>
      </c>
      <c r="J1870" s="123"/>
      <c r="K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</row>
    <row r="1871" spans="1:22" x14ac:dyDescent="0.25">
      <c r="A1871" s="20">
        <v>42055</v>
      </c>
      <c r="B1871" s="21">
        <v>12568</v>
      </c>
      <c r="C1871" s="14" t="s">
        <v>103</v>
      </c>
      <c r="D1871" s="105">
        <v>4908.8</v>
      </c>
      <c r="E1871" s="65">
        <v>42055</v>
      </c>
      <c r="F1871" s="106">
        <v>4908.8</v>
      </c>
      <c r="G1871" s="31">
        <f t="shared" si="29"/>
        <v>0</v>
      </c>
      <c r="H1871" s="19" t="s">
        <v>9</v>
      </c>
      <c r="J1871" s="123"/>
      <c r="K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</row>
    <row r="1872" spans="1:22" x14ac:dyDescent="0.25">
      <c r="A1872" s="20">
        <v>42055</v>
      </c>
      <c r="B1872" s="21">
        <v>12569</v>
      </c>
      <c r="C1872" s="14" t="s">
        <v>48</v>
      </c>
      <c r="D1872" s="105">
        <v>5146.8</v>
      </c>
      <c r="E1872" s="65">
        <v>42055</v>
      </c>
      <c r="F1872" s="106">
        <v>5146.8</v>
      </c>
      <c r="G1872" s="31">
        <f t="shared" si="29"/>
        <v>0</v>
      </c>
      <c r="H1872" s="19" t="s">
        <v>94</v>
      </c>
      <c r="J1872" s="123"/>
      <c r="K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</row>
    <row r="1873" spans="1:22" x14ac:dyDescent="0.25">
      <c r="A1873" s="20">
        <v>42055</v>
      </c>
      <c r="B1873" s="21">
        <v>12570</v>
      </c>
      <c r="C1873" s="14" t="s">
        <v>114</v>
      </c>
      <c r="D1873" s="105">
        <v>8710.5499999999993</v>
      </c>
      <c r="E1873" s="65">
        <v>42055</v>
      </c>
      <c r="F1873" s="106">
        <v>8710.5499999999993</v>
      </c>
      <c r="G1873" s="31">
        <f t="shared" si="29"/>
        <v>0</v>
      </c>
      <c r="H1873" s="19" t="s">
        <v>9</v>
      </c>
      <c r="J1873" s="123"/>
      <c r="K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</row>
    <row r="1874" spans="1:22" x14ac:dyDescent="0.25">
      <c r="A1874" s="20">
        <v>42055</v>
      </c>
      <c r="B1874" s="21">
        <v>12571</v>
      </c>
      <c r="C1874" s="14" t="s">
        <v>78</v>
      </c>
      <c r="D1874" s="105">
        <v>8148.8</v>
      </c>
      <c r="E1874" s="65">
        <v>42056</v>
      </c>
      <c r="F1874" s="106">
        <v>8148.8</v>
      </c>
      <c r="G1874" s="31">
        <f t="shared" si="29"/>
        <v>0</v>
      </c>
      <c r="H1874" s="19" t="s">
        <v>62</v>
      </c>
      <c r="J1874" s="123"/>
      <c r="K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</row>
    <row r="1875" spans="1:22" x14ac:dyDescent="0.25">
      <c r="A1875" s="20">
        <v>42055</v>
      </c>
      <c r="B1875" s="21">
        <v>12572</v>
      </c>
      <c r="C1875" s="14" t="s">
        <v>24</v>
      </c>
      <c r="D1875" s="105">
        <v>2944.4</v>
      </c>
      <c r="E1875" s="65">
        <v>42063</v>
      </c>
      <c r="F1875" s="106">
        <v>2944.4</v>
      </c>
      <c r="G1875" s="31">
        <f t="shared" si="29"/>
        <v>0</v>
      </c>
      <c r="H1875" s="19" t="s">
        <v>9</v>
      </c>
      <c r="J1875" s="123"/>
      <c r="K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</row>
    <row r="1876" spans="1:22" x14ac:dyDescent="0.25">
      <c r="A1876" s="20">
        <v>42055</v>
      </c>
      <c r="B1876" s="21">
        <v>12573</v>
      </c>
      <c r="C1876" s="14" t="s">
        <v>67</v>
      </c>
      <c r="D1876" s="105">
        <v>5626.8</v>
      </c>
      <c r="E1876" s="65">
        <v>42058</v>
      </c>
      <c r="F1876" s="106">
        <v>5626.8</v>
      </c>
      <c r="G1876" s="31">
        <f t="shared" si="29"/>
        <v>0</v>
      </c>
      <c r="H1876" s="19" t="s">
        <v>62</v>
      </c>
      <c r="J1876" s="123"/>
      <c r="K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</row>
    <row r="1877" spans="1:22" x14ac:dyDescent="0.25">
      <c r="A1877" s="20">
        <v>42055</v>
      </c>
      <c r="B1877" s="21">
        <v>12574</v>
      </c>
      <c r="C1877" s="14" t="s">
        <v>375</v>
      </c>
      <c r="D1877" s="105">
        <v>5698.45</v>
      </c>
      <c r="E1877" s="65">
        <v>42055</v>
      </c>
      <c r="F1877" s="106">
        <v>5698.45</v>
      </c>
      <c r="G1877" s="31">
        <f t="shared" si="29"/>
        <v>0</v>
      </c>
      <c r="H1877" s="19" t="s">
        <v>9</v>
      </c>
      <c r="J1877" s="123"/>
      <c r="K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</row>
    <row r="1878" spans="1:22" x14ac:dyDescent="0.25">
      <c r="A1878" s="20">
        <v>42055</v>
      </c>
      <c r="B1878" s="21">
        <v>12575</v>
      </c>
      <c r="C1878" s="26" t="s">
        <v>12</v>
      </c>
      <c r="D1878" s="108">
        <v>0</v>
      </c>
      <c r="E1878" s="65"/>
      <c r="F1878" s="106"/>
      <c r="G1878" s="31">
        <f t="shared" si="29"/>
        <v>0</v>
      </c>
      <c r="H1878" s="19" t="s">
        <v>13</v>
      </c>
      <c r="J1878" s="123"/>
      <c r="K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</row>
    <row r="1879" spans="1:22" x14ac:dyDescent="0.25">
      <c r="A1879" s="20">
        <v>42055</v>
      </c>
      <c r="B1879" s="21">
        <v>12576</v>
      </c>
      <c r="C1879" s="14" t="s">
        <v>383</v>
      </c>
      <c r="D1879" s="105">
        <v>5654.9</v>
      </c>
      <c r="E1879" s="65">
        <v>42055</v>
      </c>
      <c r="F1879" s="106">
        <v>5654.9</v>
      </c>
      <c r="G1879" s="31">
        <f t="shared" si="29"/>
        <v>0</v>
      </c>
      <c r="H1879" s="19" t="s">
        <v>9</v>
      </c>
      <c r="J1879" s="123"/>
      <c r="K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</row>
    <row r="1880" spans="1:22" x14ac:dyDescent="0.25">
      <c r="A1880" s="20">
        <v>42055</v>
      </c>
      <c r="B1880" s="21">
        <v>12577</v>
      </c>
      <c r="C1880" s="14" t="s">
        <v>65</v>
      </c>
      <c r="D1880" s="105">
        <v>17736.8</v>
      </c>
      <c r="E1880" s="65">
        <v>42056</v>
      </c>
      <c r="F1880" s="106">
        <v>17736.8</v>
      </c>
      <c r="G1880" s="31">
        <f t="shared" si="29"/>
        <v>0</v>
      </c>
      <c r="H1880" s="19" t="s">
        <v>62</v>
      </c>
      <c r="K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</row>
    <row r="1881" spans="1:22" x14ac:dyDescent="0.25">
      <c r="A1881" s="20">
        <v>42055</v>
      </c>
      <c r="B1881" s="21">
        <v>12578</v>
      </c>
      <c r="C1881" s="14" t="s">
        <v>268</v>
      </c>
      <c r="D1881" s="105">
        <v>7836.6</v>
      </c>
      <c r="E1881" s="65">
        <v>42056</v>
      </c>
      <c r="F1881" s="106">
        <v>7836.6</v>
      </c>
      <c r="G1881" s="31">
        <f t="shared" si="29"/>
        <v>0</v>
      </c>
      <c r="H1881" s="19" t="s">
        <v>62</v>
      </c>
      <c r="K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</row>
    <row r="1882" spans="1:22" x14ac:dyDescent="0.25">
      <c r="A1882" s="20">
        <v>42055</v>
      </c>
      <c r="B1882" s="21">
        <v>12579</v>
      </c>
      <c r="C1882" s="14" t="s">
        <v>125</v>
      </c>
      <c r="D1882" s="105">
        <v>11685.6</v>
      </c>
      <c r="E1882" s="65">
        <v>42060</v>
      </c>
      <c r="F1882" s="106">
        <v>11685.6</v>
      </c>
      <c r="G1882" s="31">
        <f t="shared" si="29"/>
        <v>0</v>
      </c>
      <c r="H1882" s="19" t="s">
        <v>9</v>
      </c>
      <c r="K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</row>
    <row r="1883" spans="1:22" x14ac:dyDescent="0.25">
      <c r="A1883" s="20">
        <v>42055</v>
      </c>
      <c r="B1883" s="21">
        <v>12580</v>
      </c>
      <c r="C1883" s="14" t="s">
        <v>43</v>
      </c>
      <c r="D1883" s="105">
        <v>18200.3</v>
      </c>
      <c r="E1883" s="65">
        <v>42055</v>
      </c>
      <c r="F1883" s="106">
        <v>18200.3</v>
      </c>
      <c r="G1883" s="31">
        <f t="shared" si="29"/>
        <v>0</v>
      </c>
      <c r="H1883" s="19" t="s">
        <v>9</v>
      </c>
      <c r="K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</row>
    <row r="1884" spans="1:22" x14ac:dyDescent="0.25">
      <c r="A1884" s="20">
        <v>42055</v>
      </c>
      <c r="B1884" s="21">
        <v>12581</v>
      </c>
      <c r="C1884" s="14" t="s">
        <v>110</v>
      </c>
      <c r="D1884" s="105">
        <v>50545.72</v>
      </c>
      <c r="E1884" s="65">
        <v>42063</v>
      </c>
      <c r="F1884" s="106">
        <v>50545.72</v>
      </c>
      <c r="G1884" s="31">
        <f t="shared" si="29"/>
        <v>0</v>
      </c>
      <c r="H1884" s="19" t="s">
        <v>46</v>
      </c>
      <c r="K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</row>
    <row r="1885" spans="1:22" x14ac:dyDescent="0.25">
      <c r="A1885" s="20">
        <v>42055</v>
      </c>
      <c r="B1885" s="21">
        <v>12582</v>
      </c>
      <c r="C1885" s="14" t="s">
        <v>64</v>
      </c>
      <c r="D1885" s="105">
        <v>980.4</v>
      </c>
      <c r="E1885" s="65">
        <v>42055</v>
      </c>
      <c r="F1885" s="106">
        <v>980.4</v>
      </c>
      <c r="G1885" s="31">
        <f t="shared" si="29"/>
        <v>0</v>
      </c>
      <c r="H1885" s="19" t="s">
        <v>9</v>
      </c>
      <c r="K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</row>
    <row r="1886" spans="1:22" x14ac:dyDescent="0.25">
      <c r="A1886" s="20">
        <v>42055</v>
      </c>
      <c r="B1886" s="21">
        <v>12583</v>
      </c>
      <c r="C1886" s="14" t="s">
        <v>26</v>
      </c>
      <c r="D1886" s="105">
        <v>2760</v>
      </c>
      <c r="E1886" s="65">
        <v>42055</v>
      </c>
      <c r="F1886" s="106">
        <v>2760</v>
      </c>
      <c r="G1886" s="31">
        <f t="shared" si="29"/>
        <v>0</v>
      </c>
      <c r="H1886" s="19" t="s">
        <v>27</v>
      </c>
      <c r="K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</row>
    <row r="1887" spans="1:22" x14ac:dyDescent="0.25">
      <c r="A1887" s="20">
        <v>42055</v>
      </c>
      <c r="B1887" s="21">
        <v>12584</v>
      </c>
      <c r="C1887" s="14" t="s">
        <v>170</v>
      </c>
      <c r="D1887" s="105">
        <v>7347.7</v>
      </c>
      <c r="E1887" s="65">
        <v>42056</v>
      </c>
      <c r="F1887" s="106">
        <v>7347.7</v>
      </c>
      <c r="G1887" s="31">
        <f t="shared" si="29"/>
        <v>0</v>
      </c>
      <c r="H1887" s="19" t="s">
        <v>62</v>
      </c>
      <c r="K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</row>
    <row r="1888" spans="1:22" x14ac:dyDescent="0.25">
      <c r="A1888" s="20">
        <v>42055</v>
      </c>
      <c r="B1888" s="21">
        <v>12585</v>
      </c>
      <c r="C1888" s="14" t="s">
        <v>59</v>
      </c>
      <c r="D1888" s="105">
        <v>4016</v>
      </c>
      <c r="E1888" s="65">
        <v>42055</v>
      </c>
      <c r="F1888" s="106">
        <v>4016</v>
      </c>
      <c r="G1888" s="31">
        <f t="shared" si="29"/>
        <v>0</v>
      </c>
      <c r="H1888" s="19" t="s">
        <v>9</v>
      </c>
      <c r="K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</row>
    <row r="1889" spans="1:22" x14ac:dyDescent="0.25">
      <c r="A1889" s="20">
        <v>42055</v>
      </c>
      <c r="B1889" s="21">
        <v>12586</v>
      </c>
      <c r="C1889" s="14" t="s">
        <v>694</v>
      </c>
      <c r="D1889" s="105">
        <v>1524.9</v>
      </c>
      <c r="E1889" s="65">
        <v>42055</v>
      </c>
      <c r="F1889" s="106">
        <v>1524.9</v>
      </c>
      <c r="G1889" s="31">
        <f t="shared" si="29"/>
        <v>0</v>
      </c>
      <c r="H1889" s="19" t="s">
        <v>9</v>
      </c>
      <c r="K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</row>
    <row r="1890" spans="1:22" x14ac:dyDescent="0.25">
      <c r="A1890" s="20">
        <v>42055</v>
      </c>
      <c r="B1890" s="21">
        <v>12587</v>
      </c>
      <c r="C1890" s="14" t="s">
        <v>118</v>
      </c>
      <c r="D1890" s="105">
        <v>12713.6</v>
      </c>
      <c r="E1890" s="65">
        <v>42060</v>
      </c>
      <c r="F1890" s="106">
        <v>12713.6</v>
      </c>
      <c r="G1890" s="31">
        <f t="shared" si="29"/>
        <v>0</v>
      </c>
      <c r="H1890" s="19" t="s">
        <v>59</v>
      </c>
      <c r="I1890" s="3"/>
      <c r="J1890" s="42"/>
      <c r="K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</row>
    <row r="1891" spans="1:22" x14ac:dyDescent="0.25">
      <c r="A1891" s="20">
        <v>42055</v>
      </c>
      <c r="B1891" s="21">
        <v>12588</v>
      </c>
      <c r="C1891" s="14" t="s">
        <v>571</v>
      </c>
      <c r="D1891" s="105">
        <v>13806.8</v>
      </c>
      <c r="E1891" s="65">
        <v>42060</v>
      </c>
      <c r="F1891" s="106">
        <v>13806.8</v>
      </c>
      <c r="G1891" s="31">
        <f t="shared" si="29"/>
        <v>0</v>
      </c>
      <c r="H1891" s="19" t="s">
        <v>669</v>
      </c>
      <c r="I1891" s="3"/>
      <c r="J1891" s="42"/>
      <c r="K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</row>
    <row r="1892" spans="1:22" x14ac:dyDescent="0.25">
      <c r="A1892" s="20">
        <v>42055</v>
      </c>
      <c r="B1892" s="21">
        <v>12589</v>
      </c>
      <c r="C1892" s="14" t="s">
        <v>168</v>
      </c>
      <c r="D1892" s="105">
        <v>3885.8</v>
      </c>
      <c r="E1892" s="65">
        <v>42055</v>
      </c>
      <c r="F1892" s="106">
        <v>3885.8</v>
      </c>
      <c r="G1892" s="31">
        <f t="shared" si="29"/>
        <v>0</v>
      </c>
      <c r="H1892" s="19" t="s">
        <v>59</v>
      </c>
      <c r="I1892" s="3"/>
      <c r="J1892" s="42"/>
      <c r="K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</row>
    <row r="1893" spans="1:22" x14ac:dyDescent="0.25">
      <c r="A1893" s="20">
        <v>42055</v>
      </c>
      <c r="B1893" s="21">
        <v>12590</v>
      </c>
      <c r="C1893" s="14" t="s">
        <v>155</v>
      </c>
      <c r="D1893" s="105">
        <v>1506.5</v>
      </c>
      <c r="E1893" s="65">
        <v>42055</v>
      </c>
      <c r="F1893" s="106">
        <v>1506.5</v>
      </c>
      <c r="G1893" s="48">
        <f t="shared" si="29"/>
        <v>0</v>
      </c>
      <c r="H1893" s="19" t="s">
        <v>59</v>
      </c>
      <c r="I1893" s="3"/>
      <c r="J1893" s="42"/>
      <c r="K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</row>
    <row r="1894" spans="1:22" x14ac:dyDescent="0.25">
      <c r="A1894" s="20">
        <v>42055</v>
      </c>
      <c r="B1894" s="21">
        <v>12591</v>
      </c>
      <c r="C1894" s="14" t="s">
        <v>292</v>
      </c>
      <c r="D1894" s="105">
        <v>3142.8</v>
      </c>
      <c r="E1894" s="65">
        <v>42055</v>
      </c>
      <c r="F1894" s="106">
        <v>3142.8</v>
      </c>
      <c r="G1894" s="31">
        <f t="shared" si="29"/>
        <v>0</v>
      </c>
      <c r="H1894" s="19" t="s">
        <v>59</v>
      </c>
      <c r="I1894" s="3"/>
      <c r="J1894" s="42"/>
      <c r="K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</row>
    <row r="1895" spans="1:22" x14ac:dyDescent="0.25">
      <c r="A1895" s="20">
        <v>42055</v>
      </c>
      <c r="B1895" s="21">
        <v>12592</v>
      </c>
      <c r="C1895" s="14" t="s">
        <v>34</v>
      </c>
      <c r="D1895" s="105">
        <v>3600</v>
      </c>
      <c r="E1895" s="65">
        <v>42055</v>
      </c>
      <c r="F1895" s="106">
        <v>3600</v>
      </c>
      <c r="G1895" s="31">
        <f t="shared" si="29"/>
        <v>0</v>
      </c>
      <c r="H1895" s="19" t="s">
        <v>9</v>
      </c>
      <c r="I1895" s="3"/>
      <c r="J1895" s="42"/>
      <c r="K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</row>
    <row r="1896" spans="1:22" x14ac:dyDescent="0.25">
      <c r="A1896" s="20">
        <v>42055</v>
      </c>
      <c r="B1896" s="21">
        <v>12593</v>
      </c>
      <c r="C1896" s="14" t="s">
        <v>81</v>
      </c>
      <c r="D1896" s="105">
        <v>2928.4</v>
      </c>
      <c r="E1896" s="65">
        <v>42055</v>
      </c>
      <c r="F1896" s="106">
        <v>2928.4</v>
      </c>
      <c r="G1896" s="31">
        <f t="shared" si="29"/>
        <v>0</v>
      </c>
      <c r="H1896" s="19" t="s">
        <v>59</v>
      </c>
      <c r="I1896" s="3"/>
      <c r="J1896" s="42"/>
      <c r="K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</row>
    <row r="1897" spans="1:22" x14ac:dyDescent="0.25">
      <c r="A1897" s="20">
        <v>42055</v>
      </c>
      <c r="B1897" s="21">
        <v>12594</v>
      </c>
      <c r="C1897" s="14" t="s">
        <v>131</v>
      </c>
      <c r="D1897" s="105">
        <v>32552.799999999999</v>
      </c>
      <c r="E1897" s="65">
        <v>42063</v>
      </c>
      <c r="F1897" s="106">
        <v>32552.799999999999</v>
      </c>
      <c r="G1897" s="31">
        <f t="shared" si="29"/>
        <v>0</v>
      </c>
      <c r="H1897" s="19" t="s">
        <v>9</v>
      </c>
      <c r="I1897" s="3"/>
      <c r="J1897" s="42"/>
      <c r="K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</row>
    <row r="1898" spans="1:22" x14ac:dyDescent="0.25">
      <c r="A1898" s="20">
        <v>42055</v>
      </c>
      <c r="B1898" s="21">
        <v>12595</v>
      </c>
      <c r="C1898" s="14" t="s">
        <v>675</v>
      </c>
      <c r="D1898" s="105">
        <v>972</v>
      </c>
      <c r="E1898" s="65">
        <v>42055</v>
      </c>
      <c r="F1898" s="106">
        <v>972</v>
      </c>
      <c r="G1898" s="31">
        <f t="shared" si="29"/>
        <v>0</v>
      </c>
      <c r="H1898" s="19" t="s">
        <v>9</v>
      </c>
      <c r="I1898" s="3"/>
      <c r="J1898" s="42"/>
      <c r="K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</row>
    <row r="1899" spans="1:22" x14ac:dyDescent="0.25">
      <c r="A1899" s="20">
        <v>42055</v>
      </c>
      <c r="B1899" s="21">
        <v>12596</v>
      </c>
      <c r="C1899" s="14" t="s">
        <v>270</v>
      </c>
      <c r="D1899" s="105">
        <v>1480</v>
      </c>
      <c r="E1899" s="65">
        <v>42055</v>
      </c>
      <c r="F1899" s="106">
        <v>1480</v>
      </c>
      <c r="G1899" s="31">
        <f t="shared" si="29"/>
        <v>0</v>
      </c>
      <c r="H1899" s="19" t="s">
        <v>9</v>
      </c>
      <c r="I1899" s="3"/>
      <c r="J1899" s="42"/>
      <c r="K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</row>
    <row r="1900" spans="1:22" x14ac:dyDescent="0.25">
      <c r="A1900" s="20">
        <v>42055</v>
      </c>
      <c r="B1900" s="21">
        <v>12597</v>
      </c>
      <c r="C1900" s="14" t="s">
        <v>53</v>
      </c>
      <c r="D1900" s="105">
        <v>1011.5</v>
      </c>
      <c r="E1900" s="65">
        <v>42055</v>
      </c>
      <c r="F1900" s="106">
        <v>1011.5</v>
      </c>
      <c r="G1900" s="31">
        <f t="shared" si="29"/>
        <v>0</v>
      </c>
      <c r="H1900" s="19" t="s">
        <v>59</v>
      </c>
      <c r="I1900" s="3"/>
      <c r="J1900" s="42"/>
      <c r="K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</row>
    <row r="1901" spans="1:22" x14ac:dyDescent="0.25">
      <c r="A1901" s="20">
        <v>42055</v>
      </c>
      <c r="B1901" s="21">
        <v>12598</v>
      </c>
      <c r="C1901" s="14" t="s">
        <v>238</v>
      </c>
      <c r="D1901" s="105">
        <v>1487.4</v>
      </c>
      <c r="E1901" s="65">
        <v>42055</v>
      </c>
      <c r="F1901" s="106">
        <v>1487.4</v>
      </c>
      <c r="G1901" s="31">
        <f t="shared" si="29"/>
        <v>0</v>
      </c>
      <c r="H1901" s="19" t="s">
        <v>59</v>
      </c>
      <c r="I1901" s="3"/>
      <c r="J1901" s="42"/>
      <c r="K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</row>
    <row r="1902" spans="1:22" x14ac:dyDescent="0.25">
      <c r="A1902" s="20">
        <v>42055</v>
      </c>
      <c r="B1902" s="21">
        <v>12599</v>
      </c>
      <c r="C1902" s="14" t="s">
        <v>18</v>
      </c>
      <c r="D1902" s="105">
        <v>51059.4</v>
      </c>
      <c r="E1902" s="65">
        <v>42057</v>
      </c>
      <c r="F1902" s="106">
        <v>51059.4</v>
      </c>
      <c r="G1902" s="31">
        <f t="shared" si="29"/>
        <v>0</v>
      </c>
      <c r="H1902" s="19" t="s">
        <v>9</v>
      </c>
      <c r="I1902" s="3"/>
      <c r="J1902" s="42"/>
      <c r="K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</row>
    <row r="1903" spans="1:22" x14ac:dyDescent="0.25">
      <c r="A1903" s="20">
        <v>42055</v>
      </c>
      <c r="B1903" s="21">
        <v>12600</v>
      </c>
      <c r="C1903" s="14" t="s">
        <v>82</v>
      </c>
      <c r="D1903" s="105">
        <v>7370.8</v>
      </c>
      <c r="E1903" s="65">
        <v>42055</v>
      </c>
      <c r="F1903" s="106">
        <v>7370.8</v>
      </c>
      <c r="G1903" s="31">
        <f t="shared" si="29"/>
        <v>0</v>
      </c>
      <c r="H1903" s="19" t="s">
        <v>59</v>
      </c>
      <c r="I1903" s="3"/>
      <c r="J1903" s="42"/>
      <c r="K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</row>
    <row r="1904" spans="1:22" x14ac:dyDescent="0.25">
      <c r="A1904" s="20">
        <v>42055</v>
      </c>
      <c r="B1904" s="21">
        <v>12601</v>
      </c>
      <c r="C1904" s="14" t="s">
        <v>57</v>
      </c>
      <c r="D1904" s="105">
        <v>1260</v>
      </c>
      <c r="E1904" s="65">
        <v>42055</v>
      </c>
      <c r="F1904" s="106">
        <v>1260</v>
      </c>
      <c r="G1904" s="31">
        <f t="shared" si="29"/>
        <v>0</v>
      </c>
      <c r="H1904" s="19" t="s">
        <v>59</v>
      </c>
      <c r="I1904" s="3"/>
      <c r="J1904" s="42"/>
      <c r="K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</row>
    <row r="1905" spans="1:22" x14ac:dyDescent="0.25">
      <c r="A1905" s="20">
        <v>42055</v>
      </c>
      <c r="B1905" s="21">
        <v>12602</v>
      </c>
      <c r="C1905" s="14" t="s">
        <v>58</v>
      </c>
      <c r="D1905" s="105">
        <v>360</v>
      </c>
      <c r="E1905" s="65">
        <v>42055</v>
      </c>
      <c r="F1905" s="106">
        <v>360</v>
      </c>
      <c r="G1905" s="31">
        <f t="shared" si="29"/>
        <v>0</v>
      </c>
      <c r="H1905" s="19" t="s">
        <v>59</v>
      </c>
      <c r="I1905" s="3"/>
      <c r="J1905" s="42"/>
      <c r="K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</row>
    <row r="1906" spans="1:22" x14ac:dyDescent="0.25">
      <c r="A1906" s="20">
        <v>42055</v>
      </c>
      <c r="B1906" s="21">
        <v>12603</v>
      </c>
      <c r="C1906" s="14" t="s">
        <v>214</v>
      </c>
      <c r="D1906" s="105">
        <v>1080</v>
      </c>
      <c r="E1906" s="65">
        <v>42055</v>
      </c>
      <c r="F1906" s="106">
        <v>1080</v>
      </c>
      <c r="G1906" s="31">
        <f t="shared" si="29"/>
        <v>0</v>
      </c>
      <c r="H1906" s="19" t="s">
        <v>59</v>
      </c>
      <c r="I1906" s="3"/>
      <c r="J1906" s="42"/>
      <c r="K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</row>
    <row r="1907" spans="1:22" x14ac:dyDescent="0.25">
      <c r="A1907" s="20">
        <v>42055</v>
      </c>
      <c r="B1907" s="21">
        <v>12604</v>
      </c>
      <c r="C1907" s="14" t="s">
        <v>112</v>
      </c>
      <c r="D1907" s="105">
        <v>746</v>
      </c>
      <c r="E1907" s="65">
        <v>42055</v>
      </c>
      <c r="F1907" s="106">
        <v>746</v>
      </c>
      <c r="G1907" s="31">
        <f t="shared" si="29"/>
        <v>0</v>
      </c>
      <c r="H1907" s="19" t="s">
        <v>9</v>
      </c>
      <c r="I1907" s="3"/>
      <c r="J1907" s="42"/>
      <c r="K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</row>
    <row r="1908" spans="1:22" x14ac:dyDescent="0.25">
      <c r="A1908" s="20">
        <v>42055</v>
      </c>
      <c r="B1908" s="21">
        <v>12605</v>
      </c>
      <c r="C1908" s="14" t="s">
        <v>135</v>
      </c>
      <c r="D1908" s="105">
        <v>2800</v>
      </c>
      <c r="E1908" s="65">
        <v>42055</v>
      </c>
      <c r="F1908" s="106">
        <v>2800</v>
      </c>
      <c r="G1908" s="31">
        <f t="shared" si="29"/>
        <v>0</v>
      </c>
      <c r="H1908" s="19" t="s">
        <v>9</v>
      </c>
      <c r="I1908" s="3"/>
      <c r="J1908" s="42"/>
      <c r="K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</row>
    <row r="1909" spans="1:22" x14ac:dyDescent="0.25">
      <c r="A1909" s="20">
        <v>42055</v>
      </c>
      <c r="B1909" s="21">
        <v>12606</v>
      </c>
      <c r="C1909" s="14" t="s">
        <v>127</v>
      </c>
      <c r="D1909" s="105">
        <v>12315.5</v>
      </c>
      <c r="E1909" s="65">
        <v>42055</v>
      </c>
      <c r="F1909" s="106">
        <v>12315.5</v>
      </c>
      <c r="G1909" s="31">
        <f t="shared" si="29"/>
        <v>0</v>
      </c>
      <c r="H1909" s="19" t="s">
        <v>9</v>
      </c>
      <c r="I1909" s="3"/>
      <c r="J1909" s="42"/>
      <c r="K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</row>
    <row r="1910" spans="1:22" x14ac:dyDescent="0.25">
      <c r="A1910" s="20">
        <v>42055</v>
      </c>
      <c r="B1910" s="21">
        <v>12607</v>
      </c>
      <c r="C1910" s="14" t="s">
        <v>130</v>
      </c>
      <c r="D1910" s="105">
        <v>3902.3</v>
      </c>
      <c r="E1910" s="65">
        <v>42059</v>
      </c>
      <c r="F1910" s="106">
        <v>3902.3</v>
      </c>
      <c r="G1910" s="31">
        <f t="shared" si="29"/>
        <v>0</v>
      </c>
      <c r="H1910" s="19" t="s">
        <v>19</v>
      </c>
      <c r="I1910" s="3"/>
      <c r="J1910" s="42"/>
      <c r="K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</row>
    <row r="1911" spans="1:22" x14ac:dyDescent="0.25">
      <c r="A1911" s="20">
        <v>42055</v>
      </c>
      <c r="B1911" s="21">
        <v>12608</v>
      </c>
      <c r="C1911" s="14" t="s">
        <v>229</v>
      </c>
      <c r="D1911" s="105">
        <v>1091.2</v>
      </c>
      <c r="E1911" s="65">
        <v>42055</v>
      </c>
      <c r="F1911" s="106">
        <v>1091.2</v>
      </c>
      <c r="G1911" s="31">
        <f t="shared" si="29"/>
        <v>0</v>
      </c>
      <c r="H1911" s="19" t="s">
        <v>15</v>
      </c>
      <c r="I1911" s="3"/>
      <c r="J1911" s="42"/>
      <c r="K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</row>
    <row r="1912" spans="1:22" x14ac:dyDescent="0.25">
      <c r="A1912" s="20">
        <v>42055</v>
      </c>
      <c r="B1912" s="21">
        <v>12609</v>
      </c>
      <c r="C1912" s="14" t="s">
        <v>106</v>
      </c>
      <c r="D1912" s="105">
        <v>1445.4</v>
      </c>
      <c r="E1912" s="65">
        <v>42055</v>
      </c>
      <c r="F1912" s="106">
        <v>1445.4</v>
      </c>
      <c r="G1912" s="31">
        <f t="shared" si="29"/>
        <v>0</v>
      </c>
      <c r="H1912" s="19" t="s">
        <v>15</v>
      </c>
      <c r="I1912" s="3"/>
      <c r="J1912" s="42"/>
      <c r="K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</row>
    <row r="1913" spans="1:22" x14ac:dyDescent="0.25">
      <c r="A1913" s="20">
        <v>42055</v>
      </c>
      <c r="B1913" s="21">
        <v>12610</v>
      </c>
      <c r="C1913" s="14" t="s">
        <v>151</v>
      </c>
      <c r="D1913" s="105">
        <v>3785.8</v>
      </c>
      <c r="E1913" s="65">
        <v>42056</v>
      </c>
      <c r="F1913" s="106">
        <v>3785.8</v>
      </c>
      <c r="G1913" s="31">
        <f t="shared" si="29"/>
        <v>0</v>
      </c>
      <c r="H1913" s="19" t="s">
        <v>9</v>
      </c>
      <c r="I1913" s="3"/>
      <c r="J1913" s="42"/>
      <c r="K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</row>
    <row r="1914" spans="1:22" x14ac:dyDescent="0.25">
      <c r="A1914" s="20">
        <v>42055</v>
      </c>
      <c r="B1914" s="21">
        <v>12611</v>
      </c>
      <c r="C1914" s="14" t="s">
        <v>89</v>
      </c>
      <c r="D1914" s="105">
        <v>2819</v>
      </c>
      <c r="E1914" s="65">
        <v>42055</v>
      </c>
      <c r="F1914" s="106">
        <v>2819</v>
      </c>
      <c r="G1914" s="31">
        <f t="shared" si="29"/>
        <v>0</v>
      </c>
      <c r="H1914" s="19" t="s">
        <v>9</v>
      </c>
      <c r="I1914" s="3"/>
      <c r="J1914" s="42"/>
      <c r="K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</row>
    <row r="1915" spans="1:22" x14ac:dyDescent="0.25">
      <c r="A1915" s="20">
        <v>42055</v>
      </c>
      <c r="B1915" s="21">
        <v>12612</v>
      </c>
      <c r="C1915" s="14" t="s">
        <v>133</v>
      </c>
      <c r="D1915" s="105">
        <v>24648</v>
      </c>
      <c r="E1915" s="65">
        <v>42055</v>
      </c>
      <c r="F1915" s="106">
        <v>24648</v>
      </c>
      <c r="G1915" s="31">
        <f t="shared" si="29"/>
        <v>0</v>
      </c>
      <c r="H1915" s="19" t="s">
        <v>9</v>
      </c>
      <c r="I1915" s="3"/>
      <c r="J1915" s="42"/>
      <c r="K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</row>
    <row r="1916" spans="1:22" x14ac:dyDescent="0.25">
      <c r="A1916" s="20">
        <v>42055</v>
      </c>
      <c r="B1916" s="21">
        <v>12613</v>
      </c>
      <c r="C1916" s="14" t="s">
        <v>20</v>
      </c>
      <c r="D1916" s="105">
        <v>13600</v>
      </c>
      <c r="E1916" s="65">
        <v>42055</v>
      </c>
      <c r="F1916" s="106">
        <v>13600</v>
      </c>
      <c r="G1916" s="31">
        <f t="shared" si="29"/>
        <v>0</v>
      </c>
      <c r="H1916" s="19" t="s">
        <v>266</v>
      </c>
      <c r="I1916" s="3"/>
      <c r="J1916" s="42"/>
      <c r="K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</row>
    <row r="1917" spans="1:22" x14ac:dyDescent="0.25">
      <c r="A1917" s="20">
        <v>42055</v>
      </c>
      <c r="B1917" s="21">
        <v>12614</v>
      </c>
      <c r="C1917" s="14" t="s">
        <v>78</v>
      </c>
      <c r="D1917" s="105">
        <v>1972.2</v>
      </c>
      <c r="E1917" s="65">
        <v>42056</v>
      </c>
      <c r="F1917" s="106">
        <v>1972.2</v>
      </c>
      <c r="G1917" s="31">
        <f t="shared" si="29"/>
        <v>0</v>
      </c>
      <c r="H1917" s="19" t="s">
        <v>62</v>
      </c>
      <c r="I1917" s="3"/>
      <c r="J1917" s="42"/>
      <c r="K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</row>
    <row r="1918" spans="1:22" x14ac:dyDescent="0.25">
      <c r="A1918" s="20">
        <v>42055</v>
      </c>
      <c r="B1918" s="21">
        <v>12615</v>
      </c>
      <c r="C1918" s="14" t="s">
        <v>336</v>
      </c>
      <c r="D1918" s="105">
        <v>5289.4</v>
      </c>
      <c r="E1918" s="65">
        <v>42055</v>
      </c>
      <c r="F1918" s="106">
        <v>5289.4</v>
      </c>
      <c r="G1918" s="31">
        <f t="shared" si="29"/>
        <v>0</v>
      </c>
      <c r="H1918" s="19" t="s">
        <v>9</v>
      </c>
      <c r="I1918" s="3"/>
      <c r="J1918" s="42"/>
      <c r="K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</row>
    <row r="1919" spans="1:22" x14ac:dyDescent="0.25">
      <c r="A1919" s="20">
        <v>42055</v>
      </c>
      <c r="B1919" s="21">
        <v>12616</v>
      </c>
      <c r="C1919" s="14" t="s">
        <v>65</v>
      </c>
      <c r="D1919" s="105">
        <v>1548</v>
      </c>
      <c r="E1919" s="65">
        <v>42056</v>
      </c>
      <c r="F1919" s="106">
        <v>1548</v>
      </c>
      <c r="G1919" s="31">
        <f t="shared" si="29"/>
        <v>0</v>
      </c>
      <c r="H1919" s="19" t="s">
        <v>62</v>
      </c>
      <c r="I1919" s="3"/>
      <c r="J1919" s="42"/>
      <c r="K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</row>
    <row r="1920" spans="1:22" x14ac:dyDescent="0.25">
      <c r="A1920" s="20">
        <v>42055</v>
      </c>
      <c r="B1920" s="21">
        <v>12617</v>
      </c>
      <c r="C1920" s="14" t="s">
        <v>128</v>
      </c>
      <c r="D1920" s="105">
        <v>14778.4</v>
      </c>
      <c r="E1920" s="65">
        <v>42055</v>
      </c>
      <c r="F1920" s="106">
        <v>14778.4</v>
      </c>
      <c r="G1920" s="31">
        <f t="shared" si="29"/>
        <v>0</v>
      </c>
      <c r="H1920" s="19" t="s">
        <v>94</v>
      </c>
      <c r="I1920" s="3"/>
      <c r="J1920" s="42"/>
      <c r="K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</row>
    <row r="1921" spans="1:22" x14ac:dyDescent="0.25">
      <c r="A1921" s="20">
        <v>42055</v>
      </c>
      <c r="B1921" s="21">
        <v>12618</v>
      </c>
      <c r="C1921" s="14" t="s">
        <v>24</v>
      </c>
      <c r="D1921" s="105">
        <v>222971.46</v>
      </c>
      <c r="E1921" s="74">
        <v>42074</v>
      </c>
      <c r="F1921" s="144">
        <v>222971.46</v>
      </c>
      <c r="G1921" s="31">
        <f t="shared" si="29"/>
        <v>0</v>
      </c>
      <c r="H1921" s="19" t="s">
        <v>46</v>
      </c>
      <c r="I1921" s="3"/>
      <c r="J1921" s="42"/>
      <c r="K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</row>
    <row r="1922" spans="1:22" x14ac:dyDescent="0.25">
      <c r="A1922" s="20">
        <v>42055</v>
      </c>
      <c r="B1922" s="21">
        <v>12619</v>
      </c>
      <c r="C1922" s="14" t="s">
        <v>247</v>
      </c>
      <c r="D1922" s="105">
        <v>1056</v>
      </c>
      <c r="E1922" s="23">
        <v>42055</v>
      </c>
      <c r="F1922" s="106">
        <v>1056</v>
      </c>
      <c r="G1922" s="31">
        <f t="shared" si="29"/>
        <v>0</v>
      </c>
      <c r="H1922" s="19" t="s">
        <v>94</v>
      </c>
      <c r="I1922" s="3"/>
      <c r="J1922" s="42"/>
      <c r="K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</row>
    <row r="1923" spans="1:22" x14ac:dyDescent="0.25">
      <c r="A1923" s="20">
        <v>42055</v>
      </c>
      <c r="B1923" s="21">
        <v>12620</v>
      </c>
      <c r="C1923" s="14" t="s">
        <v>141</v>
      </c>
      <c r="D1923" s="105">
        <v>11735.52</v>
      </c>
      <c r="E1923" s="23">
        <v>42055</v>
      </c>
      <c r="F1923" s="106">
        <v>11735.52</v>
      </c>
      <c r="G1923" s="31">
        <f t="shared" ref="G1923:G1986" si="30">D1923-F1923</f>
        <v>0</v>
      </c>
      <c r="H1923" s="19" t="s">
        <v>94</v>
      </c>
      <c r="I1923" s="3"/>
      <c r="J1923" s="42"/>
      <c r="K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</row>
    <row r="1924" spans="1:22" x14ac:dyDescent="0.25">
      <c r="A1924" s="20">
        <v>42055</v>
      </c>
      <c r="B1924" s="21">
        <v>12621</v>
      </c>
      <c r="C1924" s="14" t="s">
        <v>138</v>
      </c>
      <c r="D1924" s="105">
        <v>4326.3999999999996</v>
      </c>
      <c r="E1924" s="23">
        <v>42055</v>
      </c>
      <c r="F1924" s="106">
        <v>4326.3999999999996</v>
      </c>
      <c r="G1924" s="31">
        <f t="shared" si="30"/>
        <v>0</v>
      </c>
      <c r="H1924" s="19" t="s">
        <v>94</v>
      </c>
      <c r="I1924" s="3"/>
      <c r="J1924" s="42"/>
      <c r="K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</row>
    <row r="1925" spans="1:22" x14ac:dyDescent="0.25">
      <c r="A1925" s="20">
        <v>42055</v>
      </c>
      <c r="B1925" s="21">
        <v>12622</v>
      </c>
      <c r="C1925" s="14" t="s">
        <v>173</v>
      </c>
      <c r="D1925" s="105">
        <v>37469</v>
      </c>
      <c r="E1925" s="30" t="s">
        <v>748</v>
      </c>
      <c r="F1925" s="144">
        <v>37469</v>
      </c>
      <c r="G1925" s="31">
        <f t="shared" si="30"/>
        <v>0</v>
      </c>
      <c r="H1925" s="19" t="s">
        <v>62</v>
      </c>
      <c r="I1925" s="3"/>
      <c r="J1925" s="42"/>
      <c r="K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</row>
    <row r="1926" spans="1:22" x14ac:dyDescent="0.25">
      <c r="A1926" s="20">
        <v>42055</v>
      </c>
      <c r="B1926" s="21">
        <v>12623</v>
      </c>
      <c r="C1926" s="14" t="s">
        <v>72</v>
      </c>
      <c r="D1926" s="105">
        <v>17805.400000000001</v>
      </c>
      <c r="E1926" s="23">
        <v>42063</v>
      </c>
      <c r="F1926" s="106">
        <v>17805.400000000001</v>
      </c>
      <c r="G1926" s="31">
        <f t="shared" si="30"/>
        <v>0</v>
      </c>
      <c r="H1926" s="19" t="s">
        <v>62</v>
      </c>
      <c r="I1926" s="3"/>
      <c r="J1926" s="42"/>
      <c r="K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</row>
    <row r="1927" spans="1:22" x14ac:dyDescent="0.25">
      <c r="A1927" s="20">
        <v>42055</v>
      </c>
      <c r="B1927" s="21">
        <v>12624</v>
      </c>
      <c r="C1927" s="14" t="s">
        <v>84</v>
      </c>
      <c r="D1927" s="105">
        <v>38281.199999999997</v>
      </c>
      <c r="E1927" s="30" t="s">
        <v>749</v>
      </c>
      <c r="F1927" s="144">
        <v>38281.199999999997</v>
      </c>
      <c r="G1927" s="31">
        <f t="shared" si="30"/>
        <v>0</v>
      </c>
      <c r="H1927" s="19" t="s">
        <v>62</v>
      </c>
      <c r="I1927" s="3"/>
      <c r="J1927" s="42"/>
      <c r="K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</row>
    <row r="1928" spans="1:22" x14ac:dyDescent="0.25">
      <c r="A1928" s="20">
        <v>42055</v>
      </c>
      <c r="B1928" s="21">
        <v>12625</v>
      </c>
      <c r="C1928" s="14" t="s">
        <v>176</v>
      </c>
      <c r="D1928" s="105">
        <v>12487.96</v>
      </c>
      <c r="E1928" s="23">
        <v>42063</v>
      </c>
      <c r="F1928" s="106">
        <v>12487.96</v>
      </c>
      <c r="G1928" s="31">
        <f t="shared" si="30"/>
        <v>0</v>
      </c>
      <c r="H1928" s="39" t="s">
        <v>62</v>
      </c>
      <c r="I1928" s="3"/>
      <c r="J1928" s="42"/>
      <c r="K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</row>
    <row r="1929" spans="1:22" x14ac:dyDescent="0.25">
      <c r="A1929" s="20">
        <v>42055</v>
      </c>
      <c r="B1929" s="21">
        <v>12626</v>
      </c>
      <c r="C1929" s="14" t="s">
        <v>363</v>
      </c>
      <c r="D1929" s="105">
        <v>1008</v>
      </c>
      <c r="E1929" s="23">
        <v>42056</v>
      </c>
      <c r="F1929" s="106">
        <v>1008</v>
      </c>
      <c r="G1929" s="31">
        <f t="shared" si="30"/>
        <v>0</v>
      </c>
      <c r="H1929" s="39" t="s">
        <v>19</v>
      </c>
      <c r="I1929" s="3"/>
      <c r="J1929" s="42"/>
      <c r="K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</row>
    <row r="1930" spans="1:22" x14ac:dyDescent="0.25">
      <c r="A1930" s="20">
        <v>42055</v>
      </c>
      <c r="B1930" s="21">
        <v>12627</v>
      </c>
      <c r="C1930" s="14" t="s">
        <v>93</v>
      </c>
      <c r="D1930" s="105">
        <v>1851.5</v>
      </c>
      <c r="E1930" s="23">
        <v>42056</v>
      </c>
      <c r="F1930" s="106">
        <v>1851.5</v>
      </c>
      <c r="G1930" s="31">
        <f t="shared" si="30"/>
        <v>0</v>
      </c>
      <c r="H1930" s="39" t="s">
        <v>19</v>
      </c>
      <c r="I1930" s="3"/>
      <c r="J1930" s="42"/>
      <c r="K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</row>
    <row r="1931" spans="1:22" x14ac:dyDescent="0.25">
      <c r="A1931" s="20">
        <v>42055</v>
      </c>
      <c r="B1931" s="21">
        <v>12628</v>
      </c>
      <c r="C1931" s="14" t="s">
        <v>75</v>
      </c>
      <c r="D1931" s="105">
        <v>22702.799999999999</v>
      </c>
      <c r="E1931" s="23">
        <v>42056</v>
      </c>
      <c r="F1931" s="106">
        <v>22702.799999999999</v>
      </c>
      <c r="G1931" s="31">
        <f t="shared" si="30"/>
        <v>0</v>
      </c>
      <c r="H1931" s="39" t="s">
        <v>62</v>
      </c>
      <c r="I1931" s="3"/>
      <c r="J1931" s="42"/>
      <c r="K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</row>
    <row r="1932" spans="1:22" x14ac:dyDescent="0.25">
      <c r="A1932" s="20">
        <v>42055</v>
      </c>
      <c r="B1932" s="21">
        <v>12629</v>
      </c>
      <c r="C1932" s="14" t="s">
        <v>190</v>
      </c>
      <c r="D1932" s="105">
        <v>5536.8</v>
      </c>
      <c r="E1932" s="23">
        <v>42056</v>
      </c>
      <c r="F1932" s="106">
        <v>5536.8</v>
      </c>
      <c r="G1932" s="31">
        <f t="shared" si="30"/>
        <v>0</v>
      </c>
      <c r="H1932" s="39" t="s">
        <v>19</v>
      </c>
      <c r="I1932" s="3"/>
      <c r="J1932" s="42"/>
      <c r="K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</row>
    <row r="1933" spans="1:22" x14ac:dyDescent="0.25">
      <c r="A1933" s="20">
        <v>42055</v>
      </c>
      <c r="B1933" s="21">
        <v>12630</v>
      </c>
      <c r="C1933" s="14" t="s">
        <v>104</v>
      </c>
      <c r="D1933" s="105">
        <v>10594.7</v>
      </c>
      <c r="E1933" s="23">
        <v>42056</v>
      </c>
      <c r="F1933" s="106">
        <v>10594.7</v>
      </c>
      <c r="G1933" s="31">
        <f t="shared" si="30"/>
        <v>0</v>
      </c>
      <c r="H1933" s="39" t="s">
        <v>19</v>
      </c>
      <c r="I1933" s="3"/>
      <c r="J1933" s="42"/>
      <c r="K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</row>
    <row r="1934" spans="1:22" x14ac:dyDescent="0.25">
      <c r="A1934" s="20">
        <v>42055</v>
      </c>
      <c r="B1934" s="21">
        <v>12631</v>
      </c>
      <c r="C1934" s="14" t="s">
        <v>96</v>
      </c>
      <c r="D1934" s="105">
        <v>3169</v>
      </c>
      <c r="E1934" s="23">
        <v>42056</v>
      </c>
      <c r="F1934" s="106">
        <v>3169</v>
      </c>
      <c r="G1934" s="31">
        <f t="shared" si="30"/>
        <v>0</v>
      </c>
      <c r="H1934" s="39" t="s">
        <v>9</v>
      </c>
      <c r="I1934" s="3"/>
      <c r="J1934" s="42"/>
      <c r="K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</row>
    <row r="1935" spans="1:22" x14ac:dyDescent="0.25">
      <c r="A1935" s="20">
        <v>42055</v>
      </c>
      <c r="B1935" s="21">
        <v>12632</v>
      </c>
      <c r="C1935" s="14" t="s">
        <v>87</v>
      </c>
      <c r="D1935" s="105">
        <v>928.4</v>
      </c>
      <c r="E1935" s="23">
        <v>42055</v>
      </c>
      <c r="F1935" s="106">
        <v>928.4</v>
      </c>
      <c r="G1935" s="31">
        <f t="shared" si="30"/>
        <v>0</v>
      </c>
      <c r="H1935" s="39" t="s">
        <v>9</v>
      </c>
      <c r="I1935" s="3"/>
      <c r="J1935" s="42"/>
      <c r="K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</row>
    <row r="1936" spans="1:22" x14ac:dyDescent="0.25">
      <c r="A1936" s="20">
        <v>42055</v>
      </c>
      <c r="B1936" s="21">
        <v>12633</v>
      </c>
      <c r="C1936" s="14" t="s">
        <v>95</v>
      </c>
      <c r="D1936" s="105">
        <v>3598</v>
      </c>
      <c r="E1936" s="23">
        <v>42056</v>
      </c>
      <c r="F1936" s="106">
        <v>3598</v>
      </c>
      <c r="G1936" s="31">
        <f t="shared" si="30"/>
        <v>0</v>
      </c>
      <c r="H1936" s="39" t="s">
        <v>19</v>
      </c>
      <c r="I1936" s="3"/>
      <c r="J1936" s="42"/>
      <c r="K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</row>
    <row r="1937" spans="1:22" x14ac:dyDescent="0.25">
      <c r="A1937" s="20">
        <v>42055</v>
      </c>
      <c r="B1937" s="21">
        <v>12634</v>
      </c>
      <c r="C1937" s="14" t="s">
        <v>98</v>
      </c>
      <c r="D1937" s="105">
        <v>1584.9</v>
      </c>
      <c r="E1937" s="23">
        <v>42056</v>
      </c>
      <c r="F1937" s="106">
        <v>1584.9</v>
      </c>
      <c r="G1937" s="31">
        <f t="shared" si="30"/>
        <v>0</v>
      </c>
      <c r="H1937" s="39" t="s">
        <v>19</v>
      </c>
      <c r="I1937" s="3"/>
      <c r="J1937" s="42"/>
      <c r="K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</row>
    <row r="1938" spans="1:22" x14ac:dyDescent="0.25">
      <c r="A1938" s="20">
        <v>42055</v>
      </c>
      <c r="B1938" s="21">
        <v>12635</v>
      </c>
      <c r="C1938" s="14" t="s">
        <v>107</v>
      </c>
      <c r="D1938" s="105">
        <v>1575.2</v>
      </c>
      <c r="E1938" s="23">
        <v>42055</v>
      </c>
      <c r="F1938" s="106">
        <v>1575.2</v>
      </c>
      <c r="G1938" s="31">
        <f t="shared" si="30"/>
        <v>0</v>
      </c>
      <c r="H1938" s="39" t="s">
        <v>9</v>
      </c>
      <c r="I1938" s="3"/>
      <c r="J1938" s="42"/>
      <c r="K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</row>
    <row r="1939" spans="1:22" x14ac:dyDescent="0.25">
      <c r="A1939" s="20">
        <v>42055</v>
      </c>
      <c r="B1939" s="21">
        <v>12636</v>
      </c>
      <c r="C1939" s="14" t="s">
        <v>86</v>
      </c>
      <c r="D1939" s="105">
        <v>331.5</v>
      </c>
      <c r="E1939" s="23">
        <v>42055</v>
      </c>
      <c r="F1939" s="118">
        <v>331.5</v>
      </c>
      <c r="G1939" s="31">
        <f t="shared" si="30"/>
        <v>0</v>
      </c>
      <c r="H1939" s="56" t="s">
        <v>9</v>
      </c>
      <c r="I1939" s="3"/>
      <c r="J1939" s="42"/>
      <c r="K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</row>
    <row r="1940" spans="1:22" x14ac:dyDescent="0.25">
      <c r="A1940" s="20">
        <v>42055</v>
      </c>
      <c r="B1940" s="21">
        <v>12637</v>
      </c>
      <c r="C1940" s="14" t="s">
        <v>361</v>
      </c>
      <c r="D1940" s="105">
        <v>702</v>
      </c>
      <c r="E1940" s="23">
        <v>42056</v>
      </c>
      <c r="F1940" s="106">
        <v>702</v>
      </c>
      <c r="G1940" s="31">
        <f t="shared" si="30"/>
        <v>0</v>
      </c>
      <c r="H1940" s="56" t="s">
        <v>9</v>
      </c>
      <c r="I1940" s="3"/>
      <c r="J1940" s="42"/>
      <c r="K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</row>
    <row r="1941" spans="1:22" x14ac:dyDescent="0.25">
      <c r="A1941" s="20">
        <v>42055</v>
      </c>
      <c r="B1941" s="21">
        <v>12638</v>
      </c>
      <c r="C1941" s="14" t="s">
        <v>61</v>
      </c>
      <c r="D1941" s="105">
        <v>12080.8</v>
      </c>
      <c r="E1941" s="23">
        <v>42056</v>
      </c>
      <c r="F1941" s="118">
        <v>12080.8</v>
      </c>
      <c r="G1941" s="31">
        <f t="shared" si="30"/>
        <v>0</v>
      </c>
      <c r="H1941" s="56" t="s">
        <v>62</v>
      </c>
      <c r="I1941" s="3"/>
      <c r="J1941" s="42"/>
      <c r="K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</row>
    <row r="1942" spans="1:22" x14ac:dyDescent="0.25">
      <c r="A1942" s="20">
        <v>42055</v>
      </c>
      <c r="B1942" s="21">
        <v>12639</v>
      </c>
      <c r="C1942" s="14" t="s">
        <v>102</v>
      </c>
      <c r="D1942" s="105">
        <v>2390.4</v>
      </c>
      <c r="E1942" s="23">
        <v>42055</v>
      </c>
      <c r="F1942" s="118">
        <v>2390.4</v>
      </c>
      <c r="G1942" s="31">
        <f t="shared" si="30"/>
        <v>0</v>
      </c>
      <c r="H1942" s="56" t="s">
        <v>9</v>
      </c>
      <c r="I1942" s="3"/>
      <c r="J1942" s="42"/>
      <c r="K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</row>
    <row r="1943" spans="1:22" x14ac:dyDescent="0.25">
      <c r="A1943" s="20">
        <v>42055</v>
      </c>
      <c r="B1943" s="21">
        <v>12640</v>
      </c>
      <c r="C1943" s="14" t="s">
        <v>47</v>
      </c>
      <c r="D1943" s="105">
        <v>20199</v>
      </c>
      <c r="E1943" s="23">
        <v>42056</v>
      </c>
      <c r="F1943" s="118">
        <v>20199</v>
      </c>
      <c r="G1943" s="31">
        <f t="shared" si="30"/>
        <v>0</v>
      </c>
      <c r="H1943" s="56" t="s">
        <v>36</v>
      </c>
      <c r="I1943" s="3"/>
      <c r="J1943" s="42"/>
      <c r="K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</row>
    <row r="1944" spans="1:22" x14ac:dyDescent="0.25">
      <c r="A1944" s="20">
        <v>42055</v>
      </c>
      <c r="B1944" s="21">
        <v>12641</v>
      </c>
      <c r="C1944" s="14" t="s">
        <v>256</v>
      </c>
      <c r="D1944" s="105">
        <v>7222</v>
      </c>
      <c r="E1944" s="23">
        <v>42056</v>
      </c>
      <c r="F1944" s="118">
        <v>7222</v>
      </c>
      <c r="G1944" s="31">
        <f t="shared" si="30"/>
        <v>0</v>
      </c>
      <c r="H1944" s="56" t="s">
        <v>36</v>
      </c>
      <c r="I1944" s="3"/>
      <c r="J1944" s="42"/>
      <c r="K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</row>
    <row r="1945" spans="1:22" x14ac:dyDescent="0.25">
      <c r="A1945" s="20">
        <v>42055</v>
      </c>
      <c r="B1945" s="21">
        <v>12642</v>
      </c>
      <c r="C1945" s="14" t="s">
        <v>192</v>
      </c>
      <c r="D1945" s="105">
        <v>22318.799999999999</v>
      </c>
      <c r="E1945" s="30">
        <v>42071</v>
      </c>
      <c r="F1945" s="145">
        <v>22318.799999999999</v>
      </c>
      <c r="G1945" s="31">
        <f t="shared" si="30"/>
        <v>0</v>
      </c>
      <c r="H1945" s="56" t="s">
        <v>9</v>
      </c>
      <c r="I1945" s="3"/>
      <c r="J1945" s="42"/>
      <c r="K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</row>
    <row r="1946" spans="1:22" x14ac:dyDescent="0.25">
      <c r="A1946" s="20">
        <v>42055</v>
      </c>
      <c r="B1946" s="21">
        <v>12643</v>
      </c>
      <c r="C1946" s="14" t="s">
        <v>37</v>
      </c>
      <c r="D1946" s="105">
        <v>24649</v>
      </c>
      <c r="E1946" s="23">
        <v>42063</v>
      </c>
      <c r="F1946" s="118">
        <v>24649</v>
      </c>
      <c r="G1946" s="31">
        <f t="shared" si="30"/>
        <v>0</v>
      </c>
      <c r="H1946" s="56" t="s">
        <v>36</v>
      </c>
      <c r="I1946" s="3"/>
      <c r="J1946" s="42"/>
      <c r="K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</row>
    <row r="1947" spans="1:22" x14ac:dyDescent="0.25">
      <c r="A1947" s="20">
        <v>42055</v>
      </c>
      <c r="B1947" s="21">
        <v>12644</v>
      </c>
      <c r="C1947" s="127" t="s">
        <v>695</v>
      </c>
      <c r="D1947" s="108">
        <v>0</v>
      </c>
      <c r="E1947" s="45">
        <v>42060</v>
      </c>
      <c r="F1947" s="118"/>
      <c r="G1947" s="31">
        <f t="shared" si="30"/>
        <v>0</v>
      </c>
      <c r="H1947" s="56" t="s">
        <v>9</v>
      </c>
      <c r="I1947" s="3"/>
      <c r="J1947" s="42"/>
      <c r="K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</row>
    <row r="1948" spans="1:22" x14ac:dyDescent="0.25">
      <c r="A1948" s="20">
        <v>42055</v>
      </c>
      <c r="B1948" s="21">
        <v>12645</v>
      </c>
      <c r="C1948" s="14" t="s">
        <v>60</v>
      </c>
      <c r="D1948" s="105">
        <v>6318</v>
      </c>
      <c r="E1948" s="23">
        <v>42056</v>
      </c>
      <c r="F1948" s="118">
        <v>6318</v>
      </c>
      <c r="G1948" s="31">
        <f t="shared" si="30"/>
        <v>0</v>
      </c>
      <c r="H1948" s="56" t="s">
        <v>36</v>
      </c>
      <c r="I1948" s="3"/>
      <c r="J1948" s="42"/>
      <c r="K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</row>
    <row r="1949" spans="1:22" x14ac:dyDescent="0.25">
      <c r="A1949" s="20">
        <v>42055</v>
      </c>
      <c r="B1949" s="21">
        <v>12646</v>
      </c>
      <c r="C1949" s="14" t="s">
        <v>334</v>
      </c>
      <c r="D1949" s="105">
        <v>1258.4000000000001</v>
      </c>
      <c r="E1949" s="23">
        <v>42056</v>
      </c>
      <c r="F1949" s="118">
        <v>1258.4000000000001</v>
      </c>
      <c r="G1949" s="31">
        <f t="shared" si="30"/>
        <v>0</v>
      </c>
      <c r="H1949" s="56" t="s">
        <v>62</v>
      </c>
      <c r="I1949" s="3"/>
      <c r="J1949" s="42"/>
      <c r="K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</row>
    <row r="1950" spans="1:22" x14ac:dyDescent="0.25">
      <c r="A1950" s="20">
        <v>42055</v>
      </c>
      <c r="B1950" s="21">
        <v>12647</v>
      </c>
      <c r="C1950" s="14" t="s">
        <v>35</v>
      </c>
      <c r="D1950" s="105">
        <v>24011</v>
      </c>
      <c r="E1950" s="23">
        <v>42056</v>
      </c>
      <c r="F1950" s="118">
        <v>24011</v>
      </c>
      <c r="G1950" s="31">
        <f t="shared" si="30"/>
        <v>0</v>
      </c>
      <c r="H1950" s="56" t="s">
        <v>36</v>
      </c>
      <c r="I1950" s="3"/>
      <c r="J1950" s="42"/>
      <c r="K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</row>
    <row r="1951" spans="1:22" x14ac:dyDescent="0.25">
      <c r="A1951" s="20">
        <v>42055</v>
      </c>
      <c r="B1951" s="21">
        <v>12648</v>
      </c>
      <c r="C1951" s="14" t="s">
        <v>696</v>
      </c>
      <c r="D1951" s="105">
        <v>720</v>
      </c>
      <c r="E1951" s="23">
        <v>42056</v>
      </c>
      <c r="F1951" s="118">
        <v>720</v>
      </c>
      <c r="G1951" s="31">
        <f t="shared" si="30"/>
        <v>0</v>
      </c>
      <c r="H1951" s="56" t="s">
        <v>669</v>
      </c>
      <c r="I1951" s="3"/>
      <c r="J1951" s="42"/>
      <c r="K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</row>
    <row r="1952" spans="1:22" x14ac:dyDescent="0.25">
      <c r="A1952" s="20">
        <v>42055</v>
      </c>
      <c r="B1952" s="21">
        <v>12649</v>
      </c>
      <c r="C1952" s="14" t="s">
        <v>32</v>
      </c>
      <c r="D1952" s="105">
        <v>222453</v>
      </c>
      <c r="E1952" s="23">
        <v>42062</v>
      </c>
      <c r="F1952" s="118">
        <v>222453</v>
      </c>
      <c r="G1952" s="31">
        <f t="shared" si="30"/>
        <v>0</v>
      </c>
      <c r="H1952" s="56" t="s">
        <v>183</v>
      </c>
      <c r="I1952" s="3"/>
      <c r="J1952" s="42"/>
      <c r="K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</row>
    <row r="1953" spans="1:22" x14ac:dyDescent="0.25">
      <c r="A1953" s="20">
        <v>42055</v>
      </c>
      <c r="B1953" s="21">
        <v>12650</v>
      </c>
      <c r="C1953" s="14" t="s">
        <v>112</v>
      </c>
      <c r="D1953" s="105">
        <v>9941</v>
      </c>
      <c r="E1953" s="23">
        <v>42055</v>
      </c>
      <c r="F1953" s="118">
        <v>9941</v>
      </c>
      <c r="G1953" s="31">
        <f t="shared" si="30"/>
        <v>0</v>
      </c>
      <c r="H1953" s="56" t="s">
        <v>9</v>
      </c>
      <c r="I1953" s="3"/>
      <c r="J1953" s="42"/>
      <c r="K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</row>
    <row r="1954" spans="1:22" x14ac:dyDescent="0.25">
      <c r="A1954" s="20">
        <v>42055</v>
      </c>
      <c r="B1954" s="21">
        <v>12651</v>
      </c>
      <c r="C1954" s="14" t="s">
        <v>112</v>
      </c>
      <c r="D1954" s="105">
        <v>13658.7</v>
      </c>
      <c r="E1954" s="23">
        <v>42055</v>
      </c>
      <c r="F1954" s="118">
        <v>13658.7</v>
      </c>
      <c r="G1954" s="31">
        <f t="shared" si="30"/>
        <v>0</v>
      </c>
      <c r="H1954" s="56" t="s">
        <v>9</v>
      </c>
      <c r="I1954" s="3"/>
      <c r="J1954" s="42"/>
      <c r="K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</row>
    <row r="1955" spans="1:22" x14ac:dyDescent="0.25">
      <c r="A1955" s="20">
        <v>42055</v>
      </c>
      <c r="B1955" s="21">
        <v>12652</v>
      </c>
      <c r="C1955" s="14" t="s">
        <v>691</v>
      </c>
      <c r="D1955" s="105">
        <v>1246.4000000000001</v>
      </c>
      <c r="E1955" s="23">
        <v>42055</v>
      </c>
      <c r="F1955" s="118">
        <v>1246.4000000000001</v>
      </c>
      <c r="G1955" s="31">
        <f t="shared" si="30"/>
        <v>0</v>
      </c>
      <c r="H1955" s="56" t="s">
        <v>9</v>
      </c>
      <c r="I1955" s="3"/>
      <c r="J1955" s="42"/>
      <c r="K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</row>
    <row r="1956" spans="1:22" x14ac:dyDescent="0.25">
      <c r="A1956" s="20">
        <v>42055</v>
      </c>
      <c r="B1956" s="21">
        <v>12653</v>
      </c>
      <c r="C1956" s="14" t="s">
        <v>360</v>
      </c>
      <c r="D1956" s="105">
        <v>450.3</v>
      </c>
      <c r="E1956" s="23">
        <v>42055</v>
      </c>
      <c r="F1956" s="118">
        <v>450.3</v>
      </c>
      <c r="G1956" s="31">
        <f t="shared" si="30"/>
        <v>0</v>
      </c>
      <c r="H1956" s="56" t="s">
        <v>9</v>
      </c>
      <c r="I1956" s="3"/>
      <c r="J1956" s="42"/>
      <c r="K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</row>
    <row r="1957" spans="1:22" x14ac:dyDescent="0.25">
      <c r="A1957" s="20">
        <v>42055</v>
      </c>
      <c r="B1957" s="21">
        <v>12654</v>
      </c>
      <c r="C1957" s="14" t="s">
        <v>14</v>
      </c>
      <c r="D1957" s="105">
        <v>42201.38</v>
      </c>
      <c r="E1957" s="23">
        <v>42062</v>
      </c>
      <c r="F1957" s="118">
        <v>42201.38</v>
      </c>
      <c r="G1957" s="31">
        <f t="shared" si="30"/>
        <v>0</v>
      </c>
      <c r="H1957" s="56" t="s">
        <v>46</v>
      </c>
      <c r="I1957" s="3"/>
      <c r="J1957" s="42"/>
      <c r="K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</row>
    <row r="1958" spans="1:22" x14ac:dyDescent="0.25">
      <c r="A1958" s="20">
        <v>42055</v>
      </c>
      <c r="B1958" s="21">
        <v>12655</v>
      </c>
      <c r="C1958" s="14" t="s">
        <v>318</v>
      </c>
      <c r="D1958" s="105">
        <v>239.2</v>
      </c>
      <c r="E1958" s="23">
        <v>42055</v>
      </c>
      <c r="F1958" s="118">
        <v>239.2</v>
      </c>
      <c r="G1958" s="31">
        <f t="shared" si="30"/>
        <v>0</v>
      </c>
      <c r="H1958" s="56" t="s">
        <v>9</v>
      </c>
      <c r="I1958" s="3"/>
      <c r="J1958" s="42"/>
      <c r="K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</row>
    <row r="1959" spans="1:22" x14ac:dyDescent="0.25">
      <c r="A1959" s="20">
        <v>42055</v>
      </c>
      <c r="B1959" s="21">
        <v>12656</v>
      </c>
      <c r="C1959" s="14" t="s">
        <v>697</v>
      </c>
      <c r="D1959" s="105">
        <v>7200</v>
      </c>
      <c r="E1959" s="30" t="s">
        <v>743</v>
      </c>
      <c r="F1959" s="118">
        <v>7200</v>
      </c>
      <c r="G1959" s="31">
        <f t="shared" si="30"/>
        <v>0</v>
      </c>
      <c r="H1959" s="56" t="s">
        <v>62</v>
      </c>
      <c r="I1959" s="3"/>
      <c r="J1959" s="42"/>
      <c r="K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</row>
    <row r="1960" spans="1:22" x14ac:dyDescent="0.25">
      <c r="A1960" s="20">
        <v>42055</v>
      </c>
      <c r="B1960" s="21">
        <v>12657</v>
      </c>
      <c r="C1960" s="14" t="s">
        <v>286</v>
      </c>
      <c r="D1960" s="105">
        <v>104.1</v>
      </c>
      <c r="E1960" s="23">
        <v>42055</v>
      </c>
      <c r="F1960" s="118">
        <v>104.1</v>
      </c>
      <c r="G1960" s="31">
        <f t="shared" si="30"/>
        <v>0</v>
      </c>
      <c r="H1960" s="56" t="s">
        <v>9</v>
      </c>
      <c r="I1960" s="3"/>
      <c r="J1960" s="42"/>
      <c r="K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</row>
    <row r="1961" spans="1:22" x14ac:dyDescent="0.25">
      <c r="A1961" s="20">
        <v>42055</v>
      </c>
      <c r="B1961" s="21">
        <v>12658</v>
      </c>
      <c r="C1961" s="14" t="s">
        <v>90</v>
      </c>
      <c r="D1961" s="105">
        <v>1450.9</v>
      </c>
      <c r="E1961" s="23">
        <v>42055</v>
      </c>
      <c r="F1961" s="118">
        <v>1450.9</v>
      </c>
      <c r="G1961" s="31">
        <f t="shared" si="30"/>
        <v>0</v>
      </c>
      <c r="H1961" s="56" t="s">
        <v>9</v>
      </c>
      <c r="I1961" s="3"/>
      <c r="J1961" s="42"/>
      <c r="K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</row>
    <row r="1962" spans="1:22" x14ac:dyDescent="0.25">
      <c r="A1962" s="20">
        <v>42055</v>
      </c>
      <c r="B1962" s="21">
        <v>12659</v>
      </c>
      <c r="C1962" s="14" t="s">
        <v>234</v>
      </c>
      <c r="D1962" s="105">
        <v>401.85</v>
      </c>
      <c r="E1962" s="23">
        <v>42055</v>
      </c>
      <c r="F1962" s="118">
        <v>401.85</v>
      </c>
      <c r="G1962" s="31">
        <f t="shared" si="30"/>
        <v>0</v>
      </c>
      <c r="H1962" s="56" t="s">
        <v>9</v>
      </c>
      <c r="I1962" s="3"/>
      <c r="J1962" s="42"/>
      <c r="K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</row>
    <row r="1963" spans="1:22" x14ac:dyDescent="0.25">
      <c r="A1963" s="20">
        <v>42055</v>
      </c>
      <c r="B1963" s="21">
        <v>12660</v>
      </c>
      <c r="C1963" s="14" t="s">
        <v>42</v>
      </c>
      <c r="D1963" s="105">
        <v>7731</v>
      </c>
      <c r="E1963" s="23">
        <v>42055</v>
      </c>
      <c r="F1963" s="118">
        <v>7731</v>
      </c>
      <c r="G1963" s="31">
        <f t="shared" si="30"/>
        <v>0</v>
      </c>
      <c r="H1963" s="56" t="s">
        <v>9</v>
      </c>
      <c r="I1963" s="3"/>
      <c r="J1963" s="42"/>
      <c r="K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</row>
    <row r="1964" spans="1:22" x14ac:dyDescent="0.25">
      <c r="A1964" s="20">
        <v>42055</v>
      </c>
      <c r="B1964" s="21">
        <v>12661</v>
      </c>
      <c r="C1964" s="14" t="s">
        <v>103</v>
      </c>
      <c r="D1964" s="105">
        <v>23823.8</v>
      </c>
      <c r="E1964" s="23">
        <v>42060</v>
      </c>
      <c r="F1964" s="118">
        <v>23823.8</v>
      </c>
      <c r="G1964" s="31">
        <f t="shared" si="30"/>
        <v>0</v>
      </c>
      <c r="H1964" s="56" t="s">
        <v>9</v>
      </c>
      <c r="I1964" s="3"/>
      <c r="J1964" s="42"/>
      <c r="K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</row>
    <row r="1965" spans="1:22" x14ac:dyDescent="0.25">
      <c r="A1965" s="20">
        <v>42055</v>
      </c>
      <c r="B1965" s="21">
        <v>12662</v>
      </c>
      <c r="C1965" s="14" t="s">
        <v>136</v>
      </c>
      <c r="D1965" s="105">
        <v>520</v>
      </c>
      <c r="E1965" s="23">
        <v>42055</v>
      </c>
      <c r="F1965" s="118">
        <v>520</v>
      </c>
      <c r="G1965" s="31">
        <f t="shared" si="30"/>
        <v>0</v>
      </c>
      <c r="H1965" s="56" t="s">
        <v>9</v>
      </c>
      <c r="I1965" s="3"/>
      <c r="J1965" s="42"/>
      <c r="K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</row>
    <row r="1966" spans="1:22" x14ac:dyDescent="0.25">
      <c r="A1966" s="20">
        <v>42055</v>
      </c>
      <c r="B1966" s="21">
        <v>12663</v>
      </c>
      <c r="C1966" s="14" t="s">
        <v>252</v>
      </c>
      <c r="D1966" s="105">
        <v>2240</v>
      </c>
      <c r="E1966" s="23">
        <v>42055</v>
      </c>
      <c r="F1966" s="118">
        <v>2240</v>
      </c>
      <c r="G1966" s="31">
        <f t="shared" si="30"/>
        <v>0</v>
      </c>
      <c r="H1966" s="56" t="s">
        <v>9</v>
      </c>
      <c r="I1966" s="3"/>
      <c r="J1966" s="42"/>
      <c r="K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</row>
    <row r="1967" spans="1:22" x14ac:dyDescent="0.25">
      <c r="A1967" s="20">
        <v>42055</v>
      </c>
      <c r="B1967" s="21">
        <v>12664</v>
      </c>
      <c r="C1967" s="14" t="s">
        <v>267</v>
      </c>
      <c r="D1967" s="105">
        <v>5283.4</v>
      </c>
      <c r="E1967" s="23">
        <v>42055</v>
      </c>
      <c r="F1967" s="118">
        <v>5283.4</v>
      </c>
      <c r="G1967" s="31">
        <f t="shared" si="30"/>
        <v>0</v>
      </c>
      <c r="H1967" s="56" t="s">
        <v>59</v>
      </c>
      <c r="I1967" s="3"/>
      <c r="J1967" s="42"/>
      <c r="K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</row>
    <row r="1968" spans="1:22" x14ac:dyDescent="0.25">
      <c r="A1968" s="20">
        <v>42055</v>
      </c>
      <c r="B1968" s="21">
        <v>12665</v>
      </c>
      <c r="C1968" s="14" t="s">
        <v>14</v>
      </c>
      <c r="D1968" s="105">
        <v>46560.28</v>
      </c>
      <c r="E1968" s="23">
        <v>42062</v>
      </c>
      <c r="F1968" s="118">
        <v>46560.28</v>
      </c>
      <c r="G1968" s="31">
        <f t="shared" si="30"/>
        <v>0</v>
      </c>
      <c r="H1968" s="56" t="s">
        <v>183</v>
      </c>
      <c r="I1968" s="3"/>
      <c r="J1968" s="42"/>
      <c r="K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</row>
    <row r="1969" spans="1:22" x14ac:dyDescent="0.25">
      <c r="A1969" s="20">
        <v>42055</v>
      </c>
      <c r="B1969" s="21">
        <v>12666</v>
      </c>
      <c r="C1969" s="14" t="s">
        <v>80</v>
      </c>
      <c r="D1969" s="105">
        <v>7387.2</v>
      </c>
      <c r="E1969" s="23">
        <v>42055</v>
      </c>
      <c r="F1969" s="118">
        <v>7387.2</v>
      </c>
      <c r="G1969" s="31">
        <f t="shared" si="30"/>
        <v>0</v>
      </c>
      <c r="H1969" s="56" t="s">
        <v>9</v>
      </c>
      <c r="I1969" s="3"/>
      <c r="J1969" s="42"/>
      <c r="K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</row>
    <row r="1970" spans="1:22" x14ac:dyDescent="0.25">
      <c r="A1970" s="20">
        <v>42055</v>
      </c>
      <c r="B1970" s="21">
        <v>12667</v>
      </c>
      <c r="C1970" s="14" t="s">
        <v>14</v>
      </c>
      <c r="D1970" s="105">
        <v>1548.8</v>
      </c>
      <c r="E1970" s="23">
        <v>42062</v>
      </c>
      <c r="F1970" s="118">
        <v>1548.8</v>
      </c>
      <c r="G1970" s="31">
        <f t="shared" si="30"/>
        <v>0</v>
      </c>
      <c r="H1970" s="56" t="s">
        <v>15</v>
      </c>
      <c r="I1970" s="3"/>
      <c r="J1970" s="42"/>
      <c r="K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</row>
    <row r="1971" spans="1:22" x14ac:dyDescent="0.25">
      <c r="A1971" s="20">
        <v>42055</v>
      </c>
      <c r="B1971" s="21">
        <v>12668</v>
      </c>
      <c r="C1971" s="14" t="s">
        <v>24</v>
      </c>
      <c r="D1971" s="105">
        <v>59855.4</v>
      </c>
      <c r="E1971" s="30">
        <v>42074</v>
      </c>
      <c r="F1971" s="145">
        <v>59855.4</v>
      </c>
      <c r="G1971" s="31">
        <f t="shared" si="30"/>
        <v>0</v>
      </c>
      <c r="H1971" s="56" t="s">
        <v>698</v>
      </c>
      <c r="I1971" s="3"/>
      <c r="J1971" s="42"/>
      <c r="K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</row>
    <row r="1972" spans="1:22" x14ac:dyDescent="0.25">
      <c r="A1972" s="20">
        <v>42055</v>
      </c>
      <c r="B1972" s="21">
        <v>12669</v>
      </c>
      <c r="C1972" s="14" t="s">
        <v>697</v>
      </c>
      <c r="D1972" s="105">
        <v>9370.7999999999993</v>
      </c>
      <c r="E1972" s="30" t="s">
        <v>744</v>
      </c>
      <c r="F1972" s="118">
        <v>9370.7999999999993</v>
      </c>
      <c r="G1972" s="31">
        <f t="shared" si="30"/>
        <v>0</v>
      </c>
      <c r="H1972" s="56" t="s">
        <v>94</v>
      </c>
      <c r="I1972" s="3"/>
      <c r="J1972" s="42"/>
      <c r="K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</row>
    <row r="1973" spans="1:22" x14ac:dyDescent="0.25">
      <c r="A1973" s="20">
        <v>42056</v>
      </c>
      <c r="B1973" s="21">
        <v>12670</v>
      </c>
      <c r="C1973" s="14" t="s">
        <v>699</v>
      </c>
      <c r="D1973" s="105">
        <v>1492.7</v>
      </c>
      <c r="E1973" s="23">
        <v>42058</v>
      </c>
      <c r="F1973" s="118">
        <v>1492.7</v>
      </c>
      <c r="G1973" s="31">
        <f t="shared" si="30"/>
        <v>0</v>
      </c>
      <c r="H1973" s="56" t="s">
        <v>9</v>
      </c>
      <c r="I1973" s="3"/>
      <c r="J1973" s="42"/>
      <c r="K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</row>
    <row r="1974" spans="1:22" x14ac:dyDescent="0.25">
      <c r="A1974" s="20">
        <v>42056</v>
      </c>
      <c r="B1974" s="21">
        <v>12671</v>
      </c>
      <c r="C1974" s="14" t="s">
        <v>555</v>
      </c>
      <c r="D1974" s="105">
        <v>57367.9</v>
      </c>
      <c r="E1974" s="23">
        <v>42059</v>
      </c>
      <c r="F1974" s="118">
        <v>57367.9</v>
      </c>
      <c r="G1974" s="31">
        <f t="shared" si="30"/>
        <v>0</v>
      </c>
      <c r="H1974" s="56" t="s">
        <v>9</v>
      </c>
      <c r="I1974" s="3"/>
      <c r="J1974" s="42"/>
      <c r="K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</row>
    <row r="1975" spans="1:22" x14ac:dyDescent="0.25">
      <c r="A1975" s="20">
        <v>42056</v>
      </c>
      <c r="B1975" s="21">
        <v>12672</v>
      </c>
      <c r="C1975" s="14" t="s">
        <v>21</v>
      </c>
      <c r="D1975" s="105">
        <v>5766.3</v>
      </c>
      <c r="E1975" s="23">
        <v>42056</v>
      </c>
      <c r="F1975" s="118">
        <v>5766.3</v>
      </c>
      <c r="G1975" s="31">
        <f t="shared" si="30"/>
        <v>0</v>
      </c>
      <c r="H1975" s="56" t="s">
        <v>9</v>
      </c>
      <c r="I1975" s="3"/>
      <c r="J1975" s="42"/>
      <c r="K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</row>
    <row r="1976" spans="1:22" x14ac:dyDescent="0.25">
      <c r="A1976" s="20">
        <v>42056</v>
      </c>
      <c r="B1976" s="21">
        <v>12673</v>
      </c>
      <c r="C1976" s="14" t="s">
        <v>16</v>
      </c>
      <c r="D1976" s="105">
        <v>14402.4</v>
      </c>
      <c r="E1976" s="23">
        <v>42056</v>
      </c>
      <c r="F1976" s="118">
        <v>14402.4</v>
      </c>
      <c r="G1976" s="31">
        <f t="shared" si="30"/>
        <v>0</v>
      </c>
      <c r="H1976" s="56" t="s">
        <v>17</v>
      </c>
      <c r="I1976" s="3"/>
      <c r="J1976" s="42"/>
      <c r="K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</row>
    <row r="1977" spans="1:22" x14ac:dyDescent="0.25">
      <c r="A1977" s="20">
        <v>42056</v>
      </c>
      <c r="B1977" s="21">
        <v>12674</v>
      </c>
      <c r="C1977" s="14" t="s">
        <v>14</v>
      </c>
      <c r="D1977" s="105">
        <v>31446.400000000001</v>
      </c>
      <c r="E1977" s="23">
        <v>42062</v>
      </c>
      <c r="F1977" s="118">
        <v>31446.400000000001</v>
      </c>
      <c r="G1977" s="31">
        <f t="shared" si="30"/>
        <v>0</v>
      </c>
      <c r="H1977" s="56" t="s">
        <v>15</v>
      </c>
      <c r="I1977" s="3"/>
      <c r="J1977" s="42"/>
      <c r="K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</row>
    <row r="1978" spans="1:22" x14ac:dyDescent="0.25">
      <c r="A1978" s="20">
        <v>42056</v>
      </c>
      <c r="B1978" s="21">
        <v>12675</v>
      </c>
      <c r="C1978" s="14" t="s">
        <v>148</v>
      </c>
      <c r="D1978" s="105">
        <v>1768</v>
      </c>
      <c r="E1978" s="23">
        <v>42057</v>
      </c>
      <c r="F1978" s="118">
        <v>1768</v>
      </c>
      <c r="G1978" s="31">
        <f t="shared" si="30"/>
        <v>0</v>
      </c>
      <c r="H1978" s="56" t="s">
        <v>9</v>
      </c>
      <c r="I1978" s="3"/>
      <c r="J1978" s="42"/>
      <c r="K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</row>
    <row r="1979" spans="1:22" x14ac:dyDescent="0.25">
      <c r="A1979" s="20">
        <v>42056</v>
      </c>
      <c r="B1979" s="21">
        <v>12676</v>
      </c>
      <c r="C1979" s="14" t="s">
        <v>158</v>
      </c>
      <c r="D1979" s="105">
        <v>1405</v>
      </c>
      <c r="E1979" s="23">
        <v>42056</v>
      </c>
      <c r="F1979" s="118">
        <v>1405</v>
      </c>
      <c r="G1979" s="31">
        <f t="shared" si="30"/>
        <v>0</v>
      </c>
      <c r="H1979" s="56" t="s">
        <v>9</v>
      </c>
      <c r="I1979" s="3"/>
      <c r="J1979" s="42"/>
      <c r="K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</row>
    <row r="1980" spans="1:22" x14ac:dyDescent="0.25">
      <c r="A1980" s="20">
        <v>42056</v>
      </c>
      <c r="B1980" s="21">
        <v>12677</v>
      </c>
      <c r="C1980" s="14" t="s">
        <v>26</v>
      </c>
      <c r="D1980" s="105">
        <v>2760</v>
      </c>
      <c r="E1980" s="23">
        <v>42056</v>
      </c>
      <c r="F1980" s="118">
        <v>2760</v>
      </c>
      <c r="G1980" s="31">
        <f t="shared" si="30"/>
        <v>0</v>
      </c>
      <c r="H1980" s="56" t="s">
        <v>9</v>
      </c>
      <c r="I1980" s="3"/>
      <c r="J1980" s="42"/>
      <c r="K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</row>
    <row r="1981" spans="1:22" x14ac:dyDescent="0.25">
      <c r="A1981" s="20">
        <v>42056</v>
      </c>
      <c r="B1981" s="21">
        <v>12678</v>
      </c>
      <c r="C1981" s="14" t="s">
        <v>20</v>
      </c>
      <c r="D1981" s="105">
        <v>14072.4</v>
      </c>
      <c r="E1981" s="29" t="s">
        <v>700</v>
      </c>
      <c r="F1981" s="118">
        <f>11072.5+2999.9</f>
        <v>14072.4</v>
      </c>
      <c r="G1981" s="31">
        <f t="shared" si="30"/>
        <v>0</v>
      </c>
      <c r="H1981" s="56" t="s">
        <v>94</v>
      </c>
      <c r="I1981" s="3"/>
      <c r="J1981" s="42"/>
      <c r="K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</row>
    <row r="1982" spans="1:22" x14ac:dyDescent="0.25">
      <c r="A1982" s="20">
        <v>42056</v>
      </c>
      <c r="B1982" s="21">
        <v>12679</v>
      </c>
      <c r="C1982" s="14" t="s">
        <v>88</v>
      </c>
      <c r="D1982" s="105">
        <v>1592.4</v>
      </c>
      <c r="E1982" s="23">
        <v>42056</v>
      </c>
      <c r="F1982" s="118">
        <v>1592.4</v>
      </c>
      <c r="G1982" s="31">
        <f t="shared" si="30"/>
        <v>0</v>
      </c>
      <c r="H1982" s="56" t="s">
        <v>9</v>
      </c>
      <c r="I1982" s="3"/>
      <c r="J1982" s="42"/>
      <c r="K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</row>
    <row r="1983" spans="1:22" x14ac:dyDescent="0.25">
      <c r="A1983" s="20">
        <v>42056</v>
      </c>
      <c r="B1983" s="21">
        <v>12680</v>
      </c>
      <c r="C1983" s="14" t="s">
        <v>121</v>
      </c>
      <c r="D1983" s="105">
        <v>3011.9</v>
      </c>
      <c r="E1983" s="23">
        <v>42056</v>
      </c>
      <c r="F1983" s="118">
        <v>3011.9</v>
      </c>
      <c r="G1983" s="31">
        <f t="shared" si="30"/>
        <v>0</v>
      </c>
      <c r="H1983" s="56" t="s">
        <v>9</v>
      </c>
      <c r="I1983" s="3"/>
      <c r="J1983" s="42"/>
      <c r="K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</row>
    <row r="1984" spans="1:22" x14ac:dyDescent="0.25">
      <c r="A1984" s="20">
        <v>42056</v>
      </c>
      <c r="B1984" s="21">
        <v>12681</v>
      </c>
      <c r="C1984" s="14" t="s">
        <v>116</v>
      </c>
      <c r="D1984" s="105">
        <v>10809.1</v>
      </c>
      <c r="E1984" s="23">
        <v>42056</v>
      </c>
      <c r="F1984" s="118">
        <v>10809.1</v>
      </c>
      <c r="G1984" s="31">
        <f t="shared" si="30"/>
        <v>0</v>
      </c>
      <c r="H1984" s="56" t="s">
        <v>19</v>
      </c>
      <c r="I1984" s="3"/>
      <c r="J1984" s="42"/>
      <c r="K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</row>
    <row r="1985" spans="1:22" x14ac:dyDescent="0.25">
      <c r="A1985" s="20">
        <v>42056</v>
      </c>
      <c r="B1985" s="21">
        <v>12682</v>
      </c>
      <c r="C1985" s="14" t="s">
        <v>55</v>
      </c>
      <c r="D1985" s="105">
        <v>23527.66</v>
      </c>
      <c r="E1985" s="23">
        <v>42056</v>
      </c>
      <c r="F1985" s="118">
        <v>23527.66</v>
      </c>
      <c r="G1985" s="31">
        <f t="shared" si="30"/>
        <v>0</v>
      </c>
      <c r="H1985" s="56" t="s">
        <v>36</v>
      </c>
      <c r="I1985" s="3"/>
      <c r="J1985" s="42"/>
      <c r="K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</row>
    <row r="1986" spans="1:22" x14ac:dyDescent="0.25">
      <c r="A1986" s="20">
        <v>42056</v>
      </c>
      <c r="B1986" s="21">
        <v>12683</v>
      </c>
      <c r="C1986" s="14" t="s">
        <v>37</v>
      </c>
      <c r="D1986" s="105">
        <v>24541.919999999998</v>
      </c>
      <c r="E1986" s="23">
        <v>42063</v>
      </c>
      <c r="F1986" s="118">
        <v>24541.919999999998</v>
      </c>
      <c r="G1986" s="31">
        <f t="shared" si="30"/>
        <v>0</v>
      </c>
      <c r="H1986" s="56" t="s">
        <v>36</v>
      </c>
      <c r="I1986" s="3"/>
      <c r="J1986" s="42"/>
      <c r="K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</row>
    <row r="1987" spans="1:22" x14ac:dyDescent="0.25">
      <c r="A1987" s="20">
        <v>42056</v>
      </c>
      <c r="B1987" s="21">
        <v>12684</v>
      </c>
      <c r="C1987" s="14" t="s">
        <v>42</v>
      </c>
      <c r="D1987" s="105">
        <v>1032</v>
      </c>
      <c r="E1987" s="23">
        <v>42056</v>
      </c>
      <c r="F1987" s="118">
        <v>1032</v>
      </c>
      <c r="G1987" s="31">
        <f t="shared" ref="G1987:G2050" si="31">D1987-F1987</f>
        <v>0</v>
      </c>
      <c r="H1987" s="56" t="s">
        <v>9</v>
      </c>
      <c r="I1987" s="3"/>
      <c r="J1987" s="42"/>
      <c r="K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</row>
    <row r="1988" spans="1:22" x14ac:dyDescent="0.25">
      <c r="A1988" s="20">
        <v>42056</v>
      </c>
      <c r="B1988" s="21">
        <v>12685</v>
      </c>
      <c r="C1988" s="14" t="s">
        <v>256</v>
      </c>
      <c r="D1988" s="105">
        <v>6534</v>
      </c>
      <c r="E1988" s="23">
        <v>42058</v>
      </c>
      <c r="F1988" s="118">
        <v>6534</v>
      </c>
      <c r="G1988" s="31">
        <f t="shared" si="31"/>
        <v>0</v>
      </c>
      <c r="H1988" s="56" t="s">
        <v>36</v>
      </c>
      <c r="I1988" s="3"/>
      <c r="J1988" s="42"/>
      <c r="K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</row>
    <row r="1989" spans="1:22" x14ac:dyDescent="0.25">
      <c r="A1989" s="20">
        <v>42056</v>
      </c>
      <c r="B1989" s="21">
        <v>12686</v>
      </c>
      <c r="C1989" s="14" t="s">
        <v>591</v>
      </c>
      <c r="D1989" s="105">
        <v>11620.8</v>
      </c>
      <c r="E1989" s="23">
        <v>42056</v>
      </c>
      <c r="F1989" s="118">
        <v>11620.8</v>
      </c>
      <c r="G1989" s="31">
        <f t="shared" si="31"/>
        <v>0</v>
      </c>
      <c r="H1989" s="56" t="s">
        <v>36</v>
      </c>
      <c r="I1989" s="3"/>
      <c r="J1989" s="42"/>
      <c r="K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</row>
    <row r="1990" spans="1:22" x14ac:dyDescent="0.25">
      <c r="A1990" s="20">
        <v>42056</v>
      </c>
      <c r="B1990" s="21">
        <v>12687</v>
      </c>
      <c r="C1990" s="14" t="s">
        <v>291</v>
      </c>
      <c r="D1990" s="105">
        <v>4428.8</v>
      </c>
      <c r="E1990" s="23">
        <v>42056</v>
      </c>
      <c r="F1990" s="118">
        <v>4428.8</v>
      </c>
      <c r="G1990" s="31">
        <f t="shared" si="31"/>
        <v>0</v>
      </c>
      <c r="H1990" s="56" t="s">
        <v>9</v>
      </c>
      <c r="I1990" s="3"/>
      <c r="J1990" s="42"/>
      <c r="K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</row>
    <row r="1991" spans="1:22" x14ac:dyDescent="0.25">
      <c r="A1991" s="20">
        <v>42056</v>
      </c>
      <c r="B1991" s="21">
        <v>12688</v>
      </c>
      <c r="C1991" s="14" t="s">
        <v>291</v>
      </c>
      <c r="D1991" s="105">
        <v>2560.56</v>
      </c>
      <c r="E1991" s="23">
        <v>42056</v>
      </c>
      <c r="F1991" s="118">
        <v>2560.56</v>
      </c>
      <c r="G1991" s="31">
        <f t="shared" si="31"/>
        <v>0</v>
      </c>
      <c r="H1991" s="56" t="s">
        <v>9</v>
      </c>
      <c r="I1991" s="3"/>
      <c r="J1991" s="42"/>
      <c r="K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</row>
    <row r="1992" spans="1:22" x14ac:dyDescent="0.25">
      <c r="A1992" s="20">
        <v>42056</v>
      </c>
      <c r="B1992" s="21">
        <v>12689</v>
      </c>
      <c r="C1992" s="14" t="s">
        <v>25</v>
      </c>
      <c r="D1992" s="105">
        <v>1679.2</v>
      </c>
      <c r="E1992" s="23">
        <v>42056</v>
      </c>
      <c r="F1992" s="118">
        <v>1679.2</v>
      </c>
      <c r="G1992" s="31">
        <f t="shared" si="31"/>
        <v>0</v>
      </c>
      <c r="H1992" s="56" t="s">
        <v>9</v>
      </c>
      <c r="I1992" s="3"/>
      <c r="J1992" s="42"/>
      <c r="K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</row>
    <row r="1993" spans="1:22" x14ac:dyDescent="0.25">
      <c r="A1993" s="20">
        <v>42056</v>
      </c>
      <c r="B1993" s="21">
        <v>12690</v>
      </c>
      <c r="C1993" s="14" t="s">
        <v>701</v>
      </c>
      <c r="D1993" s="105">
        <v>723.6</v>
      </c>
      <c r="E1993" s="23">
        <v>42056</v>
      </c>
      <c r="F1993" s="118">
        <v>723.6</v>
      </c>
      <c r="G1993" s="31">
        <f t="shared" si="31"/>
        <v>0</v>
      </c>
      <c r="H1993" s="56" t="s">
        <v>36</v>
      </c>
      <c r="I1993" s="3"/>
      <c r="J1993" s="42"/>
      <c r="K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</row>
    <row r="1994" spans="1:22" x14ac:dyDescent="0.25">
      <c r="A1994" s="20">
        <v>42056</v>
      </c>
      <c r="B1994" s="21">
        <v>12691</v>
      </c>
      <c r="C1994" s="14" t="s">
        <v>56</v>
      </c>
      <c r="D1994" s="105">
        <v>14259.8</v>
      </c>
      <c r="E1994" s="23">
        <v>42056</v>
      </c>
      <c r="F1994" s="118">
        <v>14259.8</v>
      </c>
      <c r="G1994" s="31">
        <f t="shared" si="31"/>
        <v>0</v>
      </c>
      <c r="H1994" s="56" t="s">
        <v>36</v>
      </c>
      <c r="I1994" s="3"/>
      <c r="J1994" s="42"/>
      <c r="K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</row>
    <row r="1995" spans="1:22" x14ac:dyDescent="0.25">
      <c r="A1995" s="20">
        <v>42056</v>
      </c>
      <c r="B1995" s="21">
        <v>12692</v>
      </c>
      <c r="C1995" s="26" t="s">
        <v>12</v>
      </c>
      <c r="D1995" s="108">
        <v>0</v>
      </c>
      <c r="E1995" s="23"/>
      <c r="F1995" s="118"/>
      <c r="G1995" s="31">
        <f t="shared" si="31"/>
        <v>0</v>
      </c>
      <c r="H1995" s="56" t="s">
        <v>13</v>
      </c>
      <c r="I1995" s="3"/>
      <c r="J1995" s="42"/>
      <c r="K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</row>
    <row r="1996" spans="1:22" x14ac:dyDescent="0.25">
      <c r="A1996" s="20">
        <v>42056</v>
      </c>
      <c r="B1996" s="21">
        <v>12693</v>
      </c>
      <c r="C1996" s="14" t="s">
        <v>234</v>
      </c>
      <c r="D1996" s="105">
        <v>259.89999999999998</v>
      </c>
      <c r="E1996" s="23">
        <v>42056</v>
      </c>
      <c r="F1996" s="118">
        <v>259.89999999999998</v>
      </c>
      <c r="G1996" s="31">
        <f t="shared" si="31"/>
        <v>0</v>
      </c>
      <c r="H1996" s="56" t="s">
        <v>9</v>
      </c>
      <c r="I1996" s="3"/>
      <c r="J1996" s="42"/>
      <c r="K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</row>
    <row r="1997" spans="1:22" x14ac:dyDescent="0.25">
      <c r="A1997" s="20">
        <v>42056</v>
      </c>
      <c r="B1997" s="21">
        <v>12694</v>
      </c>
      <c r="C1997" s="110">
        <v>105</v>
      </c>
      <c r="D1997" s="105">
        <v>1548</v>
      </c>
      <c r="E1997" s="23">
        <v>42056</v>
      </c>
      <c r="F1997" s="118">
        <v>1548</v>
      </c>
      <c r="G1997" s="31">
        <f t="shared" si="31"/>
        <v>0</v>
      </c>
      <c r="H1997" s="56" t="s">
        <v>59</v>
      </c>
      <c r="I1997" s="3"/>
      <c r="J1997" s="42"/>
      <c r="K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</row>
    <row r="1998" spans="1:22" x14ac:dyDescent="0.25">
      <c r="A1998" s="20">
        <v>42056</v>
      </c>
      <c r="B1998" s="21">
        <v>12695</v>
      </c>
      <c r="C1998" s="14" t="s">
        <v>214</v>
      </c>
      <c r="D1998" s="105">
        <v>2160</v>
      </c>
      <c r="E1998" s="23">
        <v>42056</v>
      </c>
      <c r="F1998" s="118">
        <v>2160</v>
      </c>
      <c r="G1998" s="31">
        <f t="shared" si="31"/>
        <v>0</v>
      </c>
      <c r="H1998" s="56" t="s">
        <v>59</v>
      </c>
      <c r="I1998" s="3"/>
      <c r="J1998" s="42"/>
      <c r="K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</row>
    <row r="1999" spans="1:22" x14ac:dyDescent="0.25">
      <c r="A1999" s="20">
        <v>42056</v>
      </c>
      <c r="B1999" s="21">
        <v>12696</v>
      </c>
      <c r="C1999" s="14" t="s">
        <v>58</v>
      </c>
      <c r="D1999" s="105">
        <v>720</v>
      </c>
      <c r="E1999" s="23">
        <v>42056</v>
      </c>
      <c r="F1999" s="118">
        <v>720</v>
      </c>
      <c r="G1999" s="31">
        <f t="shared" si="31"/>
        <v>0</v>
      </c>
      <c r="H1999" s="56" t="s">
        <v>59</v>
      </c>
      <c r="I1999" s="3"/>
      <c r="J1999" s="42"/>
      <c r="K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</row>
    <row r="2000" spans="1:22" x14ac:dyDescent="0.25">
      <c r="A2000" s="20">
        <v>42056</v>
      </c>
      <c r="B2000" s="21">
        <v>12697</v>
      </c>
      <c r="C2000" s="14" t="s">
        <v>100</v>
      </c>
      <c r="D2000" s="105">
        <v>8137.8</v>
      </c>
      <c r="E2000" s="23">
        <v>42056</v>
      </c>
      <c r="F2000" s="118">
        <v>8137.8</v>
      </c>
      <c r="G2000" s="31">
        <f t="shared" si="31"/>
        <v>0</v>
      </c>
      <c r="H2000" s="56" t="s">
        <v>9</v>
      </c>
      <c r="I2000" s="3"/>
      <c r="J2000" s="42"/>
      <c r="K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</row>
    <row r="2001" spans="1:22" x14ac:dyDescent="0.25">
      <c r="A2001" s="20">
        <v>42056</v>
      </c>
      <c r="B2001" s="21">
        <v>12698</v>
      </c>
      <c r="C2001" s="14" t="s">
        <v>383</v>
      </c>
      <c r="D2001" s="105">
        <v>3432</v>
      </c>
      <c r="E2001" s="23">
        <v>42056</v>
      </c>
      <c r="F2001" s="118">
        <v>3432</v>
      </c>
      <c r="G2001" s="31">
        <f t="shared" si="31"/>
        <v>0</v>
      </c>
      <c r="H2001" s="56" t="s">
        <v>62</v>
      </c>
      <c r="I2001" s="3"/>
      <c r="J2001" s="42"/>
      <c r="K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</row>
    <row r="2002" spans="1:22" x14ac:dyDescent="0.25">
      <c r="A2002" s="20">
        <v>42056</v>
      </c>
      <c r="B2002" s="21">
        <v>12699</v>
      </c>
      <c r="C2002" s="14" t="s">
        <v>100</v>
      </c>
      <c r="D2002" s="105">
        <v>75</v>
      </c>
      <c r="E2002" s="23">
        <v>42056</v>
      </c>
      <c r="F2002" s="118">
        <v>75</v>
      </c>
      <c r="G2002" s="31">
        <f t="shared" si="31"/>
        <v>0</v>
      </c>
      <c r="H2002" s="56" t="s">
        <v>9</v>
      </c>
      <c r="I2002" s="3"/>
      <c r="J2002" s="42"/>
      <c r="K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</row>
    <row r="2003" spans="1:22" x14ac:dyDescent="0.25">
      <c r="A2003" s="20">
        <v>42056</v>
      </c>
      <c r="B2003" s="21">
        <v>12700</v>
      </c>
      <c r="C2003" s="14" t="s">
        <v>375</v>
      </c>
      <c r="D2003" s="105">
        <v>2515.8000000000002</v>
      </c>
      <c r="E2003" s="23">
        <v>42056</v>
      </c>
      <c r="F2003" s="106">
        <v>2515.8000000000002</v>
      </c>
      <c r="G2003" s="31">
        <f t="shared" si="31"/>
        <v>0</v>
      </c>
      <c r="H2003" s="56" t="s">
        <v>9</v>
      </c>
      <c r="I2003" s="3"/>
      <c r="J2003" s="42"/>
      <c r="K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</row>
    <row r="2004" spans="1:22" x14ac:dyDescent="0.25">
      <c r="A2004" s="20">
        <v>42056</v>
      </c>
      <c r="B2004" s="21">
        <v>12701</v>
      </c>
      <c r="C2004" s="14" t="s">
        <v>38</v>
      </c>
      <c r="D2004" s="105">
        <v>35000</v>
      </c>
      <c r="E2004" s="29" t="s">
        <v>702</v>
      </c>
      <c r="F2004" s="106">
        <f>1172.5+33827.5</f>
        <v>35000</v>
      </c>
      <c r="G2004" s="31">
        <f t="shared" si="31"/>
        <v>0</v>
      </c>
      <c r="H2004" s="56" t="s">
        <v>183</v>
      </c>
      <c r="I2004" s="3"/>
      <c r="J2004" s="42"/>
      <c r="K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</row>
    <row r="2005" spans="1:22" x14ac:dyDescent="0.25">
      <c r="A2005" s="20">
        <v>42056</v>
      </c>
      <c r="B2005" s="21">
        <v>12702</v>
      </c>
      <c r="C2005" s="14" t="s">
        <v>83</v>
      </c>
      <c r="D2005" s="105">
        <v>5404</v>
      </c>
      <c r="E2005" s="23">
        <v>42056</v>
      </c>
      <c r="F2005" s="106">
        <v>5404</v>
      </c>
      <c r="G2005" s="31">
        <f t="shared" si="31"/>
        <v>0</v>
      </c>
      <c r="H2005" s="56" t="s">
        <v>59</v>
      </c>
      <c r="I2005" s="3"/>
      <c r="J2005" s="42"/>
      <c r="K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</row>
    <row r="2006" spans="1:22" x14ac:dyDescent="0.25">
      <c r="A2006" s="20">
        <v>42056</v>
      </c>
      <c r="B2006" s="21">
        <v>12703</v>
      </c>
      <c r="C2006" s="14" t="s">
        <v>292</v>
      </c>
      <c r="D2006" s="105">
        <v>3288</v>
      </c>
      <c r="E2006" s="23">
        <v>42056</v>
      </c>
      <c r="F2006" s="106">
        <v>3288</v>
      </c>
      <c r="G2006" s="31">
        <f t="shared" si="31"/>
        <v>0</v>
      </c>
      <c r="H2006" s="56" t="s">
        <v>59</v>
      </c>
      <c r="I2006" s="3"/>
      <c r="J2006" s="42"/>
      <c r="K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</row>
    <row r="2007" spans="1:22" x14ac:dyDescent="0.25">
      <c r="A2007" s="20">
        <v>42056</v>
      </c>
      <c r="B2007" s="21">
        <v>12704</v>
      </c>
      <c r="C2007" s="14" t="s">
        <v>82</v>
      </c>
      <c r="D2007" s="105">
        <v>5492</v>
      </c>
      <c r="E2007" s="23">
        <v>42056</v>
      </c>
      <c r="F2007" s="106">
        <v>5492</v>
      </c>
      <c r="G2007" s="31">
        <f t="shared" si="31"/>
        <v>0</v>
      </c>
      <c r="H2007" s="56" t="s">
        <v>59</v>
      </c>
      <c r="I2007" s="3"/>
      <c r="J2007" s="42"/>
      <c r="K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</row>
    <row r="2008" spans="1:22" x14ac:dyDescent="0.25">
      <c r="A2008" s="20">
        <v>42056</v>
      </c>
      <c r="B2008" s="21">
        <v>12705</v>
      </c>
      <c r="C2008" s="14" t="s">
        <v>91</v>
      </c>
      <c r="D2008" s="105">
        <v>6474.8</v>
      </c>
      <c r="E2008" s="23">
        <v>42056</v>
      </c>
      <c r="F2008" s="106">
        <v>6474.8</v>
      </c>
      <c r="G2008" s="31">
        <f t="shared" si="31"/>
        <v>0</v>
      </c>
      <c r="H2008" s="56" t="s">
        <v>59</v>
      </c>
      <c r="I2008" s="3"/>
      <c r="J2008" s="42"/>
      <c r="K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</row>
    <row r="2009" spans="1:22" x14ac:dyDescent="0.25">
      <c r="A2009" s="20">
        <v>42056</v>
      </c>
      <c r="B2009" s="21">
        <v>12706</v>
      </c>
      <c r="C2009" s="14" t="s">
        <v>53</v>
      </c>
      <c r="D2009" s="105">
        <v>2642.5</v>
      </c>
      <c r="E2009" s="23">
        <v>42056</v>
      </c>
      <c r="F2009" s="106">
        <v>2642.5</v>
      </c>
      <c r="G2009" s="31">
        <f t="shared" si="31"/>
        <v>0</v>
      </c>
      <c r="H2009" s="56" t="s">
        <v>59</v>
      </c>
      <c r="I2009" s="3"/>
      <c r="J2009" s="42"/>
      <c r="K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</row>
    <row r="2010" spans="1:22" x14ac:dyDescent="0.25">
      <c r="A2010" s="20">
        <v>42056</v>
      </c>
      <c r="B2010" s="21">
        <v>12707</v>
      </c>
      <c r="C2010" s="14" t="s">
        <v>81</v>
      </c>
      <c r="D2010" s="105">
        <v>2761.2</v>
      </c>
      <c r="E2010" s="23">
        <v>42056</v>
      </c>
      <c r="F2010" s="106">
        <v>2761.2</v>
      </c>
      <c r="G2010" s="31">
        <f t="shared" si="31"/>
        <v>0</v>
      </c>
      <c r="H2010" s="56" t="s">
        <v>59</v>
      </c>
      <c r="I2010" s="3"/>
      <c r="J2010" s="42"/>
      <c r="K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</row>
    <row r="2011" spans="1:22" x14ac:dyDescent="0.25">
      <c r="A2011" s="20">
        <v>42056</v>
      </c>
      <c r="B2011" s="21">
        <v>12708</v>
      </c>
      <c r="C2011" s="14" t="s">
        <v>367</v>
      </c>
      <c r="D2011" s="105">
        <v>12541.9</v>
      </c>
      <c r="E2011" s="23">
        <v>42063</v>
      </c>
      <c r="F2011" s="106">
        <v>12541.9</v>
      </c>
      <c r="G2011" s="31">
        <f t="shared" si="31"/>
        <v>0</v>
      </c>
      <c r="H2011" s="56" t="s">
        <v>187</v>
      </c>
      <c r="I2011" s="3"/>
      <c r="J2011" s="42"/>
      <c r="K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</row>
    <row r="2012" spans="1:22" x14ac:dyDescent="0.25">
      <c r="A2012" s="20">
        <v>42056</v>
      </c>
      <c r="B2012" s="21">
        <v>12709</v>
      </c>
      <c r="C2012" s="14" t="s">
        <v>169</v>
      </c>
      <c r="D2012" s="105">
        <v>1665.2</v>
      </c>
      <c r="E2012" s="23">
        <v>42056</v>
      </c>
      <c r="F2012" s="118">
        <v>1665.2</v>
      </c>
      <c r="G2012" s="31">
        <f t="shared" si="31"/>
        <v>0</v>
      </c>
      <c r="H2012" s="56" t="s">
        <v>59</v>
      </c>
      <c r="I2012" s="3"/>
      <c r="J2012" s="42"/>
      <c r="K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</row>
    <row r="2013" spans="1:22" x14ac:dyDescent="0.25">
      <c r="A2013" s="20">
        <v>42056</v>
      </c>
      <c r="B2013" s="21">
        <v>12710</v>
      </c>
      <c r="C2013" s="14" t="s">
        <v>291</v>
      </c>
      <c r="D2013" s="105">
        <v>10388.25</v>
      </c>
      <c r="E2013" s="23">
        <v>42056</v>
      </c>
      <c r="F2013" s="118">
        <v>10388.25</v>
      </c>
      <c r="G2013" s="31">
        <f t="shared" si="31"/>
        <v>0</v>
      </c>
      <c r="H2013" s="56" t="s">
        <v>9</v>
      </c>
      <c r="I2013" s="3"/>
      <c r="J2013" s="42"/>
      <c r="K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</row>
    <row r="2014" spans="1:22" x14ac:dyDescent="0.25">
      <c r="A2014" s="20">
        <v>42056</v>
      </c>
      <c r="B2014" s="21">
        <v>12711</v>
      </c>
      <c r="C2014" s="14" t="s">
        <v>57</v>
      </c>
      <c r="D2014" s="105">
        <v>1620</v>
      </c>
      <c r="E2014" s="23">
        <v>42056</v>
      </c>
      <c r="F2014" s="118">
        <v>1620</v>
      </c>
      <c r="G2014" s="31">
        <f t="shared" si="31"/>
        <v>0</v>
      </c>
      <c r="H2014" s="56" t="s">
        <v>59</v>
      </c>
      <c r="I2014" s="3"/>
      <c r="J2014" s="42"/>
      <c r="K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</row>
    <row r="2015" spans="1:22" x14ac:dyDescent="0.25">
      <c r="A2015" s="20">
        <v>42056</v>
      </c>
      <c r="B2015" s="21">
        <v>12712</v>
      </c>
      <c r="C2015" s="14" t="s">
        <v>296</v>
      </c>
      <c r="D2015" s="105">
        <v>1979.1</v>
      </c>
      <c r="E2015" s="23">
        <v>42056</v>
      </c>
      <c r="F2015" s="118">
        <v>1979.1</v>
      </c>
      <c r="G2015" s="31">
        <f t="shared" si="31"/>
        <v>0</v>
      </c>
      <c r="H2015" s="56" t="s">
        <v>9</v>
      </c>
      <c r="I2015" s="3"/>
      <c r="J2015" s="42"/>
      <c r="K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</row>
    <row r="2016" spans="1:22" x14ac:dyDescent="0.25">
      <c r="A2016" s="20">
        <v>42056</v>
      </c>
      <c r="B2016" s="21">
        <v>12713</v>
      </c>
      <c r="C2016" s="14" t="s">
        <v>125</v>
      </c>
      <c r="D2016" s="105">
        <v>18889.599999999999</v>
      </c>
      <c r="E2016" s="29" t="s">
        <v>703</v>
      </c>
      <c r="F2016" s="118">
        <f>1500+17389.6</f>
        <v>18889.599999999999</v>
      </c>
      <c r="G2016" s="31">
        <f t="shared" si="31"/>
        <v>0</v>
      </c>
      <c r="H2016" s="56" t="s">
        <v>9</v>
      </c>
      <c r="I2016" s="3"/>
      <c r="J2016" s="42"/>
      <c r="K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</row>
    <row r="2017" spans="1:22" x14ac:dyDescent="0.25">
      <c r="A2017" s="20">
        <v>42056</v>
      </c>
      <c r="B2017" s="21">
        <v>12714</v>
      </c>
      <c r="C2017" s="14" t="s">
        <v>100</v>
      </c>
      <c r="D2017" s="105">
        <v>6546.6</v>
      </c>
      <c r="E2017" s="23">
        <v>42056</v>
      </c>
      <c r="F2017" s="118">
        <v>6546.6</v>
      </c>
      <c r="G2017" s="31">
        <f t="shared" si="31"/>
        <v>0</v>
      </c>
      <c r="H2017" s="56" t="s">
        <v>9</v>
      </c>
      <c r="I2017" s="3"/>
      <c r="J2017" s="42"/>
      <c r="K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</row>
    <row r="2018" spans="1:22" x14ac:dyDescent="0.25">
      <c r="A2018" s="20">
        <v>42056</v>
      </c>
      <c r="B2018" s="21">
        <v>12715</v>
      </c>
      <c r="C2018" s="14" t="s">
        <v>18</v>
      </c>
      <c r="D2018" s="105">
        <v>3042.6</v>
      </c>
      <c r="E2018" s="23">
        <v>42056</v>
      </c>
      <c r="F2018" s="118">
        <v>3042.6</v>
      </c>
      <c r="G2018" s="31">
        <f t="shared" si="31"/>
        <v>0</v>
      </c>
      <c r="H2018" s="56" t="s">
        <v>9</v>
      </c>
      <c r="I2018" s="3"/>
      <c r="J2018" s="42"/>
      <c r="K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</row>
    <row r="2019" spans="1:22" x14ac:dyDescent="0.25">
      <c r="A2019" s="20">
        <v>42056</v>
      </c>
      <c r="B2019" s="21">
        <v>12716</v>
      </c>
      <c r="C2019" s="14" t="s">
        <v>34</v>
      </c>
      <c r="D2019" s="105">
        <v>4320</v>
      </c>
      <c r="E2019" s="23">
        <v>42056</v>
      </c>
      <c r="F2019" s="118">
        <v>4320</v>
      </c>
      <c r="G2019" s="31">
        <f t="shared" si="31"/>
        <v>0</v>
      </c>
      <c r="H2019" s="56" t="s">
        <v>9</v>
      </c>
      <c r="I2019" s="3"/>
      <c r="J2019" s="42"/>
      <c r="K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</row>
    <row r="2020" spans="1:22" x14ac:dyDescent="0.25">
      <c r="A2020" s="20">
        <v>42056</v>
      </c>
      <c r="B2020" s="21">
        <v>12717</v>
      </c>
      <c r="C2020" s="14" t="s">
        <v>42</v>
      </c>
      <c r="D2020" s="105">
        <v>1226.5999999999999</v>
      </c>
      <c r="E2020" s="23">
        <v>42056</v>
      </c>
      <c r="F2020" s="118">
        <v>1226.5999999999999</v>
      </c>
      <c r="G2020" s="31">
        <f t="shared" si="31"/>
        <v>0</v>
      </c>
      <c r="H2020" s="56" t="s">
        <v>9</v>
      </c>
      <c r="I2020" s="3"/>
      <c r="J2020" s="42"/>
      <c r="K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</row>
    <row r="2021" spans="1:22" x14ac:dyDescent="0.25">
      <c r="A2021" s="20">
        <v>42056</v>
      </c>
      <c r="B2021" s="21">
        <v>12718</v>
      </c>
      <c r="C2021" s="14" t="s">
        <v>50</v>
      </c>
      <c r="D2021" s="105">
        <v>4900.7</v>
      </c>
      <c r="E2021" s="23">
        <v>42056</v>
      </c>
      <c r="F2021" s="118">
        <v>4900.7</v>
      </c>
      <c r="G2021" s="31">
        <f t="shared" si="31"/>
        <v>0</v>
      </c>
      <c r="H2021" s="56" t="s">
        <v>94</v>
      </c>
      <c r="I2021" s="3"/>
      <c r="J2021" s="42"/>
      <c r="K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</row>
    <row r="2022" spans="1:22" x14ac:dyDescent="0.25">
      <c r="A2022" s="20">
        <v>42056</v>
      </c>
      <c r="B2022" s="21">
        <v>12719</v>
      </c>
      <c r="C2022" s="14" t="s">
        <v>232</v>
      </c>
      <c r="D2022" s="105">
        <v>2962.8</v>
      </c>
      <c r="E2022" s="23">
        <v>42056</v>
      </c>
      <c r="F2022" s="118">
        <v>2962.8</v>
      </c>
      <c r="G2022" s="31">
        <f t="shared" si="31"/>
        <v>0</v>
      </c>
      <c r="H2022" s="56" t="s">
        <v>17</v>
      </c>
      <c r="I2022" s="3"/>
      <c r="J2022" s="42"/>
      <c r="K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</row>
    <row r="2023" spans="1:22" x14ac:dyDescent="0.25">
      <c r="A2023" s="20">
        <v>42056</v>
      </c>
      <c r="B2023" s="21">
        <v>12720</v>
      </c>
      <c r="C2023" s="14" t="s">
        <v>49</v>
      </c>
      <c r="D2023" s="105">
        <v>1559.4</v>
      </c>
      <c r="E2023" s="23">
        <v>42056</v>
      </c>
      <c r="F2023" s="118">
        <v>1559.4</v>
      </c>
      <c r="G2023" s="31">
        <f t="shared" si="31"/>
        <v>0</v>
      </c>
      <c r="H2023" s="56" t="s">
        <v>94</v>
      </c>
      <c r="I2023" s="3"/>
      <c r="J2023" s="42"/>
      <c r="K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</row>
    <row r="2024" spans="1:22" x14ac:dyDescent="0.25">
      <c r="A2024" s="20">
        <v>42056</v>
      </c>
      <c r="B2024" s="21">
        <v>12721</v>
      </c>
      <c r="C2024" s="14" t="s">
        <v>110</v>
      </c>
      <c r="D2024" s="105">
        <v>11184.7</v>
      </c>
      <c r="E2024" s="23">
        <v>42063</v>
      </c>
      <c r="F2024" s="118">
        <v>11184.7</v>
      </c>
      <c r="G2024" s="31">
        <f t="shared" si="31"/>
        <v>0</v>
      </c>
      <c r="H2024" s="56" t="s">
        <v>94</v>
      </c>
      <c r="I2024" s="3"/>
      <c r="J2024" s="42"/>
      <c r="K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</row>
    <row r="2025" spans="1:22" x14ac:dyDescent="0.25">
      <c r="A2025" s="20">
        <v>42056</v>
      </c>
      <c r="B2025" s="21">
        <v>12722</v>
      </c>
      <c r="C2025" s="14" t="s">
        <v>130</v>
      </c>
      <c r="D2025" s="105">
        <v>8452.4</v>
      </c>
      <c r="E2025" s="29" t="s">
        <v>704</v>
      </c>
      <c r="F2025" s="118">
        <f>6452+2000.4</f>
        <v>8452.4</v>
      </c>
      <c r="G2025" s="31">
        <f t="shared" si="31"/>
        <v>0</v>
      </c>
      <c r="H2025" s="56" t="s">
        <v>9</v>
      </c>
      <c r="I2025" s="3"/>
      <c r="J2025" s="42"/>
      <c r="K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</row>
    <row r="2026" spans="1:22" x14ac:dyDescent="0.25">
      <c r="A2026" s="20">
        <v>42056</v>
      </c>
      <c r="B2026" s="21">
        <v>12723</v>
      </c>
      <c r="C2026" s="14" t="s">
        <v>135</v>
      </c>
      <c r="D2026" s="105">
        <v>15016.75</v>
      </c>
      <c r="E2026" s="23">
        <v>42056</v>
      </c>
      <c r="F2026" s="118">
        <v>15016.75</v>
      </c>
      <c r="G2026" s="31">
        <f t="shared" si="31"/>
        <v>0</v>
      </c>
      <c r="H2026" s="56" t="s">
        <v>9</v>
      </c>
      <c r="I2026" s="3"/>
      <c r="J2026" s="42"/>
      <c r="K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</row>
    <row r="2027" spans="1:22" x14ac:dyDescent="0.25">
      <c r="A2027" s="20">
        <v>42056</v>
      </c>
      <c r="B2027" s="21">
        <v>12724</v>
      </c>
      <c r="C2027" s="14" t="s">
        <v>165</v>
      </c>
      <c r="D2027" s="105">
        <v>4459.1000000000004</v>
      </c>
      <c r="E2027" s="23">
        <v>42056</v>
      </c>
      <c r="F2027" s="118">
        <v>4459.1000000000004</v>
      </c>
      <c r="G2027" s="31">
        <f t="shared" si="31"/>
        <v>0</v>
      </c>
      <c r="H2027" s="56" t="s">
        <v>17</v>
      </c>
      <c r="I2027" s="3"/>
      <c r="J2027" s="42"/>
      <c r="K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</row>
    <row r="2028" spans="1:22" x14ac:dyDescent="0.25">
      <c r="A2028" s="20">
        <v>42056</v>
      </c>
      <c r="B2028" s="21">
        <v>12725</v>
      </c>
      <c r="C2028" s="14" t="s">
        <v>239</v>
      </c>
      <c r="D2028" s="105">
        <v>1170.7</v>
      </c>
      <c r="E2028" s="23">
        <v>42056</v>
      </c>
      <c r="F2028" s="118">
        <v>1170.7</v>
      </c>
      <c r="G2028" s="31">
        <f t="shared" si="31"/>
        <v>0</v>
      </c>
      <c r="H2028" s="56" t="s">
        <v>9</v>
      </c>
      <c r="I2028" s="3"/>
      <c r="J2028" s="42"/>
      <c r="K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</row>
    <row r="2029" spans="1:22" x14ac:dyDescent="0.25">
      <c r="A2029" s="20">
        <v>42056</v>
      </c>
      <c r="B2029" s="21">
        <v>12726</v>
      </c>
      <c r="C2029" s="14" t="s">
        <v>128</v>
      </c>
      <c r="D2029" s="105">
        <v>2506.4</v>
      </c>
      <c r="E2029" s="23">
        <v>42056</v>
      </c>
      <c r="F2029" s="118">
        <v>2506.4</v>
      </c>
      <c r="G2029" s="31">
        <f t="shared" si="31"/>
        <v>0</v>
      </c>
      <c r="H2029" s="56" t="s">
        <v>9</v>
      </c>
      <c r="I2029" s="3"/>
      <c r="J2029" s="42"/>
      <c r="K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</row>
    <row r="2030" spans="1:22" x14ac:dyDescent="0.25">
      <c r="A2030" s="20">
        <v>42056</v>
      </c>
      <c r="B2030" s="21">
        <v>12727</v>
      </c>
      <c r="C2030" s="14" t="s">
        <v>131</v>
      </c>
      <c r="D2030" s="105">
        <v>12897.9</v>
      </c>
      <c r="E2030" s="23">
        <v>42056</v>
      </c>
      <c r="F2030" s="118">
        <v>12897.9</v>
      </c>
      <c r="G2030" s="31">
        <f t="shared" si="31"/>
        <v>0</v>
      </c>
      <c r="H2030" s="56" t="s">
        <v>17</v>
      </c>
      <c r="I2030" s="3"/>
      <c r="J2030" s="42"/>
      <c r="K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</row>
    <row r="2031" spans="1:22" x14ac:dyDescent="0.25">
      <c r="A2031" s="20">
        <v>42056</v>
      </c>
      <c r="B2031" s="21">
        <v>12728</v>
      </c>
      <c r="C2031" s="14" t="s">
        <v>132</v>
      </c>
      <c r="D2031" s="105">
        <v>416</v>
      </c>
      <c r="E2031" s="23">
        <v>42056</v>
      </c>
      <c r="F2031" s="118">
        <v>416</v>
      </c>
      <c r="G2031" s="31">
        <f t="shared" si="31"/>
        <v>0</v>
      </c>
      <c r="H2031" s="56" t="s">
        <v>17</v>
      </c>
      <c r="I2031" s="3"/>
      <c r="J2031" s="42"/>
      <c r="K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</row>
    <row r="2032" spans="1:22" x14ac:dyDescent="0.25">
      <c r="A2032" s="20">
        <v>42056</v>
      </c>
      <c r="B2032" s="21">
        <v>12729</v>
      </c>
      <c r="C2032" s="14" t="s">
        <v>102</v>
      </c>
      <c r="D2032" s="105">
        <v>5332.6</v>
      </c>
      <c r="E2032" s="23">
        <v>42056</v>
      </c>
      <c r="F2032" s="118">
        <v>5332.6</v>
      </c>
      <c r="G2032" s="31">
        <f t="shared" si="31"/>
        <v>0</v>
      </c>
      <c r="H2032" s="56" t="s">
        <v>62</v>
      </c>
      <c r="I2032" s="3"/>
      <c r="J2032" s="42"/>
      <c r="K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</row>
    <row r="2033" spans="1:22" x14ac:dyDescent="0.25">
      <c r="A2033" s="20">
        <v>42056</v>
      </c>
      <c r="B2033" s="21">
        <v>12730</v>
      </c>
      <c r="C2033" s="14" t="s">
        <v>141</v>
      </c>
      <c r="D2033" s="105">
        <v>13689.5</v>
      </c>
      <c r="E2033" s="23">
        <v>42056</v>
      </c>
      <c r="F2033" s="118">
        <v>13689.5</v>
      </c>
      <c r="G2033" s="31">
        <f t="shared" si="31"/>
        <v>0</v>
      </c>
      <c r="H2033" s="56" t="s">
        <v>94</v>
      </c>
      <c r="I2033" s="3"/>
      <c r="J2033" s="42"/>
      <c r="K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</row>
    <row r="2034" spans="1:22" x14ac:dyDescent="0.25">
      <c r="A2034" s="20">
        <v>42056</v>
      </c>
      <c r="B2034" s="21">
        <v>12731</v>
      </c>
      <c r="C2034" s="14" t="s">
        <v>122</v>
      </c>
      <c r="D2034" s="105">
        <v>4134</v>
      </c>
      <c r="E2034" s="23">
        <v>42056</v>
      </c>
      <c r="F2034" s="118">
        <v>4134</v>
      </c>
      <c r="G2034" s="31">
        <f t="shared" si="31"/>
        <v>0</v>
      </c>
      <c r="H2034" s="56" t="s">
        <v>9</v>
      </c>
      <c r="I2034" s="3"/>
      <c r="J2034" s="42"/>
      <c r="K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</row>
    <row r="2035" spans="1:22" x14ac:dyDescent="0.25">
      <c r="A2035" s="20">
        <v>42056</v>
      </c>
      <c r="B2035" s="21">
        <v>12732</v>
      </c>
      <c r="C2035" s="14" t="s">
        <v>215</v>
      </c>
      <c r="D2035" s="105">
        <v>40394.06</v>
      </c>
      <c r="E2035" s="23">
        <v>42056</v>
      </c>
      <c r="F2035" s="118">
        <v>40394.06</v>
      </c>
      <c r="G2035" s="31">
        <f t="shared" si="31"/>
        <v>0</v>
      </c>
      <c r="H2035" s="56" t="s">
        <v>19</v>
      </c>
      <c r="I2035" s="3"/>
      <c r="J2035" s="42"/>
      <c r="K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</row>
    <row r="2036" spans="1:22" x14ac:dyDescent="0.25">
      <c r="A2036" s="20">
        <v>42056</v>
      </c>
      <c r="B2036" s="21">
        <v>12733</v>
      </c>
      <c r="C2036" s="14" t="s">
        <v>89</v>
      </c>
      <c r="D2036" s="105">
        <v>4810</v>
      </c>
      <c r="E2036" s="23">
        <v>42056</v>
      </c>
      <c r="F2036" s="118">
        <v>4810</v>
      </c>
      <c r="G2036" s="31">
        <f t="shared" si="31"/>
        <v>0</v>
      </c>
      <c r="H2036" s="56" t="s">
        <v>9</v>
      </c>
      <c r="I2036" s="3"/>
      <c r="J2036" s="42"/>
      <c r="K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</row>
    <row r="2037" spans="1:22" x14ac:dyDescent="0.25">
      <c r="A2037" s="20">
        <v>42056</v>
      </c>
      <c r="B2037" s="21">
        <v>12734</v>
      </c>
      <c r="C2037" s="14" t="s">
        <v>71</v>
      </c>
      <c r="D2037" s="105">
        <v>8043.9</v>
      </c>
      <c r="E2037" s="23">
        <v>42056</v>
      </c>
      <c r="F2037" s="118">
        <v>8043.9</v>
      </c>
      <c r="G2037" s="31">
        <f t="shared" si="31"/>
        <v>0</v>
      </c>
      <c r="H2037" s="56" t="s">
        <v>9</v>
      </c>
      <c r="I2037" s="3"/>
      <c r="J2037" s="42"/>
      <c r="K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</row>
    <row r="2038" spans="1:22" x14ac:dyDescent="0.25">
      <c r="A2038" s="20">
        <v>42056</v>
      </c>
      <c r="B2038" s="21">
        <v>12735</v>
      </c>
      <c r="C2038" s="14" t="s">
        <v>192</v>
      </c>
      <c r="D2038" s="122">
        <v>946.8</v>
      </c>
      <c r="E2038" s="30">
        <v>42071</v>
      </c>
      <c r="F2038" s="145">
        <v>946.8</v>
      </c>
      <c r="G2038" s="31">
        <f t="shared" si="31"/>
        <v>0</v>
      </c>
      <c r="H2038" s="56" t="s">
        <v>9</v>
      </c>
      <c r="I2038" s="3"/>
      <c r="J2038" s="42"/>
      <c r="K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</row>
    <row r="2039" spans="1:22" x14ac:dyDescent="0.25">
      <c r="A2039" s="20">
        <v>42056</v>
      </c>
      <c r="B2039" s="21">
        <v>12736</v>
      </c>
      <c r="C2039" s="14" t="s">
        <v>42</v>
      </c>
      <c r="D2039" s="105">
        <v>316.8</v>
      </c>
      <c r="E2039" s="23">
        <v>42058</v>
      </c>
      <c r="F2039" s="118">
        <v>316.8</v>
      </c>
      <c r="G2039" s="31">
        <f t="shared" si="31"/>
        <v>0</v>
      </c>
      <c r="H2039" s="56" t="s">
        <v>9</v>
      </c>
      <c r="I2039" s="3"/>
      <c r="J2039" s="42"/>
      <c r="K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</row>
    <row r="2040" spans="1:22" x14ac:dyDescent="0.25">
      <c r="A2040" s="20">
        <v>42056</v>
      </c>
      <c r="B2040" s="21">
        <v>12737</v>
      </c>
      <c r="C2040" s="14" t="s">
        <v>137</v>
      </c>
      <c r="D2040" s="105">
        <v>348.1</v>
      </c>
      <c r="E2040" s="23">
        <v>42056</v>
      </c>
      <c r="F2040" s="118">
        <v>348.1</v>
      </c>
      <c r="G2040" s="31">
        <f t="shared" si="31"/>
        <v>0</v>
      </c>
      <c r="H2040" s="56" t="s">
        <v>9</v>
      </c>
      <c r="I2040" s="3"/>
      <c r="J2040" s="42"/>
      <c r="K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</row>
    <row r="2041" spans="1:22" x14ac:dyDescent="0.25">
      <c r="A2041" s="20">
        <v>42056</v>
      </c>
      <c r="B2041" s="21">
        <v>12738</v>
      </c>
      <c r="C2041" s="14" t="s">
        <v>24</v>
      </c>
      <c r="D2041" s="105">
        <v>70825.899999999994</v>
      </c>
      <c r="E2041" s="30">
        <v>42074</v>
      </c>
      <c r="F2041" s="145">
        <v>70825.899999999994</v>
      </c>
      <c r="G2041" s="31">
        <f t="shared" si="31"/>
        <v>0</v>
      </c>
      <c r="H2041" s="56" t="s">
        <v>187</v>
      </c>
      <c r="I2041" s="3"/>
      <c r="J2041" s="42"/>
      <c r="K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</row>
    <row r="2042" spans="1:22" x14ac:dyDescent="0.25">
      <c r="A2042" s="20">
        <v>42056</v>
      </c>
      <c r="B2042" s="21">
        <v>12739</v>
      </c>
      <c r="C2042" s="14" t="s">
        <v>705</v>
      </c>
      <c r="D2042" s="105">
        <v>870</v>
      </c>
      <c r="E2042" s="23">
        <v>42056</v>
      </c>
      <c r="F2042" s="118">
        <v>870</v>
      </c>
      <c r="G2042" s="31">
        <f t="shared" si="31"/>
        <v>0</v>
      </c>
      <c r="H2042" s="56" t="s">
        <v>9</v>
      </c>
      <c r="I2042" s="3"/>
      <c r="J2042" s="42"/>
      <c r="K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</row>
    <row r="2043" spans="1:22" x14ac:dyDescent="0.25">
      <c r="A2043" s="20">
        <v>42056</v>
      </c>
      <c r="B2043" s="21">
        <v>12740</v>
      </c>
      <c r="C2043" s="14" t="s">
        <v>228</v>
      </c>
      <c r="D2043" s="105">
        <v>3319.8</v>
      </c>
      <c r="E2043" s="23">
        <v>42056</v>
      </c>
      <c r="F2043" s="118">
        <v>3319.8</v>
      </c>
      <c r="G2043" s="31">
        <f t="shared" si="31"/>
        <v>0</v>
      </c>
      <c r="H2043" s="56" t="s">
        <v>9</v>
      </c>
      <c r="I2043" s="3"/>
      <c r="J2043" s="42"/>
      <c r="K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</row>
    <row r="2044" spans="1:22" x14ac:dyDescent="0.25">
      <c r="A2044" s="20">
        <v>42056</v>
      </c>
      <c r="B2044" s="21">
        <v>12741</v>
      </c>
      <c r="C2044" s="14" t="s">
        <v>42</v>
      </c>
      <c r="D2044" s="105">
        <v>105.6</v>
      </c>
      <c r="E2044" s="23">
        <v>42056</v>
      </c>
      <c r="F2044" s="118">
        <v>105.6</v>
      </c>
      <c r="G2044" s="31">
        <f t="shared" si="31"/>
        <v>0</v>
      </c>
      <c r="H2044" s="56" t="s">
        <v>9</v>
      </c>
      <c r="I2044" s="3"/>
      <c r="J2044" s="42"/>
      <c r="K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</row>
    <row r="2045" spans="1:22" x14ac:dyDescent="0.25">
      <c r="A2045" s="20">
        <v>42056</v>
      </c>
      <c r="B2045" s="21">
        <v>12742</v>
      </c>
      <c r="C2045" s="14" t="s">
        <v>151</v>
      </c>
      <c r="D2045" s="105">
        <v>2841</v>
      </c>
      <c r="E2045" s="23">
        <v>42058</v>
      </c>
      <c r="F2045" s="118">
        <v>2841</v>
      </c>
      <c r="G2045" s="31">
        <f t="shared" si="31"/>
        <v>0</v>
      </c>
      <c r="H2045" s="56" t="s">
        <v>9</v>
      </c>
      <c r="I2045" s="3"/>
      <c r="J2045" s="42"/>
      <c r="K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</row>
    <row r="2046" spans="1:22" x14ac:dyDescent="0.25">
      <c r="A2046" s="20">
        <v>42056</v>
      </c>
      <c r="B2046" s="21">
        <v>12743</v>
      </c>
      <c r="C2046" s="14" t="s">
        <v>87</v>
      </c>
      <c r="D2046" s="105">
        <v>2452.8000000000002</v>
      </c>
      <c r="E2046" s="23">
        <v>42056</v>
      </c>
      <c r="F2046" s="118">
        <v>2452.8000000000002</v>
      </c>
      <c r="G2046" s="31">
        <f t="shared" si="31"/>
        <v>0</v>
      </c>
      <c r="H2046" s="56" t="s">
        <v>94</v>
      </c>
      <c r="I2046" s="3"/>
      <c r="J2046" s="42"/>
      <c r="K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</row>
    <row r="2047" spans="1:22" x14ac:dyDescent="0.25">
      <c r="A2047" s="20">
        <v>42056</v>
      </c>
      <c r="B2047" s="21">
        <v>12744</v>
      </c>
      <c r="C2047" s="14" t="s">
        <v>140</v>
      </c>
      <c r="D2047" s="105">
        <v>8916.1</v>
      </c>
      <c r="E2047" s="23">
        <v>42056</v>
      </c>
      <c r="F2047" s="118">
        <v>8916.1</v>
      </c>
      <c r="G2047" s="31">
        <f t="shared" si="31"/>
        <v>0</v>
      </c>
      <c r="H2047" s="62" t="s">
        <v>94</v>
      </c>
      <c r="I2047" s="3"/>
      <c r="J2047" s="42"/>
      <c r="K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</row>
    <row r="2048" spans="1:22" x14ac:dyDescent="0.25">
      <c r="A2048" s="20">
        <v>42056</v>
      </c>
      <c r="B2048" s="21">
        <v>12745</v>
      </c>
      <c r="C2048" s="14" t="s">
        <v>108</v>
      </c>
      <c r="D2048" s="105">
        <v>24081.98</v>
      </c>
      <c r="E2048" s="23">
        <v>42056</v>
      </c>
      <c r="F2048" s="118">
        <v>24081.98</v>
      </c>
      <c r="G2048" s="31">
        <f t="shared" si="31"/>
        <v>0</v>
      </c>
      <c r="H2048" s="62" t="s">
        <v>183</v>
      </c>
      <c r="I2048" s="3"/>
      <c r="J2048" s="42"/>
      <c r="K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</row>
    <row r="2049" spans="1:22" x14ac:dyDescent="0.25">
      <c r="A2049" s="20">
        <v>42056</v>
      </c>
      <c r="B2049" s="21">
        <v>12746</v>
      </c>
      <c r="C2049" s="14" t="s">
        <v>87</v>
      </c>
      <c r="D2049" s="105">
        <v>2925.2</v>
      </c>
      <c r="E2049" s="23">
        <v>42056</v>
      </c>
      <c r="F2049" s="118">
        <v>2925.2</v>
      </c>
      <c r="G2049" s="31">
        <f t="shared" si="31"/>
        <v>0</v>
      </c>
      <c r="H2049" s="62" t="s">
        <v>9</v>
      </c>
      <c r="I2049" s="3"/>
      <c r="J2049" s="42"/>
      <c r="K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</row>
    <row r="2050" spans="1:22" x14ac:dyDescent="0.25">
      <c r="A2050" s="20">
        <v>42056</v>
      </c>
      <c r="B2050" s="21">
        <v>12747</v>
      </c>
      <c r="C2050" s="14" t="s">
        <v>32</v>
      </c>
      <c r="D2050" s="105">
        <v>1440</v>
      </c>
      <c r="E2050" s="23">
        <v>42062</v>
      </c>
      <c r="F2050" s="118">
        <v>1440</v>
      </c>
      <c r="G2050" s="31">
        <f t="shared" si="31"/>
        <v>0</v>
      </c>
      <c r="H2050" s="62" t="s">
        <v>9</v>
      </c>
      <c r="I2050" s="3"/>
      <c r="J2050" s="42"/>
      <c r="K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</row>
    <row r="2051" spans="1:22" x14ac:dyDescent="0.25">
      <c r="A2051" s="20">
        <v>42056</v>
      </c>
      <c r="B2051" s="21">
        <v>12748</v>
      </c>
      <c r="C2051" s="14" t="s">
        <v>266</v>
      </c>
      <c r="D2051" s="105">
        <v>348.4</v>
      </c>
      <c r="E2051" s="23">
        <v>42056</v>
      </c>
      <c r="F2051" s="118">
        <v>348.4</v>
      </c>
      <c r="G2051" s="31">
        <f t="shared" ref="G2051:G2114" si="32">D2051-F2051</f>
        <v>0</v>
      </c>
      <c r="H2051" s="62" t="s">
        <v>9</v>
      </c>
      <c r="I2051" s="3"/>
      <c r="J2051" s="42"/>
      <c r="K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</row>
    <row r="2052" spans="1:22" x14ac:dyDescent="0.25">
      <c r="A2052" s="20">
        <v>42056</v>
      </c>
      <c r="B2052" s="21">
        <v>12749</v>
      </c>
      <c r="C2052" s="14" t="s">
        <v>47</v>
      </c>
      <c r="D2052" s="105">
        <v>19933.2</v>
      </c>
      <c r="E2052" s="23">
        <v>42056</v>
      </c>
      <c r="F2052" s="118">
        <v>19933.2</v>
      </c>
      <c r="G2052" s="31">
        <f t="shared" si="32"/>
        <v>0</v>
      </c>
      <c r="H2052" s="62" t="s">
        <v>46</v>
      </c>
      <c r="I2052" s="3"/>
      <c r="J2052" s="42"/>
      <c r="K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</row>
    <row r="2053" spans="1:22" x14ac:dyDescent="0.25">
      <c r="A2053" s="20">
        <v>42056</v>
      </c>
      <c r="B2053" s="21">
        <v>12750</v>
      </c>
      <c r="C2053" s="14" t="s">
        <v>30</v>
      </c>
      <c r="D2053" s="105">
        <v>3912.2</v>
      </c>
      <c r="E2053" s="23">
        <v>42056</v>
      </c>
      <c r="F2053" s="118">
        <v>3912.2</v>
      </c>
      <c r="G2053" s="31">
        <f t="shared" si="32"/>
        <v>0</v>
      </c>
      <c r="H2053" s="62" t="s">
        <v>9</v>
      </c>
      <c r="I2053" s="3"/>
      <c r="J2053" s="42"/>
      <c r="K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</row>
    <row r="2054" spans="1:22" x14ac:dyDescent="0.25">
      <c r="A2054" s="20">
        <v>42056</v>
      </c>
      <c r="B2054" s="21">
        <v>12751</v>
      </c>
      <c r="C2054" s="14" t="s">
        <v>226</v>
      </c>
      <c r="D2054" s="105">
        <v>1798.6</v>
      </c>
      <c r="E2054" s="23">
        <v>42058</v>
      </c>
      <c r="F2054" s="118">
        <v>1798.6</v>
      </c>
      <c r="G2054" s="31">
        <f t="shared" si="32"/>
        <v>0</v>
      </c>
      <c r="H2054" s="62" t="s">
        <v>15</v>
      </c>
      <c r="I2054" s="3"/>
      <c r="J2054" s="42"/>
      <c r="K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</row>
    <row r="2055" spans="1:22" x14ac:dyDescent="0.25">
      <c r="A2055" s="20">
        <v>42056</v>
      </c>
      <c r="B2055" s="21">
        <v>12752</v>
      </c>
      <c r="C2055" s="14" t="s">
        <v>571</v>
      </c>
      <c r="D2055" s="105">
        <v>45176.5</v>
      </c>
      <c r="E2055" s="23">
        <v>42058</v>
      </c>
      <c r="F2055" s="118">
        <v>45176.5</v>
      </c>
      <c r="G2055" s="31">
        <f t="shared" si="32"/>
        <v>0</v>
      </c>
      <c r="H2055" s="62" t="s">
        <v>15</v>
      </c>
      <c r="I2055" s="3"/>
      <c r="J2055" s="42"/>
      <c r="K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</row>
    <row r="2056" spans="1:22" x14ac:dyDescent="0.25">
      <c r="A2056" s="20">
        <v>42056</v>
      </c>
      <c r="B2056" s="21">
        <v>12753</v>
      </c>
      <c r="C2056" s="14" t="s">
        <v>111</v>
      </c>
      <c r="D2056" s="105">
        <v>21762.799999999999</v>
      </c>
      <c r="E2056" s="23">
        <v>42058</v>
      </c>
      <c r="F2056" s="118">
        <v>21762.799999999999</v>
      </c>
      <c r="G2056" s="31">
        <f t="shared" si="32"/>
        <v>0</v>
      </c>
      <c r="H2056" s="62" t="s">
        <v>15</v>
      </c>
      <c r="I2056" s="3"/>
      <c r="J2056" s="42"/>
      <c r="K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</row>
    <row r="2057" spans="1:22" x14ac:dyDescent="0.25">
      <c r="A2057" s="20">
        <v>42056</v>
      </c>
      <c r="B2057" s="21">
        <v>12754</v>
      </c>
      <c r="C2057" s="14" t="s">
        <v>689</v>
      </c>
      <c r="D2057" s="105">
        <v>5609.9</v>
      </c>
      <c r="E2057" s="23">
        <v>42058</v>
      </c>
      <c r="F2057" s="118">
        <v>5609.9</v>
      </c>
      <c r="G2057" s="48">
        <f t="shared" si="32"/>
        <v>0</v>
      </c>
      <c r="H2057" s="62" t="s">
        <v>19</v>
      </c>
      <c r="I2057" s="3"/>
      <c r="J2057" s="42"/>
      <c r="K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</row>
    <row r="2058" spans="1:22" x14ac:dyDescent="0.25">
      <c r="A2058" s="20">
        <v>42056</v>
      </c>
      <c r="B2058" s="21">
        <v>12755</v>
      </c>
      <c r="C2058" s="14" t="s">
        <v>98</v>
      </c>
      <c r="D2058" s="105">
        <v>1626</v>
      </c>
      <c r="E2058" s="23">
        <v>42058</v>
      </c>
      <c r="F2058" s="118">
        <v>1626</v>
      </c>
      <c r="G2058" s="31">
        <f t="shared" si="32"/>
        <v>0</v>
      </c>
      <c r="H2058" s="62" t="s">
        <v>19</v>
      </c>
      <c r="I2058" s="3"/>
      <c r="J2058" s="42"/>
      <c r="K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</row>
    <row r="2059" spans="1:22" x14ac:dyDescent="0.25">
      <c r="A2059" s="20">
        <v>42056</v>
      </c>
      <c r="B2059" s="21">
        <v>12756</v>
      </c>
      <c r="C2059" s="14" t="s">
        <v>98</v>
      </c>
      <c r="D2059" s="105">
        <v>283.2</v>
      </c>
      <c r="E2059" s="23">
        <v>42058</v>
      </c>
      <c r="F2059" s="118">
        <v>283.2</v>
      </c>
      <c r="G2059" s="31">
        <f t="shared" si="32"/>
        <v>0</v>
      </c>
      <c r="H2059" s="62" t="s">
        <v>19</v>
      </c>
      <c r="I2059" s="3"/>
      <c r="J2059" s="42"/>
      <c r="K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</row>
    <row r="2060" spans="1:22" x14ac:dyDescent="0.25">
      <c r="A2060" s="20">
        <v>42056</v>
      </c>
      <c r="B2060" s="21">
        <v>12757</v>
      </c>
      <c r="C2060" s="14" t="s">
        <v>301</v>
      </c>
      <c r="D2060" s="105">
        <v>3395.2</v>
      </c>
      <c r="E2060" s="23">
        <v>42058</v>
      </c>
      <c r="F2060" s="118">
        <v>3395.2</v>
      </c>
      <c r="G2060" s="31">
        <f t="shared" si="32"/>
        <v>0</v>
      </c>
      <c r="H2060" s="62" t="s">
        <v>19</v>
      </c>
      <c r="I2060" s="3"/>
      <c r="J2060" s="42"/>
      <c r="K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</row>
    <row r="2061" spans="1:22" x14ac:dyDescent="0.25">
      <c r="A2061" s="20">
        <v>42056</v>
      </c>
      <c r="B2061" s="21">
        <v>12758</v>
      </c>
      <c r="C2061" s="14" t="s">
        <v>93</v>
      </c>
      <c r="D2061" s="105">
        <v>1865.5</v>
      </c>
      <c r="E2061" s="23">
        <v>42058</v>
      </c>
      <c r="F2061" s="118">
        <v>1865.5</v>
      </c>
      <c r="G2061" s="31">
        <f t="shared" si="32"/>
        <v>0</v>
      </c>
      <c r="H2061" s="62" t="s">
        <v>19</v>
      </c>
      <c r="I2061" s="3"/>
      <c r="J2061" s="42"/>
      <c r="K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</row>
    <row r="2062" spans="1:22" x14ac:dyDescent="0.25">
      <c r="A2062" s="20">
        <v>42056</v>
      </c>
      <c r="B2062" s="21">
        <v>12759</v>
      </c>
      <c r="C2062" s="14" t="s">
        <v>104</v>
      </c>
      <c r="D2062" s="105">
        <v>1778.14</v>
      </c>
      <c r="E2062" s="23">
        <v>42058</v>
      </c>
      <c r="F2062" s="118">
        <v>1778.14</v>
      </c>
      <c r="G2062" s="31">
        <f t="shared" si="32"/>
        <v>0</v>
      </c>
      <c r="H2062" s="62" t="s">
        <v>9</v>
      </c>
      <c r="I2062" s="3"/>
      <c r="J2062" s="42"/>
      <c r="K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</row>
    <row r="2063" spans="1:22" x14ac:dyDescent="0.25">
      <c r="A2063" s="20">
        <v>42056</v>
      </c>
      <c r="B2063" s="21">
        <v>12760</v>
      </c>
      <c r="C2063" s="14" t="s">
        <v>95</v>
      </c>
      <c r="D2063" s="105">
        <v>5386.5</v>
      </c>
      <c r="E2063" s="23">
        <v>42058</v>
      </c>
      <c r="F2063" s="118">
        <v>5386.5</v>
      </c>
      <c r="G2063" s="31">
        <f t="shared" si="32"/>
        <v>0</v>
      </c>
      <c r="H2063" s="62" t="s">
        <v>19</v>
      </c>
      <c r="I2063" s="3"/>
      <c r="J2063" s="42"/>
      <c r="K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</row>
    <row r="2064" spans="1:22" x14ac:dyDescent="0.25">
      <c r="A2064" s="20">
        <v>42056</v>
      </c>
      <c r="B2064" s="21">
        <v>12761</v>
      </c>
      <c r="C2064" s="14" t="s">
        <v>136</v>
      </c>
      <c r="D2064" s="105">
        <v>22533</v>
      </c>
      <c r="E2064" s="23">
        <v>42057</v>
      </c>
      <c r="F2064" s="118">
        <v>22533</v>
      </c>
      <c r="G2064" s="31">
        <f t="shared" si="32"/>
        <v>0</v>
      </c>
      <c r="H2064" s="62" t="s">
        <v>9</v>
      </c>
      <c r="I2064" s="3"/>
      <c r="J2064" s="42"/>
      <c r="K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</row>
    <row r="2065" spans="1:22" x14ac:dyDescent="0.25">
      <c r="A2065" s="20">
        <v>42056</v>
      </c>
      <c r="B2065" s="21">
        <v>12762</v>
      </c>
      <c r="C2065" s="14" t="s">
        <v>126</v>
      </c>
      <c r="D2065" s="105">
        <v>3328</v>
      </c>
      <c r="E2065" s="23">
        <v>42057</v>
      </c>
      <c r="F2065" s="118">
        <v>3328</v>
      </c>
      <c r="G2065" s="31">
        <f t="shared" si="32"/>
        <v>0</v>
      </c>
      <c r="H2065" s="62" t="s">
        <v>149</v>
      </c>
      <c r="I2065" s="3"/>
      <c r="J2065" s="42"/>
      <c r="K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</row>
    <row r="2066" spans="1:22" x14ac:dyDescent="0.25">
      <c r="A2066" s="20">
        <v>42056</v>
      </c>
      <c r="B2066" s="21">
        <v>12763</v>
      </c>
      <c r="C2066" s="14" t="s">
        <v>438</v>
      </c>
      <c r="D2066" s="105">
        <v>18563.8</v>
      </c>
      <c r="E2066" s="23">
        <v>42063</v>
      </c>
      <c r="F2066" s="118">
        <v>18563.8</v>
      </c>
      <c r="G2066" s="31">
        <f t="shared" si="32"/>
        <v>0</v>
      </c>
      <c r="H2066" s="62" t="s">
        <v>9</v>
      </c>
      <c r="I2066" s="3"/>
      <c r="J2066" s="42"/>
      <c r="K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</row>
    <row r="2067" spans="1:22" x14ac:dyDescent="0.25">
      <c r="A2067" s="20">
        <v>42056</v>
      </c>
      <c r="B2067" s="21">
        <v>12764</v>
      </c>
      <c r="C2067" s="14" t="s">
        <v>136</v>
      </c>
      <c r="D2067" s="105">
        <v>540</v>
      </c>
      <c r="E2067" s="23">
        <v>42056</v>
      </c>
      <c r="F2067" s="118">
        <v>540</v>
      </c>
      <c r="G2067" s="31">
        <f t="shared" si="32"/>
        <v>0</v>
      </c>
      <c r="H2067" s="62" t="s">
        <v>9</v>
      </c>
      <c r="I2067" s="3"/>
      <c r="J2067" s="42"/>
      <c r="K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</row>
    <row r="2068" spans="1:22" x14ac:dyDescent="0.25">
      <c r="A2068" s="20">
        <v>42056</v>
      </c>
      <c r="B2068" s="21">
        <v>12765</v>
      </c>
      <c r="C2068" s="14" t="s">
        <v>264</v>
      </c>
      <c r="D2068" s="105">
        <v>1440</v>
      </c>
      <c r="E2068" s="23">
        <v>42056</v>
      </c>
      <c r="F2068" s="118">
        <v>1440</v>
      </c>
      <c r="G2068" s="31">
        <f t="shared" si="32"/>
        <v>0</v>
      </c>
      <c r="H2068" s="62" t="s">
        <v>9</v>
      </c>
      <c r="I2068" s="3"/>
      <c r="J2068" s="42"/>
      <c r="K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</row>
    <row r="2069" spans="1:22" x14ac:dyDescent="0.25">
      <c r="A2069" s="20">
        <v>42056</v>
      </c>
      <c r="B2069" s="21">
        <v>12766</v>
      </c>
      <c r="C2069" s="14" t="s">
        <v>191</v>
      </c>
      <c r="D2069" s="105">
        <v>14201.6</v>
      </c>
      <c r="E2069" s="23">
        <v>42056</v>
      </c>
      <c r="F2069" s="118">
        <v>14201.6</v>
      </c>
      <c r="G2069" s="31">
        <f t="shared" si="32"/>
        <v>0</v>
      </c>
      <c r="H2069" s="62" t="s">
        <v>9</v>
      </c>
      <c r="I2069" s="3"/>
      <c r="J2069" s="42"/>
      <c r="K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</row>
    <row r="2070" spans="1:22" x14ac:dyDescent="0.25">
      <c r="A2070" s="20">
        <v>42056</v>
      </c>
      <c r="B2070" s="21">
        <v>12767</v>
      </c>
      <c r="C2070" s="14" t="s">
        <v>45</v>
      </c>
      <c r="D2070" s="105">
        <v>15944.6</v>
      </c>
      <c r="E2070" s="23">
        <v>42062</v>
      </c>
      <c r="F2070" s="118">
        <v>15944.6</v>
      </c>
      <c r="G2070" s="31">
        <f t="shared" si="32"/>
        <v>0</v>
      </c>
      <c r="H2070" s="62" t="s">
        <v>17</v>
      </c>
      <c r="I2070" s="3"/>
      <c r="J2070" s="42"/>
      <c r="K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</row>
    <row r="2071" spans="1:22" x14ac:dyDescent="0.25">
      <c r="A2071" s="20">
        <v>42056</v>
      </c>
      <c r="B2071" s="21">
        <v>12768</v>
      </c>
      <c r="C2071" s="14" t="s">
        <v>168</v>
      </c>
      <c r="D2071" s="105">
        <v>11242.4</v>
      </c>
      <c r="E2071" s="23">
        <v>42057</v>
      </c>
      <c r="F2071" s="118">
        <v>11242.4</v>
      </c>
      <c r="G2071" s="31">
        <f t="shared" si="32"/>
        <v>0</v>
      </c>
      <c r="H2071" s="62" t="s">
        <v>17</v>
      </c>
      <c r="I2071" s="3"/>
      <c r="J2071" s="42"/>
      <c r="K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</row>
    <row r="2072" spans="1:22" x14ac:dyDescent="0.25">
      <c r="A2072" s="20">
        <v>42056</v>
      </c>
      <c r="B2072" s="21">
        <v>12769</v>
      </c>
      <c r="C2072" s="14" t="s">
        <v>24</v>
      </c>
      <c r="D2072" s="105">
        <v>21109.07</v>
      </c>
      <c r="E2072" s="30">
        <v>42074</v>
      </c>
      <c r="F2072" s="145">
        <v>21109.7</v>
      </c>
      <c r="G2072" s="31">
        <f t="shared" si="32"/>
        <v>-0.63000000000101863</v>
      </c>
      <c r="H2072" s="62" t="s">
        <v>183</v>
      </c>
      <c r="I2072" s="3"/>
      <c r="J2072" s="42"/>
      <c r="K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</row>
    <row r="2073" spans="1:22" x14ac:dyDescent="0.25">
      <c r="A2073" s="20">
        <v>42056</v>
      </c>
      <c r="B2073" s="21">
        <v>12770</v>
      </c>
      <c r="C2073" s="14" t="s">
        <v>110</v>
      </c>
      <c r="D2073" s="105">
        <v>7010.4</v>
      </c>
      <c r="E2073" s="23">
        <v>42063</v>
      </c>
      <c r="F2073" s="118">
        <v>7010.4</v>
      </c>
      <c r="G2073" s="31">
        <f t="shared" si="32"/>
        <v>0</v>
      </c>
      <c r="H2073" s="62" t="s">
        <v>36</v>
      </c>
      <c r="I2073" s="3"/>
      <c r="J2073" s="42"/>
      <c r="K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</row>
    <row r="2074" spans="1:22" x14ac:dyDescent="0.25">
      <c r="A2074" s="20">
        <v>42056</v>
      </c>
      <c r="B2074" s="21">
        <v>12771</v>
      </c>
      <c r="C2074" s="14" t="s">
        <v>411</v>
      </c>
      <c r="D2074" s="105">
        <v>2281.6</v>
      </c>
      <c r="E2074" s="23">
        <v>42056</v>
      </c>
      <c r="F2074" s="118">
        <v>2281.6</v>
      </c>
      <c r="G2074" s="31">
        <f t="shared" si="32"/>
        <v>0</v>
      </c>
      <c r="H2074" s="62" t="s">
        <v>9</v>
      </c>
      <c r="I2074" s="3"/>
      <c r="J2074" s="42"/>
      <c r="K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</row>
    <row r="2075" spans="1:22" x14ac:dyDescent="0.25">
      <c r="A2075" s="20">
        <v>42056</v>
      </c>
      <c r="B2075" s="21">
        <v>12772</v>
      </c>
      <c r="C2075" s="14" t="s">
        <v>64</v>
      </c>
      <c r="D2075" s="105">
        <v>1151.4000000000001</v>
      </c>
      <c r="E2075" s="23">
        <v>42056</v>
      </c>
      <c r="F2075" s="118">
        <v>1151.4000000000001</v>
      </c>
      <c r="G2075" s="31">
        <f t="shared" si="32"/>
        <v>0</v>
      </c>
      <c r="H2075" s="62" t="s">
        <v>9</v>
      </c>
      <c r="I2075" s="3"/>
      <c r="J2075" s="42"/>
      <c r="K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</row>
    <row r="2076" spans="1:22" x14ac:dyDescent="0.25">
      <c r="A2076" s="20">
        <v>42056</v>
      </c>
      <c r="B2076" s="21">
        <v>12773</v>
      </c>
      <c r="C2076" s="14" t="s">
        <v>45</v>
      </c>
      <c r="D2076" s="105">
        <v>470.4</v>
      </c>
      <c r="E2076" s="23">
        <v>42062</v>
      </c>
      <c r="F2076" s="118">
        <v>470.4</v>
      </c>
      <c r="G2076" s="31">
        <f t="shared" si="32"/>
        <v>0</v>
      </c>
      <c r="H2076" s="62" t="s">
        <v>149</v>
      </c>
      <c r="I2076" s="3"/>
      <c r="J2076" s="42"/>
      <c r="K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</row>
    <row r="2077" spans="1:22" x14ac:dyDescent="0.25">
      <c r="A2077" s="20">
        <v>42056</v>
      </c>
      <c r="B2077" s="21">
        <v>12774</v>
      </c>
      <c r="C2077" s="26" t="s">
        <v>706</v>
      </c>
      <c r="D2077" s="108">
        <v>0</v>
      </c>
      <c r="E2077" s="45" t="s">
        <v>707</v>
      </c>
      <c r="F2077" s="118"/>
      <c r="G2077" s="31">
        <f t="shared" si="32"/>
        <v>0</v>
      </c>
      <c r="H2077" s="62" t="s">
        <v>36</v>
      </c>
      <c r="I2077" s="3"/>
      <c r="J2077" s="42"/>
      <c r="K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</row>
    <row r="2078" spans="1:22" x14ac:dyDescent="0.25">
      <c r="A2078" s="20">
        <v>42056</v>
      </c>
      <c r="B2078" s="21">
        <v>12775</v>
      </c>
      <c r="C2078" s="14" t="s">
        <v>697</v>
      </c>
      <c r="D2078" s="105">
        <v>3746.8</v>
      </c>
      <c r="E2078" s="23">
        <v>42056</v>
      </c>
      <c r="F2078" s="118">
        <v>3746.8</v>
      </c>
      <c r="G2078" s="31">
        <f t="shared" si="32"/>
        <v>0</v>
      </c>
      <c r="H2078" s="62" t="s">
        <v>9</v>
      </c>
      <c r="I2078" s="3"/>
      <c r="J2078" s="42"/>
      <c r="K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</row>
    <row r="2079" spans="1:22" x14ac:dyDescent="0.25">
      <c r="A2079" s="20">
        <v>42056</v>
      </c>
      <c r="B2079" s="21">
        <v>12776</v>
      </c>
      <c r="C2079" s="14" t="s">
        <v>35</v>
      </c>
      <c r="D2079" s="105">
        <v>22513.4</v>
      </c>
      <c r="E2079" s="23">
        <v>42057</v>
      </c>
      <c r="F2079" s="118">
        <v>22513.4</v>
      </c>
      <c r="G2079" s="31">
        <f t="shared" si="32"/>
        <v>0</v>
      </c>
      <c r="H2079" s="62" t="s">
        <v>36</v>
      </c>
      <c r="I2079" s="3"/>
      <c r="J2079" s="42"/>
      <c r="K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</row>
    <row r="2080" spans="1:22" x14ac:dyDescent="0.25">
      <c r="A2080" s="20">
        <v>42056</v>
      </c>
      <c r="B2080" s="21">
        <v>12777</v>
      </c>
      <c r="C2080" s="14" t="s">
        <v>37</v>
      </c>
      <c r="D2080" s="105">
        <v>22113.45</v>
      </c>
      <c r="E2080" s="23">
        <v>42063</v>
      </c>
      <c r="F2080" s="118">
        <v>22113.45</v>
      </c>
      <c r="G2080" s="31">
        <f t="shared" si="32"/>
        <v>0</v>
      </c>
      <c r="H2080" s="62" t="s">
        <v>36</v>
      </c>
      <c r="I2080" s="3"/>
      <c r="J2080" s="42"/>
      <c r="K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</row>
    <row r="2081" spans="1:22" x14ac:dyDescent="0.25">
      <c r="A2081" s="20">
        <v>42056</v>
      </c>
      <c r="B2081" s="21">
        <v>12778</v>
      </c>
      <c r="C2081" s="14" t="s">
        <v>35</v>
      </c>
      <c r="D2081" s="105">
        <v>22642.13</v>
      </c>
      <c r="E2081" s="23">
        <v>42057</v>
      </c>
      <c r="F2081" s="118">
        <v>22642.13</v>
      </c>
      <c r="G2081" s="31">
        <f t="shared" si="32"/>
        <v>0</v>
      </c>
      <c r="H2081" s="62" t="s">
        <v>36</v>
      </c>
      <c r="I2081" s="3"/>
      <c r="J2081" s="42"/>
      <c r="K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</row>
    <row r="2082" spans="1:22" x14ac:dyDescent="0.25">
      <c r="A2082" s="20">
        <v>42056</v>
      </c>
      <c r="B2082" s="21">
        <v>12779</v>
      </c>
      <c r="C2082" s="14" t="s">
        <v>112</v>
      </c>
      <c r="D2082" s="105">
        <v>6095.2</v>
      </c>
      <c r="E2082" s="29" t="s">
        <v>708</v>
      </c>
      <c r="F2082" s="118">
        <f>3600+2495.2</f>
        <v>6095.2</v>
      </c>
      <c r="G2082" s="31">
        <f t="shared" si="32"/>
        <v>0</v>
      </c>
      <c r="H2082" s="62" t="s">
        <v>9</v>
      </c>
      <c r="I2082" s="3"/>
      <c r="J2082" s="42"/>
      <c r="K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</row>
    <row r="2083" spans="1:22" x14ac:dyDescent="0.25">
      <c r="A2083" s="20">
        <v>42056</v>
      </c>
      <c r="B2083" s="21">
        <v>12780</v>
      </c>
      <c r="C2083" s="14" t="s">
        <v>110</v>
      </c>
      <c r="D2083" s="105">
        <v>65691.37</v>
      </c>
      <c r="E2083" s="23">
        <v>42063</v>
      </c>
      <c r="F2083" s="118">
        <v>65691.37</v>
      </c>
      <c r="G2083" s="31">
        <f t="shared" si="32"/>
        <v>0</v>
      </c>
      <c r="H2083" s="62" t="s">
        <v>36</v>
      </c>
      <c r="I2083" s="3"/>
      <c r="J2083" s="42"/>
      <c r="K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</row>
    <row r="2084" spans="1:22" x14ac:dyDescent="0.25">
      <c r="A2084" s="20">
        <v>42056</v>
      </c>
      <c r="B2084" s="21">
        <v>12781</v>
      </c>
      <c r="C2084" s="14" t="s">
        <v>111</v>
      </c>
      <c r="D2084" s="105">
        <v>140045</v>
      </c>
      <c r="E2084" s="23">
        <v>42058</v>
      </c>
      <c r="F2084" s="118">
        <v>140045</v>
      </c>
      <c r="G2084" s="31">
        <f t="shared" si="32"/>
        <v>0</v>
      </c>
      <c r="H2084" s="62" t="s">
        <v>9</v>
      </c>
      <c r="I2084" s="3"/>
      <c r="J2084" s="42"/>
      <c r="K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</row>
    <row r="2085" spans="1:22" x14ac:dyDescent="0.25">
      <c r="A2085" s="20">
        <v>42056</v>
      </c>
      <c r="B2085" s="21">
        <v>12782</v>
      </c>
      <c r="C2085" s="14" t="s">
        <v>111</v>
      </c>
      <c r="D2085" s="105">
        <v>310346</v>
      </c>
      <c r="E2085" s="23">
        <v>42058</v>
      </c>
      <c r="F2085" s="118">
        <v>310346</v>
      </c>
      <c r="G2085" s="31">
        <f t="shared" si="32"/>
        <v>0</v>
      </c>
      <c r="H2085" s="62" t="s">
        <v>9</v>
      </c>
      <c r="I2085" s="3"/>
      <c r="J2085" s="42"/>
      <c r="K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</row>
    <row r="2086" spans="1:22" x14ac:dyDescent="0.25">
      <c r="A2086" s="20">
        <v>42056</v>
      </c>
      <c r="B2086" s="21">
        <v>12783</v>
      </c>
      <c r="C2086" s="14" t="s">
        <v>24</v>
      </c>
      <c r="D2086" s="105">
        <v>196183.71</v>
      </c>
      <c r="E2086" s="30">
        <v>42074</v>
      </c>
      <c r="F2086" s="145">
        <v>196183.71</v>
      </c>
      <c r="G2086" s="31">
        <f t="shared" si="32"/>
        <v>0</v>
      </c>
      <c r="H2086" s="62" t="s">
        <v>46</v>
      </c>
      <c r="I2086" s="3"/>
      <c r="J2086" s="42"/>
      <c r="K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</row>
    <row r="2087" spans="1:22" x14ac:dyDescent="0.25">
      <c r="A2087" s="20">
        <v>42056</v>
      </c>
      <c r="B2087" s="21">
        <v>12784</v>
      </c>
      <c r="C2087" s="26" t="s">
        <v>12</v>
      </c>
      <c r="D2087" s="108">
        <v>0</v>
      </c>
      <c r="E2087" s="30"/>
      <c r="F2087" s="145"/>
      <c r="G2087" s="31">
        <f t="shared" si="32"/>
        <v>0</v>
      </c>
      <c r="H2087" s="62" t="s">
        <v>13</v>
      </c>
      <c r="I2087" s="3"/>
      <c r="J2087" s="42"/>
      <c r="K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</row>
    <row r="2088" spans="1:22" x14ac:dyDescent="0.25">
      <c r="A2088" s="20">
        <v>42056</v>
      </c>
      <c r="B2088" s="21">
        <v>12785</v>
      </c>
      <c r="C2088" s="14" t="s">
        <v>294</v>
      </c>
      <c r="D2088" s="105">
        <v>1744.8</v>
      </c>
      <c r="E2088" s="23">
        <v>42056</v>
      </c>
      <c r="F2088" s="118">
        <v>1744.8</v>
      </c>
      <c r="G2088" s="31">
        <f t="shared" si="32"/>
        <v>0</v>
      </c>
      <c r="H2088" s="62" t="s">
        <v>9</v>
      </c>
      <c r="I2088" s="3"/>
      <c r="J2088" s="42"/>
      <c r="K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</row>
    <row r="2089" spans="1:22" x14ac:dyDescent="0.25">
      <c r="A2089" s="20">
        <v>42056</v>
      </c>
      <c r="B2089" s="21">
        <v>12786</v>
      </c>
      <c r="C2089" s="14" t="s">
        <v>367</v>
      </c>
      <c r="D2089" s="105">
        <v>176524.98</v>
      </c>
      <c r="E2089" s="23">
        <v>42063</v>
      </c>
      <c r="F2089" s="118">
        <v>176524.98</v>
      </c>
      <c r="G2089" s="31">
        <f t="shared" si="32"/>
        <v>0</v>
      </c>
      <c r="H2089" s="62" t="s">
        <v>9</v>
      </c>
      <c r="I2089" s="3"/>
      <c r="J2089" s="42"/>
      <c r="K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</row>
    <row r="2090" spans="1:22" x14ac:dyDescent="0.25">
      <c r="A2090" s="20">
        <v>42056</v>
      </c>
      <c r="B2090" s="21">
        <v>12787</v>
      </c>
      <c r="C2090" s="14" t="s">
        <v>24</v>
      </c>
      <c r="D2090" s="105">
        <v>8800</v>
      </c>
      <c r="E2090" s="30">
        <v>42093</v>
      </c>
      <c r="F2090" s="145">
        <v>8800</v>
      </c>
      <c r="G2090" s="31">
        <f t="shared" si="32"/>
        <v>0</v>
      </c>
      <c r="H2090" s="62" t="s">
        <v>9</v>
      </c>
      <c r="I2090" s="3"/>
      <c r="J2090" s="42"/>
      <c r="K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</row>
    <row r="2091" spans="1:22" x14ac:dyDescent="0.25">
      <c r="A2091" s="20">
        <v>42056</v>
      </c>
      <c r="B2091" s="21">
        <v>12788</v>
      </c>
      <c r="C2091" s="14" t="s">
        <v>267</v>
      </c>
      <c r="D2091" s="105">
        <v>5196.18</v>
      </c>
      <c r="E2091" s="23">
        <v>42057</v>
      </c>
      <c r="F2091" s="118">
        <v>5196.18</v>
      </c>
      <c r="G2091" s="31">
        <f t="shared" si="32"/>
        <v>0</v>
      </c>
      <c r="H2091" s="62" t="s">
        <v>59</v>
      </c>
      <c r="I2091" s="3"/>
      <c r="J2091" s="42"/>
      <c r="K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</row>
    <row r="2092" spans="1:22" x14ac:dyDescent="0.25">
      <c r="A2092" s="20">
        <v>42056</v>
      </c>
      <c r="B2092" s="21">
        <v>12789</v>
      </c>
      <c r="C2092" s="14" t="s">
        <v>235</v>
      </c>
      <c r="D2092" s="105">
        <v>2076</v>
      </c>
      <c r="E2092" s="23">
        <v>42057</v>
      </c>
      <c r="F2092" s="118">
        <v>2076</v>
      </c>
      <c r="G2092" s="31">
        <f t="shared" si="32"/>
        <v>0</v>
      </c>
      <c r="H2092" s="62" t="s">
        <v>59</v>
      </c>
      <c r="I2092" s="3"/>
      <c r="J2092" s="42"/>
      <c r="K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</row>
    <row r="2093" spans="1:22" x14ac:dyDescent="0.25">
      <c r="A2093" s="20">
        <v>42056</v>
      </c>
      <c r="B2093" s="21">
        <v>12790</v>
      </c>
      <c r="C2093" s="14" t="s">
        <v>45</v>
      </c>
      <c r="D2093" s="105">
        <v>80540.429999999993</v>
      </c>
      <c r="E2093" s="97" t="s">
        <v>761</v>
      </c>
      <c r="F2093" s="145">
        <f>57158.28+23382.15</f>
        <v>80540.429999999993</v>
      </c>
      <c r="G2093" s="31">
        <f t="shared" si="32"/>
        <v>0</v>
      </c>
      <c r="H2093" s="62" t="s">
        <v>183</v>
      </c>
      <c r="I2093" s="3"/>
      <c r="J2093" s="42"/>
      <c r="K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</row>
    <row r="2094" spans="1:22" x14ac:dyDescent="0.25">
      <c r="A2094" s="20">
        <v>42056</v>
      </c>
      <c r="B2094" s="21">
        <v>12791</v>
      </c>
      <c r="C2094" s="14" t="s">
        <v>234</v>
      </c>
      <c r="D2094" s="105">
        <v>97.45</v>
      </c>
      <c r="E2094" s="23">
        <v>42056</v>
      </c>
      <c r="F2094" s="118">
        <v>97.45</v>
      </c>
      <c r="G2094" s="31">
        <f t="shared" si="32"/>
        <v>0</v>
      </c>
      <c r="H2094" s="62" t="s">
        <v>9</v>
      </c>
      <c r="I2094" s="3"/>
      <c r="J2094" s="42"/>
      <c r="K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</row>
    <row r="2095" spans="1:22" x14ac:dyDescent="0.25">
      <c r="A2095" s="20">
        <v>42056</v>
      </c>
      <c r="B2095" s="21">
        <v>12792</v>
      </c>
      <c r="C2095" s="14" t="s">
        <v>145</v>
      </c>
      <c r="D2095" s="105">
        <v>2444</v>
      </c>
      <c r="E2095" s="23">
        <v>42056</v>
      </c>
      <c r="F2095" s="118">
        <v>2444</v>
      </c>
      <c r="G2095" s="31">
        <f t="shared" si="32"/>
        <v>0</v>
      </c>
      <c r="H2095" s="62" t="s">
        <v>9</v>
      </c>
      <c r="I2095" s="3"/>
      <c r="J2095" s="42"/>
      <c r="K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</row>
    <row r="2096" spans="1:22" x14ac:dyDescent="0.25">
      <c r="A2096" s="20">
        <v>42056</v>
      </c>
      <c r="B2096" s="21">
        <v>12793</v>
      </c>
      <c r="C2096" s="26" t="s">
        <v>12</v>
      </c>
      <c r="D2096" s="108">
        <v>0</v>
      </c>
      <c r="E2096" s="29"/>
      <c r="F2096" s="118"/>
      <c r="G2096" s="31">
        <f t="shared" si="32"/>
        <v>0</v>
      </c>
      <c r="H2096" s="62" t="s">
        <v>13</v>
      </c>
      <c r="I2096" s="3"/>
      <c r="J2096" s="42"/>
      <c r="K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</row>
    <row r="2097" spans="1:22" x14ac:dyDescent="0.25">
      <c r="A2097" s="20">
        <v>42056</v>
      </c>
      <c r="B2097" s="21">
        <v>12794</v>
      </c>
      <c r="C2097" s="14" t="s">
        <v>14</v>
      </c>
      <c r="D2097" s="105">
        <v>245424.45</v>
      </c>
      <c r="E2097" s="30">
        <v>42075</v>
      </c>
      <c r="F2097" s="145">
        <v>245424.45</v>
      </c>
      <c r="G2097" s="31">
        <f t="shared" si="32"/>
        <v>0</v>
      </c>
      <c r="H2097" s="62" t="s">
        <v>669</v>
      </c>
      <c r="I2097" s="3"/>
      <c r="J2097" s="42"/>
      <c r="K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</row>
    <row r="2098" spans="1:22" x14ac:dyDescent="0.25">
      <c r="A2098" s="20">
        <v>42057</v>
      </c>
      <c r="B2098" s="21">
        <v>12795</v>
      </c>
      <c r="C2098" s="14" t="s">
        <v>16</v>
      </c>
      <c r="D2098" s="105">
        <v>6416</v>
      </c>
      <c r="E2098" s="23">
        <v>42057</v>
      </c>
      <c r="F2098" s="118">
        <v>6416</v>
      </c>
      <c r="G2098" s="31">
        <f t="shared" si="32"/>
        <v>0</v>
      </c>
      <c r="H2098" s="62" t="s">
        <v>17</v>
      </c>
      <c r="I2098" s="3"/>
      <c r="J2098" s="42"/>
      <c r="K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</row>
    <row r="2099" spans="1:22" x14ac:dyDescent="0.25">
      <c r="A2099" s="20">
        <v>42057</v>
      </c>
      <c r="B2099" s="21">
        <v>12796</v>
      </c>
      <c r="C2099" s="14" t="s">
        <v>21</v>
      </c>
      <c r="D2099" s="105">
        <v>3234.6</v>
      </c>
      <c r="E2099" s="23">
        <v>42057</v>
      </c>
      <c r="F2099" s="118">
        <v>3234.6</v>
      </c>
      <c r="G2099" s="31">
        <f t="shared" si="32"/>
        <v>0</v>
      </c>
      <c r="H2099" s="62" t="s">
        <v>9</v>
      </c>
      <c r="I2099" s="3"/>
      <c r="J2099" s="42"/>
      <c r="K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</row>
    <row r="2100" spans="1:22" x14ac:dyDescent="0.25">
      <c r="A2100" s="20">
        <v>42057</v>
      </c>
      <c r="B2100" s="21">
        <v>12797</v>
      </c>
      <c r="C2100" s="14" t="s">
        <v>658</v>
      </c>
      <c r="D2100" s="105">
        <v>5159.2</v>
      </c>
      <c r="E2100" s="23">
        <v>42057</v>
      </c>
      <c r="F2100" s="118">
        <v>5159.2</v>
      </c>
      <c r="G2100" s="31">
        <f t="shared" si="32"/>
        <v>0</v>
      </c>
      <c r="H2100" s="62" t="s">
        <v>9</v>
      </c>
      <c r="I2100" s="3"/>
      <c r="J2100" s="42"/>
      <c r="K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</row>
    <row r="2101" spans="1:22" x14ac:dyDescent="0.25">
      <c r="A2101" s="20">
        <v>42057</v>
      </c>
      <c r="B2101" s="21">
        <v>12798</v>
      </c>
      <c r="C2101" s="14" t="s">
        <v>709</v>
      </c>
      <c r="D2101" s="105">
        <v>2525.9</v>
      </c>
      <c r="E2101" s="23">
        <v>42057</v>
      </c>
      <c r="F2101" s="118">
        <v>2525.9</v>
      </c>
      <c r="G2101" s="31">
        <f t="shared" si="32"/>
        <v>0</v>
      </c>
      <c r="H2101" s="62" t="s">
        <v>9</v>
      </c>
      <c r="I2101" s="3"/>
      <c r="J2101" s="42"/>
      <c r="K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</row>
    <row r="2102" spans="1:22" x14ac:dyDescent="0.25">
      <c r="A2102" s="20">
        <v>42057</v>
      </c>
      <c r="B2102" s="21">
        <v>12799</v>
      </c>
      <c r="C2102" s="14" t="s">
        <v>18</v>
      </c>
      <c r="D2102" s="105">
        <v>54464</v>
      </c>
      <c r="E2102" s="30">
        <v>42064</v>
      </c>
      <c r="F2102" s="145">
        <v>54464</v>
      </c>
      <c r="G2102" s="31">
        <f t="shared" si="32"/>
        <v>0</v>
      </c>
      <c r="H2102" s="62" t="s">
        <v>9</v>
      </c>
      <c r="I2102" s="3"/>
      <c r="J2102" s="42"/>
      <c r="K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</row>
    <row r="2103" spans="1:22" x14ac:dyDescent="0.25">
      <c r="A2103" s="20">
        <v>42057</v>
      </c>
      <c r="B2103" s="21">
        <v>12800</v>
      </c>
      <c r="C2103" s="14" t="s">
        <v>20</v>
      </c>
      <c r="D2103" s="105">
        <v>14964</v>
      </c>
      <c r="E2103" s="23">
        <v>42057</v>
      </c>
      <c r="F2103" s="118">
        <v>14964</v>
      </c>
      <c r="G2103" s="31">
        <f t="shared" si="32"/>
        <v>0</v>
      </c>
      <c r="H2103" s="62" t="s">
        <v>187</v>
      </c>
      <c r="I2103" s="3"/>
      <c r="J2103" s="42"/>
      <c r="K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</row>
    <row r="2104" spans="1:22" x14ac:dyDescent="0.25">
      <c r="A2104" s="20">
        <v>42057</v>
      </c>
      <c r="B2104" s="21">
        <v>12801</v>
      </c>
      <c r="C2104" s="26" t="s">
        <v>12</v>
      </c>
      <c r="D2104" s="108">
        <v>0</v>
      </c>
      <c r="E2104" s="23"/>
      <c r="F2104" s="118"/>
      <c r="G2104" s="31">
        <f t="shared" si="32"/>
        <v>0</v>
      </c>
      <c r="H2104" s="62" t="s">
        <v>13</v>
      </c>
      <c r="I2104" s="3"/>
      <c r="J2104" s="42"/>
      <c r="K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</row>
    <row r="2105" spans="1:22" x14ac:dyDescent="0.25">
      <c r="A2105" s="20">
        <v>42057</v>
      </c>
      <c r="B2105" s="21">
        <v>12802</v>
      </c>
      <c r="C2105" s="26" t="s">
        <v>12</v>
      </c>
      <c r="D2105" s="108">
        <v>0</v>
      </c>
      <c r="E2105" s="23"/>
      <c r="F2105" s="118"/>
      <c r="G2105" s="31">
        <f t="shared" si="32"/>
        <v>0</v>
      </c>
      <c r="H2105" s="56" t="s">
        <v>13</v>
      </c>
      <c r="I2105" s="3"/>
      <c r="J2105" s="42"/>
      <c r="K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</row>
    <row r="2106" spans="1:22" x14ac:dyDescent="0.25">
      <c r="A2106" s="20">
        <v>42057</v>
      </c>
      <c r="B2106" s="21">
        <v>12803</v>
      </c>
      <c r="C2106" s="14" t="s">
        <v>114</v>
      </c>
      <c r="D2106" s="122">
        <v>24978.9</v>
      </c>
      <c r="E2106" s="23">
        <v>42057</v>
      </c>
      <c r="F2106" s="118">
        <v>24978.9</v>
      </c>
      <c r="G2106" s="31">
        <f t="shared" si="32"/>
        <v>0</v>
      </c>
      <c r="H2106" s="56" t="s">
        <v>62</v>
      </c>
      <c r="I2106" s="3"/>
      <c r="J2106" s="42"/>
      <c r="K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</row>
    <row r="2107" spans="1:22" x14ac:dyDescent="0.25">
      <c r="A2107" s="20">
        <v>42057</v>
      </c>
      <c r="B2107" s="21">
        <v>12804</v>
      </c>
      <c r="C2107" s="14" t="s">
        <v>158</v>
      </c>
      <c r="D2107" s="105">
        <v>3895</v>
      </c>
      <c r="E2107" s="23">
        <v>42057</v>
      </c>
      <c r="F2107" s="118">
        <v>3895</v>
      </c>
      <c r="G2107" s="31">
        <f t="shared" si="32"/>
        <v>0</v>
      </c>
      <c r="H2107" s="56" t="s">
        <v>9</v>
      </c>
      <c r="I2107" s="3"/>
      <c r="J2107" s="42"/>
      <c r="K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</row>
    <row r="2108" spans="1:22" x14ac:dyDescent="0.25">
      <c r="A2108" s="20">
        <v>42057</v>
      </c>
      <c r="B2108" s="21">
        <v>12805</v>
      </c>
      <c r="C2108" s="14" t="s">
        <v>675</v>
      </c>
      <c r="D2108" s="105">
        <v>1080</v>
      </c>
      <c r="E2108" s="23">
        <v>42057</v>
      </c>
      <c r="F2108" s="118">
        <v>1080</v>
      </c>
      <c r="G2108" s="31">
        <f t="shared" si="32"/>
        <v>0</v>
      </c>
      <c r="H2108" s="56" t="s">
        <v>9</v>
      </c>
      <c r="I2108" s="3"/>
      <c r="J2108" s="42"/>
      <c r="K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</row>
    <row r="2109" spans="1:22" x14ac:dyDescent="0.25">
      <c r="A2109" s="20">
        <v>42057</v>
      </c>
      <c r="B2109" s="21">
        <v>12806</v>
      </c>
      <c r="C2109" s="14" t="s">
        <v>23</v>
      </c>
      <c r="D2109" s="105">
        <v>1554.8</v>
      </c>
      <c r="E2109" s="23">
        <v>42057</v>
      </c>
      <c r="F2109" s="118">
        <v>1554.38</v>
      </c>
      <c r="G2109" s="31">
        <f t="shared" si="32"/>
        <v>0.41999999999984539</v>
      </c>
      <c r="H2109" s="56" t="s">
        <v>9</v>
      </c>
      <c r="I2109" s="3"/>
      <c r="J2109" s="42"/>
      <c r="K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</row>
    <row r="2110" spans="1:22" x14ac:dyDescent="0.25">
      <c r="A2110" s="20">
        <v>42057</v>
      </c>
      <c r="B2110" s="21">
        <v>12807</v>
      </c>
      <c r="C2110" s="14" t="s">
        <v>148</v>
      </c>
      <c r="D2110" s="105">
        <v>2595.3000000000002</v>
      </c>
      <c r="E2110" s="23">
        <v>42058</v>
      </c>
      <c r="F2110" s="118">
        <v>2595.3000000000002</v>
      </c>
      <c r="G2110" s="31">
        <f t="shared" si="32"/>
        <v>0</v>
      </c>
      <c r="H2110" s="56" t="s">
        <v>9</v>
      </c>
      <c r="I2110" s="3"/>
      <c r="J2110" s="42"/>
      <c r="K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</row>
    <row r="2111" spans="1:22" x14ac:dyDescent="0.25">
      <c r="A2111" s="20">
        <v>42057</v>
      </c>
      <c r="B2111" s="21">
        <v>12808</v>
      </c>
      <c r="C2111" s="14" t="s">
        <v>375</v>
      </c>
      <c r="D2111" s="105">
        <v>5008.6000000000004</v>
      </c>
      <c r="E2111" s="23">
        <v>42057</v>
      </c>
      <c r="F2111" s="118">
        <v>5008.6000000000004</v>
      </c>
      <c r="G2111" s="31">
        <f t="shared" si="32"/>
        <v>0</v>
      </c>
      <c r="H2111" s="56" t="s">
        <v>9</v>
      </c>
      <c r="I2111" s="3"/>
      <c r="J2111" s="42"/>
      <c r="K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</row>
    <row r="2112" spans="1:22" x14ac:dyDescent="0.25">
      <c r="A2112" s="20">
        <v>42057</v>
      </c>
      <c r="B2112" s="21">
        <v>12809</v>
      </c>
      <c r="C2112" s="14" t="s">
        <v>26</v>
      </c>
      <c r="D2112" s="105">
        <v>580</v>
      </c>
      <c r="E2112" s="23">
        <v>42058</v>
      </c>
      <c r="F2112" s="118">
        <v>580</v>
      </c>
      <c r="G2112" s="31">
        <f t="shared" si="32"/>
        <v>0</v>
      </c>
      <c r="H2112" s="56" t="s">
        <v>59</v>
      </c>
      <c r="I2112" s="3"/>
      <c r="J2112" s="42"/>
      <c r="K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</row>
    <row r="2113" spans="1:22" x14ac:dyDescent="0.25">
      <c r="A2113" s="20">
        <v>42057</v>
      </c>
      <c r="B2113" s="21">
        <v>12810</v>
      </c>
      <c r="C2113" s="14" t="s">
        <v>161</v>
      </c>
      <c r="D2113" s="105">
        <v>2656</v>
      </c>
      <c r="E2113" s="23">
        <v>42057</v>
      </c>
      <c r="F2113" s="118">
        <v>2656</v>
      </c>
      <c r="G2113" s="31">
        <f t="shared" si="32"/>
        <v>0</v>
      </c>
      <c r="H2113" s="56" t="s">
        <v>9</v>
      </c>
      <c r="I2113" s="3"/>
      <c r="J2113" s="42"/>
      <c r="K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</row>
    <row r="2114" spans="1:22" x14ac:dyDescent="0.25">
      <c r="A2114" s="20">
        <v>42057</v>
      </c>
      <c r="B2114" s="21">
        <v>12811</v>
      </c>
      <c r="C2114" s="14" t="s">
        <v>152</v>
      </c>
      <c r="D2114" s="105">
        <v>5701</v>
      </c>
      <c r="E2114" s="23">
        <v>42058</v>
      </c>
      <c r="F2114" s="106">
        <v>5701</v>
      </c>
      <c r="G2114" s="31">
        <f t="shared" si="32"/>
        <v>0</v>
      </c>
      <c r="H2114" s="39" t="s">
        <v>59</v>
      </c>
      <c r="I2114" s="3"/>
      <c r="J2114" s="42"/>
      <c r="K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</row>
    <row r="2115" spans="1:22" x14ac:dyDescent="0.25">
      <c r="A2115" s="20">
        <v>42057</v>
      </c>
      <c r="B2115" s="21">
        <v>12812</v>
      </c>
      <c r="C2115" s="14" t="s">
        <v>53</v>
      </c>
      <c r="D2115" s="105">
        <v>1473.5</v>
      </c>
      <c r="E2115" s="23">
        <v>42058</v>
      </c>
      <c r="F2115" s="106">
        <v>1473.5</v>
      </c>
      <c r="G2115" s="31">
        <f t="shared" ref="G2115:G2178" si="33">D2115-F2115</f>
        <v>0</v>
      </c>
      <c r="H2115" s="39" t="s">
        <v>59</v>
      </c>
      <c r="I2115" s="3"/>
      <c r="J2115" s="42"/>
      <c r="K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</row>
    <row r="2116" spans="1:22" x14ac:dyDescent="0.25">
      <c r="A2116" s="20">
        <v>42057</v>
      </c>
      <c r="B2116" s="21">
        <v>12813</v>
      </c>
      <c r="C2116" s="14" t="s">
        <v>292</v>
      </c>
      <c r="D2116" s="105">
        <v>2800</v>
      </c>
      <c r="E2116" s="23">
        <v>42058</v>
      </c>
      <c r="F2116" s="106">
        <v>2800</v>
      </c>
      <c r="G2116" s="31">
        <f t="shared" si="33"/>
        <v>0</v>
      </c>
      <c r="H2116" s="39" t="s">
        <v>59</v>
      </c>
      <c r="I2116" s="3"/>
      <c r="J2116" s="42"/>
      <c r="K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</row>
    <row r="2117" spans="1:22" x14ac:dyDescent="0.25">
      <c r="A2117" s="20">
        <v>42057</v>
      </c>
      <c r="B2117" s="21">
        <v>12814</v>
      </c>
      <c r="C2117" s="110">
        <v>105</v>
      </c>
      <c r="D2117" s="105">
        <v>1440</v>
      </c>
      <c r="E2117" s="23">
        <v>42058</v>
      </c>
      <c r="F2117" s="106">
        <v>1440</v>
      </c>
      <c r="G2117" s="31">
        <f t="shared" si="33"/>
        <v>0</v>
      </c>
      <c r="H2117" s="39" t="s">
        <v>59</v>
      </c>
      <c r="I2117" s="3"/>
      <c r="J2117" s="42"/>
      <c r="K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</row>
    <row r="2118" spans="1:22" x14ac:dyDescent="0.25">
      <c r="A2118" s="20">
        <v>42057</v>
      </c>
      <c r="B2118" s="21">
        <v>12815</v>
      </c>
      <c r="C2118" s="14" t="s">
        <v>58</v>
      </c>
      <c r="D2118" s="105">
        <v>900</v>
      </c>
      <c r="E2118" s="23">
        <v>42058</v>
      </c>
      <c r="F2118" s="106">
        <v>900</v>
      </c>
      <c r="G2118" s="31">
        <f t="shared" si="33"/>
        <v>0</v>
      </c>
      <c r="H2118" s="39" t="s">
        <v>59</v>
      </c>
      <c r="I2118" s="3"/>
      <c r="J2118" s="42"/>
      <c r="K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</row>
    <row r="2119" spans="1:22" x14ac:dyDescent="0.25">
      <c r="A2119" s="20">
        <v>42057</v>
      </c>
      <c r="B2119" s="21">
        <v>12816</v>
      </c>
      <c r="C2119" s="14" t="s">
        <v>710</v>
      </c>
      <c r="D2119" s="105">
        <v>1080</v>
      </c>
      <c r="E2119" s="23">
        <v>42058</v>
      </c>
      <c r="F2119" s="106">
        <v>1080</v>
      </c>
      <c r="G2119" s="31">
        <f t="shared" si="33"/>
        <v>0</v>
      </c>
      <c r="H2119" s="39" t="s">
        <v>59</v>
      </c>
      <c r="I2119" s="3"/>
      <c r="J2119" s="42"/>
      <c r="K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</row>
    <row r="2120" spans="1:22" x14ac:dyDescent="0.25">
      <c r="A2120" s="20">
        <v>42057</v>
      </c>
      <c r="B2120" s="21">
        <v>12817</v>
      </c>
      <c r="C2120" s="14" t="s">
        <v>55</v>
      </c>
      <c r="D2120" s="105">
        <v>25349.9</v>
      </c>
      <c r="E2120" s="23">
        <v>42058</v>
      </c>
      <c r="F2120" s="106">
        <v>25349.9</v>
      </c>
      <c r="G2120" s="31">
        <f t="shared" si="33"/>
        <v>0</v>
      </c>
      <c r="H2120" s="39" t="s">
        <v>36</v>
      </c>
      <c r="I2120" s="3"/>
      <c r="J2120" s="42"/>
      <c r="K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</row>
    <row r="2121" spans="1:22" x14ac:dyDescent="0.25">
      <c r="A2121" s="20">
        <v>42057</v>
      </c>
      <c r="B2121" s="21">
        <v>12818</v>
      </c>
      <c r="C2121" s="14" t="s">
        <v>123</v>
      </c>
      <c r="D2121" s="105">
        <v>2160</v>
      </c>
      <c r="E2121" s="23">
        <v>42058</v>
      </c>
      <c r="F2121" s="106">
        <v>2160</v>
      </c>
      <c r="G2121" s="31">
        <f t="shared" si="33"/>
        <v>0</v>
      </c>
      <c r="H2121" s="39" t="s">
        <v>36</v>
      </c>
      <c r="I2121" s="3"/>
      <c r="J2121" s="42"/>
      <c r="K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</row>
    <row r="2122" spans="1:22" x14ac:dyDescent="0.25">
      <c r="A2122" s="20">
        <v>42057</v>
      </c>
      <c r="B2122" s="21">
        <v>12819</v>
      </c>
      <c r="C2122" s="14" t="s">
        <v>120</v>
      </c>
      <c r="D2122" s="105">
        <v>1732</v>
      </c>
      <c r="E2122" s="23">
        <v>42058</v>
      </c>
      <c r="F2122" s="106">
        <v>1732</v>
      </c>
      <c r="G2122" s="31">
        <f t="shared" si="33"/>
        <v>0</v>
      </c>
      <c r="H2122" s="39" t="s">
        <v>59</v>
      </c>
      <c r="I2122" s="3"/>
      <c r="J2122" s="42"/>
      <c r="K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</row>
    <row r="2123" spans="1:22" x14ac:dyDescent="0.25">
      <c r="A2123" s="20">
        <v>42057</v>
      </c>
      <c r="B2123" s="21">
        <v>12820</v>
      </c>
      <c r="C2123" s="14" t="s">
        <v>82</v>
      </c>
      <c r="D2123" s="105">
        <v>579.6</v>
      </c>
      <c r="E2123" s="23">
        <v>42058</v>
      </c>
      <c r="F2123" s="106">
        <v>579.6</v>
      </c>
      <c r="G2123" s="31">
        <f t="shared" si="33"/>
        <v>0</v>
      </c>
      <c r="H2123" s="39" t="s">
        <v>59</v>
      </c>
      <c r="I2123" s="3"/>
      <c r="J2123" s="42"/>
      <c r="K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</row>
    <row r="2124" spans="1:22" x14ac:dyDescent="0.25">
      <c r="A2124" s="20">
        <v>42057</v>
      </c>
      <c r="B2124" s="21">
        <v>12821</v>
      </c>
      <c r="C2124" s="14" t="s">
        <v>55</v>
      </c>
      <c r="D2124" s="105">
        <v>2481.6</v>
      </c>
      <c r="E2124" s="23">
        <v>42058</v>
      </c>
      <c r="F2124" s="106">
        <v>2481.6</v>
      </c>
      <c r="G2124" s="31">
        <f t="shared" si="33"/>
        <v>0</v>
      </c>
      <c r="H2124" s="39" t="s">
        <v>36</v>
      </c>
      <c r="I2124" s="3"/>
      <c r="J2124" s="42"/>
      <c r="K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</row>
    <row r="2125" spans="1:22" x14ac:dyDescent="0.25">
      <c r="A2125" s="20">
        <v>42057</v>
      </c>
      <c r="B2125" s="21">
        <v>12822</v>
      </c>
      <c r="C2125" s="14" t="s">
        <v>60</v>
      </c>
      <c r="D2125" s="105">
        <v>5308.8</v>
      </c>
      <c r="E2125" s="23">
        <v>42058</v>
      </c>
      <c r="F2125" s="106">
        <v>5308.8</v>
      </c>
      <c r="G2125" s="31">
        <f t="shared" si="33"/>
        <v>0</v>
      </c>
      <c r="H2125" s="39" t="s">
        <v>36</v>
      </c>
      <c r="I2125" s="3"/>
      <c r="J2125" s="42"/>
      <c r="K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</row>
    <row r="2126" spans="1:22" x14ac:dyDescent="0.25">
      <c r="A2126" s="20">
        <v>42057</v>
      </c>
      <c r="B2126" s="21">
        <v>12823</v>
      </c>
      <c r="C2126" s="14" t="s">
        <v>256</v>
      </c>
      <c r="D2126" s="105">
        <v>7815.5</v>
      </c>
      <c r="E2126" s="23">
        <v>42057</v>
      </c>
      <c r="F2126" s="106">
        <v>7815.5</v>
      </c>
      <c r="G2126" s="31">
        <f t="shared" si="33"/>
        <v>0</v>
      </c>
      <c r="H2126" s="39" t="s">
        <v>36</v>
      </c>
      <c r="I2126" s="3"/>
      <c r="J2126" s="42"/>
      <c r="K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</row>
    <row r="2127" spans="1:22" x14ac:dyDescent="0.25">
      <c r="A2127" s="20">
        <v>42057</v>
      </c>
      <c r="B2127" s="21">
        <v>12824</v>
      </c>
      <c r="C2127" s="14" t="s">
        <v>30</v>
      </c>
      <c r="D2127" s="105">
        <v>4703.1000000000004</v>
      </c>
      <c r="E2127" s="23">
        <v>42057</v>
      </c>
      <c r="F2127" s="106">
        <v>4703.1000000000004</v>
      </c>
      <c r="G2127" s="31">
        <f t="shared" si="33"/>
        <v>0</v>
      </c>
      <c r="H2127" s="39" t="s">
        <v>9</v>
      </c>
      <c r="I2127" s="3"/>
      <c r="J2127" s="42"/>
      <c r="K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</row>
    <row r="2128" spans="1:22" x14ac:dyDescent="0.25">
      <c r="A2128" s="20">
        <v>42057</v>
      </c>
      <c r="B2128" s="21">
        <v>12825</v>
      </c>
      <c r="C2128" s="14" t="s">
        <v>604</v>
      </c>
      <c r="D2128" s="105">
        <v>2611.1999999999998</v>
      </c>
      <c r="E2128" s="23">
        <v>42057</v>
      </c>
      <c r="F2128" s="106">
        <v>2611.1999999999998</v>
      </c>
      <c r="G2128" s="31">
        <f t="shared" si="33"/>
        <v>0</v>
      </c>
      <c r="H2128" s="39" t="s">
        <v>9</v>
      </c>
      <c r="I2128" s="3"/>
      <c r="J2128" s="42"/>
      <c r="K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</row>
    <row r="2129" spans="1:22" x14ac:dyDescent="0.25">
      <c r="A2129" s="20">
        <v>42057</v>
      </c>
      <c r="B2129" s="21">
        <v>12826</v>
      </c>
      <c r="C2129" s="14" t="s">
        <v>270</v>
      </c>
      <c r="D2129" s="105">
        <v>402.4</v>
      </c>
      <c r="E2129" s="23">
        <v>42057</v>
      </c>
      <c r="F2129" s="106">
        <v>402.4</v>
      </c>
      <c r="G2129" s="31">
        <f t="shared" si="33"/>
        <v>0</v>
      </c>
      <c r="H2129" s="39" t="s">
        <v>9</v>
      </c>
      <c r="I2129" s="3"/>
      <c r="J2129" s="42"/>
      <c r="K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</row>
    <row r="2130" spans="1:22" x14ac:dyDescent="0.25">
      <c r="A2130" s="20">
        <v>42057</v>
      </c>
      <c r="B2130" s="21">
        <v>12827</v>
      </c>
      <c r="C2130" s="14" t="s">
        <v>48</v>
      </c>
      <c r="D2130" s="105">
        <v>8204</v>
      </c>
      <c r="E2130" s="23">
        <v>42057</v>
      </c>
      <c r="F2130" s="106">
        <v>8204</v>
      </c>
      <c r="G2130" s="31">
        <f t="shared" si="33"/>
        <v>0</v>
      </c>
      <c r="H2130" s="39" t="s">
        <v>59</v>
      </c>
      <c r="I2130" s="3"/>
      <c r="J2130" s="42"/>
      <c r="K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</row>
    <row r="2131" spans="1:22" x14ac:dyDescent="0.25">
      <c r="A2131" s="20">
        <v>42057</v>
      </c>
      <c r="B2131" s="21">
        <v>12828</v>
      </c>
      <c r="C2131" s="14" t="s">
        <v>14</v>
      </c>
      <c r="D2131" s="105">
        <v>22137.599999999999</v>
      </c>
      <c r="E2131" s="23">
        <v>42062</v>
      </c>
      <c r="F2131" s="106">
        <v>22137.599999999999</v>
      </c>
      <c r="G2131" s="31">
        <f t="shared" si="33"/>
        <v>0</v>
      </c>
      <c r="H2131" s="39" t="s">
        <v>36</v>
      </c>
      <c r="I2131" s="3"/>
      <c r="J2131" s="42"/>
      <c r="K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</row>
    <row r="2132" spans="1:22" x14ac:dyDescent="0.25">
      <c r="A2132" s="20">
        <v>42057</v>
      </c>
      <c r="B2132" s="21">
        <v>12829</v>
      </c>
      <c r="C2132" s="14" t="s">
        <v>37</v>
      </c>
      <c r="D2132" s="105">
        <v>17122.8</v>
      </c>
      <c r="E2132" s="23">
        <v>42063</v>
      </c>
      <c r="F2132" s="106">
        <v>17122.8</v>
      </c>
      <c r="G2132" s="31">
        <f t="shared" si="33"/>
        <v>0</v>
      </c>
      <c r="H2132" s="39" t="s">
        <v>36</v>
      </c>
      <c r="I2132" s="3"/>
      <c r="J2132" s="42"/>
      <c r="K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</row>
    <row r="2133" spans="1:22" x14ac:dyDescent="0.25">
      <c r="A2133" s="20">
        <v>42057</v>
      </c>
      <c r="B2133" s="21">
        <v>12830</v>
      </c>
      <c r="C2133" s="14" t="s">
        <v>137</v>
      </c>
      <c r="D2133" s="105">
        <v>318.60000000000002</v>
      </c>
      <c r="E2133" s="23">
        <v>42057</v>
      </c>
      <c r="F2133" s="106">
        <v>318.60000000000002</v>
      </c>
      <c r="G2133" s="31">
        <f t="shared" si="33"/>
        <v>0</v>
      </c>
      <c r="H2133" s="39" t="s">
        <v>9</v>
      </c>
      <c r="I2133" s="3"/>
      <c r="J2133" s="42"/>
      <c r="K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</row>
    <row r="2134" spans="1:22" x14ac:dyDescent="0.25">
      <c r="A2134" s="20">
        <v>42057</v>
      </c>
      <c r="B2134" s="21">
        <v>12831</v>
      </c>
      <c r="C2134" s="14" t="s">
        <v>711</v>
      </c>
      <c r="D2134" s="105">
        <v>3349.7</v>
      </c>
      <c r="E2134" s="23">
        <v>42057</v>
      </c>
      <c r="F2134" s="106">
        <v>3349.7</v>
      </c>
      <c r="G2134" s="31">
        <f t="shared" si="33"/>
        <v>0</v>
      </c>
      <c r="H2134" s="39" t="s">
        <v>9</v>
      </c>
      <c r="I2134" s="3"/>
      <c r="J2134" s="42"/>
      <c r="K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</row>
    <row r="2135" spans="1:22" x14ac:dyDescent="0.25">
      <c r="A2135" s="20">
        <v>42057</v>
      </c>
      <c r="B2135" s="21">
        <v>12832</v>
      </c>
      <c r="C2135" s="14" t="s">
        <v>66</v>
      </c>
      <c r="D2135" s="105">
        <v>445.2</v>
      </c>
      <c r="E2135" s="23">
        <v>42057</v>
      </c>
      <c r="F2135" s="106">
        <v>445.2</v>
      </c>
      <c r="G2135" s="31">
        <f t="shared" si="33"/>
        <v>0</v>
      </c>
      <c r="H2135" s="39" t="s">
        <v>9</v>
      </c>
      <c r="I2135" s="3"/>
      <c r="J2135" s="42"/>
      <c r="K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</row>
    <row r="2136" spans="1:22" x14ac:dyDescent="0.25">
      <c r="A2136" s="20">
        <v>42057</v>
      </c>
      <c r="B2136" s="21">
        <v>12833</v>
      </c>
      <c r="C2136" s="14" t="s">
        <v>34</v>
      </c>
      <c r="D2136" s="105">
        <v>2570.4</v>
      </c>
      <c r="E2136" s="23">
        <v>42057</v>
      </c>
      <c r="F2136" s="106">
        <v>2570.4</v>
      </c>
      <c r="G2136" s="31">
        <f t="shared" si="33"/>
        <v>0</v>
      </c>
      <c r="H2136" s="39" t="s">
        <v>9</v>
      </c>
      <c r="I2136" s="3"/>
      <c r="J2136" s="42"/>
      <c r="K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</row>
    <row r="2137" spans="1:22" x14ac:dyDescent="0.25">
      <c r="A2137" s="20">
        <v>42057</v>
      </c>
      <c r="B2137" s="21">
        <v>12834</v>
      </c>
      <c r="C2137" s="14" t="s">
        <v>56</v>
      </c>
      <c r="D2137" s="105">
        <v>7704.4</v>
      </c>
      <c r="E2137" s="23">
        <v>42058</v>
      </c>
      <c r="F2137" s="106">
        <v>7704.4</v>
      </c>
      <c r="G2137" s="31">
        <f t="shared" si="33"/>
        <v>0</v>
      </c>
      <c r="H2137" s="39" t="s">
        <v>36</v>
      </c>
      <c r="I2137" s="3"/>
      <c r="J2137" s="42"/>
      <c r="K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</row>
    <row r="2138" spans="1:22" x14ac:dyDescent="0.25">
      <c r="A2138" s="20">
        <v>42057</v>
      </c>
      <c r="B2138" s="21">
        <v>12835</v>
      </c>
      <c r="C2138" s="14" t="s">
        <v>24</v>
      </c>
      <c r="D2138" s="105">
        <v>21054.400000000001</v>
      </c>
      <c r="E2138" s="30">
        <v>42074</v>
      </c>
      <c r="F2138" s="144">
        <v>21054.400000000001</v>
      </c>
      <c r="G2138" s="31">
        <f t="shared" si="33"/>
        <v>0</v>
      </c>
      <c r="H2138" s="39" t="s">
        <v>187</v>
      </c>
      <c r="I2138" s="3"/>
      <c r="J2138" s="42"/>
      <c r="K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</row>
    <row r="2139" spans="1:22" x14ac:dyDescent="0.25">
      <c r="A2139" s="20">
        <v>42057</v>
      </c>
      <c r="B2139" s="21">
        <v>12836</v>
      </c>
      <c r="C2139" s="14" t="s">
        <v>130</v>
      </c>
      <c r="D2139" s="105">
        <v>5758.2</v>
      </c>
      <c r="E2139" s="23">
        <v>42059</v>
      </c>
      <c r="F2139" s="106">
        <v>5758.2</v>
      </c>
      <c r="G2139" s="31">
        <f t="shared" si="33"/>
        <v>0</v>
      </c>
      <c r="H2139" s="39" t="s">
        <v>17</v>
      </c>
      <c r="I2139" s="3"/>
      <c r="J2139" s="42"/>
      <c r="K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</row>
    <row r="2140" spans="1:22" x14ac:dyDescent="0.25">
      <c r="A2140" s="20">
        <v>42057</v>
      </c>
      <c r="B2140" s="21">
        <v>12837</v>
      </c>
      <c r="C2140" s="14" t="s">
        <v>131</v>
      </c>
      <c r="D2140" s="105">
        <v>4902.05</v>
      </c>
      <c r="E2140" s="23">
        <v>42057</v>
      </c>
      <c r="F2140" s="106">
        <v>4902.05</v>
      </c>
      <c r="G2140" s="31">
        <f t="shared" si="33"/>
        <v>0</v>
      </c>
      <c r="H2140" s="39" t="s">
        <v>17</v>
      </c>
      <c r="I2140" s="3"/>
      <c r="J2140" s="42"/>
      <c r="K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</row>
    <row r="2141" spans="1:22" x14ac:dyDescent="0.25">
      <c r="A2141" s="20">
        <v>42057</v>
      </c>
      <c r="B2141" s="21">
        <v>12838</v>
      </c>
      <c r="C2141" s="14" t="s">
        <v>165</v>
      </c>
      <c r="D2141" s="105">
        <v>2787.2</v>
      </c>
      <c r="E2141" s="23">
        <v>42057</v>
      </c>
      <c r="F2141" s="106">
        <v>2787.2</v>
      </c>
      <c r="G2141" s="31">
        <f t="shared" si="33"/>
        <v>0</v>
      </c>
      <c r="H2141" s="39" t="s">
        <v>17</v>
      </c>
      <c r="I2141" s="3"/>
      <c r="J2141" s="42"/>
      <c r="K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</row>
    <row r="2142" spans="1:22" x14ac:dyDescent="0.25">
      <c r="A2142" s="20">
        <v>42057</v>
      </c>
      <c r="B2142" s="21">
        <v>12839</v>
      </c>
      <c r="C2142" s="14" t="s">
        <v>103</v>
      </c>
      <c r="D2142" s="105">
        <v>25291.599999999999</v>
      </c>
      <c r="E2142" s="23">
        <v>42061</v>
      </c>
      <c r="F2142" s="106">
        <v>25291.599999999999</v>
      </c>
      <c r="G2142" s="31">
        <f t="shared" si="33"/>
        <v>0</v>
      </c>
      <c r="H2142" s="39" t="s">
        <v>62</v>
      </c>
      <c r="I2142" s="3"/>
      <c r="J2142" s="42"/>
      <c r="K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</row>
    <row r="2143" spans="1:22" x14ac:dyDescent="0.25">
      <c r="A2143" s="20">
        <v>42057</v>
      </c>
      <c r="B2143" s="21">
        <v>12840</v>
      </c>
      <c r="C2143" s="14" t="s">
        <v>111</v>
      </c>
      <c r="D2143" s="105">
        <v>17115</v>
      </c>
      <c r="E2143" s="23">
        <v>42060</v>
      </c>
      <c r="F2143" s="106">
        <v>17115</v>
      </c>
      <c r="G2143" s="31">
        <f t="shared" si="33"/>
        <v>0</v>
      </c>
      <c r="H2143" s="39" t="s">
        <v>36</v>
      </c>
      <c r="I2143" s="3"/>
      <c r="J2143" s="42"/>
      <c r="K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</row>
    <row r="2144" spans="1:22" x14ac:dyDescent="0.25">
      <c r="A2144" s="20">
        <v>42057</v>
      </c>
      <c r="B2144" s="21">
        <v>12841</v>
      </c>
      <c r="C2144" s="14" t="s">
        <v>229</v>
      </c>
      <c r="D2144" s="105">
        <v>5871.76</v>
      </c>
      <c r="E2144" s="23">
        <v>42057</v>
      </c>
      <c r="F2144" s="106">
        <v>5871.76</v>
      </c>
      <c r="G2144" s="31">
        <f t="shared" si="33"/>
        <v>0</v>
      </c>
      <c r="H2144" s="39" t="s">
        <v>9</v>
      </c>
      <c r="I2144" s="3"/>
      <c r="J2144" s="42"/>
      <c r="K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</row>
    <row r="2145" spans="1:22" x14ac:dyDescent="0.25">
      <c r="A2145" s="20">
        <v>42057</v>
      </c>
      <c r="B2145" s="21">
        <v>12842</v>
      </c>
      <c r="C2145" s="14" t="s">
        <v>43</v>
      </c>
      <c r="D2145" s="105">
        <v>7503.5</v>
      </c>
      <c r="E2145" s="23">
        <v>42057</v>
      </c>
      <c r="F2145" s="106">
        <v>7503.5</v>
      </c>
      <c r="G2145" s="31">
        <f t="shared" si="33"/>
        <v>0</v>
      </c>
      <c r="H2145" s="39" t="s">
        <v>9</v>
      </c>
      <c r="I2145" s="3"/>
      <c r="J2145" s="42"/>
      <c r="K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</row>
    <row r="2146" spans="1:22" x14ac:dyDescent="0.25">
      <c r="A2146" s="20">
        <v>42057</v>
      </c>
      <c r="B2146" s="21">
        <v>12843</v>
      </c>
      <c r="C2146" s="14" t="s">
        <v>37</v>
      </c>
      <c r="D2146" s="105">
        <v>244.8</v>
      </c>
      <c r="E2146" s="23">
        <v>42063</v>
      </c>
      <c r="F2146" s="106">
        <v>244.8</v>
      </c>
      <c r="G2146" s="31">
        <f t="shared" si="33"/>
        <v>0</v>
      </c>
      <c r="H2146" s="39" t="s">
        <v>9</v>
      </c>
      <c r="I2146" s="3"/>
      <c r="J2146" s="42"/>
      <c r="K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</row>
    <row r="2147" spans="1:22" x14ac:dyDescent="0.25">
      <c r="A2147" s="20">
        <v>42057</v>
      </c>
      <c r="B2147" s="21">
        <v>12844</v>
      </c>
      <c r="C2147" s="14" t="s">
        <v>229</v>
      </c>
      <c r="D2147" s="105">
        <v>4237.76</v>
      </c>
      <c r="E2147" s="23">
        <v>42057</v>
      </c>
      <c r="F2147" s="106">
        <v>4237.76</v>
      </c>
      <c r="G2147" s="31">
        <f t="shared" si="33"/>
        <v>0</v>
      </c>
      <c r="H2147" s="39" t="s">
        <v>9</v>
      </c>
      <c r="I2147" s="3"/>
      <c r="J2147" s="42"/>
      <c r="K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</row>
    <row r="2148" spans="1:22" x14ac:dyDescent="0.25">
      <c r="A2148" s="20">
        <v>42057</v>
      </c>
      <c r="B2148" s="21">
        <v>12845</v>
      </c>
      <c r="C2148" s="14" t="s">
        <v>265</v>
      </c>
      <c r="D2148" s="105">
        <v>10375.799999999999</v>
      </c>
      <c r="E2148" s="23">
        <v>42057</v>
      </c>
      <c r="F2148" s="106">
        <v>10375.799999999999</v>
      </c>
      <c r="G2148" s="31">
        <f t="shared" si="33"/>
        <v>0</v>
      </c>
      <c r="H2148" s="39" t="s">
        <v>9</v>
      </c>
      <c r="I2148" s="3"/>
      <c r="J2148" s="42"/>
      <c r="K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</row>
    <row r="2149" spans="1:22" x14ac:dyDescent="0.25">
      <c r="A2149" s="20">
        <v>42057</v>
      </c>
      <c r="B2149" s="21">
        <v>12846</v>
      </c>
      <c r="C2149" s="14" t="s">
        <v>125</v>
      </c>
      <c r="D2149" s="105">
        <v>39167.65</v>
      </c>
      <c r="E2149" s="29" t="s">
        <v>712</v>
      </c>
      <c r="F2149" s="106">
        <f>22500+16667.65</f>
        <v>39167.65</v>
      </c>
      <c r="G2149" s="31">
        <f t="shared" si="33"/>
        <v>0</v>
      </c>
      <c r="H2149" s="39" t="s">
        <v>9</v>
      </c>
      <c r="I2149" s="3"/>
      <c r="J2149" s="42"/>
      <c r="K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</row>
    <row r="2150" spans="1:22" x14ac:dyDescent="0.25">
      <c r="A2150" s="20">
        <v>42057</v>
      </c>
      <c r="B2150" s="21">
        <v>12847</v>
      </c>
      <c r="C2150" s="14" t="s">
        <v>18</v>
      </c>
      <c r="D2150" s="105">
        <v>68039.100000000006</v>
      </c>
      <c r="E2150" s="30">
        <v>42064</v>
      </c>
      <c r="F2150" s="144">
        <v>68039.100000000006</v>
      </c>
      <c r="G2150" s="31">
        <f t="shared" si="33"/>
        <v>0</v>
      </c>
      <c r="H2150" s="39" t="s">
        <v>187</v>
      </c>
      <c r="I2150" s="3"/>
      <c r="J2150" s="42"/>
      <c r="K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</row>
    <row r="2151" spans="1:22" x14ac:dyDescent="0.25">
      <c r="A2151" s="20">
        <v>42057</v>
      </c>
      <c r="B2151" s="21">
        <v>12848</v>
      </c>
      <c r="C2151" s="14" t="s">
        <v>136</v>
      </c>
      <c r="D2151" s="105">
        <v>37162.800000000003</v>
      </c>
      <c r="E2151" s="29" t="s">
        <v>713</v>
      </c>
      <c r="F2151" s="106">
        <f>10000+27162.8</f>
        <v>37162.800000000003</v>
      </c>
      <c r="G2151" s="31">
        <f t="shared" si="33"/>
        <v>0</v>
      </c>
      <c r="H2151" s="39" t="s">
        <v>9</v>
      </c>
      <c r="I2151" s="3"/>
      <c r="J2151" s="42"/>
      <c r="K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</row>
    <row r="2152" spans="1:22" x14ac:dyDescent="0.25">
      <c r="A2152" s="20">
        <v>42057</v>
      </c>
      <c r="B2152" s="21">
        <v>12849</v>
      </c>
      <c r="C2152" s="14" t="s">
        <v>136</v>
      </c>
      <c r="D2152" s="105">
        <v>540</v>
      </c>
      <c r="E2152" s="23">
        <v>42061</v>
      </c>
      <c r="F2152" s="106">
        <v>540</v>
      </c>
      <c r="G2152" s="31">
        <f t="shared" si="33"/>
        <v>0</v>
      </c>
      <c r="H2152" s="39" t="s">
        <v>9</v>
      </c>
      <c r="I2152" s="3"/>
      <c r="J2152" s="42"/>
      <c r="K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</row>
    <row r="2153" spans="1:22" x14ac:dyDescent="0.25">
      <c r="A2153" s="20">
        <v>42057</v>
      </c>
      <c r="B2153" s="21">
        <v>12850</v>
      </c>
      <c r="C2153" s="14" t="s">
        <v>159</v>
      </c>
      <c r="D2153" s="105">
        <v>3007.2</v>
      </c>
      <c r="E2153" s="23">
        <v>42057</v>
      </c>
      <c r="F2153" s="106">
        <v>3007.2</v>
      </c>
      <c r="G2153" s="31">
        <f t="shared" si="33"/>
        <v>0</v>
      </c>
      <c r="H2153" s="39" t="s">
        <v>9</v>
      </c>
      <c r="I2153" s="3"/>
      <c r="J2153" s="42"/>
      <c r="K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</row>
    <row r="2154" spans="1:22" x14ac:dyDescent="0.25">
      <c r="A2154" s="20">
        <v>42057</v>
      </c>
      <c r="B2154" s="21">
        <v>12851</v>
      </c>
      <c r="C2154" s="14" t="s">
        <v>87</v>
      </c>
      <c r="D2154" s="105">
        <v>831.6</v>
      </c>
      <c r="E2154" s="23">
        <v>42057</v>
      </c>
      <c r="F2154" s="106">
        <v>831.6</v>
      </c>
      <c r="G2154" s="31">
        <f t="shared" si="33"/>
        <v>0</v>
      </c>
      <c r="H2154" s="39" t="s">
        <v>9</v>
      </c>
      <c r="I2154" s="3"/>
      <c r="J2154" s="42"/>
      <c r="K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</row>
    <row r="2155" spans="1:22" x14ac:dyDescent="0.25">
      <c r="A2155" s="20">
        <v>42057</v>
      </c>
      <c r="B2155" s="21">
        <v>12852</v>
      </c>
      <c r="C2155" s="14" t="s">
        <v>140</v>
      </c>
      <c r="D2155" s="105">
        <v>249.6</v>
      </c>
      <c r="E2155" s="23">
        <v>42057</v>
      </c>
      <c r="F2155" s="106">
        <v>249.6</v>
      </c>
      <c r="G2155" s="31">
        <f t="shared" si="33"/>
        <v>0</v>
      </c>
      <c r="H2155" s="39" t="s">
        <v>9</v>
      </c>
      <c r="I2155" s="3"/>
      <c r="J2155" s="42"/>
      <c r="K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</row>
    <row r="2156" spans="1:22" x14ac:dyDescent="0.25">
      <c r="A2156" s="20">
        <v>42057</v>
      </c>
      <c r="B2156" s="21">
        <v>12853</v>
      </c>
      <c r="C2156" s="14" t="s">
        <v>234</v>
      </c>
      <c r="D2156" s="105">
        <v>427.2</v>
      </c>
      <c r="E2156" s="23">
        <v>42057</v>
      </c>
      <c r="F2156" s="106">
        <v>427.2</v>
      </c>
      <c r="G2156" s="31">
        <f t="shared" si="33"/>
        <v>0</v>
      </c>
      <c r="H2156" s="39" t="s">
        <v>9</v>
      </c>
      <c r="I2156" s="3"/>
      <c r="J2156" s="42"/>
      <c r="K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</row>
    <row r="2157" spans="1:22" x14ac:dyDescent="0.25">
      <c r="A2157" s="20">
        <v>42057</v>
      </c>
      <c r="B2157" s="21">
        <v>12854</v>
      </c>
      <c r="C2157" s="14" t="s">
        <v>64</v>
      </c>
      <c r="D2157" s="105">
        <v>1356.6</v>
      </c>
      <c r="E2157" s="23">
        <v>42057</v>
      </c>
      <c r="F2157" s="106">
        <v>1356.6</v>
      </c>
      <c r="G2157" s="31">
        <f t="shared" si="33"/>
        <v>0</v>
      </c>
      <c r="H2157" s="39" t="s">
        <v>9</v>
      </c>
      <c r="I2157" s="3"/>
      <c r="J2157" s="42"/>
      <c r="K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</row>
    <row r="2158" spans="1:22" x14ac:dyDescent="0.25">
      <c r="A2158" s="20">
        <v>42057</v>
      </c>
      <c r="B2158" s="21">
        <v>12855</v>
      </c>
      <c r="C2158" s="14" t="s">
        <v>80</v>
      </c>
      <c r="D2158" s="105">
        <v>7284.6</v>
      </c>
      <c r="E2158" s="23">
        <v>42057</v>
      </c>
      <c r="F2158" s="106">
        <v>7284.6</v>
      </c>
      <c r="G2158" s="31">
        <f t="shared" si="33"/>
        <v>0</v>
      </c>
      <c r="H2158" s="39" t="s">
        <v>9</v>
      </c>
      <c r="I2158" s="3"/>
      <c r="J2158" s="42"/>
      <c r="K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</row>
    <row r="2159" spans="1:22" x14ac:dyDescent="0.25">
      <c r="A2159" s="20">
        <v>42057</v>
      </c>
      <c r="B2159" s="21">
        <v>12856</v>
      </c>
      <c r="C2159" s="14" t="s">
        <v>24</v>
      </c>
      <c r="D2159" s="105">
        <v>27412.6</v>
      </c>
      <c r="E2159" s="30">
        <v>42074</v>
      </c>
      <c r="F2159" s="144">
        <v>27412.6</v>
      </c>
      <c r="G2159" s="31">
        <f t="shared" si="33"/>
        <v>0</v>
      </c>
      <c r="H2159" s="39" t="s">
        <v>62</v>
      </c>
      <c r="I2159" s="3"/>
      <c r="J2159" s="42"/>
      <c r="K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</row>
    <row r="2160" spans="1:22" x14ac:dyDescent="0.25">
      <c r="A2160" s="20">
        <v>42058</v>
      </c>
      <c r="B2160" s="21">
        <v>12857</v>
      </c>
      <c r="C2160" s="15" t="s">
        <v>14</v>
      </c>
      <c r="D2160" s="122">
        <v>11573</v>
      </c>
      <c r="E2160" s="23">
        <v>42062</v>
      </c>
      <c r="F2160" s="118">
        <v>11573</v>
      </c>
      <c r="G2160" s="31">
        <f t="shared" si="33"/>
        <v>0</v>
      </c>
      <c r="H2160" s="68" t="s">
        <v>15</v>
      </c>
      <c r="I2160" s="3"/>
      <c r="J2160" s="42"/>
      <c r="K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</row>
    <row r="2161" spans="1:22" x14ac:dyDescent="0.25">
      <c r="A2161" s="20">
        <v>42058</v>
      </c>
      <c r="B2161" s="21">
        <v>12858</v>
      </c>
      <c r="C2161" s="15" t="s">
        <v>20</v>
      </c>
      <c r="D2161" s="122">
        <v>13622.4</v>
      </c>
      <c r="E2161" s="23">
        <v>42058</v>
      </c>
      <c r="F2161" s="106">
        <v>13622.4</v>
      </c>
      <c r="G2161" s="31">
        <f t="shared" si="33"/>
        <v>0</v>
      </c>
      <c r="H2161" s="68" t="s">
        <v>94</v>
      </c>
      <c r="I2161" s="3"/>
      <c r="J2161" s="42"/>
      <c r="K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</row>
    <row r="2162" spans="1:22" x14ac:dyDescent="0.25">
      <c r="A2162" s="20">
        <v>42058</v>
      </c>
      <c r="B2162" s="21">
        <v>12859</v>
      </c>
      <c r="C2162" s="15" t="s">
        <v>267</v>
      </c>
      <c r="D2162" s="122">
        <v>1120.5</v>
      </c>
      <c r="E2162" s="23">
        <v>42058</v>
      </c>
      <c r="F2162" s="106">
        <v>1120.5</v>
      </c>
      <c r="G2162" s="31">
        <f t="shared" si="33"/>
        <v>0</v>
      </c>
      <c r="H2162" s="68" t="s">
        <v>94</v>
      </c>
      <c r="I2162" s="3"/>
      <c r="J2162" s="42"/>
      <c r="K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</row>
    <row r="2163" spans="1:22" x14ac:dyDescent="0.25">
      <c r="A2163" s="20">
        <v>42058</v>
      </c>
      <c r="B2163" s="21">
        <v>12860</v>
      </c>
      <c r="C2163" s="15" t="s">
        <v>158</v>
      </c>
      <c r="D2163" s="122">
        <v>1106.8</v>
      </c>
      <c r="E2163" s="23">
        <v>42058</v>
      </c>
      <c r="F2163" s="106">
        <v>1106.8</v>
      </c>
      <c r="G2163" s="31">
        <f t="shared" si="33"/>
        <v>0</v>
      </c>
      <c r="H2163" s="68" t="s">
        <v>9</v>
      </c>
      <c r="I2163" s="3"/>
      <c r="J2163" s="42"/>
      <c r="K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</row>
    <row r="2164" spans="1:22" x14ac:dyDescent="0.25">
      <c r="A2164" s="20">
        <v>42058</v>
      </c>
      <c r="B2164" s="21">
        <v>12861</v>
      </c>
      <c r="C2164" s="15" t="s">
        <v>24</v>
      </c>
      <c r="D2164" s="122">
        <v>49522.9</v>
      </c>
      <c r="E2164" s="30">
        <v>42074</v>
      </c>
      <c r="F2164" s="144">
        <v>49522.9</v>
      </c>
      <c r="G2164" s="31">
        <f t="shared" si="33"/>
        <v>0</v>
      </c>
      <c r="H2164" s="68" t="s">
        <v>9</v>
      </c>
      <c r="I2164" s="3"/>
      <c r="J2164" s="42"/>
      <c r="K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</row>
    <row r="2165" spans="1:22" x14ac:dyDescent="0.25">
      <c r="A2165" s="20">
        <v>42058</v>
      </c>
      <c r="B2165" s="21">
        <v>12862</v>
      </c>
      <c r="C2165" s="15" t="s">
        <v>31</v>
      </c>
      <c r="D2165" s="122">
        <v>2327.6</v>
      </c>
      <c r="E2165" s="23">
        <v>42058</v>
      </c>
      <c r="F2165" s="106">
        <v>2327.6</v>
      </c>
      <c r="G2165" s="31">
        <f t="shared" si="33"/>
        <v>0</v>
      </c>
      <c r="H2165" s="68" t="s">
        <v>17</v>
      </c>
      <c r="I2165" s="3"/>
      <c r="J2165" s="42"/>
      <c r="K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</row>
    <row r="2166" spans="1:22" x14ac:dyDescent="0.25">
      <c r="A2166" s="20">
        <v>42058</v>
      </c>
      <c r="B2166" s="21">
        <v>12863</v>
      </c>
      <c r="C2166" s="15" t="s">
        <v>16</v>
      </c>
      <c r="D2166" s="122">
        <v>3957.6</v>
      </c>
      <c r="E2166" s="23">
        <v>42058</v>
      </c>
      <c r="F2166" s="118">
        <v>3957.6</v>
      </c>
      <c r="G2166" s="31">
        <f t="shared" si="33"/>
        <v>0</v>
      </c>
      <c r="H2166" s="68" t="s">
        <v>17</v>
      </c>
      <c r="I2166" s="3"/>
      <c r="J2166" s="42"/>
      <c r="K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</row>
    <row r="2167" spans="1:22" x14ac:dyDescent="0.25">
      <c r="A2167" s="20">
        <v>42058</v>
      </c>
      <c r="B2167" s="21">
        <v>12864</v>
      </c>
      <c r="C2167" s="15" t="s">
        <v>239</v>
      </c>
      <c r="D2167" s="122">
        <v>1241.2</v>
      </c>
      <c r="E2167" s="23">
        <v>42059</v>
      </c>
      <c r="F2167" s="118">
        <v>1241.2</v>
      </c>
      <c r="G2167" s="31">
        <f t="shared" si="33"/>
        <v>0</v>
      </c>
      <c r="H2167" s="68" t="s">
        <v>9</v>
      </c>
      <c r="I2167" s="3"/>
      <c r="J2167" s="42"/>
      <c r="K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</row>
    <row r="2168" spans="1:22" x14ac:dyDescent="0.25">
      <c r="A2168" s="20">
        <v>42058</v>
      </c>
      <c r="B2168" s="21">
        <v>12865</v>
      </c>
      <c r="C2168" s="15" t="s">
        <v>114</v>
      </c>
      <c r="D2168" s="122">
        <v>313.60000000000002</v>
      </c>
      <c r="E2168" s="23">
        <v>42058</v>
      </c>
      <c r="F2168" s="106">
        <v>313.60000000000002</v>
      </c>
      <c r="G2168" s="31">
        <f t="shared" si="33"/>
        <v>0</v>
      </c>
      <c r="H2168" s="68" t="s">
        <v>9</v>
      </c>
      <c r="I2168" s="3"/>
      <c r="J2168" s="42"/>
      <c r="K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</row>
    <row r="2169" spans="1:22" x14ac:dyDescent="0.25">
      <c r="A2169" s="20">
        <v>42058</v>
      </c>
      <c r="B2169" s="21">
        <v>12866</v>
      </c>
      <c r="C2169" s="15" t="s">
        <v>121</v>
      </c>
      <c r="D2169" s="122">
        <v>1240</v>
      </c>
      <c r="E2169" s="23">
        <v>42058</v>
      </c>
      <c r="F2169" s="106">
        <v>1240</v>
      </c>
      <c r="G2169" s="31">
        <f t="shared" si="33"/>
        <v>0</v>
      </c>
      <c r="H2169" s="68" t="s">
        <v>9</v>
      </c>
      <c r="I2169" s="3"/>
      <c r="J2169" s="42"/>
      <c r="K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</row>
    <row r="2170" spans="1:22" x14ac:dyDescent="0.25">
      <c r="A2170" s="20">
        <v>42058</v>
      </c>
      <c r="B2170" s="21">
        <v>12867</v>
      </c>
      <c r="C2170" s="15" t="s">
        <v>265</v>
      </c>
      <c r="D2170" s="122">
        <v>14771.8</v>
      </c>
      <c r="E2170" s="23">
        <v>42058</v>
      </c>
      <c r="F2170" s="106">
        <v>14771.8</v>
      </c>
      <c r="G2170" s="31">
        <f t="shared" si="33"/>
        <v>0</v>
      </c>
      <c r="H2170" s="68" t="s">
        <v>9</v>
      </c>
      <c r="I2170" s="3"/>
      <c r="J2170" s="42"/>
      <c r="K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</row>
    <row r="2171" spans="1:22" x14ac:dyDescent="0.25">
      <c r="A2171" s="20">
        <v>42058</v>
      </c>
      <c r="B2171" s="21">
        <v>12868</v>
      </c>
      <c r="C2171" s="15" t="s">
        <v>18</v>
      </c>
      <c r="D2171" s="122">
        <v>28251.3</v>
      </c>
      <c r="E2171" s="30">
        <v>42064</v>
      </c>
      <c r="F2171" s="144">
        <v>28251.3</v>
      </c>
      <c r="G2171" s="31">
        <f t="shared" si="33"/>
        <v>0</v>
      </c>
      <c r="H2171" s="68" t="s">
        <v>149</v>
      </c>
      <c r="I2171" s="3"/>
      <c r="J2171" s="42"/>
      <c r="K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</row>
    <row r="2172" spans="1:22" x14ac:dyDescent="0.25">
      <c r="A2172" s="20">
        <v>42058</v>
      </c>
      <c r="B2172" s="21">
        <v>12869</v>
      </c>
      <c r="C2172" s="15" t="s">
        <v>151</v>
      </c>
      <c r="D2172" s="122">
        <v>3935.6</v>
      </c>
      <c r="E2172" s="23">
        <v>42059</v>
      </c>
      <c r="F2172" s="118">
        <v>3935.6</v>
      </c>
      <c r="G2172" s="31">
        <f t="shared" si="33"/>
        <v>0</v>
      </c>
      <c r="H2172" s="68" t="s">
        <v>9</v>
      </c>
      <c r="I2172" s="3"/>
      <c r="J2172" s="42"/>
      <c r="K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</row>
    <row r="2173" spans="1:22" x14ac:dyDescent="0.25">
      <c r="A2173" s="20">
        <v>42058</v>
      </c>
      <c r="B2173" s="21">
        <v>12870</v>
      </c>
      <c r="C2173" s="15" t="s">
        <v>658</v>
      </c>
      <c r="D2173" s="122">
        <v>4205.3999999999996</v>
      </c>
      <c r="E2173" s="23">
        <v>42058</v>
      </c>
      <c r="F2173" s="106">
        <v>4205.3999999999996</v>
      </c>
      <c r="G2173" s="31">
        <f t="shared" si="33"/>
        <v>0</v>
      </c>
      <c r="H2173" s="68" t="s">
        <v>9</v>
      </c>
      <c r="I2173" s="3"/>
      <c r="J2173" s="42"/>
      <c r="K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</row>
    <row r="2174" spans="1:22" x14ac:dyDescent="0.25">
      <c r="A2174" s="20">
        <v>42058</v>
      </c>
      <c r="B2174" s="21">
        <v>12871</v>
      </c>
      <c r="C2174" s="15" t="s">
        <v>22</v>
      </c>
      <c r="D2174" s="122">
        <v>2160</v>
      </c>
      <c r="E2174" s="23">
        <v>42058</v>
      </c>
      <c r="F2174" s="106">
        <v>2160</v>
      </c>
      <c r="G2174" s="31">
        <f t="shared" si="33"/>
        <v>0</v>
      </c>
      <c r="H2174" s="68" t="s">
        <v>9</v>
      </c>
      <c r="I2174" s="3"/>
      <c r="J2174" s="42"/>
      <c r="K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</row>
    <row r="2175" spans="1:22" x14ac:dyDescent="0.25">
      <c r="A2175" s="20">
        <v>42058</v>
      </c>
      <c r="B2175" s="21">
        <v>12872</v>
      </c>
      <c r="C2175" s="15" t="s">
        <v>375</v>
      </c>
      <c r="D2175" s="122">
        <v>2468.4</v>
      </c>
      <c r="E2175" s="23">
        <v>42058</v>
      </c>
      <c r="F2175" s="118">
        <v>2468.4</v>
      </c>
      <c r="G2175" s="31">
        <f t="shared" si="33"/>
        <v>0</v>
      </c>
      <c r="H2175" s="68" t="s">
        <v>9</v>
      </c>
      <c r="I2175" s="3"/>
      <c r="J2175" s="42"/>
      <c r="K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</row>
    <row r="2176" spans="1:22" x14ac:dyDescent="0.25">
      <c r="A2176" s="20">
        <v>42058</v>
      </c>
      <c r="B2176" s="21">
        <v>12873</v>
      </c>
      <c r="C2176" s="15" t="s">
        <v>24</v>
      </c>
      <c r="D2176" s="122">
        <v>4801.6000000000004</v>
      </c>
      <c r="E2176" s="30">
        <v>42074</v>
      </c>
      <c r="F2176" s="145">
        <v>4801.6000000000004</v>
      </c>
      <c r="G2176" s="31">
        <f t="shared" si="33"/>
        <v>0</v>
      </c>
      <c r="H2176" s="68" t="s">
        <v>19</v>
      </c>
      <c r="I2176" s="3"/>
      <c r="J2176" s="42"/>
      <c r="K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</row>
    <row r="2177" spans="1:22" x14ac:dyDescent="0.25">
      <c r="A2177" s="20">
        <v>42058</v>
      </c>
      <c r="B2177" s="21">
        <v>12874</v>
      </c>
      <c r="C2177" s="15" t="s">
        <v>20</v>
      </c>
      <c r="D2177" s="122">
        <v>11611.1</v>
      </c>
      <c r="E2177" s="23">
        <v>42058</v>
      </c>
      <c r="F2177" s="118">
        <v>11611.1</v>
      </c>
      <c r="G2177" s="31">
        <f t="shared" si="33"/>
        <v>0</v>
      </c>
      <c r="H2177" s="68" t="s">
        <v>9</v>
      </c>
      <c r="I2177" s="3"/>
      <c r="J2177" s="42"/>
      <c r="K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</row>
    <row r="2178" spans="1:22" x14ac:dyDescent="0.25">
      <c r="A2178" s="20">
        <v>42058</v>
      </c>
      <c r="B2178" s="21">
        <v>12875</v>
      </c>
      <c r="C2178" s="15" t="s">
        <v>65</v>
      </c>
      <c r="D2178" s="122">
        <v>20032</v>
      </c>
      <c r="E2178" s="23">
        <v>42059</v>
      </c>
      <c r="F2178" s="118">
        <v>20032</v>
      </c>
      <c r="G2178" s="31">
        <f t="shared" si="33"/>
        <v>0</v>
      </c>
      <c r="H2178" s="68" t="s">
        <v>62</v>
      </c>
      <c r="I2178" s="3"/>
      <c r="J2178" s="42"/>
      <c r="K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</row>
    <row r="2179" spans="1:22" x14ac:dyDescent="0.25">
      <c r="A2179" s="20">
        <v>42058</v>
      </c>
      <c r="B2179" s="21">
        <v>12876</v>
      </c>
      <c r="C2179" s="15" t="s">
        <v>170</v>
      </c>
      <c r="D2179" s="122">
        <v>7239.3</v>
      </c>
      <c r="E2179" s="23">
        <v>42059</v>
      </c>
      <c r="F2179" s="118">
        <v>7239.3</v>
      </c>
      <c r="G2179" s="31">
        <f t="shared" ref="G2179:G2242" si="34">D2179-F2179</f>
        <v>0</v>
      </c>
      <c r="H2179" s="68" t="s">
        <v>62</v>
      </c>
      <c r="I2179" s="3"/>
      <c r="J2179" s="42"/>
      <c r="K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</row>
    <row r="2180" spans="1:22" x14ac:dyDescent="0.25">
      <c r="A2180" s="20">
        <v>42058</v>
      </c>
      <c r="B2180" s="21">
        <v>12877</v>
      </c>
      <c r="C2180" s="15" t="s">
        <v>135</v>
      </c>
      <c r="D2180" s="122">
        <v>17206.7</v>
      </c>
      <c r="E2180" s="23">
        <v>42058</v>
      </c>
      <c r="F2180" s="118">
        <v>17206.7</v>
      </c>
      <c r="G2180" s="31">
        <f t="shared" si="34"/>
        <v>0</v>
      </c>
      <c r="H2180" s="68" t="s">
        <v>9</v>
      </c>
      <c r="I2180" s="3"/>
      <c r="J2180" s="42"/>
      <c r="K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</row>
    <row r="2181" spans="1:22" x14ac:dyDescent="0.25">
      <c r="A2181" s="20">
        <v>42058</v>
      </c>
      <c r="B2181" s="21">
        <v>12878</v>
      </c>
      <c r="C2181" s="15" t="s">
        <v>714</v>
      </c>
      <c r="D2181" s="122">
        <v>1217.8499999999999</v>
      </c>
      <c r="E2181" s="23">
        <v>42058</v>
      </c>
      <c r="F2181" s="118">
        <v>1217.8499999999999</v>
      </c>
      <c r="G2181" s="31">
        <f t="shared" si="34"/>
        <v>0</v>
      </c>
      <c r="H2181" s="68" t="s">
        <v>9</v>
      </c>
      <c r="I2181" s="3"/>
      <c r="J2181" s="42"/>
      <c r="K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</row>
    <row r="2182" spans="1:22" x14ac:dyDescent="0.25">
      <c r="A2182" s="20">
        <v>42058</v>
      </c>
      <c r="B2182" s="21">
        <v>12879</v>
      </c>
      <c r="C2182" s="14" t="s">
        <v>78</v>
      </c>
      <c r="D2182" s="105">
        <v>7069.6</v>
      </c>
      <c r="E2182" s="23">
        <v>42059</v>
      </c>
      <c r="F2182" s="106">
        <v>7069.6</v>
      </c>
      <c r="G2182" s="31">
        <f t="shared" si="34"/>
        <v>0</v>
      </c>
      <c r="H2182" s="39" t="s">
        <v>62</v>
      </c>
      <c r="I2182" s="3"/>
      <c r="J2182" s="42"/>
      <c r="K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</row>
    <row r="2183" spans="1:22" x14ac:dyDescent="0.25">
      <c r="A2183" s="20">
        <v>42058</v>
      </c>
      <c r="B2183" s="21">
        <v>12880</v>
      </c>
      <c r="C2183" s="15" t="s">
        <v>125</v>
      </c>
      <c r="D2183" s="122">
        <v>8515.2000000000007</v>
      </c>
      <c r="E2183" s="23">
        <v>42058</v>
      </c>
      <c r="F2183" s="118">
        <v>8515.2000000000007</v>
      </c>
      <c r="G2183" s="31">
        <f t="shared" si="34"/>
        <v>0</v>
      </c>
      <c r="H2183" s="68" t="s">
        <v>9</v>
      </c>
      <c r="I2183" s="3"/>
      <c r="J2183" s="42"/>
      <c r="K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</row>
    <row r="2184" spans="1:22" x14ac:dyDescent="0.25">
      <c r="A2184" s="20">
        <v>42058</v>
      </c>
      <c r="B2184" s="21">
        <v>12881</v>
      </c>
      <c r="C2184" s="15" t="s">
        <v>67</v>
      </c>
      <c r="D2184" s="122">
        <v>3014.4</v>
      </c>
      <c r="E2184" s="23">
        <v>42059</v>
      </c>
      <c r="F2184" s="118">
        <v>3014.4</v>
      </c>
      <c r="G2184" s="31">
        <f t="shared" si="34"/>
        <v>0</v>
      </c>
      <c r="H2184" s="68" t="s">
        <v>62</v>
      </c>
      <c r="I2184" s="3"/>
      <c r="J2184" s="42"/>
      <c r="K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</row>
    <row r="2185" spans="1:22" x14ac:dyDescent="0.25">
      <c r="A2185" s="20">
        <v>42058</v>
      </c>
      <c r="B2185" s="21">
        <v>12882</v>
      </c>
      <c r="C2185" s="15" t="s">
        <v>34</v>
      </c>
      <c r="D2185" s="122">
        <v>3714.8</v>
      </c>
      <c r="E2185" s="23">
        <v>42058</v>
      </c>
      <c r="F2185" s="118">
        <v>3714.8</v>
      </c>
      <c r="G2185" s="31">
        <f t="shared" si="34"/>
        <v>0</v>
      </c>
      <c r="H2185" s="68" t="s">
        <v>9</v>
      </c>
      <c r="I2185" s="3"/>
      <c r="J2185" s="42"/>
      <c r="K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</row>
    <row r="2186" spans="1:22" x14ac:dyDescent="0.25">
      <c r="A2186" s="20">
        <v>42058</v>
      </c>
      <c r="B2186" s="21">
        <v>12883</v>
      </c>
      <c r="C2186" s="15" t="s">
        <v>137</v>
      </c>
      <c r="D2186" s="122">
        <v>3404.8</v>
      </c>
      <c r="E2186" s="23">
        <v>42058</v>
      </c>
      <c r="F2186" s="118">
        <v>3404.8</v>
      </c>
      <c r="G2186" s="31">
        <f t="shared" si="34"/>
        <v>0</v>
      </c>
      <c r="H2186" s="68" t="s">
        <v>9</v>
      </c>
      <c r="I2186" s="3"/>
      <c r="J2186" s="42"/>
      <c r="K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</row>
    <row r="2187" spans="1:22" x14ac:dyDescent="0.25">
      <c r="A2187" s="20">
        <v>42058</v>
      </c>
      <c r="B2187" s="21">
        <v>12884</v>
      </c>
      <c r="C2187" s="15" t="s">
        <v>110</v>
      </c>
      <c r="D2187" s="122">
        <v>32770.199999999997</v>
      </c>
      <c r="E2187" s="23">
        <v>42063</v>
      </c>
      <c r="F2187" s="118">
        <v>32770.199999999997</v>
      </c>
      <c r="G2187" s="31">
        <f t="shared" si="34"/>
        <v>0</v>
      </c>
      <c r="H2187" s="68" t="s">
        <v>19</v>
      </c>
      <c r="I2187" s="3"/>
      <c r="J2187" s="42"/>
      <c r="K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</row>
    <row r="2188" spans="1:22" x14ac:dyDescent="0.25">
      <c r="A2188" s="20">
        <v>42058</v>
      </c>
      <c r="B2188" s="21">
        <v>12885</v>
      </c>
      <c r="C2188" s="15" t="s">
        <v>30</v>
      </c>
      <c r="D2188" s="122">
        <v>4670.3999999999996</v>
      </c>
      <c r="E2188" s="23">
        <v>42058</v>
      </c>
      <c r="F2188" s="118">
        <v>4670.3999999999996</v>
      </c>
      <c r="G2188" s="31">
        <f t="shared" si="34"/>
        <v>0</v>
      </c>
      <c r="H2188" s="68" t="s">
        <v>9</v>
      </c>
      <c r="I2188" s="3"/>
      <c r="J2188" s="42"/>
      <c r="K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</row>
    <row r="2189" spans="1:22" x14ac:dyDescent="0.25">
      <c r="A2189" s="20">
        <v>42058</v>
      </c>
      <c r="B2189" s="21">
        <v>12886</v>
      </c>
      <c r="C2189" s="15" t="s">
        <v>148</v>
      </c>
      <c r="D2189" s="122">
        <v>2607.6</v>
      </c>
      <c r="E2189" s="191" t="s">
        <v>1207</v>
      </c>
      <c r="F2189" s="145">
        <f>500+500+500+500+607.6</f>
        <v>2607.6</v>
      </c>
      <c r="G2189" s="31">
        <f t="shared" si="34"/>
        <v>0</v>
      </c>
      <c r="H2189" s="68" t="s">
        <v>59</v>
      </c>
      <c r="I2189" s="3"/>
      <c r="J2189" s="42"/>
      <c r="K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</row>
    <row r="2190" spans="1:22" x14ac:dyDescent="0.25">
      <c r="A2190" s="20">
        <v>42058</v>
      </c>
      <c r="B2190" s="21">
        <v>12887</v>
      </c>
      <c r="C2190" s="15" t="s">
        <v>179</v>
      </c>
      <c r="D2190" s="122">
        <v>4626</v>
      </c>
      <c r="E2190" s="23">
        <v>42058</v>
      </c>
      <c r="F2190" s="118">
        <v>4626</v>
      </c>
      <c r="G2190" s="31">
        <f t="shared" si="34"/>
        <v>0</v>
      </c>
      <c r="H2190" s="68" t="s">
        <v>15</v>
      </c>
      <c r="I2190" s="3"/>
      <c r="J2190" s="42"/>
      <c r="K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</row>
    <row r="2191" spans="1:22" x14ac:dyDescent="0.25">
      <c r="A2191" s="20">
        <v>42058</v>
      </c>
      <c r="B2191" s="21">
        <v>12888</v>
      </c>
      <c r="C2191" s="15" t="s">
        <v>106</v>
      </c>
      <c r="D2191" s="122">
        <v>4900</v>
      </c>
      <c r="E2191" s="29" t="s">
        <v>715</v>
      </c>
      <c r="F2191" s="118">
        <f>2107.4+2792.6</f>
        <v>4900</v>
      </c>
      <c r="G2191" s="31">
        <f t="shared" si="34"/>
        <v>0</v>
      </c>
      <c r="H2191" s="68" t="s">
        <v>15</v>
      </c>
      <c r="I2191" s="3"/>
      <c r="J2191" s="42"/>
      <c r="K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</row>
    <row r="2192" spans="1:22" x14ac:dyDescent="0.25">
      <c r="A2192" s="20">
        <v>42058</v>
      </c>
      <c r="B2192" s="21">
        <v>12889</v>
      </c>
      <c r="C2192" s="15" t="s">
        <v>168</v>
      </c>
      <c r="D2192" s="122">
        <v>1267.2</v>
      </c>
      <c r="E2192" s="23">
        <v>42058</v>
      </c>
      <c r="F2192" s="118">
        <v>1267.2</v>
      </c>
      <c r="G2192" s="31">
        <f t="shared" si="34"/>
        <v>0</v>
      </c>
      <c r="H2192" s="68" t="s">
        <v>59</v>
      </c>
      <c r="I2192" s="3"/>
      <c r="J2192" s="42"/>
      <c r="K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</row>
    <row r="2193" spans="1:22" x14ac:dyDescent="0.25">
      <c r="A2193" s="20">
        <v>42058</v>
      </c>
      <c r="B2193" s="21">
        <v>12890</v>
      </c>
      <c r="C2193" s="15" t="s">
        <v>83</v>
      </c>
      <c r="D2193" s="122">
        <v>1731.02</v>
      </c>
      <c r="E2193" s="23">
        <v>42058</v>
      </c>
      <c r="F2193" s="118">
        <v>1731.02</v>
      </c>
      <c r="G2193" s="31">
        <f t="shared" si="34"/>
        <v>0</v>
      </c>
      <c r="H2193" s="68" t="s">
        <v>59</v>
      </c>
      <c r="I2193" s="3"/>
      <c r="J2193" s="42"/>
      <c r="K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</row>
    <row r="2194" spans="1:22" x14ac:dyDescent="0.25">
      <c r="A2194" s="20">
        <v>42058</v>
      </c>
      <c r="B2194" s="21">
        <v>12891</v>
      </c>
      <c r="C2194" s="15" t="s">
        <v>716</v>
      </c>
      <c r="D2194" s="122">
        <v>1656</v>
      </c>
      <c r="E2194" s="23">
        <v>42058</v>
      </c>
      <c r="F2194" s="118">
        <v>1656</v>
      </c>
      <c r="G2194" s="31">
        <f t="shared" si="34"/>
        <v>0</v>
      </c>
      <c r="H2194" s="68" t="s">
        <v>27</v>
      </c>
      <c r="I2194" s="3"/>
      <c r="J2194" s="42"/>
      <c r="K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</row>
    <row r="2195" spans="1:22" x14ac:dyDescent="0.25">
      <c r="A2195" s="20">
        <v>42058</v>
      </c>
      <c r="B2195" s="21">
        <v>12892</v>
      </c>
      <c r="C2195" s="15" t="s">
        <v>131</v>
      </c>
      <c r="D2195" s="122">
        <v>9414.25</v>
      </c>
      <c r="E2195" s="23">
        <v>42058</v>
      </c>
      <c r="F2195" s="118">
        <v>9414.25</v>
      </c>
      <c r="G2195" s="31">
        <f t="shared" si="34"/>
        <v>0</v>
      </c>
      <c r="H2195" s="68" t="s">
        <v>9</v>
      </c>
      <c r="I2195" s="3"/>
      <c r="J2195" s="42"/>
      <c r="K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</row>
    <row r="2196" spans="1:22" x14ac:dyDescent="0.25">
      <c r="A2196" s="20">
        <v>42058</v>
      </c>
      <c r="B2196" s="21">
        <v>12893</v>
      </c>
      <c r="C2196" s="15" t="s">
        <v>82</v>
      </c>
      <c r="D2196" s="122">
        <v>4071.3</v>
      </c>
      <c r="E2196" s="23">
        <v>42058</v>
      </c>
      <c r="F2196" s="118">
        <v>4071.3</v>
      </c>
      <c r="G2196" s="31">
        <f t="shared" si="34"/>
        <v>0</v>
      </c>
      <c r="H2196" s="68" t="s">
        <v>59</v>
      </c>
      <c r="I2196" s="3"/>
      <c r="J2196" s="42"/>
      <c r="K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</row>
    <row r="2197" spans="1:22" x14ac:dyDescent="0.25">
      <c r="A2197" s="20">
        <v>42058</v>
      </c>
      <c r="B2197" s="21">
        <v>12894</v>
      </c>
      <c r="C2197" s="15" t="s">
        <v>81</v>
      </c>
      <c r="D2197" s="122">
        <v>1327.3</v>
      </c>
      <c r="E2197" s="23">
        <v>42058</v>
      </c>
      <c r="F2197" s="118">
        <v>1327.3</v>
      </c>
      <c r="G2197" s="31">
        <f t="shared" si="34"/>
        <v>0</v>
      </c>
      <c r="H2197" s="68" t="s">
        <v>59</v>
      </c>
      <c r="I2197" s="3"/>
      <c r="J2197" s="42"/>
      <c r="K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</row>
    <row r="2198" spans="1:22" x14ac:dyDescent="0.25">
      <c r="A2198" s="20">
        <v>42058</v>
      </c>
      <c r="B2198" s="21">
        <v>12895</v>
      </c>
      <c r="C2198" s="15" t="s">
        <v>699</v>
      </c>
      <c r="D2198" s="122">
        <v>2146.1999999999998</v>
      </c>
      <c r="E2198" s="23">
        <v>42061</v>
      </c>
      <c r="F2198" s="118">
        <v>2146.1999999999998</v>
      </c>
      <c r="G2198" s="31">
        <f t="shared" si="34"/>
        <v>0</v>
      </c>
      <c r="H2198" s="68" t="s">
        <v>9</v>
      </c>
      <c r="I2198" s="3"/>
      <c r="J2198" s="42"/>
      <c r="K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</row>
    <row r="2199" spans="1:22" x14ac:dyDescent="0.25">
      <c r="A2199" s="20">
        <v>42058</v>
      </c>
      <c r="B2199" s="21">
        <v>12896</v>
      </c>
      <c r="C2199" s="15" t="s">
        <v>53</v>
      </c>
      <c r="D2199" s="122">
        <v>720</v>
      </c>
      <c r="E2199" s="23">
        <v>42058</v>
      </c>
      <c r="F2199" s="118">
        <v>720</v>
      </c>
      <c r="G2199" s="31">
        <f t="shared" si="34"/>
        <v>0</v>
      </c>
      <c r="H2199" s="68" t="s">
        <v>59</v>
      </c>
      <c r="I2199" s="3"/>
      <c r="J2199" s="42"/>
      <c r="K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</row>
    <row r="2200" spans="1:22" x14ac:dyDescent="0.25">
      <c r="A2200" s="20">
        <v>42058</v>
      </c>
      <c r="B2200" s="21">
        <v>12897</v>
      </c>
      <c r="C2200" s="15" t="s">
        <v>58</v>
      </c>
      <c r="D2200" s="122">
        <v>370</v>
      </c>
      <c r="E2200" s="23">
        <v>42058</v>
      </c>
      <c r="F2200" s="118">
        <v>370</v>
      </c>
      <c r="G2200" s="31">
        <f t="shared" si="34"/>
        <v>0</v>
      </c>
      <c r="H2200" s="68" t="s">
        <v>59</v>
      </c>
      <c r="I2200" s="3"/>
      <c r="J2200" s="42"/>
      <c r="K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</row>
    <row r="2201" spans="1:22" x14ac:dyDescent="0.25">
      <c r="A2201" s="20">
        <v>42058</v>
      </c>
      <c r="B2201" s="21">
        <v>12898</v>
      </c>
      <c r="C2201" s="15" t="s">
        <v>75</v>
      </c>
      <c r="D2201" s="122">
        <v>23074.6</v>
      </c>
      <c r="E2201" s="23">
        <v>42059</v>
      </c>
      <c r="F2201" s="118">
        <v>23074.6</v>
      </c>
      <c r="G2201" s="31">
        <f t="shared" si="34"/>
        <v>0</v>
      </c>
      <c r="H2201" s="68" t="s">
        <v>62</v>
      </c>
      <c r="I2201" s="3"/>
      <c r="J2201" s="42"/>
      <c r="K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</row>
    <row r="2202" spans="1:22" x14ac:dyDescent="0.25">
      <c r="A2202" s="20">
        <v>42058</v>
      </c>
      <c r="B2202" s="21">
        <v>12899</v>
      </c>
      <c r="C2202" s="15" t="s">
        <v>717</v>
      </c>
      <c r="D2202" s="122">
        <v>2796.2</v>
      </c>
      <c r="E2202" s="23">
        <v>42058</v>
      </c>
      <c r="F2202" s="118">
        <v>2796.2</v>
      </c>
      <c r="G2202" s="31">
        <f t="shared" si="34"/>
        <v>0</v>
      </c>
      <c r="H2202" s="68" t="s">
        <v>59</v>
      </c>
      <c r="I2202" s="3"/>
      <c r="J2202" s="42"/>
      <c r="K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</row>
    <row r="2203" spans="1:22" x14ac:dyDescent="0.25">
      <c r="A2203" s="20">
        <v>42058</v>
      </c>
      <c r="B2203" s="21">
        <v>12900</v>
      </c>
      <c r="C2203" s="15" t="s">
        <v>116</v>
      </c>
      <c r="D2203" s="122">
        <v>7540.44</v>
      </c>
      <c r="E2203" s="23">
        <v>42058</v>
      </c>
      <c r="F2203" s="118">
        <v>7540.44</v>
      </c>
      <c r="G2203" s="31">
        <f t="shared" si="34"/>
        <v>0</v>
      </c>
      <c r="H2203" s="68" t="s">
        <v>59</v>
      </c>
      <c r="I2203" s="3"/>
      <c r="J2203" s="42"/>
      <c r="K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</row>
    <row r="2204" spans="1:22" x14ac:dyDescent="0.25">
      <c r="A2204" s="20">
        <v>42058</v>
      </c>
      <c r="B2204" s="21">
        <v>12901</v>
      </c>
      <c r="C2204" s="15" t="s">
        <v>75</v>
      </c>
      <c r="D2204" s="122">
        <v>8612.7999999999993</v>
      </c>
      <c r="E2204" s="23">
        <v>42059</v>
      </c>
      <c r="F2204" s="118">
        <v>8612.7999999999993</v>
      </c>
      <c r="G2204" s="31">
        <f t="shared" si="34"/>
        <v>0</v>
      </c>
      <c r="H2204" s="68" t="s">
        <v>62</v>
      </c>
      <c r="I2204" s="3"/>
      <c r="J2204" s="42"/>
      <c r="K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</row>
    <row r="2205" spans="1:22" x14ac:dyDescent="0.25">
      <c r="A2205" s="20">
        <v>42058</v>
      </c>
      <c r="B2205" s="21">
        <v>12902</v>
      </c>
      <c r="C2205" s="15" t="s">
        <v>49</v>
      </c>
      <c r="D2205" s="122">
        <v>1679</v>
      </c>
      <c r="E2205" s="23">
        <v>42058</v>
      </c>
      <c r="F2205" s="118">
        <v>1679</v>
      </c>
      <c r="G2205" s="31">
        <f t="shared" si="34"/>
        <v>0</v>
      </c>
      <c r="H2205" s="68" t="s">
        <v>27</v>
      </c>
      <c r="I2205" s="3"/>
      <c r="J2205" s="42"/>
      <c r="K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</row>
    <row r="2206" spans="1:22" x14ac:dyDescent="0.25">
      <c r="A2206" s="20">
        <v>42058</v>
      </c>
      <c r="B2206" s="21">
        <v>12903</v>
      </c>
      <c r="C2206" s="15" t="s">
        <v>37</v>
      </c>
      <c r="D2206" s="122">
        <v>24092</v>
      </c>
      <c r="E2206" s="30">
        <v>42068</v>
      </c>
      <c r="F2206" s="145">
        <v>24092</v>
      </c>
      <c r="G2206" s="31">
        <f t="shared" si="34"/>
        <v>0</v>
      </c>
      <c r="H2206" s="68" t="s">
        <v>36</v>
      </c>
      <c r="I2206" s="3"/>
      <c r="J2206" s="42"/>
      <c r="K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</row>
    <row r="2207" spans="1:22" x14ac:dyDescent="0.25">
      <c r="A2207" s="20">
        <v>42058</v>
      </c>
      <c r="B2207" s="21">
        <v>12904</v>
      </c>
      <c r="C2207" s="15" t="s">
        <v>256</v>
      </c>
      <c r="D2207" s="122">
        <v>4224</v>
      </c>
      <c r="E2207" s="23">
        <v>42058</v>
      </c>
      <c r="F2207" s="118">
        <v>4224</v>
      </c>
      <c r="G2207" s="31">
        <f t="shared" si="34"/>
        <v>0</v>
      </c>
      <c r="H2207" s="68" t="s">
        <v>36</v>
      </c>
      <c r="I2207" s="3"/>
      <c r="J2207" s="42"/>
      <c r="K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</row>
    <row r="2208" spans="1:22" x14ac:dyDescent="0.25">
      <c r="A2208" s="20">
        <v>42058</v>
      </c>
      <c r="B2208" s="21">
        <v>12905</v>
      </c>
      <c r="C2208" s="15" t="s">
        <v>84</v>
      </c>
      <c r="D2208" s="122">
        <v>39715.599999999999</v>
      </c>
      <c r="E2208" s="30" t="s">
        <v>751</v>
      </c>
      <c r="F2208" s="145">
        <v>39715.599999999999</v>
      </c>
      <c r="G2208" s="31">
        <f t="shared" si="34"/>
        <v>0</v>
      </c>
      <c r="H2208" s="68" t="s">
        <v>62</v>
      </c>
      <c r="I2208" s="3"/>
      <c r="J2208" s="42"/>
      <c r="K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</row>
    <row r="2209" spans="1:22" x14ac:dyDescent="0.25">
      <c r="A2209" s="20">
        <v>42058</v>
      </c>
      <c r="B2209" s="21">
        <v>12906</v>
      </c>
      <c r="C2209" s="15" t="s">
        <v>134</v>
      </c>
      <c r="D2209" s="122">
        <v>10251.200000000001</v>
      </c>
      <c r="E2209" s="23">
        <v>42058</v>
      </c>
      <c r="F2209" s="118">
        <v>10251.200000000001</v>
      </c>
      <c r="G2209" s="31">
        <f t="shared" si="34"/>
        <v>0</v>
      </c>
      <c r="H2209" s="68" t="s">
        <v>36</v>
      </c>
      <c r="I2209" s="3"/>
      <c r="J2209" s="42"/>
      <c r="K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</row>
    <row r="2210" spans="1:22" x14ac:dyDescent="0.25">
      <c r="A2210" s="20">
        <v>42058</v>
      </c>
      <c r="B2210" s="21">
        <v>12907</v>
      </c>
      <c r="C2210" s="15" t="s">
        <v>185</v>
      </c>
      <c r="D2210" s="122">
        <v>64107.199999999997</v>
      </c>
      <c r="E2210" s="23">
        <v>42058</v>
      </c>
      <c r="F2210" s="118">
        <v>64107.199999999997</v>
      </c>
      <c r="G2210" s="31">
        <f t="shared" si="34"/>
        <v>0</v>
      </c>
      <c r="H2210" s="68" t="s">
        <v>46</v>
      </c>
      <c r="I2210" s="3"/>
      <c r="J2210" s="42"/>
      <c r="K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</row>
    <row r="2211" spans="1:22" x14ac:dyDescent="0.25">
      <c r="A2211" s="20">
        <v>42058</v>
      </c>
      <c r="B2211" s="21">
        <v>12908</v>
      </c>
      <c r="C2211" s="15" t="s">
        <v>176</v>
      </c>
      <c r="D2211" s="122">
        <v>8914.9</v>
      </c>
      <c r="E2211" s="30" t="s">
        <v>752</v>
      </c>
      <c r="F2211" s="145">
        <v>8914.9</v>
      </c>
      <c r="G2211" s="31">
        <f t="shared" si="34"/>
        <v>0</v>
      </c>
      <c r="H2211" s="68" t="s">
        <v>62</v>
      </c>
      <c r="I2211" s="3"/>
      <c r="J2211" s="42"/>
      <c r="K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</row>
    <row r="2212" spans="1:22" x14ac:dyDescent="0.25">
      <c r="A2212" s="20">
        <v>42058</v>
      </c>
      <c r="B2212" s="21">
        <v>12909</v>
      </c>
      <c r="C2212" s="15" t="s">
        <v>268</v>
      </c>
      <c r="D2212" s="122">
        <v>5215.95</v>
      </c>
      <c r="E2212" s="23">
        <v>42059</v>
      </c>
      <c r="F2212" s="118">
        <v>5215.95</v>
      </c>
      <c r="G2212" s="31">
        <f t="shared" si="34"/>
        <v>0</v>
      </c>
      <c r="H2212" s="68" t="s">
        <v>62</v>
      </c>
      <c r="I2212" s="3"/>
      <c r="J2212" s="42"/>
      <c r="K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</row>
    <row r="2213" spans="1:22" x14ac:dyDescent="0.25">
      <c r="A2213" s="20">
        <v>42058</v>
      </c>
      <c r="B2213" s="21">
        <v>12910</v>
      </c>
      <c r="C2213" s="15" t="s">
        <v>32</v>
      </c>
      <c r="D2213" s="122">
        <v>6952</v>
      </c>
      <c r="E2213" s="23">
        <v>42062</v>
      </c>
      <c r="F2213" s="118">
        <v>6952</v>
      </c>
      <c r="G2213" s="31">
        <f t="shared" si="34"/>
        <v>0</v>
      </c>
      <c r="H2213" s="68" t="s">
        <v>9</v>
      </c>
      <c r="I2213" s="3"/>
      <c r="J2213" s="42"/>
      <c r="K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</row>
    <row r="2214" spans="1:22" x14ac:dyDescent="0.25">
      <c r="A2214" s="20">
        <v>42058</v>
      </c>
      <c r="B2214" s="21">
        <v>12911</v>
      </c>
      <c r="C2214" s="15" t="s">
        <v>173</v>
      </c>
      <c r="D2214" s="122">
        <v>28432.45</v>
      </c>
      <c r="E2214" s="30" t="s">
        <v>753</v>
      </c>
      <c r="F2214" s="145">
        <v>28432.45</v>
      </c>
      <c r="G2214" s="31">
        <f t="shared" si="34"/>
        <v>0</v>
      </c>
      <c r="H2214" s="68" t="s">
        <v>62</v>
      </c>
      <c r="I2214" s="3"/>
      <c r="J2214" s="42"/>
      <c r="K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</row>
    <row r="2215" spans="1:22" x14ac:dyDescent="0.25">
      <c r="A2215" s="20">
        <v>42058</v>
      </c>
      <c r="B2215" s="21">
        <v>12912</v>
      </c>
      <c r="C2215" s="15" t="s">
        <v>91</v>
      </c>
      <c r="D2215" s="122">
        <v>11162.2</v>
      </c>
      <c r="E2215" s="23">
        <v>42058</v>
      </c>
      <c r="F2215" s="118">
        <v>11162.2</v>
      </c>
      <c r="G2215" s="31">
        <f t="shared" si="34"/>
        <v>0</v>
      </c>
      <c r="H2215" s="68" t="s">
        <v>59</v>
      </c>
      <c r="I2215" s="3"/>
      <c r="J2215" s="42"/>
      <c r="K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</row>
    <row r="2216" spans="1:22" x14ac:dyDescent="0.25">
      <c r="A2216" s="20">
        <v>42058</v>
      </c>
      <c r="B2216" s="21">
        <v>12913</v>
      </c>
      <c r="C2216" s="15" t="s">
        <v>215</v>
      </c>
      <c r="D2216" s="122">
        <v>19566.599999999999</v>
      </c>
      <c r="E2216" s="23">
        <v>42058</v>
      </c>
      <c r="F2216" s="118">
        <v>19566.599999999999</v>
      </c>
      <c r="G2216" s="31">
        <f t="shared" si="34"/>
        <v>0</v>
      </c>
      <c r="H2216" s="68" t="s">
        <v>94</v>
      </c>
      <c r="I2216" s="3"/>
      <c r="J2216" s="42"/>
      <c r="K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</row>
    <row r="2217" spans="1:22" x14ac:dyDescent="0.25">
      <c r="A2217" s="20">
        <v>42058</v>
      </c>
      <c r="B2217" s="21">
        <v>12914</v>
      </c>
      <c r="C2217" s="15" t="s">
        <v>32</v>
      </c>
      <c r="D2217" s="122">
        <v>25200</v>
      </c>
      <c r="E2217" s="23">
        <v>42062</v>
      </c>
      <c r="F2217" s="118">
        <v>25200</v>
      </c>
      <c r="G2217" s="31">
        <f t="shared" si="34"/>
        <v>0</v>
      </c>
      <c r="H2217" s="68" t="s">
        <v>9</v>
      </c>
      <c r="I2217" s="3"/>
      <c r="J2217" s="42"/>
      <c r="K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</row>
    <row r="2218" spans="1:22" x14ac:dyDescent="0.25">
      <c r="A2218" s="20">
        <v>42058</v>
      </c>
      <c r="B2218" s="21">
        <v>12915</v>
      </c>
      <c r="C2218" s="15" t="s">
        <v>72</v>
      </c>
      <c r="D2218" s="122">
        <v>16965.400000000001</v>
      </c>
      <c r="E2218" s="30" t="s">
        <v>754</v>
      </c>
      <c r="F2218" s="145">
        <v>16965.400000000001</v>
      </c>
      <c r="G2218" s="31">
        <f t="shared" si="34"/>
        <v>0</v>
      </c>
      <c r="H2218" s="68" t="s">
        <v>62</v>
      </c>
      <c r="I2218" s="3"/>
      <c r="J2218" s="42"/>
      <c r="K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</row>
    <row r="2219" spans="1:22" x14ac:dyDescent="0.25">
      <c r="A2219" s="20">
        <v>42058</v>
      </c>
      <c r="B2219" s="21">
        <v>12916</v>
      </c>
      <c r="C2219" s="15" t="s">
        <v>130</v>
      </c>
      <c r="D2219" s="122">
        <v>5320.35</v>
      </c>
      <c r="E2219" s="23">
        <v>42059</v>
      </c>
      <c r="F2219" s="118">
        <v>5320.35</v>
      </c>
      <c r="G2219" s="31">
        <f t="shared" si="34"/>
        <v>0</v>
      </c>
      <c r="H2219" s="68" t="s">
        <v>17</v>
      </c>
      <c r="I2219" s="3"/>
      <c r="J2219" s="42"/>
      <c r="K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</row>
    <row r="2220" spans="1:22" x14ac:dyDescent="0.25">
      <c r="A2220" s="20">
        <v>42058</v>
      </c>
      <c r="B2220" s="21">
        <v>12917</v>
      </c>
      <c r="C2220" s="70" t="s">
        <v>12</v>
      </c>
      <c r="D2220" s="128">
        <v>0</v>
      </c>
      <c r="E2220" s="23"/>
      <c r="F2220" s="118"/>
      <c r="G2220" s="31">
        <f t="shared" si="34"/>
        <v>0</v>
      </c>
      <c r="H2220" s="68" t="s">
        <v>13</v>
      </c>
      <c r="I2220" s="3"/>
      <c r="J2220" s="42"/>
      <c r="K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</row>
    <row r="2221" spans="1:22" x14ac:dyDescent="0.25">
      <c r="A2221" s="20">
        <v>42058</v>
      </c>
      <c r="B2221" s="21">
        <v>12918</v>
      </c>
      <c r="C2221" s="15" t="s">
        <v>128</v>
      </c>
      <c r="D2221" s="122">
        <v>4274.3999999999996</v>
      </c>
      <c r="E2221" s="23">
        <v>42058</v>
      </c>
      <c r="F2221" s="118">
        <v>4274.3999999999996</v>
      </c>
      <c r="G2221" s="31">
        <f t="shared" si="34"/>
        <v>0</v>
      </c>
      <c r="H2221" s="68" t="s">
        <v>17</v>
      </c>
      <c r="I2221" s="3"/>
      <c r="J2221" s="42"/>
      <c r="K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</row>
    <row r="2222" spans="1:22" x14ac:dyDescent="0.25">
      <c r="A2222" s="20">
        <v>42058</v>
      </c>
      <c r="B2222" s="21">
        <v>12919</v>
      </c>
      <c r="C2222" s="15" t="s">
        <v>75</v>
      </c>
      <c r="D2222" s="122">
        <v>473.8</v>
      </c>
      <c r="E2222" s="23">
        <v>42059</v>
      </c>
      <c r="F2222" s="118">
        <v>473.8</v>
      </c>
      <c r="G2222" s="31">
        <f t="shared" si="34"/>
        <v>0</v>
      </c>
      <c r="H2222" s="68" t="s">
        <v>62</v>
      </c>
      <c r="I2222" s="3"/>
      <c r="J2222" s="42"/>
      <c r="K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</row>
    <row r="2223" spans="1:22" x14ac:dyDescent="0.25">
      <c r="A2223" s="20">
        <v>42058</v>
      </c>
      <c r="B2223" s="21">
        <v>12920</v>
      </c>
      <c r="C2223" s="15" t="s">
        <v>172</v>
      </c>
      <c r="D2223" s="122">
        <v>5354.6</v>
      </c>
      <c r="E2223" s="23">
        <v>42059</v>
      </c>
      <c r="F2223" s="118">
        <v>5354.6</v>
      </c>
      <c r="G2223" s="31">
        <f t="shared" si="34"/>
        <v>0</v>
      </c>
      <c r="H2223" s="68" t="s">
        <v>62</v>
      </c>
      <c r="I2223" s="3"/>
      <c r="J2223" s="42"/>
      <c r="K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</row>
    <row r="2224" spans="1:22" x14ac:dyDescent="0.25">
      <c r="A2224" s="20">
        <v>42058</v>
      </c>
      <c r="B2224" s="21">
        <v>12921</v>
      </c>
      <c r="C2224" s="15" t="s">
        <v>192</v>
      </c>
      <c r="D2224" s="122">
        <v>21106.6</v>
      </c>
      <c r="E2224" s="23">
        <v>42086</v>
      </c>
      <c r="F2224" s="118">
        <v>21106.6</v>
      </c>
      <c r="G2224" s="31">
        <f t="shared" si="34"/>
        <v>0</v>
      </c>
      <c r="H2224" s="68" t="s">
        <v>17</v>
      </c>
      <c r="I2224" s="3"/>
      <c r="J2224" s="42"/>
      <c r="K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</row>
    <row r="2225" spans="1:22" x14ac:dyDescent="0.25">
      <c r="A2225" s="20">
        <v>42058</v>
      </c>
      <c r="B2225" s="21">
        <v>12922</v>
      </c>
      <c r="C2225" s="15" t="s">
        <v>35</v>
      </c>
      <c r="D2225" s="122">
        <v>1300.6500000000001</v>
      </c>
      <c r="E2225" s="23">
        <v>42058</v>
      </c>
      <c r="F2225" s="118">
        <v>1300.6500000000001</v>
      </c>
      <c r="G2225" s="31">
        <f t="shared" si="34"/>
        <v>0</v>
      </c>
      <c r="H2225" s="68" t="s">
        <v>9</v>
      </c>
      <c r="I2225" s="3"/>
      <c r="J2225" s="42"/>
      <c r="K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</row>
    <row r="2226" spans="1:22" x14ac:dyDescent="0.25">
      <c r="A2226" s="20">
        <v>42058</v>
      </c>
      <c r="B2226" s="21">
        <v>12923</v>
      </c>
      <c r="C2226" s="15" t="s">
        <v>431</v>
      </c>
      <c r="D2226" s="122">
        <v>6242.4</v>
      </c>
      <c r="E2226" s="23">
        <v>42058</v>
      </c>
      <c r="F2226" s="118">
        <v>6242.4</v>
      </c>
      <c r="G2226" s="31">
        <f t="shared" si="34"/>
        <v>0</v>
      </c>
      <c r="H2226" s="68" t="s">
        <v>9</v>
      </c>
      <c r="I2226" s="3"/>
      <c r="J2226" s="42"/>
      <c r="K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</row>
    <row r="2227" spans="1:22" x14ac:dyDescent="0.25">
      <c r="A2227" s="20">
        <v>42058</v>
      </c>
      <c r="B2227" s="21">
        <v>12924</v>
      </c>
      <c r="C2227" s="15" t="s">
        <v>61</v>
      </c>
      <c r="D2227" s="122">
        <v>9836</v>
      </c>
      <c r="E2227" s="23">
        <v>42059</v>
      </c>
      <c r="F2227" s="118">
        <v>9836</v>
      </c>
      <c r="G2227" s="31">
        <f t="shared" si="34"/>
        <v>0</v>
      </c>
      <c r="H2227" s="68" t="s">
        <v>62</v>
      </c>
      <c r="I2227" s="3"/>
      <c r="J2227" s="42"/>
      <c r="K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</row>
    <row r="2228" spans="1:22" x14ac:dyDescent="0.25">
      <c r="A2228" s="20">
        <v>42058</v>
      </c>
      <c r="B2228" s="21">
        <v>12925</v>
      </c>
      <c r="C2228" s="15" t="s">
        <v>675</v>
      </c>
      <c r="D2228" s="122">
        <v>720</v>
      </c>
      <c r="E2228" s="23">
        <v>42058</v>
      </c>
      <c r="F2228" s="118">
        <v>720</v>
      </c>
      <c r="G2228" s="31">
        <f t="shared" si="34"/>
        <v>0</v>
      </c>
      <c r="H2228" s="68" t="s">
        <v>9</v>
      </c>
      <c r="I2228" s="3"/>
      <c r="J2228" s="42"/>
      <c r="K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</row>
    <row r="2229" spans="1:22" x14ac:dyDescent="0.25">
      <c r="A2229" s="20">
        <v>42058</v>
      </c>
      <c r="B2229" s="21">
        <v>12926</v>
      </c>
      <c r="C2229" s="15" t="s">
        <v>89</v>
      </c>
      <c r="D2229" s="122">
        <v>3238.4</v>
      </c>
      <c r="E2229" s="23">
        <v>42058</v>
      </c>
      <c r="F2229" s="118">
        <v>3238.4</v>
      </c>
      <c r="G2229" s="31">
        <f t="shared" si="34"/>
        <v>0</v>
      </c>
      <c r="H2229" s="68" t="s">
        <v>9</v>
      </c>
      <c r="I2229" s="3"/>
      <c r="J2229" s="42"/>
      <c r="K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</row>
    <row r="2230" spans="1:22" x14ac:dyDescent="0.25">
      <c r="A2230" s="20">
        <v>42058</v>
      </c>
      <c r="B2230" s="21">
        <v>12927</v>
      </c>
      <c r="C2230" s="15" t="s">
        <v>89</v>
      </c>
      <c r="D2230" s="122">
        <v>400</v>
      </c>
      <c r="E2230" s="23">
        <v>42058</v>
      </c>
      <c r="F2230" s="118">
        <v>400</v>
      </c>
      <c r="G2230" s="31">
        <f t="shared" si="34"/>
        <v>0</v>
      </c>
      <c r="H2230" s="68" t="s">
        <v>9</v>
      </c>
      <c r="I2230" s="3"/>
      <c r="J2230" s="42"/>
      <c r="K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</row>
    <row r="2231" spans="1:22" x14ac:dyDescent="0.25">
      <c r="A2231" s="20">
        <v>42058</v>
      </c>
      <c r="B2231" s="21">
        <v>12928</v>
      </c>
      <c r="C2231" s="15" t="s">
        <v>213</v>
      </c>
      <c r="D2231" s="122">
        <v>15194.2</v>
      </c>
      <c r="E2231" s="23">
        <v>42058</v>
      </c>
      <c r="F2231" s="118">
        <v>15194.2</v>
      </c>
      <c r="G2231" s="31">
        <f t="shared" si="34"/>
        <v>0</v>
      </c>
      <c r="H2231" s="68" t="s">
        <v>19</v>
      </c>
      <c r="I2231" s="3"/>
      <c r="J2231" s="42"/>
      <c r="K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</row>
    <row r="2232" spans="1:22" x14ac:dyDescent="0.25">
      <c r="A2232" s="20">
        <v>42058</v>
      </c>
      <c r="B2232" s="21">
        <v>12929</v>
      </c>
      <c r="C2232" s="15" t="s">
        <v>141</v>
      </c>
      <c r="D2232" s="122">
        <v>11228.6</v>
      </c>
      <c r="E2232" s="23">
        <v>42058</v>
      </c>
      <c r="F2232" s="118">
        <v>11228.6</v>
      </c>
      <c r="G2232" s="31">
        <f t="shared" si="34"/>
        <v>0</v>
      </c>
      <c r="H2232" s="68" t="s">
        <v>19</v>
      </c>
      <c r="I2232" s="3"/>
      <c r="J2232" s="42"/>
      <c r="K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</row>
    <row r="2233" spans="1:22" x14ac:dyDescent="0.25">
      <c r="A2233" s="20">
        <v>42058</v>
      </c>
      <c r="B2233" s="21">
        <v>12930</v>
      </c>
      <c r="C2233" s="15" t="s">
        <v>102</v>
      </c>
      <c r="D2233" s="122">
        <v>809.6</v>
      </c>
      <c r="E2233" s="23">
        <v>42058</v>
      </c>
      <c r="F2233" s="118">
        <v>809.6</v>
      </c>
      <c r="G2233" s="31">
        <f t="shared" si="34"/>
        <v>0</v>
      </c>
      <c r="H2233" s="68" t="s">
        <v>9</v>
      </c>
      <c r="I2233" s="3"/>
      <c r="J2233" s="42"/>
      <c r="K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</row>
    <row r="2234" spans="1:22" x14ac:dyDescent="0.25">
      <c r="A2234" s="20">
        <v>42058</v>
      </c>
      <c r="B2234" s="21">
        <v>12931</v>
      </c>
      <c r="C2234" s="70" t="s">
        <v>12</v>
      </c>
      <c r="D2234" s="128">
        <v>0</v>
      </c>
      <c r="E2234" s="23"/>
      <c r="F2234" s="118"/>
      <c r="G2234" s="31">
        <f t="shared" si="34"/>
        <v>0</v>
      </c>
      <c r="H2234" s="68" t="s">
        <v>13</v>
      </c>
      <c r="I2234" s="3"/>
      <c r="J2234" s="42"/>
      <c r="K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</row>
    <row r="2235" spans="1:22" x14ac:dyDescent="0.25">
      <c r="A2235" s="20">
        <v>42058</v>
      </c>
      <c r="B2235" s="21">
        <v>12932</v>
      </c>
      <c r="C2235" s="15" t="s">
        <v>111</v>
      </c>
      <c r="D2235" s="122">
        <v>171666</v>
      </c>
      <c r="E2235" s="23">
        <v>42060</v>
      </c>
      <c r="F2235" s="118">
        <v>171666</v>
      </c>
      <c r="G2235" s="31">
        <f t="shared" si="34"/>
        <v>0</v>
      </c>
      <c r="H2235" s="68" t="s">
        <v>9</v>
      </c>
      <c r="I2235" s="3"/>
      <c r="J2235" s="42"/>
      <c r="K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</row>
    <row r="2236" spans="1:22" x14ac:dyDescent="0.25">
      <c r="A2236" s="20">
        <v>42058</v>
      </c>
      <c r="B2236" s="21">
        <v>12933</v>
      </c>
      <c r="C2236" s="15" t="s">
        <v>136</v>
      </c>
      <c r="D2236" s="122">
        <v>11166.6</v>
      </c>
      <c r="E2236" s="23">
        <v>42058</v>
      </c>
      <c r="F2236" s="118">
        <v>11166.6</v>
      </c>
      <c r="G2236" s="31">
        <f t="shared" si="34"/>
        <v>0</v>
      </c>
      <c r="H2236" s="68" t="s">
        <v>9</v>
      </c>
      <c r="I2236" s="3"/>
      <c r="J2236" s="42"/>
      <c r="K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</row>
    <row r="2237" spans="1:22" x14ac:dyDescent="0.25">
      <c r="A2237" s="20">
        <v>42058</v>
      </c>
      <c r="B2237" s="21">
        <v>12934</v>
      </c>
      <c r="C2237" s="15" t="s">
        <v>136</v>
      </c>
      <c r="D2237" s="122">
        <v>324</v>
      </c>
      <c r="E2237" s="23">
        <v>42058</v>
      </c>
      <c r="F2237" s="118">
        <v>324</v>
      </c>
      <c r="G2237" s="31">
        <f t="shared" si="34"/>
        <v>0</v>
      </c>
      <c r="H2237" s="68" t="s">
        <v>9</v>
      </c>
      <c r="I2237" s="3"/>
      <c r="J2237" s="42"/>
      <c r="K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</row>
    <row r="2238" spans="1:22" x14ac:dyDescent="0.25">
      <c r="A2238" s="20">
        <v>42058</v>
      </c>
      <c r="B2238" s="21">
        <v>12935</v>
      </c>
      <c r="C2238" s="15" t="s">
        <v>190</v>
      </c>
      <c r="D2238" s="122">
        <v>9611.2000000000007</v>
      </c>
      <c r="E2238" s="23">
        <v>42059</v>
      </c>
      <c r="F2238" s="118">
        <v>9611.2000000000007</v>
      </c>
      <c r="G2238" s="31">
        <f t="shared" si="34"/>
        <v>0</v>
      </c>
      <c r="H2238" s="68" t="s">
        <v>19</v>
      </c>
      <c r="I2238" s="3"/>
      <c r="J2238" s="42"/>
      <c r="K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</row>
    <row r="2239" spans="1:22" x14ac:dyDescent="0.25">
      <c r="A2239" s="20">
        <v>42058</v>
      </c>
      <c r="B2239" s="21">
        <v>12936</v>
      </c>
      <c r="C2239" s="15" t="s">
        <v>104</v>
      </c>
      <c r="D2239" s="122">
        <v>17210.900000000001</v>
      </c>
      <c r="E2239" s="23">
        <v>42059</v>
      </c>
      <c r="F2239" s="118">
        <v>17210.900000000001</v>
      </c>
      <c r="G2239" s="31">
        <f t="shared" si="34"/>
        <v>0</v>
      </c>
      <c r="H2239" s="68" t="s">
        <v>19</v>
      </c>
      <c r="I2239" s="3"/>
      <c r="J2239" s="42"/>
      <c r="K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</row>
    <row r="2240" spans="1:22" x14ac:dyDescent="0.25">
      <c r="A2240" s="20">
        <v>42058</v>
      </c>
      <c r="B2240" s="21">
        <v>12937</v>
      </c>
      <c r="C2240" s="15" t="s">
        <v>549</v>
      </c>
      <c r="D2240" s="122">
        <v>28226.6</v>
      </c>
      <c r="E2240" s="23">
        <v>42058</v>
      </c>
      <c r="F2240" s="118">
        <v>28226.6</v>
      </c>
      <c r="G2240" s="31">
        <f t="shared" si="34"/>
        <v>0</v>
      </c>
      <c r="H2240" s="68" t="s">
        <v>46</v>
      </c>
      <c r="I2240" s="3"/>
      <c r="J2240" s="42"/>
      <c r="K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</row>
    <row r="2241" spans="1:22" x14ac:dyDescent="0.25">
      <c r="A2241" s="20">
        <v>42058</v>
      </c>
      <c r="B2241" s="21">
        <v>12938</v>
      </c>
      <c r="C2241" s="15" t="s">
        <v>252</v>
      </c>
      <c r="D2241" s="122">
        <v>4244</v>
      </c>
      <c r="E2241" s="23">
        <v>42058</v>
      </c>
      <c r="F2241" s="118">
        <v>4244</v>
      </c>
      <c r="G2241" s="31">
        <f t="shared" si="34"/>
        <v>0</v>
      </c>
      <c r="H2241" s="68" t="s">
        <v>9</v>
      </c>
      <c r="I2241" s="3"/>
      <c r="J2241" s="42"/>
      <c r="K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</row>
    <row r="2242" spans="1:22" x14ac:dyDescent="0.25">
      <c r="A2242" s="20">
        <v>42058</v>
      </c>
      <c r="B2242" s="21">
        <v>12939</v>
      </c>
      <c r="C2242" s="15" t="s">
        <v>393</v>
      </c>
      <c r="D2242" s="122">
        <v>476.1</v>
      </c>
      <c r="E2242" s="23">
        <v>42059</v>
      </c>
      <c r="F2242" s="118">
        <v>476.1</v>
      </c>
      <c r="G2242" s="31">
        <f t="shared" si="34"/>
        <v>0</v>
      </c>
      <c r="H2242" s="68" t="s">
        <v>19</v>
      </c>
      <c r="I2242" s="3"/>
      <c r="J2242" s="42"/>
      <c r="K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</row>
    <row r="2243" spans="1:22" x14ac:dyDescent="0.25">
      <c r="A2243" s="20">
        <v>42058</v>
      </c>
      <c r="B2243" s="21">
        <v>12940</v>
      </c>
      <c r="C2243" s="15" t="s">
        <v>229</v>
      </c>
      <c r="D2243" s="122">
        <v>1258.4000000000001</v>
      </c>
      <c r="E2243" s="23">
        <v>42059</v>
      </c>
      <c r="F2243" s="118">
        <v>1258.4000000000001</v>
      </c>
      <c r="G2243" s="31">
        <f t="shared" ref="G2243:G2306" si="35">D2243-F2243</f>
        <v>0</v>
      </c>
      <c r="H2243" s="68" t="s">
        <v>19</v>
      </c>
      <c r="I2243" s="3"/>
      <c r="J2243" s="42"/>
      <c r="K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</row>
    <row r="2244" spans="1:22" x14ac:dyDescent="0.25">
      <c r="A2244" s="20">
        <v>42058</v>
      </c>
      <c r="B2244" s="21">
        <v>12941</v>
      </c>
      <c r="C2244" s="15" t="s">
        <v>180</v>
      </c>
      <c r="D2244" s="122">
        <v>5796.15</v>
      </c>
      <c r="E2244" s="23">
        <v>42058</v>
      </c>
      <c r="F2244" s="118">
        <v>5796.15</v>
      </c>
      <c r="G2244" s="31">
        <f t="shared" si="35"/>
        <v>0</v>
      </c>
      <c r="H2244" s="68" t="s">
        <v>9</v>
      </c>
      <c r="I2244" s="3"/>
      <c r="J2244" s="42"/>
      <c r="K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</row>
    <row r="2245" spans="1:22" x14ac:dyDescent="0.25">
      <c r="A2245" s="20">
        <v>42058</v>
      </c>
      <c r="B2245" s="21">
        <v>12942</v>
      </c>
      <c r="C2245" s="15" t="s">
        <v>95</v>
      </c>
      <c r="D2245" s="122">
        <v>957.6</v>
      </c>
      <c r="E2245" s="23">
        <v>42059</v>
      </c>
      <c r="F2245" s="118">
        <v>957.6</v>
      </c>
      <c r="G2245" s="31">
        <f t="shared" si="35"/>
        <v>0</v>
      </c>
      <c r="H2245" s="68" t="s">
        <v>19</v>
      </c>
      <c r="I2245" s="3"/>
      <c r="J2245" s="42"/>
      <c r="K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</row>
    <row r="2246" spans="1:22" x14ac:dyDescent="0.25">
      <c r="A2246" s="20">
        <v>42058</v>
      </c>
      <c r="B2246" s="21">
        <v>12943</v>
      </c>
      <c r="C2246" s="15" t="s">
        <v>95</v>
      </c>
      <c r="D2246" s="122">
        <v>331.2</v>
      </c>
      <c r="E2246" s="23">
        <v>42059</v>
      </c>
      <c r="F2246" s="118">
        <v>331.2</v>
      </c>
      <c r="G2246" s="31">
        <f t="shared" si="35"/>
        <v>0</v>
      </c>
      <c r="H2246" s="68" t="s">
        <v>19</v>
      </c>
      <c r="I2246" s="3"/>
      <c r="J2246" s="42"/>
      <c r="K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</row>
    <row r="2247" spans="1:22" x14ac:dyDescent="0.25">
      <c r="A2247" s="20">
        <v>42058</v>
      </c>
      <c r="B2247" s="21">
        <v>12944</v>
      </c>
      <c r="C2247" s="15" t="s">
        <v>98</v>
      </c>
      <c r="D2247" s="122">
        <v>2071.6</v>
      </c>
      <c r="E2247" s="23">
        <v>42059</v>
      </c>
      <c r="F2247" s="118">
        <v>2071.6</v>
      </c>
      <c r="G2247" s="31">
        <f t="shared" si="35"/>
        <v>0</v>
      </c>
      <c r="H2247" s="68" t="s">
        <v>19</v>
      </c>
      <c r="I2247" s="3"/>
      <c r="J2247" s="42"/>
      <c r="K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</row>
    <row r="2248" spans="1:22" x14ac:dyDescent="0.25">
      <c r="A2248" s="20">
        <v>42058</v>
      </c>
      <c r="B2248" s="21">
        <v>12945</v>
      </c>
      <c r="C2248" s="70" t="s">
        <v>12</v>
      </c>
      <c r="D2248" s="128">
        <v>0</v>
      </c>
      <c r="E2248" s="23"/>
      <c r="F2248" s="118"/>
      <c r="G2248" s="31">
        <f t="shared" si="35"/>
        <v>0</v>
      </c>
      <c r="H2248" s="68" t="s">
        <v>13</v>
      </c>
      <c r="I2248" s="3"/>
      <c r="J2248" s="42"/>
      <c r="K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</row>
    <row r="2249" spans="1:22" x14ac:dyDescent="0.25">
      <c r="A2249" s="20">
        <v>42058</v>
      </c>
      <c r="B2249" s="21">
        <v>12946</v>
      </c>
      <c r="C2249" s="15" t="s">
        <v>87</v>
      </c>
      <c r="D2249" s="122">
        <v>2142</v>
      </c>
      <c r="E2249" s="23">
        <v>42058</v>
      </c>
      <c r="F2249" s="118">
        <v>2142</v>
      </c>
      <c r="G2249" s="31">
        <f t="shared" si="35"/>
        <v>0</v>
      </c>
      <c r="H2249" s="68" t="s">
        <v>94</v>
      </c>
      <c r="I2249" s="3"/>
      <c r="J2249" s="42"/>
      <c r="K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</row>
    <row r="2250" spans="1:22" x14ac:dyDescent="0.25">
      <c r="A2250" s="20">
        <v>42058</v>
      </c>
      <c r="B2250" s="21">
        <v>12947</v>
      </c>
      <c r="C2250" s="15" t="s">
        <v>24</v>
      </c>
      <c r="D2250" s="122">
        <v>72914.75</v>
      </c>
      <c r="E2250" s="30">
        <v>42074</v>
      </c>
      <c r="F2250" s="145">
        <v>72914.75</v>
      </c>
      <c r="G2250" s="31">
        <f t="shared" si="35"/>
        <v>0</v>
      </c>
      <c r="H2250" s="68" t="s">
        <v>9</v>
      </c>
      <c r="I2250" s="3"/>
      <c r="J2250" s="42"/>
      <c r="K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</row>
    <row r="2251" spans="1:22" x14ac:dyDescent="0.25">
      <c r="A2251" s="20">
        <v>42058</v>
      </c>
      <c r="B2251" s="21">
        <v>12948</v>
      </c>
      <c r="C2251" s="15" t="s">
        <v>136</v>
      </c>
      <c r="D2251" s="122">
        <v>3666.7</v>
      </c>
      <c r="E2251" s="23">
        <v>42058</v>
      </c>
      <c r="F2251" s="118">
        <v>3666.7</v>
      </c>
      <c r="G2251" s="31">
        <f t="shared" si="35"/>
        <v>0</v>
      </c>
      <c r="H2251" s="68" t="s">
        <v>9</v>
      </c>
      <c r="I2251" s="3"/>
      <c r="J2251" s="42"/>
      <c r="K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</row>
    <row r="2252" spans="1:22" x14ac:dyDescent="0.25">
      <c r="A2252" s="20">
        <v>42058</v>
      </c>
      <c r="B2252" s="21">
        <v>12949</v>
      </c>
      <c r="C2252" s="15" t="s">
        <v>24</v>
      </c>
      <c r="D2252" s="122">
        <v>118406</v>
      </c>
      <c r="E2252" s="30">
        <v>42074</v>
      </c>
      <c r="F2252" s="145">
        <v>118406</v>
      </c>
      <c r="G2252" s="31">
        <f t="shared" si="35"/>
        <v>0</v>
      </c>
      <c r="H2252" s="68" t="s">
        <v>183</v>
      </c>
      <c r="I2252" s="3"/>
      <c r="J2252" s="42"/>
      <c r="K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</row>
    <row r="2253" spans="1:22" x14ac:dyDescent="0.25">
      <c r="A2253" s="20">
        <v>42058</v>
      </c>
      <c r="B2253" s="21">
        <v>12950</v>
      </c>
      <c r="C2253" s="15" t="s">
        <v>718</v>
      </c>
      <c r="D2253" s="122">
        <v>22713</v>
      </c>
      <c r="E2253" s="23">
        <v>42059</v>
      </c>
      <c r="F2253" s="118">
        <v>22713</v>
      </c>
      <c r="G2253" s="31">
        <f t="shared" si="35"/>
        <v>0</v>
      </c>
      <c r="H2253" s="68" t="s">
        <v>17</v>
      </c>
      <c r="I2253" s="3"/>
      <c r="J2253" s="42"/>
      <c r="K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</row>
    <row r="2254" spans="1:22" x14ac:dyDescent="0.25">
      <c r="A2254" s="20">
        <v>42058</v>
      </c>
      <c r="B2254" s="21">
        <v>12951</v>
      </c>
      <c r="C2254" s="15" t="s">
        <v>440</v>
      </c>
      <c r="D2254" s="122">
        <v>14076.2</v>
      </c>
      <c r="E2254" s="23">
        <v>42058</v>
      </c>
      <c r="F2254" s="118">
        <v>14076.2</v>
      </c>
      <c r="G2254" s="31">
        <f t="shared" si="35"/>
        <v>0</v>
      </c>
      <c r="H2254" s="68" t="s">
        <v>9</v>
      </c>
      <c r="I2254" s="3"/>
      <c r="J2254" s="42"/>
      <c r="K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</row>
    <row r="2255" spans="1:22" x14ac:dyDescent="0.25">
      <c r="A2255" s="20">
        <v>42058</v>
      </c>
      <c r="B2255" s="21">
        <v>12952</v>
      </c>
      <c r="C2255" s="15" t="s">
        <v>180</v>
      </c>
      <c r="D2255" s="122">
        <v>698</v>
      </c>
      <c r="E2255" s="23">
        <v>42058</v>
      </c>
      <c r="F2255" s="118">
        <v>698</v>
      </c>
      <c r="G2255" s="31">
        <f t="shared" si="35"/>
        <v>0</v>
      </c>
      <c r="H2255" s="68" t="s">
        <v>9</v>
      </c>
      <c r="I2255" s="3"/>
      <c r="J2255" s="42"/>
      <c r="K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</row>
    <row r="2256" spans="1:22" x14ac:dyDescent="0.25">
      <c r="A2256" s="20">
        <v>42058</v>
      </c>
      <c r="B2256" s="21">
        <v>12953</v>
      </c>
      <c r="C2256" s="15" t="s">
        <v>56</v>
      </c>
      <c r="D2256" s="122">
        <v>11140.4</v>
      </c>
      <c r="E2256" s="23">
        <v>42058</v>
      </c>
      <c r="F2256" s="118">
        <v>11140.4</v>
      </c>
      <c r="G2256" s="31">
        <f t="shared" si="35"/>
        <v>0</v>
      </c>
      <c r="H2256" s="68" t="s">
        <v>36</v>
      </c>
      <c r="I2256" s="3"/>
      <c r="J2256" s="42"/>
      <c r="K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</row>
    <row r="2257" spans="1:22" x14ac:dyDescent="0.25">
      <c r="A2257" s="20">
        <v>42058</v>
      </c>
      <c r="B2257" s="21">
        <v>12954</v>
      </c>
      <c r="C2257" s="15" t="s">
        <v>701</v>
      </c>
      <c r="D2257" s="122">
        <v>377.4</v>
      </c>
      <c r="E2257" s="23">
        <v>42058</v>
      </c>
      <c r="F2257" s="118">
        <v>377.4</v>
      </c>
      <c r="G2257" s="31">
        <f t="shared" si="35"/>
        <v>0</v>
      </c>
      <c r="H2257" s="68" t="s">
        <v>36</v>
      </c>
      <c r="I2257" s="3"/>
      <c r="J2257" s="42"/>
      <c r="K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</row>
    <row r="2258" spans="1:22" x14ac:dyDescent="0.25">
      <c r="A2258" s="20">
        <v>42058</v>
      </c>
      <c r="B2258" s="21">
        <v>12955</v>
      </c>
      <c r="C2258" s="15" t="s">
        <v>112</v>
      </c>
      <c r="D2258" s="122">
        <v>9804</v>
      </c>
      <c r="E2258" s="29" t="s">
        <v>719</v>
      </c>
      <c r="F2258" s="118">
        <f>7000+2804</f>
        <v>9804</v>
      </c>
      <c r="G2258" s="31">
        <f t="shared" si="35"/>
        <v>0</v>
      </c>
      <c r="H2258" s="68" t="s">
        <v>9</v>
      </c>
      <c r="I2258" s="3"/>
      <c r="J2258" s="42"/>
      <c r="K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</row>
    <row r="2259" spans="1:22" x14ac:dyDescent="0.25">
      <c r="A2259" s="20">
        <v>42058</v>
      </c>
      <c r="B2259" s="21">
        <v>12956</v>
      </c>
      <c r="C2259" s="15" t="s">
        <v>47</v>
      </c>
      <c r="D2259" s="122">
        <v>7332</v>
      </c>
      <c r="E2259" s="23">
        <v>42060</v>
      </c>
      <c r="F2259" s="118">
        <v>7332</v>
      </c>
      <c r="G2259" s="31">
        <f t="shared" si="35"/>
        <v>0</v>
      </c>
      <c r="H2259" s="68" t="s">
        <v>9</v>
      </c>
      <c r="I2259" s="3"/>
      <c r="J2259" s="42"/>
      <c r="K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</row>
    <row r="2260" spans="1:22" x14ac:dyDescent="0.25">
      <c r="A2260" s="20">
        <v>42058</v>
      </c>
      <c r="B2260" s="21">
        <v>12957</v>
      </c>
      <c r="C2260" s="15" t="s">
        <v>47</v>
      </c>
      <c r="D2260" s="122">
        <v>677.6</v>
      </c>
      <c r="E2260" s="23">
        <v>42058</v>
      </c>
      <c r="F2260" s="118">
        <v>677.6</v>
      </c>
      <c r="G2260" s="31">
        <f t="shared" si="35"/>
        <v>0</v>
      </c>
      <c r="H2260" s="68" t="s">
        <v>9</v>
      </c>
      <c r="I2260" s="3"/>
      <c r="J2260" s="42"/>
      <c r="K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</row>
    <row r="2261" spans="1:22" x14ac:dyDescent="0.25">
      <c r="A2261" s="20">
        <v>42058</v>
      </c>
      <c r="B2261" s="21">
        <v>12958</v>
      </c>
      <c r="C2261" s="15" t="s">
        <v>18</v>
      </c>
      <c r="D2261" s="122">
        <v>62259.199999999997</v>
      </c>
      <c r="E2261" s="30">
        <v>42064</v>
      </c>
      <c r="F2261" s="145">
        <v>62259.199999999997</v>
      </c>
      <c r="G2261" s="31">
        <f t="shared" si="35"/>
        <v>0</v>
      </c>
      <c r="H2261" s="68" t="s">
        <v>94</v>
      </c>
      <c r="I2261" s="3"/>
      <c r="J2261" s="42"/>
      <c r="K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</row>
    <row r="2262" spans="1:22" x14ac:dyDescent="0.25">
      <c r="A2262" s="20">
        <v>42058</v>
      </c>
      <c r="B2262" s="21">
        <v>12959</v>
      </c>
      <c r="C2262" s="15" t="s">
        <v>32</v>
      </c>
      <c r="D2262" s="122">
        <v>133588</v>
      </c>
      <c r="E2262" s="23">
        <v>42062</v>
      </c>
      <c r="F2262" s="118">
        <v>133588</v>
      </c>
      <c r="G2262" s="31">
        <f t="shared" si="35"/>
        <v>0</v>
      </c>
      <c r="H2262" s="68" t="s">
        <v>9</v>
      </c>
      <c r="I2262" s="3"/>
      <c r="J2262" s="42"/>
      <c r="K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</row>
    <row r="2263" spans="1:22" x14ac:dyDescent="0.25">
      <c r="A2263" s="20">
        <v>42058</v>
      </c>
      <c r="B2263" s="21">
        <v>12960</v>
      </c>
      <c r="C2263" s="15" t="s">
        <v>32</v>
      </c>
      <c r="D2263" s="122">
        <v>7080</v>
      </c>
      <c r="E2263" s="23">
        <v>42062</v>
      </c>
      <c r="F2263" s="118">
        <v>7080</v>
      </c>
      <c r="G2263" s="31">
        <f t="shared" si="35"/>
        <v>0</v>
      </c>
      <c r="H2263" s="68" t="s">
        <v>9</v>
      </c>
      <c r="I2263" s="3"/>
      <c r="J2263" s="42"/>
      <c r="K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</row>
    <row r="2264" spans="1:22" x14ac:dyDescent="0.25">
      <c r="A2264" s="20">
        <v>42058</v>
      </c>
      <c r="B2264" s="21">
        <v>12961</v>
      </c>
      <c r="C2264" s="15" t="s">
        <v>80</v>
      </c>
      <c r="D2264" s="122">
        <v>7362.8</v>
      </c>
      <c r="E2264" s="23">
        <v>42058</v>
      </c>
      <c r="F2264" s="118">
        <v>7362.8</v>
      </c>
      <c r="G2264" s="31">
        <f t="shared" si="35"/>
        <v>0</v>
      </c>
      <c r="H2264" s="68" t="s">
        <v>9</v>
      </c>
      <c r="I2264" s="3"/>
      <c r="J2264" s="42"/>
      <c r="K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</row>
    <row r="2265" spans="1:22" x14ac:dyDescent="0.25">
      <c r="A2265" s="20">
        <v>42058</v>
      </c>
      <c r="B2265" s="21">
        <v>12962</v>
      </c>
      <c r="C2265" s="15" t="s">
        <v>446</v>
      </c>
      <c r="D2265" s="122">
        <v>7657.76</v>
      </c>
      <c r="E2265" s="30" t="s">
        <v>766</v>
      </c>
      <c r="F2265" s="145">
        <v>7657.76</v>
      </c>
      <c r="G2265" s="31">
        <f t="shared" si="35"/>
        <v>0</v>
      </c>
      <c r="H2265" s="68" t="s">
        <v>9</v>
      </c>
      <c r="I2265" s="3"/>
      <c r="J2265" s="42"/>
      <c r="K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</row>
    <row r="2266" spans="1:22" x14ac:dyDescent="0.25">
      <c r="A2266" s="20">
        <v>42058</v>
      </c>
      <c r="B2266" s="21">
        <v>12963</v>
      </c>
      <c r="C2266" s="15" t="s">
        <v>28</v>
      </c>
      <c r="D2266" s="122">
        <v>240</v>
      </c>
      <c r="E2266" s="23">
        <v>42058</v>
      </c>
      <c r="F2266" s="118">
        <v>240</v>
      </c>
      <c r="G2266" s="31">
        <f t="shared" si="35"/>
        <v>0</v>
      </c>
      <c r="H2266" s="68" t="s">
        <v>9</v>
      </c>
      <c r="I2266" s="3"/>
      <c r="J2266" s="42"/>
      <c r="K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</row>
    <row r="2267" spans="1:22" x14ac:dyDescent="0.25">
      <c r="A2267" s="20">
        <v>42058</v>
      </c>
      <c r="B2267" s="21">
        <v>12964</v>
      </c>
      <c r="C2267" s="15" t="s">
        <v>24</v>
      </c>
      <c r="D2267" s="122">
        <v>66056.399999999994</v>
      </c>
      <c r="E2267" s="30">
        <v>42074</v>
      </c>
      <c r="F2267" s="145">
        <v>66056.399999999994</v>
      </c>
      <c r="G2267" s="31">
        <f t="shared" si="35"/>
        <v>0</v>
      </c>
      <c r="H2267" s="68" t="s">
        <v>183</v>
      </c>
      <c r="I2267" s="3"/>
      <c r="J2267" s="42"/>
      <c r="K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</row>
    <row r="2268" spans="1:22" x14ac:dyDescent="0.25">
      <c r="A2268" s="20">
        <v>42058</v>
      </c>
      <c r="B2268" s="21">
        <v>12965</v>
      </c>
      <c r="C2268" s="15" t="s">
        <v>24</v>
      </c>
      <c r="D2268" s="122">
        <v>626.6</v>
      </c>
      <c r="E2268" s="30">
        <v>42074</v>
      </c>
      <c r="F2268" s="145">
        <v>626.6</v>
      </c>
      <c r="G2268" s="31">
        <f t="shared" si="35"/>
        <v>0</v>
      </c>
      <c r="H2268" s="68" t="s">
        <v>183</v>
      </c>
      <c r="I2268" s="3"/>
      <c r="J2268" s="42"/>
      <c r="K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</row>
    <row r="2269" spans="1:22" x14ac:dyDescent="0.25">
      <c r="A2269" s="20">
        <v>42058</v>
      </c>
      <c r="B2269" s="21">
        <v>12966</v>
      </c>
      <c r="C2269" s="15" t="s">
        <v>102</v>
      </c>
      <c r="D2269" s="122">
        <v>334.8</v>
      </c>
      <c r="E2269" s="23">
        <v>42058</v>
      </c>
      <c r="F2269" s="118">
        <v>334.8</v>
      </c>
      <c r="G2269" s="31">
        <f t="shared" si="35"/>
        <v>0</v>
      </c>
      <c r="H2269" s="68" t="s">
        <v>9</v>
      </c>
      <c r="I2269" s="3"/>
      <c r="J2269" s="42"/>
      <c r="K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</row>
    <row r="2270" spans="1:22" x14ac:dyDescent="0.25">
      <c r="A2270" s="20">
        <v>42058</v>
      </c>
      <c r="B2270" s="21">
        <v>12967</v>
      </c>
      <c r="C2270" s="15" t="s">
        <v>90</v>
      </c>
      <c r="D2270" s="122">
        <v>970.8</v>
      </c>
      <c r="E2270" s="23">
        <v>42058</v>
      </c>
      <c r="F2270" s="118">
        <v>970.8</v>
      </c>
      <c r="G2270" s="31">
        <f t="shared" si="35"/>
        <v>0</v>
      </c>
      <c r="H2270" s="68" t="s">
        <v>9</v>
      </c>
      <c r="I2270" s="3"/>
      <c r="J2270" s="42"/>
      <c r="K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</row>
    <row r="2271" spans="1:22" x14ac:dyDescent="0.25">
      <c r="A2271" s="20">
        <v>42058</v>
      </c>
      <c r="B2271" s="21">
        <v>12968</v>
      </c>
      <c r="C2271" s="14" t="s">
        <v>133</v>
      </c>
      <c r="D2271" s="105">
        <v>1624.8</v>
      </c>
      <c r="E2271" s="23">
        <v>42058</v>
      </c>
      <c r="F2271" s="106">
        <v>1624.8</v>
      </c>
      <c r="G2271" s="31">
        <f t="shared" si="35"/>
        <v>0</v>
      </c>
      <c r="H2271" s="39" t="s">
        <v>9</v>
      </c>
      <c r="I2271" s="3"/>
      <c r="J2271" s="42"/>
      <c r="K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</row>
    <row r="2272" spans="1:22" x14ac:dyDescent="0.25">
      <c r="A2272" s="20">
        <v>42058</v>
      </c>
      <c r="B2272" s="21">
        <v>12969</v>
      </c>
      <c r="C2272" s="14" t="s">
        <v>207</v>
      </c>
      <c r="D2272" s="105">
        <v>53137.46</v>
      </c>
      <c r="E2272" s="23">
        <v>42063</v>
      </c>
      <c r="F2272" s="106">
        <v>53137.46</v>
      </c>
      <c r="G2272" s="31">
        <f t="shared" si="35"/>
        <v>0</v>
      </c>
      <c r="H2272" s="39" t="s">
        <v>149</v>
      </c>
      <c r="I2272" s="3"/>
      <c r="J2272" s="42"/>
      <c r="K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</row>
    <row r="2273" spans="1:22" x14ac:dyDescent="0.25">
      <c r="A2273" s="20">
        <v>42058</v>
      </c>
      <c r="B2273" s="21">
        <v>12970</v>
      </c>
      <c r="C2273" s="14" t="s">
        <v>196</v>
      </c>
      <c r="D2273" s="105">
        <v>17016.8</v>
      </c>
      <c r="E2273" s="23">
        <v>42060</v>
      </c>
      <c r="F2273" s="106">
        <v>17016.8</v>
      </c>
      <c r="G2273" s="31">
        <f t="shared" si="35"/>
        <v>0</v>
      </c>
      <c r="H2273" s="39" t="s">
        <v>149</v>
      </c>
      <c r="I2273" s="3"/>
      <c r="J2273" s="42"/>
      <c r="K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</row>
    <row r="2274" spans="1:22" x14ac:dyDescent="0.25">
      <c r="A2274" s="20">
        <v>42058</v>
      </c>
      <c r="B2274" s="21">
        <v>12971</v>
      </c>
      <c r="C2274" s="14" t="s">
        <v>195</v>
      </c>
      <c r="D2274" s="105">
        <v>148157.19</v>
      </c>
      <c r="E2274" s="23">
        <v>42060</v>
      </c>
      <c r="F2274" s="106">
        <v>148157.19</v>
      </c>
      <c r="G2274" s="31">
        <f t="shared" si="35"/>
        <v>0</v>
      </c>
      <c r="H2274" s="39" t="s">
        <v>149</v>
      </c>
      <c r="I2274" s="3"/>
      <c r="J2274" s="42"/>
      <c r="K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</row>
    <row r="2275" spans="1:22" x14ac:dyDescent="0.25">
      <c r="A2275" s="20">
        <v>42058</v>
      </c>
      <c r="B2275" s="21">
        <v>12972</v>
      </c>
      <c r="C2275" s="14" t="s">
        <v>203</v>
      </c>
      <c r="D2275" s="105">
        <v>25954.65</v>
      </c>
      <c r="E2275" s="23">
        <v>42060</v>
      </c>
      <c r="F2275" s="106">
        <v>25954.65</v>
      </c>
      <c r="G2275" s="31">
        <f t="shared" si="35"/>
        <v>0</v>
      </c>
      <c r="H2275" s="39" t="s">
        <v>149</v>
      </c>
      <c r="I2275" s="3"/>
      <c r="J2275" s="42"/>
      <c r="K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</row>
    <row r="2276" spans="1:22" x14ac:dyDescent="0.25">
      <c r="A2276" s="20">
        <v>42058</v>
      </c>
      <c r="B2276" s="21">
        <v>12973</v>
      </c>
      <c r="C2276" s="14" t="s">
        <v>205</v>
      </c>
      <c r="D2276" s="105">
        <v>12583.6</v>
      </c>
      <c r="E2276" s="23">
        <v>42063</v>
      </c>
      <c r="F2276" s="106">
        <v>12583.6</v>
      </c>
      <c r="G2276" s="31">
        <f t="shared" si="35"/>
        <v>0</v>
      </c>
      <c r="H2276" s="39" t="s">
        <v>149</v>
      </c>
      <c r="I2276" s="3"/>
      <c r="J2276" s="42"/>
      <c r="K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</row>
    <row r="2277" spans="1:22" x14ac:dyDescent="0.25">
      <c r="A2277" s="20">
        <v>42058</v>
      </c>
      <c r="B2277" s="21">
        <v>12974</v>
      </c>
      <c r="C2277" s="14" t="s">
        <v>449</v>
      </c>
      <c r="D2277" s="105">
        <v>11426.5</v>
      </c>
      <c r="E2277" s="23">
        <v>42060</v>
      </c>
      <c r="F2277" s="106">
        <v>11426.5</v>
      </c>
      <c r="G2277" s="31">
        <f t="shared" si="35"/>
        <v>0</v>
      </c>
      <c r="H2277" s="39" t="s">
        <v>149</v>
      </c>
      <c r="I2277" s="3"/>
      <c r="J2277" s="42"/>
      <c r="K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</row>
    <row r="2278" spans="1:22" x14ac:dyDescent="0.25">
      <c r="A2278" s="20">
        <v>42058</v>
      </c>
      <c r="B2278" s="21">
        <v>12975</v>
      </c>
      <c r="C2278" s="14" t="s">
        <v>552</v>
      </c>
      <c r="D2278" s="105">
        <v>16508.099999999999</v>
      </c>
      <c r="E2278" s="23">
        <v>42060</v>
      </c>
      <c r="F2278" s="106">
        <v>16508.099999999999</v>
      </c>
      <c r="G2278" s="31">
        <f t="shared" si="35"/>
        <v>0</v>
      </c>
      <c r="H2278" s="39" t="s">
        <v>149</v>
      </c>
      <c r="I2278" s="3"/>
      <c r="J2278" s="42"/>
      <c r="K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</row>
    <row r="2279" spans="1:22" x14ac:dyDescent="0.25">
      <c r="A2279" s="20">
        <v>42058</v>
      </c>
      <c r="B2279" s="21">
        <v>12976</v>
      </c>
      <c r="C2279" s="14" t="s">
        <v>199</v>
      </c>
      <c r="D2279" s="105">
        <v>19075.599999999999</v>
      </c>
      <c r="E2279" s="23">
        <v>42060</v>
      </c>
      <c r="F2279" s="106">
        <v>19075.599999999999</v>
      </c>
      <c r="G2279" s="31">
        <f t="shared" si="35"/>
        <v>0</v>
      </c>
      <c r="H2279" s="39" t="s">
        <v>149</v>
      </c>
      <c r="I2279" s="3"/>
      <c r="J2279" s="42"/>
      <c r="K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</row>
    <row r="2280" spans="1:22" x14ac:dyDescent="0.25">
      <c r="A2280" s="20">
        <v>42058</v>
      </c>
      <c r="B2280" s="21">
        <v>12977</v>
      </c>
      <c r="C2280" s="14" t="s">
        <v>197</v>
      </c>
      <c r="D2280" s="105">
        <v>3852.8</v>
      </c>
      <c r="E2280" s="23">
        <v>42060</v>
      </c>
      <c r="F2280" s="106">
        <v>3852.8</v>
      </c>
      <c r="G2280" s="31">
        <f t="shared" si="35"/>
        <v>0</v>
      </c>
      <c r="H2280" s="39" t="s">
        <v>149</v>
      </c>
      <c r="I2280" s="3"/>
      <c r="J2280" s="42"/>
      <c r="K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</row>
    <row r="2281" spans="1:22" x14ac:dyDescent="0.25">
      <c r="A2281" s="20">
        <v>42058</v>
      </c>
      <c r="B2281" s="21">
        <v>12978</v>
      </c>
      <c r="C2281" s="14" t="s">
        <v>204</v>
      </c>
      <c r="D2281" s="105">
        <v>3921.6</v>
      </c>
      <c r="E2281" s="23">
        <v>42060</v>
      </c>
      <c r="F2281" s="106">
        <v>3921.6</v>
      </c>
      <c r="G2281" s="31">
        <f t="shared" si="35"/>
        <v>0</v>
      </c>
      <c r="H2281" s="39" t="s">
        <v>149</v>
      </c>
      <c r="I2281" s="3"/>
      <c r="J2281" s="42"/>
      <c r="K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</row>
    <row r="2282" spans="1:22" x14ac:dyDescent="0.25">
      <c r="A2282" s="20">
        <v>42058</v>
      </c>
      <c r="B2282" s="21">
        <v>12979</v>
      </c>
      <c r="C2282" s="14" t="s">
        <v>420</v>
      </c>
      <c r="D2282" s="105">
        <v>5860.8</v>
      </c>
      <c r="E2282" s="23">
        <v>42060</v>
      </c>
      <c r="F2282" s="106">
        <v>5860.8</v>
      </c>
      <c r="G2282" s="31">
        <f t="shared" si="35"/>
        <v>0</v>
      </c>
      <c r="H2282" s="39" t="s">
        <v>149</v>
      </c>
      <c r="I2282" s="3"/>
      <c r="J2282" s="42"/>
      <c r="K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</row>
    <row r="2283" spans="1:22" x14ac:dyDescent="0.25">
      <c r="A2283" s="20">
        <v>42058</v>
      </c>
      <c r="B2283" s="21">
        <v>12980</v>
      </c>
      <c r="C2283" s="14" t="s">
        <v>68</v>
      </c>
      <c r="D2283" s="105">
        <v>5817.2</v>
      </c>
      <c r="E2283" s="23">
        <v>42060</v>
      </c>
      <c r="F2283" s="106">
        <v>5817.2</v>
      </c>
      <c r="G2283" s="31">
        <f t="shared" si="35"/>
        <v>0</v>
      </c>
      <c r="H2283" s="39" t="s">
        <v>149</v>
      </c>
      <c r="I2283" s="3"/>
      <c r="J2283" s="42"/>
      <c r="K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</row>
    <row r="2284" spans="1:22" x14ac:dyDescent="0.25">
      <c r="A2284" s="20">
        <v>42058</v>
      </c>
      <c r="B2284" s="21">
        <v>12981</v>
      </c>
      <c r="C2284" s="14" t="s">
        <v>198</v>
      </c>
      <c r="D2284" s="105">
        <v>3300.56</v>
      </c>
      <c r="E2284" s="23">
        <v>42060</v>
      </c>
      <c r="F2284" s="106">
        <v>3300.56</v>
      </c>
      <c r="G2284" s="31">
        <f t="shared" si="35"/>
        <v>0</v>
      </c>
      <c r="H2284" s="39" t="s">
        <v>149</v>
      </c>
      <c r="I2284" s="3"/>
      <c r="J2284" s="42"/>
      <c r="K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</row>
    <row r="2285" spans="1:22" x14ac:dyDescent="0.25">
      <c r="A2285" s="20">
        <v>42058</v>
      </c>
      <c r="B2285" s="21">
        <v>12982</v>
      </c>
      <c r="C2285" s="14" t="s">
        <v>399</v>
      </c>
      <c r="D2285" s="105">
        <v>4347.2</v>
      </c>
      <c r="E2285" s="23">
        <v>42058</v>
      </c>
      <c r="F2285" s="106">
        <v>4347.2</v>
      </c>
      <c r="G2285" s="31">
        <f t="shared" si="35"/>
        <v>0</v>
      </c>
      <c r="H2285" s="39" t="s">
        <v>36</v>
      </c>
      <c r="I2285" s="3"/>
      <c r="J2285" s="42"/>
      <c r="K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</row>
    <row r="2286" spans="1:22" x14ac:dyDescent="0.25">
      <c r="A2286" s="20">
        <v>42058</v>
      </c>
      <c r="B2286" s="21">
        <v>12983</v>
      </c>
      <c r="C2286" s="14" t="s">
        <v>262</v>
      </c>
      <c r="D2286" s="105">
        <v>31449.599999999999</v>
      </c>
      <c r="E2286" s="97" t="s">
        <v>750</v>
      </c>
      <c r="F2286" s="144">
        <f>12000+19449.6</f>
        <v>31449.599999999999</v>
      </c>
      <c r="G2286" s="31">
        <f t="shared" si="35"/>
        <v>0</v>
      </c>
      <c r="H2286" s="39" t="s">
        <v>149</v>
      </c>
      <c r="I2286" s="3"/>
      <c r="J2286" s="42"/>
      <c r="K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</row>
    <row r="2287" spans="1:22" x14ac:dyDescent="0.25">
      <c r="A2287" s="20">
        <v>42058</v>
      </c>
      <c r="B2287" s="21">
        <v>12984</v>
      </c>
      <c r="C2287" s="14" t="s">
        <v>318</v>
      </c>
      <c r="D2287" s="105">
        <v>11564</v>
      </c>
      <c r="E2287" s="23">
        <v>42058</v>
      </c>
      <c r="F2287" s="106">
        <v>11564</v>
      </c>
      <c r="G2287" s="31">
        <f t="shared" si="35"/>
        <v>0</v>
      </c>
      <c r="H2287" s="39" t="s">
        <v>9</v>
      </c>
      <c r="I2287" s="3"/>
      <c r="J2287" s="42"/>
      <c r="K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</row>
    <row r="2288" spans="1:22" x14ac:dyDescent="0.25">
      <c r="A2288" s="20">
        <v>42058</v>
      </c>
      <c r="B2288" s="21">
        <v>12985</v>
      </c>
      <c r="C2288" s="14" t="s">
        <v>206</v>
      </c>
      <c r="D2288" s="105">
        <v>29680</v>
      </c>
      <c r="E2288" s="23">
        <v>42065</v>
      </c>
      <c r="F2288" s="106">
        <v>29680</v>
      </c>
      <c r="G2288" s="31">
        <f t="shared" si="35"/>
        <v>0</v>
      </c>
      <c r="H2288" s="39" t="s">
        <v>149</v>
      </c>
      <c r="I2288" s="3"/>
      <c r="J2288" s="42"/>
      <c r="K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</row>
    <row r="2289" spans="1:22" x14ac:dyDescent="0.25">
      <c r="A2289" s="20">
        <v>42058</v>
      </c>
      <c r="B2289" s="21">
        <v>12986</v>
      </c>
      <c r="C2289" s="14" t="s">
        <v>208</v>
      </c>
      <c r="D2289" s="105">
        <v>24159.1</v>
      </c>
      <c r="E2289" s="23">
        <v>42060</v>
      </c>
      <c r="F2289" s="106">
        <v>24159.1</v>
      </c>
      <c r="G2289" s="31">
        <f t="shared" si="35"/>
        <v>0</v>
      </c>
      <c r="H2289" s="39" t="s">
        <v>9</v>
      </c>
      <c r="I2289" s="3"/>
      <c r="J2289" s="42"/>
      <c r="K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</row>
    <row r="2290" spans="1:22" x14ac:dyDescent="0.25">
      <c r="A2290" s="20">
        <v>42059</v>
      </c>
      <c r="B2290" s="21">
        <v>12987</v>
      </c>
      <c r="C2290" s="14" t="s">
        <v>121</v>
      </c>
      <c r="D2290" s="105">
        <v>2745.6</v>
      </c>
      <c r="E2290" s="23">
        <v>42059</v>
      </c>
      <c r="F2290" s="106">
        <v>2745.6</v>
      </c>
      <c r="G2290" s="31">
        <f t="shared" si="35"/>
        <v>0</v>
      </c>
      <c r="H2290" s="39" t="s">
        <v>9</v>
      </c>
      <c r="I2290" s="3"/>
      <c r="J2290" s="42"/>
      <c r="K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</row>
    <row r="2291" spans="1:22" x14ac:dyDescent="0.25">
      <c r="A2291" s="20">
        <v>42059</v>
      </c>
      <c r="B2291" s="21">
        <v>12988</v>
      </c>
      <c r="C2291" s="14" t="s">
        <v>14</v>
      </c>
      <c r="D2291" s="105">
        <v>22291.200000000001</v>
      </c>
      <c r="E2291" s="23">
        <v>42062</v>
      </c>
      <c r="F2291" s="106">
        <v>22291.200000000001</v>
      </c>
      <c r="G2291" s="31">
        <f t="shared" si="35"/>
        <v>0</v>
      </c>
      <c r="H2291" s="39" t="s">
        <v>9</v>
      </c>
      <c r="I2291" s="3"/>
      <c r="J2291" s="42"/>
      <c r="K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</row>
    <row r="2292" spans="1:22" x14ac:dyDescent="0.25">
      <c r="A2292" s="20">
        <v>42059</v>
      </c>
      <c r="B2292" s="21">
        <v>12989</v>
      </c>
      <c r="C2292" s="14" t="s">
        <v>375</v>
      </c>
      <c r="D2292" s="105">
        <v>5430.6</v>
      </c>
      <c r="E2292" s="23">
        <v>42059</v>
      </c>
      <c r="F2292" s="106">
        <v>5430.6</v>
      </c>
      <c r="G2292" s="31">
        <f t="shared" si="35"/>
        <v>0</v>
      </c>
      <c r="H2292" s="39" t="s">
        <v>9</v>
      </c>
      <c r="I2292" s="3"/>
      <c r="J2292" s="42"/>
      <c r="K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</row>
    <row r="2293" spans="1:22" x14ac:dyDescent="0.25">
      <c r="A2293" s="20">
        <v>42059</v>
      </c>
      <c r="B2293" s="21">
        <v>12990</v>
      </c>
      <c r="C2293" s="26" t="s">
        <v>12</v>
      </c>
      <c r="D2293" s="108">
        <v>0</v>
      </c>
      <c r="E2293" s="23"/>
      <c r="F2293" s="106"/>
      <c r="G2293" s="31">
        <f t="shared" si="35"/>
        <v>0</v>
      </c>
      <c r="H2293" s="39" t="s">
        <v>13</v>
      </c>
      <c r="I2293" s="3"/>
      <c r="J2293" s="42"/>
      <c r="K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</row>
    <row r="2294" spans="1:22" x14ac:dyDescent="0.25">
      <c r="A2294" s="20">
        <v>42059</v>
      </c>
      <c r="B2294" s="21">
        <v>12991</v>
      </c>
      <c r="C2294" s="14" t="s">
        <v>720</v>
      </c>
      <c r="D2294" s="105">
        <v>4543.2</v>
      </c>
      <c r="E2294" s="23">
        <v>42059</v>
      </c>
      <c r="F2294" s="106">
        <v>4543.2</v>
      </c>
      <c r="G2294" s="31">
        <f t="shared" si="35"/>
        <v>0</v>
      </c>
      <c r="H2294" s="39" t="s">
        <v>9</v>
      </c>
      <c r="I2294" s="3"/>
      <c r="J2294" s="42"/>
      <c r="K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</row>
    <row r="2295" spans="1:22" x14ac:dyDescent="0.25">
      <c r="A2295" s="20">
        <v>42059</v>
      </c>
      <c r="B2295" s="21">
        <v>12992</v>
      </c>
      <c r="C2295" s="14" t="s">
        <v>16</v>
      </c>
      <c r="D2295" s="105">
        <v>4493.8</v>
      </c>
      <c r="E2295" s="23">
        <v>42059</v>
      </c>
      <c r="F2295" s="106">
        <v>4493.8</v>
      </c>
      <c r="G2295" s="31">
        <f t="shared" si="35"/>
        <v>0</v>
      </c>
      <c r="H2295" s="39" t="s">
        <v>9</v>
      </c>
      <c r="I2295" s="3"/>
      <c r="J2295" s="42"/>
      <c r="K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</row>
    <row r="2296" spans="1:22" x14ac:dyDescent="0.25">
      <c r="A2296" s="20">
        <v>42059</v>
      </c>
      <c r="B2296" s="21">
        <v>12993</v>
      </c>
      <c r="C2296" s="14" t="s">
        <v>20</v>
      </c>
      <c r="D2296" s="105">
        <v>13251.2</v>
      </c>
      <c r="E2296" s="29" t="s">
        <v>721</v>
      </c>
      <c r="F2296" s="106">
        <f>10000+3251.2</f>
        <v>13251.2</v>
      </c>
      <c r="G2296" s="31">
        <f t="shared" si="35"/>
        <v>0</v>
      </c>
      <c r="H2296" s="39" t="s">
        <v>9</v>
      </c>
      <c r="I2296" s="3"/>
      <c r="J2296" s="42"/>
      <c r="K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</row>
    <row r="2297" spans="1:22" x14ac:dyDescent="0.25">
      <c r="A2297" s="20">
        <v>42059</v>
      </c>
      <c r="B2297" s="21">
        <v>12994</v>
      </c>
      <c r="C2297" s="14" t="s">
        <v>158</v>
      </c>
      <c r="D2297" s="105">
        <v>2095.1999999999998</v>
      </c>
      <c r="E2297" s="23">
        <v>42059</v>
      </c>
      <c r="F2297" s="106">
        <v>2095.1999999999998</v>
      </c>
      <c r="G2297" s="31">
        <f t="shared" si="35"/>
        <v>0</v>
      </c>
      <c r="H2297" s="39" t="s">
        <v>9</v>
      </c>
      <c r="I2297" s="3"/>
      <c r="J2297" s="42"/>
      <c r="K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</row>
    <row r="2298" spans="1:22" x14ac:dyDescent="0.25">
      <c r="A2298" s="20">
        <v>42059</v>
      </c>
      <c r="B2298" s="21">
        <v>12995</v>
      </c>
      <c r="C2298" s="14" t="s">
        <v>114</v>
      </c>
      <c r="D2298" s="105">
        <v>3103.4</v>
      </c>
      <c r="E2298" s="23">
        <v>42059</v>
      </c>
      <c r="F2298" s="106">
        <v>3103.4</v>
      </c>
      <c r="G2298" s="31">
        <f t="shared" si="35"/>
        <v>0</v>
      </c>
      <c r="H2298" s="39" t="s">
        <v>9</v>
      </c>
      <c r="I2298" s="3"/>
      <c r="J2298" s="42"/>
      <c r="K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</row>
    <row r="2299" spans="1:22" x14ac:dyDescent="0.25">
      <c r="A2299" s="20">
        <v>42059</v>
      </c>
      <c r="B2299" s="21">
        <v>12996</v>
      </c>
      <c r="C2299" s="14" t="s">
        <v>555</v>
      </c>
      <c r="D2299" s="105">
        <v>66953.7</v>
      </c>
      <c r="E2299" s="23">
        <v>42061</v>
      </c>
      <c r="F2299" s="106">
        <v>66953.7</v>
      </c>
      <c r="G2299" s="31">
        <f t="shared" si="35"/>
        <v>0</v>
      </c>
      <c r="H2299" s="39" t="s">
        <v>9</v>
      </c>
      <c r="I2299" s="3"/>
      <c r="J2299" s="42"/>
      <c r="K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</row>
    <row r="2300" spans="1:22" x14ac:dyDescent="0.25">
      <c r="A2300" s="20">
        <v>42059</v>
      </c>
      <c r="B2300" s="21">
        <v>12997</v>
      </c>
      <c r="C2300" s="14" t="s">
        <v>100</v>
      </c>
      <c r="D2300" s="105">
        <v>7946.4</v>
      </c>
      <c r="E2300" s="23">
        <v>42059</v>
      </c>
      <c r="F2300" s="106">
        <v>7946.4</v>
      </c>
      <c r="G2300" s="31">
        <f t="shared" si="35"/>
        <v>0</v>
      </c>
      <c r="H2300" s="39" t="s">
        <v>9</v>
      </c>
      <c r="I2300" s="3"/>
      <c r="J2300" s="42"/>
      <c r="K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</row>
    <row r="2301" spans="1:22" x14ac:dyDescent="0.25">
      <c r="A2301" s="20">
        <v>42059</v>
      </c>
      <c r="B2301" s="21">
        <v>12998</v>
      </c>
      <c r="C2301" s="14" t="s">
        <v>22</v>
      </c>
      <c r="D2301" s="105">
        <v>940.8</v>
      </c>
      <c r="E2301" s="23">
        <v>42059</v>
      </c>
      <c r="F2301" s="106">
        <v>940.8</v>
      </c>
      <c r="G2301" s="31">
        <f t="shared" si="35"/>
        <v>0</v>
      </c>
      <c r="H2301" s="39" t="s">
        <v>9</v>
      </c>
      <c r="I2301" s="3"/>
      <c r="J2301" s="42"/>
      <c r="K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</row>
    <row r="2302" spans="1:22" x14ac:dyDescent="0.25">
      <c r="A2302" s="20">
        <v>42059</v>
      </c>
      <c r="B2302" s="21">
        <v>12999</v>
      </c>
      <c r="C2302" s="14" t="s">
        <v>21</v>
      </c>
      <c r="D2302" s="105">
        <v>2745.6</v>
      </c>
      <c r="E2302" s="23">
        <v>42059</v>
      </c>
      <c r="F2302" s="106">
        <v>2745.6</v>
      </c>
      <c r="G2302" s="31">
        <f t="shared" si="35"/>
        <v>0</v>
      </c>
      <c r="H2302" s="39" t="s">
        <v>9</v>
      </c>
      <c r="I2302" s="3"/>
      <c r="J2302" s="42"/>
      <c r="K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</row>
    <row r="2303" spans="1:22" x14ac:dyDescent="0.25">
      <c r="A2303" s="20">
        <v>42059</v>
      </c>
      <c r="B2303" s="21">
        <v>13000</v>
      </c>
      <c r="C2303" s="14" t="s">
        <v>30</v>
      </c>
      <c r="D2303" s="105">
        <v>4129.7</v>
      </c>
      <c r="E2303" s="23">
        <v>42059</v>
      </c>
      <c r="F2303" s="106">
        <v>4129.7</v>
      </c>
      <c r="G2303" s="31">
        <f t="shared" si="35"/>
        <v>0</v>
      </c>
      <c r="H2303" s="39" t="s">
        <v>9</v>
      </c>
      <c r="I2303" s="3"/>
      <c r="J2303" s="42"/>
      <c r="K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</row>
    <row r="2304" spans="1:22" x14ac:dyDescent="0.25">
      <c r="A2304" s="20">
        <v>42059</v>
      </c>
      <c r="B2304" s="21">
        <v>13001</v>
      </c>
      <c r="C2304" s="14" t="s">
        <v>151</v>
      </c>
      <c r="D2304" s="105">
        <v>10953.8</v>
      </c>
      <c r="E2304" s="23">
        <v>42061</v>
      </c>
      <c r="F2304" s="106">
        <v>10953.8</v>
      </c>
      <c r="G2304" s="31">
        <f t="shared" si="35"/>
        <v>0</v>
      </c>
      <c r="H2304" s="39" t="s">
        <v>9</v>
      </c>
      <c r="I2304" s="3"/>
      <c r="J2304" s="42"/>
      <c r="K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</row>
    <row r="2305" spans="1:22" x14ac:dyDescent="0.25">
      <c r="A2305" s="20">
        <v>42059</v>
      </c>
      <c r="B2305" s="21">
        <v>13002</v>
      </c>
      <c r="C2305" s="14" t="s">
        <v>74</v>
      </c>
      <c r="D2305" s="105">
        <v>1835.4</v>
      </c>
      <c r="E2305" s="23">
        <v>42059</v>
      </c>
      <c r="F2305" s="106">
        <v>1835.4</v>
      </c>
      <c r="G2305" s="31">
        <f t="shared" si="35"/>
        <v>0</v>
      </c>
      <c r="H2305" s="39" t="s">
        <v>9</v>
      </c>
      <c r="I2305" s="3"/>
      <c r="J2305" s="42"/>
      <c r="K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</row>
    <row r="2306" spans="1:22" x14ac:dyDescent="0.25">
      <c r="A2306" s="20">
        <v>42059</v>
      </c>
      <c r="B2306" s="21">
        <v>13003</v>
      </c>
      <c r="C2306" s="14" t="s">
        <v>128</v>
      </c>
      <c r="D2306" s="105">
        <v>7384</v>
      </c>
      <c r="E2306" s="23">
        <v>42059</v>
      </c>
      <c r="F2306" s="106">
        <v>7384</v>
      </c>
      <c r="G2306" s="31">
        <f t="shared" si="35"/>
        <v>0</v>
      </c>
      <c r="H2306" s="39" t="s">
        <v>17</v>
      </c>
      <c r="I2306" s="3"/>
      <c r="J2306" s="42"/>
      <c r="K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</row>
    <row r="2307" spans="1:22" x14ac:dyDescent="0.25">
      <c r="A2307" s="20">
        <v>42059</v>
      </c>
      <c r="B2307" s="21">
        <v>13004</v>
      </c>
      <c r="C2307" s="14" t="s">
        <v>42</v>
      </c>
      <c r="D2307" s="105">
        <v>2851.2</v>
      </c>
      <c r="E2307" s="23">
        <v>42059</v>
      </c>
      <c r="F2307" s="106">
        <v>2851.2</v>
      </c>
      <c r="G2307" s="31">
        <f t="shared" ref="G2307:G2370" si="36">D2307-F2307</f>
        <v>0</v>
      </c>
      <c r="H2307" s="39" t="s">
        <v>9</v>
      </c>
      <c r="I2307" s="3"/>
      <c r="J2307" s="42"/>
      <c r="K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</row>
    <row r="2308" spans="1:22" x14ac:dyDescent="0.25">
      <c r="A2308" s="20">
        <v>42059</v>
      </c>
      <c r="B2308" s="21">
        <v>13005</v>
      </c>
      <c r="C2308" s="14" t="s">
        <v>722</v>
      </c>
      <c r="D2308" s="105">
        <v>781.2</v>
      </c>
      <c r="E2308" s="23">
        <v>42059</v>
      </c>
      <c r="F2308" s="106">
        <v>781.2</v>
      </c>
      <c r="G2308" s="31">
        <f t="shared" si="36"/>
        <v>0</v>
      </c>
      <c r="H2308" s="39" t="s">
        <v>9</v>
      </c>
      <c r="I2308" s="3"/>
      <c r="J2308" s="42"/>
      <c r="K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</row>
    <row r="2309" spans="1:22" x14ac:dyDescent="0.25">
      <c r="A2309" s="20">
        <v>42059</v>
      </c>
      <c r="B2309" s="21">
        <v>13006</v>
      </c>
      <c r="C2309" s="14" t="s">
        <v>225</v>
      </c>
      <c r="D2309" s="105">
        <v>3583.7</v>
      </c>
      <c r="E2309" s="23">
        <v>42059</v>
      </c>
      <c r="F2309" s="106">
        <v>3583.7</v>
      </c>
      <c r="G2309" s="31">
        <f t="shared" si="36"/>
        <v>0</v>
      </c>
      <c r="H2309" s="39" t="s">
        <v>9</v>
      </c>
      <c r="I2309" s="3"/>
      <c r="J2309" s="42"/>
      <c r="K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</row>
    <row r="2310" spans="1:22" x14ac:dyDescent="0.25">
      <c r="A2310" s="20">
        <v>42059</v>
      </c>
      <c r="B2310" s="21">
        <v>13007</v>
      </c>
      <c r="C2310" s="14" t="s">
        <v>154</v>
      </c>
      <c r="D2310" s="105">
        <v>22207.599999999999</v>
      </c>
      <c r="E2310" s="23">
        <v>42059</v>
      </c>
      <c r="F2310" s="106">
        <v>22207.599999999999</v>
      </c>
      <c r="G2310" s="31">
        <f t="shared" si="36"/>
        <v>0</v>
      </c>
      <c r="H2310" s="39" t="s">
        <v>19</v>
      </c>
      <c r="I2310" s="3"/>
      <c r="J2310" s="42"/>
      <c r="K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</row>
    <row r="2311" spans="1:22" x14ac:dyDescent="0.25">
      <c r="A2311" s="20">
        <v>42059</v>
      </c>
      <c r="B2311" s="21">
        <v>13008</v>
      </c>
      <c r="C2311" s="14" t="s">
        <v>34</v>
      </c>
      <c r="D2311" s="105">
        <v>1679.8</v>
      </c>
      <c r="E2311" s="23">
        <v>42059</v>
      </c>
      <c r="F2311" s="106">
        <v>1679.8</v>
      </c>
      <c r="G2311" s="31">
        <f t="shared" si="36"/>
        <v>0</v>
      </c>
      <c r="H2311" s="39" t="s">
        <v>9</v>
      </c>
      <c r="I2311" s="3"/>
      <c r="J2311" s="42"/>
      <c r="K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</row>
    <row r="2312" spans="1:22" x14ac:dyDescent="0.25">
      <c r="A2312" s="20">
        <v>42059</v>
      </c>
      <c r="B2312" s="21">
        <v>13009</v>
      </c>
      <c r="C2312" s="14" t="s">
        <v>115</v>
      </c>
      <c r="D2312" s="105">
        <v>560</v>
      </c>
      <c r="E2312" s="23">
        <v>42059</v>
      </c>
      <c r="F2312" s="106">
        <v>560</v>
      </c>
      <c r="G2312" s="31">
        <f t="shared" si="36"/>
        <v>0</v>
      </c>
      <c r="H2312" s="39" t="s">
        <v>9</v>
      </c>
      <c r="I2312" s="3"/>
      <c r="J2312" s="42"/>
      <c r="K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</row>
    <row r="2313" spans="1:22" x14ac:dyDescent="0.25">
      <c r="A2313" s="20">
        <v>42059</v>
      </c>
      <c r="B2313" s="21">
        <v>13010</v>
      </c>
      <c r="C2313" s="14" t="s">
        <v>145</v>
      </c>
      <c r="D2313" s="105">
        <v>5388</v>
      </c>
      <c r="E2313" s="23">
        <v>42059</v>
      </c>
      <c r="F2313" s="106">
        <v>5388</v>
      </c>
      <c r="G2313" s="31">
        <f t="shared" si="36"/>
        <v>0</v>
      </c>
      <c r="H2313" s="39" t="s">
        <v>9</v>
      </c>
      <c r="I2313" s="3"/>
      <c r="J2313" s="42"/>
      <c r="K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</row>
    <row r="2314" spans="1:22" x14ac:dyDescent="0.25">
      <c r="A2314" s="20">
        <v>42059</v>
      </c>
      <c r="B2314" s="21">
        <v>13011</v>
      </c>
      <c r="C2314" s="14" t="s">
        <v>102</v>
      </c>
      <c r="D2314" s="105">
        <v>1213.5999999999999</v>
      </c>
      <c r="E2314" s="23">
        <v>42059</v>
      </c>
      <c r="F2314" s="106">
        <v>1213.5999999999999</v>
      </c>
      <c r="G2314" s="31">
        <f t="shared" si="36"/>
        <v>0</v>
      </c>
      <c r="H2314" s="39" t="s">
        <v>9</v>
      </c>
      <c r="I2314" s="3"/>
      <c r="J2314" s="42"/>
      <c r="K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</row>
    <row r="2315" spans="1:22" x14ac:dyDescent="0.25">
      <c r="A2315" s="20">
        <v>42059</v>
      </c>
      <c r="B2315" s="21">
        <v>13012</v>
      </c>
      <c r="C2315" s="14" t="s">
        <v>102</v>
      </c>
      <c r="D2315" s="105">
        <v>80</v>
      </c>
      <c r="E2315" s="23">
        <v>42059</v>
      </c>
      <c r="F2315" s="106">
        <v>80</v>
      </c>
      <c r="G2315" s="31">
        <f t="shared" si="36"/>
        <v>0</v>
      </c>
      <c r="H2315" s="39" t="s">
        <v>9</v>
      </c>
      <c r="I2315" s="3"/>
      <c r="J2315" s="42"/>
      <c r="K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</row>
    <row r="2316" spans="1:22" x14ac:dyDescent="0.25">
      <c r="A2316" s="20">
        <v>42059</v>
      </c>
      <c r="B2316" s="21">
        <v>13013</v>
      </c>
      <c r="C2316" s="14" t="s">
        <v>56</v>
      </c>
      <c r="D2316" s="105">
        <v>11005</v>
      </c>
      <c r="E2316" s="23">
        <v>42059</v>
      </c>
      <c r="F2316" s="106">
        <v>11005</v>
      </c>
      <c r="G2316" s="31">
        <f t="shared" si="36"/>
        <v>0</v>
      </c>
      <c r="H2316" s="39" t="s">
        <v>19</v>
      </c>
      <c r="I2316" s="3"/>
      <c r="J2316" s="42"/>
      <c r="K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</row>
    <row r="2317" spans="1:22" x14ac:dyDescent="0.25">
      <c r="A2317" s="20">
        <v>42059</v>
      </c>
      <c r="B2317" s="21">
        <v>13014</v>
      </c>
      <c r="C2317" s="14" t="s">
        <v>591</v>
      </c>
      <c r="D2317" s="105">
        <v>5874.4</v>
      </c>
      <c r="E2317" s="23">
        <v>42059</v>
      </c>
      <c r="F2317" s="106">
        <v>5874.4</v>
      </c>
      <c r="G2317" s="31">
        <f t="shared" si="36"/>
        <v>0</v>
      </c>
      <c r="H2317" s="39" t="s">
        <v>9</v>
      </c>
      <c r="I2317" s="3"/>
      <c r="J2317" s="42"/>
      <c r="K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</row>
    <row r="2318" spans="1:22" x14ac:dyDescent="0.25">
      <c r="A2318" s="20">
        <v>42059</v>
      </c>
      <c r="B2318" s="21">
        <v>13015</v>
      </c>
      <c r="C2318" s="14" t="s">
        <v>233</v>
      </c>
      <c r="D2318" s="105">
        <v>15314.9</v>
      </c>
      <c r="E2318" s="23">
        <v>42059</v>
      </c>
      <c r="F2318" s="106">
        <v>15314.9</v>
      </c>
      <c r="G2318" s="31">
        <f t="shared" si="36"/>
        <v>0</v>
      </c>
      <c r="H2318" s="39" t="s">
        <v>19</v>
      </c>
      <c r="I2318" s="3"/>
      <c r="J2318" s="42"/>
      <c r="K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</row>
    <row r="2319" spans="1:22" x14ac:dyDescent="0.25">
      <c r="A2319" s="20">
        <v>42059</v>
      </c>
      <c r="B2319" s="21">
        <v>13016</v>
      </c>
      <c r="C2319" s="14" t="s">
        <v>26</v>
      </c>
      <c r="D2319" s="105">
        <v>1104</v>
      </c>
      <c r="E2319" s="23">
        <v>42059</v>
      </c>
      <c r="F2319" s="106">
        <v>1104</v>
      </c>
      <c r="G2319" s="31">
        <f t="shared" si="36"/>
        <v>0</v>
      </c>
      <c r="H2319" s="39" t="s">
        <v>27</v>
      </c>
      <c r="I2319" s="3"/>
      <c r="J2319" s="42"/>
      <c r="K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</row>
    <row r="2320" spans="1:22" x14ac:dyDescent="0.25">
      <c r="A2320" s="20">
        <v>42059</v>
      </c>
      <c r="B2320" s="21">
        <v>13017</v>
      </c>
      <c r="C2320" s="14" t="s">
        <v>60</v>
      </c>
      <c r="D2320" s="105">
        <v>6850.2</v>
      </c>
      <c r="E2320" s="23">
        <v>42059</v>
      </c>
      <c r="F2320" s="106">
        <v>6850.2</v>
      </c>
      <c r="G2320" s="31">
        <f t="shared" si="36"/>
        <v>0</v>
      </c>
      <c r="H2320" s="39" t="s">
        <v>19</v>
      </c>
      <c r="I2320" s="3"/>
      <c r="J2320" s="42"/>
      <c r="K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</row>
    <row r="2321" spans="1:22" x14ac:dyDescent="0.25">
      <c r="A2321" s="20">
        <v>42059</v>
      </c>
      <c r="B2321" s="21">
        <v>13018</v>
      </c>
      <c r="C2321" s="14" t="s">
        <v>64</v>
      </c>
      <c r="D2321" s="105">
        <v>3556.8</v>
      </c>
      <c r="E2321" s="23">
        <v>42059</v>
      </c>
      <c r="F2321" s="106">
        <v>3556.8</v>
      </c>
      <c r="G2321" s="31">
        <f t="shared" si="36"/>
        <v>0</v>
      </c>
      <c r="H2321" s="39" t="s">
        <v>9</v>
      </c>
      <c r="I2321" s="3"/>
      <c r="J2321" s="42"/>
      <c r="K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</row>
    <row r="2322" spans="1:22" x14ac:dyDescent="0.25">
      <c r="A2322" s="20">
        <v>42059</v>
      </c>
      <c r="B2322" s="21">
        <v>13019</v>
      </c>
      <c r="C2322" s="14" t="s">
        <v>664</v>
      </c>
      <c r="D2322" s="105">
        <v>1605.4</v>
      </c>
      <c r="E2322" s="23">
        <v>42060</v>
      </c>
      <c r="F2322" s="106">
        <v>1605.4</v>
      </c>
      <c r="G2322" s="31">
        <f t="shared" si="36"/>
        <v>0</v>
      </c>
      <c r="H2322" s="39" t="s">
        <v>62</v>
      </c>
      <c r="I2322" s="3"/>
      <c r="J2322" s="42"/>
      <c r="K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</row>
    <row r="2323" spans="1:22" x14ac:dyDescent="0.25">
      <c r="A2323" s="20">
        <v>42059</v>
      </c>
      <c r="B2323" s="21">
        <v>13020</v>
      </c>
      <c r="C2323" s="14" t="s">
        <v>82</v>
      </c>
      <c r="D2323" s="105">
        <v>4115.8999999999996</v>
      </c>
      <c r="E2323" s="23">
        <v>42060</v>
      </c>
      <c r="F2323" s="106">
        <v>4115.8999999999996</v>
      </c>
      <c r="G2323" s="31">
        <f t="shared" si="36"/>
        <v>0</v>
      </c>
      <c r="H2323" s="39" t="s">
        <v>62</v>
      </c>
      <c r="I2323" s="3"/>
      <c r="J2323" s="42"/>
      <c r="K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</row>
    <row r="2324" spans="1:22" x14ac:dyDescent="0.25">
      <c r="A2324" s="20">
        <v>42059</v>
      </c>
      <c r="B2324" s="21">
        <v>13021</v>
      </c>
      <c r="C2324" s="14" t="s">
        <v>53</v>
      </c>
      <c r="D2324" s="105">
        <v>1002.7</v>
      </c>
      <c r="E2324" s="23">
        <v>42060</v>
      </c>
      <c r="F2324" s="106">
        <v>1002.7</v>
      </c>
      <c r="G2324" s="31">
        <f t="shared" si="36"/>
        <v>0</v>
      </c>
      <c r="H2324" s="39" t="s">
        <v>62</v>
      </c>
      <c r="I2324" s="3"/>
      <c r="J2324" s="42"/>
      <c r="K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</row>
    <row r="2325" spans="1:22" x14ac:dyDescent="0.25">
      <c r="A2325" s="20">
        <v>42059</v>
      </c>
      <c r="B2325" s="21">
        <v>13022</v>
      </c>
      <c r="C2325" s="14" t="s">
        <v>131</v>
      </c>
      <c r="D2325" s="105">
        <v>12729.4</v>
      </c>
      <c r="E2325" s="23">
        <v>42059</v>
      </c>
      <c r="F2325" s="106">
        <v>12729.4</v>
      </c>
      <c r="G2325" s="31">
        <f t="shared" si="36"/>
        <v>0</v>
      </c>
      <c r="H2325" s="39" t="s">
        <v>9</v>
      </c>
      <c r="I2325" s="3"/>
      <c r="J2325" s="42"/>
      <c r="K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</row>
    <row r="2326" spans="1:22" x14ac:dyDescent="0.25">
      <c r="A2326" s="20">
        <v>42059</v>
      </c>
      <c r="B2326" s="21">
        <v>13023</v>
      </c>
      <c r="C2326" s="14" t="s">
        <v>81</v>
      </c>
      <c r="D2326" s="105">
        <v>1289.4000000000001</v>
      </c>
      <c r="E2326" s="23">
        <v>42060</v>
      </c>
      <c r="F2326" s="106">
        <v>1289.4000000000001</v>
      </c>
      <c r="G2326" s="31">
        <f t="shared" si="36"/>
        <v>0</v>
      </c>
      <c r="H2326" s="39" t="s">
        <v>62</v>
      </c>
      <c r="I2326" s="3"/>
      <c r="J2326" s="42"/>
      <c r="K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</row>
    <row r="2327" spans="1:22" x14ac:dyDescent="0.25">
      <c r="A2327" s="20">
        <v>42059</v>
      </c>
      <c r="B2327" s="21">
        <v>13024</v>
      </c>
      <c r="C2327" s="14" t="s">
        <v>83</v>
      </c>
      <c r="D2327" s="105">
        <v>3700.8</v>
      </c>
      <c r="E2327" s="23">
        <v>42060</v>
      </c>
      <c r="F2327" s="106">
        <v>3700.8</v>
      </c>
      <c r="G2327" s="31">
        <f t="shared" si="36"/>
        <v>0</v>
      </c>
      <c r="H2327" s="39" t="s">
        <v>62</v>
      </c>
      <c r="I2327" s="3"/>
      <c r="J2327" s="42"/>
      <c r="K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</row>
    <row r="2328" spans="1:22" x14ac:dyDescent="0.25">
      <c r="A2328" s="20">
        <v>42059</v>
      </c>
      <c r="B2328" s="21">
        <v>13025</v>
      </c>
      <c r="C2328" s="14" t="s">
        <v>214</v>
      </c>
      <c r="D2328" s="105">
        <v>740</v>
      </c>
      <c r="E2328" s="23">
        <v>42060</v>
      </c>
      <c r="F2328" s="106">
        <v>740</v>
      </c>
      <c r="G2328" s="31">
        <f t="shared" si="36"/>
        <v>0</v>
      </c>
      <c r="H2328" s="39" t="s">
        <v>62</v>
      </c>
      <c r="I2328" s="3"/>
      <c r="J2328" s="42"/>
      <c r="K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</row>
    <row r="2329" spans="1:22" x14ac:dyDescent="0.25">
      <c r="A2329" s="20">
        <v>42059</v>
      </c>
      <c r="B2329" s="21">
        <v>13026</v>
      </c>
      <c r="C2329" s="110">
        <v>105</v>
      </c>
      <c r="D2329" s="105">
        <v>1110</v>
      </c>
      <c r="E2329" s="23">
        <v>42060</v>
      </c>
      <c r="F2329" s="106">
        <v>1110</v>
      </c>
      <c r="G2329" s="31">
        <f t="shared" si="36"/>
        <v>0</v>
      </c>
      <c r="H2329" s="39" t="s">
        <v>62</v>
      </c>
      <c r="I2329" s="3"/>
      <c r="J2329" s="42"/>
      <c r="K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</row>
    <row r="2330" spans="1:22" x14ac:dyDescent="0.25">
      <c r="A2330" s="20">
        <v>42059</v>
      </c>
      <c r="B2330" s="21">
        <v>13027</v>
      </c>
      <c r="C2330" s="14" t="s">
        <v>58</v>
      </c>
      <c r="D2330" s="105">
        <v>370</v>
      </c>
      <c r="E2330" s="23">
        <v>42060</v>
      </c>
      <c r="F2330" s="106">
        <v>370</v>
      </c>
      <c r="G2330" s="31">
        <f t="shared" si="36"/>
        <v>0</v>
      </c>
      <c r="H2330" s="39" t="s">
        <v>62</v>
      </c>
      <c r="I2330" s="3"/>
      <c r="J2330" s="42"/>
      <c r="K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</row>
    <row r="2331" spans="1:22" x14ac:dyDescent="0.25">
      <c r="A2331" s="20">
        <v>42059</v>
      </c>
      <c r="B2331" s="21">
        <v>13028</v>
      </c>
      <c r="C2331" s="14" t="s">
        <v>57</v>
      </c>
      <c r="D2331" s="105">
        <v>370</v>
      </c>
      <c r="E2331" s="23">
        <v>42060</v>
      </c>
      <c r="F2331" s="106">
        <v>370</v>
      </c>
      <c r="G2331" s="31">
        <f t="shared" si="36"/>
        <v>0</v>
      </c>
      <c r="H2331" s="39" t="s">
        <v>62</v>
      </c>
      <c r="I2331" s="3"/>
      <c r="J2331" s="42"/>
      <c r="K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</row>
    <row r="2332" spans="1:22" x14ac:dyDescent="0.25">
      <c r="A2332" s="20">
        <v>42059</v>
      </c>
      <c r="B2332" s="21">
        <v>13029</v>
      </c>
      <c r="C2332" s="14" t="s">
        <v>50</v>
      </c>
      <c r="D2332" s="105">
        <v>4027.2</v>
      </c>
      <c r="E2332" s="23">
        <v>42060</v>
      </c>
      <c r="F2332" s="106">
        <v>4027.2</v>
      </c>
      <c r="G2332" s="31">
        <f t="shared" si="36"/>
        <v>0</v>
      </c>
      <c r="H2332" s="39" t="s">
        <v>94</v>
      </c>
      <c r="I2332" s="3"/>
      <c r="J2332" s="42"/>
      <c r="K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</row>
    <row r="2333" spans="1:22" x14ac:dyDescent="0.25">
      <c r="A2333" s="20">
        <v>42059</v>
      </c>
      <c r="B2333" s="21">
        <v>13030</v>
      </c>
      <c r="C2333" s="14" t="s">
        <v>168</v>
      </c>
      <c r="D2333" s="105">
        <v>10802.84</v>
      </c>
      <c r="E2333" s="23">
        <v>42060</v>
      </c>
      <c r="F2333" s="106">
        <v>10802.84</v>
      </c>
      <c r="G2333" s="31">
        <f t="shared" si="36"/>
        <v>0</v>
      </c>
      <c r="H2333" s="39" t="s">
        <v>62</v>
      </c>
      <c r="I2333" s="3"/>
      <c r="J2333" s="42"/>
      <c r="K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</row>
    <row r="2334" spans="1:22" x14ac:dyDescent="0.25">
      <c r="A2334" s="20">
        <v>42059</v>
      </c>
      <c r="B2334" s="21">
        <v>13031</v>
      </c>
      <c r="C2334" s="14" t="s">
        <v>48</v>
      </c>
      <c r="D2334" s="105">
        <v>1440.4</v>
      </c>
      <c r="E2334" s="23">
        <v>42060</v>
      </c>
      <c r="F2334" s="106">
        <v>1440.4</v>
      </c>
      <c r="G2334" s="31">
        <f t="shared" si="36"/>
        <v>0</v>
      </c>
      <c r="H2334" s="39" t="s">
        <v>94</v>
      </c>
      <c r="I2334" s="3"/>
      <c r="J2334" s="42"/>
      <c r="K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</row>
    <row r="2335" spans="1:22" x14ac:dyDescent="0.25">
      <c r="A2335" s="20">
        <v>42059</v>
      </c>
      <c r="B2335" s="21">
        <v>13032</v>
      </c>
      <c r="C2335" s="14" t="s">
        <v>45</v>
      </c>
      <c r="D2335" s="105">
        <v>17191.400000000001</v>
      </c>
      <c r="E2335" s="30">
        <v>42074</v>
      </c>
      <c r="F2335" s="144">
        <v>17191.400000000001</v>
      </c>
      <c r="G2335" s="31">
        <f t="shared" si="36"/>
        <v>0</v>
      </c>
      <c r="H2335" s="39" t="s">
        <v>62</v>
      </c>
      <c r="I2335" s="3"/>
      <c r="J2335" s="42"/>
      <c r="K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</row>
    <row r="2336" spans="1:22" x14ac:dyDescent="0.25">
      <c r="A2336" s="20">
        <v>42059</v>
      </c>
      <c r="B2336" s="21">
        <v>13033</v>
      </c>
      <c r="C2336" s="14" t="s">
        <v>234</v>
      </c>
      <c r="D2336" s="105">
        <v>135.15</v>
      </c>
      <c r="E2336" s="23">
        <v>42059</v>
      </c>
      <c r="F2336" s="106">
        <v>135.15</v>
      </c>
      <c r="G2336" s="31">
        <f t="shared" si="36"/>
        <v>0</v>
      </c>
      <c r="H2336" s="39" t="s">
        <v>9</v>
      </c>
      <c r="I2336" s="3"/>
      <c r="J2336" s="42"/>
      <c r="K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</row>
    <row r="2337" spans="1:22" x14ac:dyDescent="0.25">
      <c r="A2337" s="20">
        <v>42059</v>
      </c>
      <c r="B2337" s="21">
        <v>13034</v>
      </c>
      <c r="C2337" s="14" t="s">
        <v>155</v>
      </c>
      <c r="D2337" s="105">
        <v>683</v>
      </c>
      <c r="E2337" s="23">
        <v>42060</v>
      </c>
      <c r="F2337" s="106">
        <v>683</v>
      </c>
      <c r="G2337" s="31">
        <f t="shared" si="36"/>
        <v>0</v>
      </c>
      <c r="H2337" s="39" t="s">
        <v>9</v>
      </c>
      <c r="I2337" s="3"/>
      <c r="J2337" s="42"/>
      <c r="K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</row>
    <row r="2338" spans="1:22" x14ac:dyDescent="0.25">
      <c r="A2338" s="20">
        <v>42059</v>
      </c>
      <c r="B2338" s="21">
        <v>13035</v>
      </c>
      <c r="C2338" s="14" t="s">
        <v>571</v>
      </c>
      <c r="D2338" s="105">
        <v>44400</v>
      </c>
      <c r="E2338" s="23">
        <v>42060</v>
      </c>
      <c r="F2338" s="106">
        <f>19100+25300</f>
        <v>44400</v>
      </c>
      <c r="G2338" s="31">
        <f t="shared" si="36"/>
        <v>0</v>
      </c>
      <c r="H2338" s="39" t="s">
        <v>94</v>
      </c>
      <c r="I2338" s="3"/>
      <c r="J2338" s="42"/>
      <c r="K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</row>
    <row r="2339" spans="1:22" x14ac:dyDescent="0.25">
      <c r="A2339" s="20">
        <v>42059</v>
      </c>
      <c r="B2339" s="21">
        <v>13036</v>
      </c>
      <c r="C2339" s="14" t="s">
        <v>718</v>
      </c>
      <c r="D2339" s="105">
        <v>2604</v>
      </c>
      <c r="E2339" s="23">
        <v>42059</v>
      </c>
      <c r="F2339" s="106">
        <v>2604</v>
      </c>
      <c r="G2339" s="31">
        <f t="shared" si="36"/>
        <v>0</v>
      </c>
      <c r="H2339" s="39" t="s">
        <v>17</v>
      </c>
      <c r="I2339" s="3"/>
      <c r="J2339" s="42"/>
      <c r="K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</row>
    <row r="2340" spans="1:22" x14ac:dyDescent="0.25">
      <c r="A2340" s="20">
        <v>42059</v>
      </c>
      <c r="B2340" s="21">
        <v>13037</v>
      </c>
      <c r="C2340" s="14" t="s">
        <v>130</v>
      </c>
      <c r="D2340" s="105">
        <v>5660.3</v>
      </c>
      <c r="E2340" s="23">
        <v>42061</v>
      </c>
      <c r="F2340" s="106">
        <v>5660.3</v>
      </c>
      <c r="G2340" s="31">
        <f t="shared" si="36"/>
        <v>0</v>
      </c>
      <c r="H2340" s="39" t="s">
        <v>17</v>
      </c>
      <c r="I2340" s="3"/>
      <c r="J2340" s="42"/>
      <c r="K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</row>
    <row r="2341" spans="1:22" x14ac:dyDescent="0.25">
      <c r="A2341" s="20">
        <v>42059</v>
      </c>
      <c r="B2341" s="21">
        <v>13038</v>
      </c>
      <c r="C2341" s="14" t="s">
        <v>723</v>
      </c>
      <c r="D2341" s="105">
        <v>2962.4</v>
      </c>
      <c r="E2341" s="23">
        <v>42059</v>
      </c>
      <c r="F2341" s="106">
        <v>2962.4</v>
      </c>
      <c r="G2341" s="31">
        <f t="shared" si="36"/>
        <v>0</v>
      </c>
      <c r="H2341" s="39" t="s">
        <v>17</v>
      </c>
      <c r="I2341" s="3"/>
      <c r="J2341" s="42"/>
      <c r="K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</row>
    <row r="2342" spans="1:22" x14ac:dyDescent="0.25">
      <c r="A2342" s="20">
        <v>42059</v>
      </c>
      <c r="B2342" s="21">
        <v>13039</v>
      </c>
      <c r="C2342" s="14" t="s">
        <v>229</v>
      </c>
      <c r="D2342" s="105">
        <v>1113.2</v>
      </c>
      <c r="E2342" s="23">
        <v>42060</v>
      </c>
      <c r="F2342" s="106">
        <v>1113.2</v>
      </c>
      <c r="G2342" s="31">
        <f t="shared" si="36"/>
        <v>0</v>
      </c>
      <c r="H2342" s="39" t="s">
        <v>15</v>
      </c>
      <c r="I2342" s="3"/>
      <c r="J2342" s="42"/>
      <c r="K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</row>
    <row r="2343" spans="1:22" x14ac:dyDescent="0.25">
      <c r="A2343" s="20">
        <v>42059</v>
      </c>
      <c r="B2343" s="21">
        <v>13040</v>
      </c>
      <c r="C2343" s="14" t="s">
        <v>96</v>
      </c>
      <c r="D2343" s="105">
        <v>1287.4000000000001</v>
      </c>
      <c r="E2343" s="23">
        <v>42060</v>
      </c>
      <c r="F2343" s="106">
        <v>1287.4000000000001</v>
      </c>
      <c r="G2343" s="31">
        <f t="shared" si="36"/>
        <v>0</v>
      </c>
      <c r="H2343" s="39" t="s">
        <v>94</v>
      </c>
      <c r="I2343" s="3"/>
      <c r="J2343" s="42"/>
      <c r="K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</row>
    <row r="2344" spans="1:22" x14ac:dyDescent="0.25">
      <c r="A2344" s="20">
        <v>42059</v>
      </c>
      <c r="B2344" s="21">
        <v>13041</v>
      </c>
      <c r="C2344" s="14" t="s">
        <v>101</v>
      </c>
      <c r="D2344" s="105">
        <v>1165.5</v>
      </c>
      <c r="E2344" s="23">
        <v>42060</v>
      </c>
      <c r="F2344" s="106">
        <v>1165.5</v>
      </c>
      <c r="G2344" s="31">
        <f t="shared" si="36"/>
        <v>0</v>
      </c>
      <c r="H2344" s="39" t="s">
        <v>9</v>
      </c>
      <c r="I2344" s="3"/>
      <c r="J2344" s="42"/>
      <c r="K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</row>
    <row r="2345" spans="1:22" x14ac:dyDescent="0.25">
      <c r="A2345" s="20">
        <v>42059</v>
      </c>
      <c r="B2345" s="21">
        <v>13042</v>
      </c>
      <c r="C2345" s="14" t="s">
        <v>96</v>
      </c>
      <c r="D2345" s="105">
        <v>4151.5</v>
      </c>
      <c r="E2345" s="23">
        <v>42060</v>
      </c>
      <c r="F2345" s="106">
        <v>4151.5</v>
      </c>
      <c r="G2345" s="31">
        <f t="shared" si="36"/>
        <v>0</v>
      </c>
      <c r="H2345" s="39" t="s">
        <v>94</v>
      </c>
      <c r="I2345" s="3"/>
      <c r="J2345" s="42"/>
      <c r="K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</row>
    <row r="2346" spans="1:22" x14ac:dyDescent="0.25">
      <c r="A2346" s="20">
        <v>42059</v>
      </c>
      <c r="B2346" s="21">
        <v>13043</v>
      </c>
      <c r="C2346" s="14" t="s">
        <v>104</v>
      </c>
      <c r="D2346" s="105">
        <v>3254.4</v>
      </c>
      <c r="E2346" s="23">
        <v>42060</v>
      </c>
      <c r="F2346" s="106">
        <v>3254.4</v>
      </c>
      <c r="G2346" s="31">
        <f t="shared" si="36"/>
        <v>0</v>
      </c>
      <c r="H2346" s="39" t="s">
        <v>94</v>
      </c>
      <c r="I2346" s="3"/>
      <c r="J2346" s="42"/>
      <c r="K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</row>
    <row r="2347" spans="1:22" x14ac:dyDescent="0.25">
      <c r="A2347" s="20">
        <v>42059</v>
      </c>
      <c r="B2347" s="21">
        <v>13044</v>
      </c>
      <c r="C2347" s="14" t="s">
        <v>179</v>
      </c>
      <c r="D2347" s="105">
        <v>4799.75</v>
      </c>
      <c r="E2347" s="23">
        <v>42059</v>
      </c>
      <c r="F2347" s="106">
        <v>4799.75</v>
      </c>
      <c r="G2347" s="31">
        <f t="shared" si="36"/>
        <v>0</v>
      </c>
      <c r="H2347" s="39" t="s">
        <v>15</v>
      </c>
      <c r="I2347" s="3"/>
      <c r="J2347" s="42"/>
      <c r="K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</row>
    <row r="2348" spans="1:22" x14ac:dyDescent="0.25">
      <c r="A2348" s="20">
        <v>42059</v>
      </c>
      <c r="B2348" s="21">
        <v>13045</v>
      </c>
      <c r="C2348" s="14" t="s">
        <v>689</v>
      </c>
      <c r="D2348" s="105">
        <v>6917.9</v>
      </c>
      <c r="E2348" s="23">
        <v>42060</v>
      </c>
      <c r="F2348" s="106">
        <v>6917.9</v>
      </c>
      <c r="G2348" s="31">
        <f t="shared" si="36"/>
        <v>0</v>
      </c>
      <c r="H2348" s="39" t="s">
        <v>94</v>
      </c>
      <c r="I2348" s="3"/>
      <c r="J2348" s="42"/>
      <c r="K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</row>
    <row r="2349" spans="1:22" x14ac:dyDescent="0.25">
      <c r="A2349" s="20">
        <v>42059</v>
      </c>
      <c r="B2349" s="21">
        <v>13046</v>
      </c>
      <c r="C2349" s="14" t="s">
        <v>724</v>
      </c>
      <c r="D2349" s="105">
        <v>17057.599999999999</v>
      </c>
      <c r="E2349" s="23">
        <v>42059</v>
      </c>
      <c r="F2349" s="106">
        <v>17057.599999999999</v>
      </c>
      <c r="G2349" s="31">
        <f t="shared" si="36"/>
        <v>0</v>
      </c>
      <c r="H2349" s="39" t="s">
        <v>9</v>
      </c>
      <c r="I2349" s="3"/>
      <c r="J2349" s="42"/>
      <c r="K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</row>
    <row r="2350" spans="1:22" x14ac:dyDescent="0.25">
      <c r="A2350" s="20">
        <v>42059</v>
      </c>
      <c r="B2350" s="21">
        <v>13047</v>
      </c>
      <c r="C2350" s="14" t="s">
        <v>89</v>
      </c>
      <c r="D2350" s="105">
        <v>2857.4</v>
      </c>
      <c r="E2350" s="23">
        <v>42059</v>
      </c>
      <c r="F2350" s="106">
        <v>2857.4</v>
      </c>
      <c r="G2350" s="31">
        <f t="shared" si="36"/>
        <v>0</v>
      </c>
      <c r="H2350" s="39" t="s">
        <v>9</v>
      </c>
      <c r="I2350" s="3"/>
      <c r="J2350" s="42"/>
      <c r="K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</row>
    <row r="2351" spans="1:22" x14ac:dyDescent="0.25">
      <c r="A2351" s="20">
        <v>42059</v>
      </c>
      <c r="B2351" s="21">
        <v>13048</v>
      </c>
      <c r="C2351" s="14" t="s">
        <v>725</v>
      </c>
      <c r="D2351" s="105">
        <v>1265.4000000000001</v>
      </c>
      <c r="E2351" s="23">
        <v>42059</v>
      </c>
      <c r="F2351" s="106">
        <v>1265.4000000000001</v>
      </c>
      <c r="G2351" s="31">
        <f t="shared" si="36"/>
        <v>0</v>
      </c>
      <c r="H2351" s="39" t="s">
        <v>9</v>
      </c>
      <c r="I2351" s="3"/>
      <c r="J2351" s="42"/>
      <c r="K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</row>
    <row r="2352" spans="1:22" x14ac:dyDescent="0.25">
      <c r="A2352" s="20">
        <v>42059</v>
      </c>
      <c r="B2352" s="21">
        <v>13049</v>
      </c>
      <c r="C2352" s="14" t="s">
        <v>336</v>
      </c>
      <c r="D2352" s="105">
        <v>92</v>
      </c>
      <c r="E2352" s="23">
        <v>42059</v>
      </c>
      <c r="F2352" s="106">
        <v>92</v>
      </c>
      <c r="G2352" s="31">
        <f t="shared" si="36"/>
        <v>0</v>
      </c>
      <c r="H2352" s="39" t="s">
        <v>9</v>
      </c>
      <c r="I2352" s="3"/>
      <c r="J2352" s="42"/>
      <c r="K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</row>
    <row r="2353" spans="1:22" x14ac:dyDescent="0.25">
      <c r="A2353" s="20">
        <v>42059</v>
      </c>
      <c r="B2353" s="21">
        <v>13050</v>
      </c>
      <c r="C2353" s="14" t="s">
        <v>24</v>
      </c>
      <c r="D2353" s="105">
        <v>40375.699999999997</v>
      </c>
      <c r="E2353" s="30">
        <v>42074</v>
      </c>
      <c r="F2353" s="144">
        <v>40375.699999999997</v>
      </c>
      <c r="G2353" s="31">
        <f t="shared" si="36"/>
        <v>0</v>
      </c>
      <c r="H2353" s="39" t="s">
        <v>187</v>
      </c>
      <c r="I2353" s="3"/>
      <c r="J2353" s="42"/>
      <c r="K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</row>
    <row r="2354" spans="1:22" x14ac:dyDescent="0.25">
      <c r="A2354" s="20">
        <v>42059</v>
      </c>
      <c r="B2354" s="21">
        <v>13051</v>
      </c>
      <c r="C2354" s="14" t="s">
        <v>14</v>
      </c>
      <c r="D2354" s="105">
        <v>15600</v>
      </c>
      <c r="E2354" s="23">
        <v>42062</v>
      </c>
      <c r="F2354" s="106">
        <v>15600</v>
      </c>
      <c r="G2354" s="31">
        <f t="shared" si="36"/>
        <v>0</v>
      </c>
      <c r="H2354" s="39" t="s">
        <v>183</v>
      </c>
      <c r="I2354" s="3"/>
      <c r="J2354" s="42"/>
      <c r="K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</row>
    <row r="2355" spans="1:22" x14ac:dyDescent="0.25">
      <c r="A2355" s="20">
        <v>42059</v>
      </c>
      <c r="B2355" s="21">
        <v>13052</v>
      </c>
      <c r="C2355" s="14" t="s">
        <v>110</v>
      </c>
      <c r="D2355" s="105">
        <v>7299.6</v>
      </c>
      <c r="E2355" s="23">
        <v>42063</v>
      </c>
      <c r="F2355" s="106">
        <v>7299.6</v>
      </c>
      <c r="G2355" s="31">
        <f t="shared" si="36"/>
        <v>0</v>
      </c>
      <c r="H2355" s="39" t="s">
        <v>183</v>
      </c>
      <c r="I2355" s="3"/>
      <c r="J2355" s="42"/>
      <c r="K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</row>
    <row r="2356" spans="1:22" x14ac:dyDescent="0.25">
      <c r="A2356" s="20">
        <v>42059</v>
      </c>
      <c r="B2356" s="21">
        <v>13053</v>
      </c>
      <c r="C2356" s="14" t="s">
        <v>122</v>
      </c>
      <c r="D2356" s="105">
        <v>3910.4</v>
      </c>
      <c r="E2356" s="23">
        <v>42059</v>
      </c>
      <c r="F2356" s="106">
        <v>3910.4</v>
      </c>
      <c r="G2356" s="31">
        <f t="shared" si="36"/>
        <v>0</v>
      </c>
      <c r="H2356" s="39" t="s">
        <v>9</v>
      </c>
      <c r="I2356" s="3"/>
      <c r="J2356" s="42"/>
      <c r="K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</row>
    <row r="2357" spans="1:22" x14ac:dyDescent="0.25">
      <c r="A2357" s="20">
        <v>42059</v>
      </c>
      <c r="B2357" s="21">
        <v>13054</v>
      </c>
      <c r="C2357" s="14" t="s">
        <v>35</v>
      </c>
      <c r="D2357" s="105">
        <v>8517.4</v>
      </c>
      <c r="E2357" s="23">
        <v>42059</v>
      </c>
      <c r="F2357" s="106">
        <v>8517.4</v>
      </c>
      <c r="G2357" s="31">
        <f t="shared" si="36"/>
        <v>0</v>
      </c>
      <c r="H2357" s="39" t="s">
        <v>9</v>
      </c>
      <c r="I2357" s="3"/>
      <c r="J2357" s="42"/>
      <c r="K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</row>
    <row r="2358" spans="1:22" x14ac:dyDescent="0.25">
      <c r="A2358" s="20">
        <v>42059</v>
      </c>
      <c r="B2358" s="21">
        <v>13055</v>
      </c>
      <c r="C2358" s="14" t="s">
        <v>38</v>
      </c>
      <c r="D2358" s="105">
        <v>35297.5</v>
      </c>
      <c r="E2358" s="30" t="s">
        <v>992</v>
      </c>
      <c r="F2358" s="144">
        <f>33362.1+1935.4</f>
        <v>35297.5</v>
      </c>
      <c r="G2358" s="31">
        <f t="shared" si="36"/>
        <v>0</v>
      </c>
      <c r="H2358" s="39" t="s">
        <v>9</v>
      </c>
      <c r="I2358" s="3"/>
      <c r="J2358" s="42"/>
      <c r="K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</row>
    <row r="2359" spans="1:22" x14ac:dyDescent="0.25">
      <c r="A2359" s="20">
        <v>42059</v>
      </c>
      <c r="B2359" s="21">
        <v>13056</v>
      </c>
      <c r="C2359" s="14" t="s">
        <v>14</v>
      </c>
      <c r="D2359" s="105">
        <v>172916.75200000001</v>
      </c>
      <c r="E2359" s="23">
        <v>42062</v>
      </c>
      <c r="F2359" s="106">
        <v>172916.75</v>
      </c>
      <c r="G2359" s="31">
        <f t="shared" si="36"/>
        <v>2.0000000076834112E-3</v>
      </c>
      <c r="H2359" s="39" t="s">
        <v>15</v>
      </c>
      <c r="I2359" s="3"/>
      <c r="J2359" s="42"/>
      <c r="K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</row>
    <row r="2360" spans="1:22" x14ac:dyDescent="0.25">
      <c r="A2360" s="20">
        <v>42059</v>
      </c>
      <c r="B2360" s="21">
        <v>13057</v>
      </c>
      <c r="C2360" s="14" t="s">
        <v>80</v>
      </c>
      <c r="D2360" s="105">
        <v>7236</v>
      </c>
      <c r="E2360" s="23">
        <v>42059</v>
      </c>
      <c r="F2360" s="106">
        <v>7236</v>
      </c>
      <c r="G2360" s="31">
        <f t="shared" si="36"/>
        <v>0</v>
      </c>
      <c r="H2360" s="39" t="s">
        <v>9</v>
      </c>
      <c r="I2360" s="3"/>
      <c r="J2360" s="42"/>
      <c r="K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</row>
    <row r="2361" spans="1:22" x14ac:dyDescent="0.25">
      <c r="A2361" s="20">
        <v>42059</v>
      </c>
      <c r="B2361" s="21">
        <v>13058</v>
      </c>
      <c r="C2361" s="14" t="s">
        <v>141</v>
      </c>
      <c r="D2361" s="105">
        <v>1664</v>
      </c>
      <c r="E2361" s="23">
        <v>42059</v>
      </c>
      <c r="F2361" s="106">
        <v>1664</v>
      </c>
      <c r="G2361" s="31">
        <f t="shared" si="36"/>
        <v>0</v>
      </c>
      <c r="H2361" s="39" t="s">
        <v>9</v>
      </c>
      <c r="I2361" s="3"/>
      <c r="J2361" s="42"/>
      <c r="K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</row>
    <row r="2362" spans="1:22" x14ac:dyDescent="0.25">
      <c r="A2362" s="20">
        <v>42059</v>
      </c>
      <c r="B2362" s="21">
        <v>13059</v>
      </c>
      <c r="C2362" s="14" t="s">
        <v>24</v>
      </c>
      <c r="D2362" s="105">
        <v>126334.5</v>
      </c>
      <c r="E2362" s="30">
        <v>42074</v>
      </c>
      <c r="F2362" s="144">
        <v>126334.5</v>
      </c>
      <c r="G2362" s="31">
        <f t="shared" si="36"/>
        <v>0</v>
      </c>
      <c r="H2362" s="39" t="s">
        <v>183</v>
      </c>
      <c r="I2362" s="3"/>
      <c r="J2362" s="42"/>
      <c r="K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</row>
    <row r="2363" spans="1:22" x14ac:dyDescent="0.25">
      <c r="A2363" s="20">
        <v>42059</v>
      </c>
      <c r="B2363" s="21">
        <v>13060</v>
      </c>
      <c r="C2363" s="129" t="s">
        <v>141</v>
      </c>
      <c r="D2363" s="130">
        <v>33.799999999999997</v>
      </c>
      <c r="E2363" s="23">
        <v>42065</v>
      </c>
      <c r="F2363" s="106">
        <v>33.799999999999997</v>
      </c>
      <c r="G2363" s="31">
        <f t="shared" si="36"/>
        <v>0</v>
      </c>
      <c r="H2363" s="39" t="s">
        <v>9</v>
      </c>
      <c r="I2363" s="3"/>
      <c r="J2363" s="42"/>
      <c r="K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</row>
    <row r="2364" spans="1:22" x14ac:dyDescent="0.25">
      <c r="A2364" s="20">
        <v>42059</v>
      </c>
      <c r="B2364" s="21">
        <v>13061</v>
      </c>
      <c r="C2364" s="14" t="s">
        <v>110</v>
      </c>
      <c r="D2364" s="105">
        <v>41006.089999999997</v>
      </c>
      <c r="E2364" s="23">
        <v>42063</v>
      </c>
      <c r="F2364" s="106">
        <v>41006.089999999997</v>
      </c>
      <c r="G2364" s="31">
        <f t="shared" si="36"/>
        <v>0</v>
      </c>
      <c r="H2364" s="39" t="s">
        <v>9</v>
      </c>
      <c r="I2364" s="3"/>
      <c r="J2364" s="42"/>
      <c r="K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</row>
    <row r="2365" spans="1:22" x14ac:dyDescent="0.25">
      <c r="A2365" s="20">
        <v>42060</v>
      </c>
      <c r="B2365" s="21">
        <v>13062</v>
      </c>
      <c r="C2365" s="14" t="s">
        <v>256</v>
      </c>
      <c r="D2365" s="105">
        <v>7265.5</v>
      </c>
      <c r="E2365" s="23">
        <v>42060</v>
      </c>
      <c r="F2365" s="106">
        <v>7265.5</v>
      </c>
      <c r="G2365" s="31">
        <f t="shared" si="36"/>
        <v>0</v>
      </c>
      <c r="H2365" s="39" t="s">
        <v>9</v>
      </c>
      <c r="I2365" s="3"/>
      <c r="J2365" s="42"/>
      <c r="K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</row>
    <row r="2366" spans="1:22" x14ac:dyDescent="0.25">
      <c r="A2366" s="20">
        <v>42060</v>
      </c>
      <c r="B2366" s="21">
        <v>13063</v>
      </c>
      <c r="C2366" s="14" t="s">
        <v>14</v>
      </c>
      <c r="D2366" s="105">
        <v>24000</v>
      </c>
      <c r="E2366" s="23">
        <v>42062</v>
      </c>
      <c r="F2366" s="106">
        <v>24000</v>
      </c>
      <c r="G2366" s="31">
        <f t="shared" si="36"/>
        <v>0</v>
      </c>
      <c r="H2366" s="39" t="s">
        <v>15</v>
      </c>
      <c r="I2366" s="3"/>
      <c r="J2366" s="42"/>
      <c r="K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</row>
    <row r="2367" spans="1:22" x14ac:dyDescent="0.25">
      <c r="A2367" s="20">
        <v>42060</v>
      </c>
      <c r="B2367" s="21">
        <v>13064</v>
      </c>
      <c r="C2367" s="14" t="s">
        <v>18</v>
      </c>
      <c r="D2367" s="105">
        <v>2686.2</v>
      </c>
      <c r="E2367" s="23">
        <v>42060</v>
      </c>
      <c r="F2367" s="106">
        <v>2686.2</v>
      </c>
      <c r="G2367" s="31">
        <f t="shared" si="36"/>
        <v>0</v>
      </c>
      <c r="H2367" s="39" t="s">
        <v>9</v>
      </c>
      <c r="I2367" s="3"/>
      <c r="J2367" s="42"/>
      <c r="K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</row>
    <row r="2368" spans="1:22" x14ac:dyDescent="0.25">
      <c r="A2368" s="20">
        <v>42060</v>
      </c>
      <c r="B2368" s="21">
        <v>13065</v>
      </c>
      <c r="C2368" s="14" t="s">
        <v>16</v>
      </c>
      <c r="D2368" s="105">
        <v>3974.6</v>
      </c>
      <c r="E2368" s="23">
        <v>42060</v>
      </c>
      <c r="F2368" s="106">
        <v>3974.6</v>
      </c>
      <c r="G2368" s="31">
        <f t="shared" si="36"/>
        <v>0</v>
      </c>
      <c r="H2368" s="39" t="s">
        <v>17</v>
      </c>
      <c r="I2368" s="3"/>
      <c r="J2368" s="42"/>
      <c r="K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</row>
    <row r="2369" spans="1:22" x14ac:dyDescent="0.25">
      <c r="A2369" s="20">
        <v>42060</v>
      </c>
      <c r="B2369" s="21">
        <v>13066</v>
      </c>
      <c r="C2369" s="14" t="s">
        <v>158</v>
      </c>
      <c r="D2369" s="105">
        <v>5252.4</v>
      </c>
      <c r="E2369" s="23">
        <v>42060</v>
      </c>
      <c r="F2369" s="106">
        <v>5252.4</v>
      </c>
      <c r="G2369" s="31">
        <f t="shared" si="36"/>
        <v>0</v>
      </c>
      <c r="H2369" s="39" t="s">
        <v>9</v>
      </c>
      <c r="I2369" s="3"/>
      <c r="J2369" s="42"/>
      <c r="K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</row>
    <row r="2370" spans="1:22" x14ac:dyDescent="0.25">
      <c r="A2370" s="20">
        <v>42060</v>
      </c>
      <c r="B2370" s="21">
        <v>13067</v>
      </c>
      <c r="C2370" s="14" t="s">
        <v>720</v>
      </c>
      <c r="D2370" s="105">
        <v>5577.6</v>
      </c>
      <c r="E2370" s="23">
        <v>42060</v>
      </c>
      <c r="F2370" s="106">
        <v>5577.6</v>
      </c>
      <c r="G2370" s="31">
        <f t="shared" si="36"/>
        <v>0</v>
      </c>
      <c r="H2370" s="39" t="s">
        <v>9</v>
      </c>
      <c r="I2370" s="3"/>
      <c r="J2370" s="42"/>
      <c r="K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</row>
    <row r="2371" spans="1:22" x14ac:dyDescent="0.25">
      <c r="A2371" s="20">
        <v>42060</v>
      </c>
      <c r="B2371" s="21">
        <v>13068</v>
      </c>
      <c r="C2371" s="14" t="s">
        <v>75</v>
      </c>
      <c r="D2371" s="105">
        <v>22524</v>
      </c>
      <c r="E2371" s="131" t="s">
        <v>726</v>
      </c>
      <c r="F2371" s="106">
        <f>17524+5000</f>
        <v>22524</v>
      </c>
      <c r="G2371" s="31">
        <f t="shared" ref="G2371:G2434" si="37">D2371-F2371</f>
        <v>0</v>
      </c>
      <c r="H2371" s="39" t="s">
        <v>62</v>
      </c>
      <c r="I2371" s="3"/>
      <c r="J2371" s="42"/>
      <c r="K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</row>
    <row r="2372" spans="1:22" x14ac:dyDescent="0.25">
      <c r="A2372" s="20">
        <v>42060</v>
      </c>
      <c r="B2372" s="21">
        <v>13069</v>
      </c>
      <c r="C2372" s="14" t="s">
        <v>24</v>
      </c>
      <c r="D2372" s="105">
        <v>29779.200000000001</v>
      </c>
      <c r="E2372" s="30">
        <v>42074</v>
      </c>
      <c r="F2372" s="144">
        <v>29779.200000000001</v>
      </c>
      <c r="G2372" s="31">
        <f t="shared" si="37"/>
        <v>0</v>
      </c>
      <c r="H2372" s="39" t="s">
        <v>19</v>
      </c>
      <c r="I2372" s="3"/>
      <c r="J2372" s="42"/>
      <c r="K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</row>
    <row r="2373" spans="1:22" x14ac:dyDescent="0.25">
      <c r="A2373" s="20">
        <v>42060</v>
      </c>
      <c r="B2373" s="21">
        <v>13070</v>
      </c>
      <c r="C2373" s="26" t="s">
        <v>12</v>
      </c>
      <c r="D2373" s="108">
        <v>10</v>
      </c>
      <c r="E2373" s="23"/>
      <c r="F2373" s="106"/>
      <c r="G2373" s="31">
        <f t="shared" si="37"/>
        <v>10</v>
      </c>
      <c r="H2373" s="39" t="s">
        <v>13</v>
      </c>
      <c r="I2373" s="3"/>
      <c r="J2373" s="42"/>
      <c r="K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</row>
    <row r="2374" spans="1:22" x14ac:dyDescent="0.25">
      <c r="A2374" s="20">
        <v>42060</v>
      </c>
      <c r="B2374" s="21">
        <v>13071</v>
      </c>
      <c r="C2374" s="14" t="s">
        <v>78</v>
      </c>
      <c r="D2374" s="105">
        <v>7842.8</v>
      </c>
      <c r="E2374" s="23">
        <v>42060</v>
      </c>
      <c r="F2374" s="106">
        <v>7842.8</v>
      </c>
      <c r="G2374" s="31">
        <f t="shared" si="37"/>
        <v>0</v>
      </c>
      <c r="H2374" s="39" t="s">
        <v>62</v>
      </c>
      <c r="I2374" s="3"/>
      <c r="J2374" s="42"/>
      <c r="K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</row>
    <row r="2375" spans="1:22" x14ac:dyDescent="0.25">
      <c r="A2375" s="20">
        <v>42060</v>
      </c>
      <c r="B2375" s="21">
        <v>13072</v>
      </c>
      <c r="C2375" s="26" t="s">
        <v>12</v>
      </c>
      <c r="D2375" s="108">
        <v>0</v>
      </c>
      <c r="E2375" s="23"/>
      <c r="F2375" s="106"/>
      <c r="G2375" s="31">
        <f t="shared" si="37"/>
        <v>0</v>
      </c>
      <c r="H2375" s="39" t="s">
        <v>13</v>
      </c>
      <c r="I2375" s="3"/>
      <c r="J2375" s="42"/>
      <c r="K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</row>
    <row r="2376" spans="1:22" x14ac:dyDescent="0.25">
      <c r="A2376" s="20">
        <v>42060</v>
      </c>
      <c r="B2376" s="21">
        <v>13073</v>
      </c>
      <c r="C2376" s="14" t="s">
        <v>79</v>
      </c>
      <c r="D2376" s="105">
        <v>1307.52</v>
      </c>
      <c r="E2376" s="23">
        <v>42061</v>
      </c>
      <c r="F2376" s="106">
        <v>1307.52</v>
      </c>
      <c r="G2376" s="31">
        <f t="shared" si="37"/>
        <v>0</v>
      </c>
      <c r="H2376" s="39" t="s">
        <v>62</v>
      </c>
      <c r="I2376" s="3"/>
      <c r="J2376" s="42"/>
      <c r="K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</row>
    <row r="2377" spans="1:22" x14ac:dyDescent="0.25">
      <c r="A2377" s="20">
        <v>42060</v>
      </c>
      <c r="B2377" s="21">
        <v>13074</v>
      </c>
      <c r="C2377" s="14" t="s">
        <v>67</v>
      </c>
      <c r="D2377" s="105">
        <v>4376.38</v>
      </c>
      <c r="E2377" s="23">
        <v>42061</v>
      </c>
      <c r="F2377" s="106">
        <v>4376.8</v>
      </c>
      <c r="G2377" s="31">
        <f t="shared" si="37"/>
        <v>-0.42000000000007276</v>
      </c>
      <c r="H2377" s="39" t="s">
        <v>62</v>
      </c>
      <c r="I2377" s="3"/>
      <c r="J2377" s="42"/>
      <c r="K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</row>
    <row r="2378" spans="1:22" x14ac:dyDescent="0.25">
      <c r="A2378" s="20">
        <v>42060</v>
      </c>
      <c r="B2378" s="21">
        <v>13075</v>
      </c>
      <c r="C2378" s="14" t="s">
        <v>268</v>
      </c>
      <c r="D2378" s="105">
        <v>7870.5</v>
      </c>
      <c r="E2378" s="23">
        <v>42061</v>
      </c>
      <c r="F2378" s="106">
        <v>7870.5</v>
      </c>
      <c r="G2378" s="31">
        <f t="shared" si="37"/>
        <v>0</v>
      </c>
      <c r="H2378" s="39" t="s">
        <v>62</v>
      </c>
      <c r="I2378" s="3"/>
      <c r="J2378" s="42"/>
      <c r="K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</row>
    <row r="2379" spans="1:22" x14ac:dyDescent="0.25">
      <c r="A2379" s="20">
        <v>42060</v>
      </c>
      <c r="B2379" s="21">
        <v>13076</v>
      </c>
      <c r="C2379" s="14" t="s">
        <v>75</v>
      </c>
      <c r="D2379" s="105">
        <v>855.6</v>
      </c>
      <c r="E2379" s="23">
        <v>42061</v>
      </c>
      <c r="F2379" s="106">
        <v>855.6</v>
      </c>
      <c r="G2379" s="31">
        <f t="shared" si="37"/>
        <v>0</v>
      </c>
      <c r="H2379" s="39" t="s">
        <v>62</v>
      </c>
      <c r="I2379" s="3"/>
      <c r="J2379" s="42"/>
      <c r="K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</row>
    <row r="2380" spans="1:22" x14ac:dyDescent="0.25">
      <c r="A2380" s="20">
        <v>42060</v>
      </c>
      <c r="B2380" s="21">
        <v>13077</v>
      </c>
      <c r="C2380" s="14" t="s">
        <v>121</v>
      </c>
      <c r="D2380" s="105">
        <v>2725.8</v>
      </c>
      <c r="E2380" s="23">
        <v>42060</v>
      </c>
      <c r="F2380" s="106">
        <v>2725.8</v>
      </c>
      <c r="G2380" s="31">
        <f t="shared" si="37"/>
        <v>0</v>
      </c>
      <c r="H2380" s="39" t="s">
        <v>9</v>
      </c>
      <c r="I2380" s="3"/>
      <c r="J2380" s="42"/>
      <c r="K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</row>
    <row r="2381" spans="1:22" x14ac:dyDescent="0.25">
      <c r="A2381" s="20">
        <v>42060</v>
      </c>
      <c r="B2381" s="21">
        <v>13078</v>
      </c>
      <c r="C2381" s="14" t="s">
        <v>215</v>
      </c>
      <c r="D2381" s="105">
        <v>43567.55</v>
      </c>
      <c r="E2381" s="23">
        <v>42060</v>
      </c>
      <c r="F2381" s="106">
        <v>43567.55</v>
      </c>
      <c r="G2381" s="31">
        <f t="shared" si="37"/>
        <v>0</v>
      </c>
      <c r="H2381" s="39" t="s">
        <v>9</v>
      </c>
      <c r="I2381" s="3"/>
      <c r="J2381" s="42"/>
      <c r="K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</row>
    <row r="2382" spans="1:22" x14ac:dyDescent="0.25">
      <c r="A2382" s="20">
        <v>42060</v>
      </c>
      <c r="B2382" s="21">
        <v>13079</v>
      </c>
      <c r="C2382" s="14" t="s">
        <v>114</v>
      </c>
      <c r="D2382" s="105">
        <v>1411.2</v>
      </c>
      <c r="E2382" s="65">
        <v>42060</v>
      </c>
      <c r="F2382" s="106">
        <v>1411.2</v>
      </c>
      <c r="G2382" s="31">
        <f t="shared" si="37"/>
        <v>0</v>
      </c>
      <c r="H2382" s="39" t="s">
        <v>9</v>
      </c>
      <c r="I2382" s="3"/>
      <c r="J2382" s="42"/>
      <c r="K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</row>
    <row r="2383" spans="1:22" x14ac:dyDescent="0.25">
      <c r="A2383" s="20">
        <v>42060</v>
      </c>
      <c r="B2383" s="21">
        <v>13080</v>
      </c>
      <c r="C2383" s="26" t="s">
        <v>12</v>
      </c>
      <c r="D2383" s="108">
        <v>0</v>
      </c>
      <c r="E2383" s="65"/>
      <c r="F2383" s="106"/>
      <c r="G2383" s="31">
        <f t="shared" si="37"/>
        <v>0</v>
      </c>
      <c r="H2383" s="39" t="s">
        <v>13</v>
      </c>
      <c r="I2383" s="3"/>
      <c r="J2383" s="42"/>
      <c r="K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</row>
    <row r="2384" spans="1:22" x14ac:dyDescent="0.25">
      <c r="A2384" s="20">
        <v>42060</v>
      </c>
      <c r="B2384" s="21">
        <v>13081</v>
      </c>
      <c r="C2384" s="14" t="s">
        <v>20</v>
      </c>
      <c r="D2384" s="105">
        <v>12023.55</v>
      </c>
      <c r="E2384" s="65">
        <v>42060</v>
      </c>
      <c r="F2384" s="106">
        <v>12023.55</v>
      </c>
      <c r="G2384" s="31">
        <f t="shared" si="37"/>
        <v>0</v>
      </c>
      <c r="H2384" s="39" t="s">
        <v>94</v>
      </c>
      <c r="I2384" s="3"/>
      <c r="J2384" s="42"/>
      <c r="K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</row>
    <row r="2385" spans="1:22" x14ac:dyDescent="0.25">
      <c r="A2385" s="20">
        <v>42060</v>
      </c>
      <c r="B2385" s="21">
        <v>13082</v>
      </c>
      <c r="C2385" s="14" t="s">
        <v>112</v>
      </c>
      <c r="D2385" s="105">
        <v>5844.84</v>
      </c>
      <c r="E2385" s="65">
        <v>42060</v>
      </c>
      <c r="F2385" s="106">
        <v>5844.84</v>
      </c>
      <c r="G2385" s="48">
        <f t="shared" si="37"/>
        <v>0</v>
      </c>
      <c r="H2385" s="39" t="s">
        <v>9</v>
      </c>
      <c r="I2385" s="3"/>
      <c r="J2385" s="42"/>
      <c r="K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</row>
    <row r="2386" spans="1:22" x14ac:dyDescent="0.25">
      <c r="A2386" s="20">
        <v>42060</v>
      </c>
      <c r="B2386" s="21">
        <v>13083</v>
      </c>
      <c r="C2386" s="14" t="s">
        <v>151</v>
      </c>
      <c r="D2386" s="105">
        <v>2646.2</v>
      </c>
      <c r="E2386" s="65">
        <v>42060</v>
      </c>
      <c r="F2386" s="106">
        <v>2646.2</v>
      </c>
      <c r="G2386" s="31">
        <f t="shared" si="37"/>
        <v>0</v>
      </c>
      <c r="H2386" s="39" t="s">
        <v>9</v>
      </c>
      <c r="I2386" s="3"/>
      <c r="J2386" s="42"/>
      <c r="K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</row>
    <row r="2387" spans="1:22" x14ac:dyDescent="0.25">
      <c r="A2387" s="20">
        <v>42060</v>
      </c>
      <c r="B2387" s="21">
        <v>13084</v>
      </c>
      <c r="C2387" s="14" t="s">
        <v>112</v>
      </c>
      <c r="D2387" s="105">
        <v>1507.8</v>
      </c>
      <c r="E2387" s="65">
        <v>42060</v>
      </c>
      <c r="F2387" s="106">
        <v>1507.8</v>
      </c>
      <c r="G2387" s="31">
        <f t="shared" si="37"/>
        <v>0</v>
      </c>
      <c r="H2387" s="39" t="s">
        <v>9</v>
      </c>
      <c r="I2387" s="3"/>
      <c r="J2387" s="42"/>
      <c r="K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</row>
    <row r="2388" spans="1:22" x14ac:dyDescent="0.25">
      <c r="A2388" s="20">
        <v>42060</v>
      </c>
      <c r="B2388" s="21">
        <v>13085</v>
      </c>
      <c r="C2388" s="14" t="s">
        <v>22</v>
      </c>
      <c r="D2388" s="105">
        <v>2020.8</v>
      </c>
      <c r="E2388" s="65">
        <v>42060</v>
      </c>
      <c r="F2388" s="106">
        <v>2020.8</v>
      </c>
      <c r="G2388" s="31">
        <f t="shared" si="37"/>
        <v>0</v>
      </c>
      <c r="H2388" s="39" t="s">
        <v>9</v>
      </c>
      <c r="I2388" s="3"/>
      <c r="J2388" s="42"/>
      <c r="K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</row>
    <row r="2389" spans="1:22" x14ac:dyDescent="0.25">
      <c r="A2389" s="20">
        <v>42060</v>
      </c>
      <c r="B2389" s="21">
        <v>13086</v>
      </c>
      <c r="C2389" s="14" t="s">
        <v>21</v>
      </c>
      <c r="D2389" s="105">
        <v>2951.2</v>
      </c>
      <c r="E2389" s="65">
        <v>42060</v>
      </c>
      <c r="F2389" s="106">
        <v>2951.2</v>
      </c>
      <c r="G2389" s="31">
        <f t="shared" si="37"/>
        <v>0</v>
      </c>
      <c r="H2389" s="39" t="s">
        <v>9</v>
      </c>
      <c r="I2389" s="3"/>
      <c r="J2389" s="42"/>
      <c r="K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</row>
    <row r="2390" spans="1:22" x14ac:dyDescent="0.25">
      <c r="A2390" s="20">
        <v>42060</v>
      </c>
      <c r="B2390" s="21">
        <v>13087</v>
      </c>
      <c r="C2390" s="26" t="s">
        <v>12</v>
      </c>
      <c r="D2390" s="108">
        <v>0</v>
      </c>
      <c r="E2390" s="65"/>
      <c r="F2390" s="106"/>
      <c r="G2390" s="31">
        <f t="shared" si="37"/>
        <v>0</v>
      </c>
      <c r="H2390" s="39" t="s">
        <v>13</v>
      </c>
      <c r="I2390" s="3"/>
      <c r="J2390" s="42"/>
      <c r="K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</row>
    <row r="2391" spans="1:22" x14ac:dyDescent="0.25">
      <c r="A2391" s="20">
        <v>42060</v>
      </c>
      <c r="B2391" s="21">
        <v>13088</v>
      </c>
      <c r="C2391" s="14" t="s">
        <v>125</v>
      </c>
      <c r="D2391" s="105">
        <v>18097.599999999999</v>
      </c>
      <c r="E2391" s="74">
        <v>42064</v>
      </c>
      <c r="F2391" s="144">
        <v>18097.599999999999</v>
      </c>
      <c r="G2391" s="31">
        <f t="shared" si="37"/>
        <v>0</v>
      </c>
      <c r="H2391" s="39" t="s">
        <v>9</v>
      </c>
      <c r="I2391" s="3"/>
      <c r="J2391" s="42"/>
      <c r="K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</row>
    <row r="2392" spans="1:22" x14ac:dyDescent="0.25">
      <c r="A2392" s="20">
        <v>42060</v>
      </c>
      <c r="B2392" s="21">
        <v>13089</v>
      </c>
      <c r="C2392" s="14" t="s">
        <v>23</v>
      </c>
      <c r="D2392" s="105">
        <v>3683.2</v>
      </c>
      <c r="E2392" s="65">
        <v>42060</v>
      </c>
      <c r="F2392" s="106">
        <v>3683.2</v>
      </c>
      <c r="G2392" s="31">
        <f t="shared" si="37"/>
        <v>0</v>
      </c>
      <c r="H2392" s="39" t="s">
        <v>9</v>
      </c>
      <c r="I2392" s="3"/>
      <c r="J2392" s="42"/>
      <c r="K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</row>
    <row r="2393" spans="1:22" x14ac:dyDescent="0.25">
      <c r="A2393" s="20">
        <v>42060</v>
      </c>
      <c r="B2393" s="21">
        <v>13090</v>
      </c>
      <c r="C2393" s="14" t="s">
        <v>18</v>
      </c>
      <c r="D2393" s="105">
        <v>42440.76</v>
      </c>
      <c r="E2393" s="74">
        <v>42064</v>
      </c>
      <c r="F2393" s="144">
        <v>42440.76</v>
      </c>
      <c r="G2393" s="31">
        <f t="shared" si="37"/>
        <v>0</v>
      </c>
      <c r="H2393" s="39" t="s">
        <v>9</v>
      </c>
      <c r="I2393" s="3"/>
      <c r="J2393" s="42"/>
      <c r="K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</row>
    <row r="2394" spans="1:22" x14ac:dyDescent="0.25">
      <c r="A2394" s="20">
        <v>42060</v>
      </c>
      <c r="B2394" s="21">
        <v>13091</v>
      </c>
      <c r="C2394" s="14" t="s">
        <v>604</v>
      </c>
      <c r="D2394" s="105">
        <v>716.8</v>
      </c>
      <c r="E2394" s="65">
        <v>42060</v>
      </c>
      <c r="F2394" s="106">
        <v>716.8</v>
      </c>
      <c r="G2394" s="31">
        <f t="shared" si="37"/>
        <v>0</v>
      </c>
      <c r="H2394" s="39" t="s">
        <v>9</v>
      </c>
      <c r="I2394" s="3"/>
      <c r="J2394" s="42"/>
      <c r="K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</row>
    <row r="2395" spans="1:22" x14ac:dyDescent="0.25">
      <c r="A2395" s="20">
        <v>42060</v>
      </c>
      <c r="B2395" s="21">
        <v>13092</v>
      </c>
      <c r="C2395" s="14" t="s">
        <v>135</v>
      </c>
      <c r="D2395" s="105">
        <v>1447.6</v>
      </c>
      <c r="E2395" s="65">
        <v>42060</v>
      </c>
      <c r="F2395" s="106">
        <v>1447.6</v>
      </c>
      <c r="G2395" s="31">
        <f t="shared" si="37"/>
        <v>0</v>
      </c>
      <c r="H2395" s="39" t="s">
        <v>9</v>
      </c>
      <c r="I2395" s="3"/>
      <c r="J2395" s="42"/>
      <c r="K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</row>
    <row r="2396" spans="1:22" x14ac:dyDescent="0.25">
      <c r="A2396" s="20">
        <v>42060</v>
      </c>
      <c r="B2396" s="21">
        <v>13093</v>
      </c>
      <c r="C2396" s="14" t="s">
        <v>697</v>
      </c>
      <c r="D2396" s="105">
        <v>44707.35</v>
      </c>
      <c r="E2396" s="65">
        <v>42060</v>
      </c>
      <c r="F2396" s="106">
        <v>44707.35</v>
      </c>
      <c r="G2396" s="31">
        <f t="shared" si="37"/>
        <v>0</v>
      </c>
      <c r="H2396" s="39" t="s">
        <v>19</v>
      </c>
      <c r="I2396" s="3"/>
      <c r="J2396" s="42"/>
      <c r="K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</row>
    <row r="2397" spans="1:22" x14ac:dyDescent="0.25">
      <c r="A2397" s="20">
        <v>42060</v>
      </c>
      <c r="B2397" s="21">
        <v>13094</v>
      </c>
      <c r="C2397" s="14" t="s">
        <v>55</v>
      </c>
      <c r="D2397" s="105">
        <v>21292.52</v>
      </c>
      <c r="E2397" s="65">
        <v>42060</v>
      </c>
      <c r="F2397" s="106">
        <v>21292.2</v>
      </c>
      <c r="G2397" s="31">
        <f t="shared" si="37"/>
        <v>0.31999999999970896</v>
      </c>
      <c r="H2397" s="39" t="s">
        <v>36</v>
      </c>
      <c r="I2397" s="3"/>
      <c r="J2397" s="42"/>
      <c r="K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</row>
    <row r="2398" spans="1:22" x14ac:dyDescent="0.25">
      <c r="A2398" s="20">
        <v>42060</v>
      </c>
      <c r="B2398" s="21">
        <v>13095</v>
      </c>
      <c r="C2398" s="14" t="s">
        <v>714</v>
      </c>
      <c r="D2398" s="105">
        <v>1482.4</v>
      </c>
      <c r="E2398" s="65">
        <v>42060</v>
      </c>
      <c r="F2398" s="106">
        <v>1482.4</v>
      </c>
      <c r="G2398" s="31">
        <f t="shared" si="37"/>
        <v>0</v>
      </c>
      <c r="H2398" s="39" t="s">
        <v>9</v>
      </c>
      <c r="I2398" s="3"/>
      <c r="J2398" s="42"/>
      <c r="K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</row>
    <row r="2399" spans="1:22" x14ac:dyDescent="0.25">
      <c r="A2399" s="20">
        <v>42060</v>
      </c>
      <c r="B2399" s="21">
        <v>13096</v>
      </c>
      <c r="C2399" s="14" t="s">
        <v>270</v>
      </c>
      <c r="D2399" s="105">
        <v>734.34</v>
      </c>
      <c r="E2399" s="65">
        <v>42060</v>
      </c>
      <c r="F2399" s="106">
        <v>734.34</v>
      </c>
      <c r="G2399" s="31">
        <f t="shared" si="37"/>
        <v>0</v>
      </c>
      <c r="H2399" s="39" t="s">
        <v>9</v>
      </c>
      <c r="I2399" s="3"/>
      <c r="J2399" s="42"/>
      <c r="K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</row>
    <row r="2400" spans="1:22" x14ac:dyDescent="0.25">
      <c r="A2400" s="20">
        <v>42060</v>
      </c>
      <c r="B2400" s="21">
        <v>13097</v>
      </c>
      <c r="C2400" s="14" t="s">
        <v>35</v>
      </c>
      <c r="D2400" s="105">
        <v>22842.33</v>
      </c>
      <c r="E2400" s="65">
        <v>42060</v>
      </c>
      <c r="F2400" s="106">
        <v>22842.33</v>
      </c>
      <c r="G2400" s="31">
        <f t="shared" si="37"/>
        <v>0</v>
      </c>
      <c r="H2400" s="39" t="s">
        <v>36</v>
      </c>
      <c r="I2400" s="3"/>
      <c r="J2400" s="42"/>
      <c r="K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</row>
    <row r="2401" spans="1:22" x14ac:dyDescent="0.25">
      <c r="A2401" s="20">
        <v>42060</v>
      </c>
      <c r="B2401" s="21">
        <v>13098</v>
      </c>
      <c r="C2401" s="14" t="s">
        <v>160</v>
      </c>
      <c r="D2401" s="105">
        <v>1356</v>
      </c>
      <c r="E2401" s="65">
        <v>42060</v>
      </c>
      <c r="F2401" s="106">
        <v>1356</v>
      </c>
      <c r="G2401" s="31">
        <f t="shared" si="37"/>
        <v>0</v>
      </c>
      <c r="H2401" s="39" t="s">
        <v>36</v>
      </c>
      <c r="I2401" s="3"/>
      <c r="J2401" s="42"/>
      <c r="K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</row>
    <row r="2402" spans="1:22" x14ac:dyDescent="0.25">
      <c r="A2402" s="20">
        <v>42060</v>
      </c>
      <c r="B2402" s="21">
        <v>13099</v>
      </c>
      <c r="C2402" s="14" t="s">
        <v>28</v>
      </c>
      <c r="D2402" s="105">
        <v>3335.2</v>
      </c>
      <c r="E2402" s="65">
        <v>42060</v>
      </c>
      <c r="F2402" s="106">
        <v>3335.2</v>
      </c>
      <c r="G2402" s="31">
        <f t="shared" si="37"/>
        <v>0</v>
      </c>
      <c r="H2402" s="39" t="s">
        <v>36</v>
      </c>
      <c r="I2402" s="3"/>
      <c r="J2402" s="42"/>
      <c r="K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</row>
    <row r="2403" spans="1:22" x14ac:dyDescent="0.25">
      <c r="A2403" s="20">
        <v>42060</v>
      </c>
      <c r="B2403" s="21">
        <v>13100</v>
      </c>
      <c r="C2403" s="14" t="s">
        <v>24</v>
      </c>
      <c r="D2403" s="105">
        <v>207823.11</v>
      </c>
      <c r="E2403" s="74">
        <v>42081</v>
      </c>
      <c r="F2403" s="144">
        <v>207823.11</v>
      </c>
      <c r="G2403" s="31">
        <f t="shared" si="37"/>
        <v>0</v>
      </c>
      <c r="H2403" s="39" t="s">
        <v>46</v>
      </c>
      <c r="I2403" s="3"/>
      <c r="J2403" s="42"/>
      <c r="K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</row>
    <row r="2404" spans="1:22" x14ac:dyDescent="0.25">
      <c r="A2404" s="20">
        <v>42060</v>
      </c>
      <c r="B2404" s="21">
        <v>13101</v>
      </c>
      <c r="C2404" s="14" t="s">
        <v>45</v>
      </c>
      <c r="D2404" s="105">
        <v>1303.2</v>
      </c>
      <c r="E2404" s="74">
        <v>42074</v>
      </c>
      <c r="F2404" s="144">
        <v>1303.2</v>
      </c>
      <c r="G2404" s="31">
        <f t="shared" si="37"/>
        <v>0</v>
      </c>
      <c r="H2404" s="39" t="s">
        <v>17</v>
      </c>
      <c r="I2404" s="3"/>
      <c r="J2404" s="42"/>
      <c r="K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</row>
    <row r="2405" spans="1:22" x14ac:dyDescent="0.25">
      <c r="A2405" s="20">
        <v>42060</v>
      </c>
      <c r="B2405" s="21">
        <v>13102</v>
      </c>
      <c r="C2405" s="14" t="s">
        <v>82</v>
      </c>
      <c r="D2405" s="105">
        <v>2025</v>
      </c>
      <c r="E2405" s="65">
        <v>42061</v>
      </c>
      <c r="F2405" s="106">
        <v>2025</v>
      </c>
      <c r="G2405" s="31">
        <f t="shared" si="37"/>
        <v>0</v>
      </c>
      <c r="H2405" s="39" t="s">
        <v>17</v>
      </c>
      <c r="I2405" s="3"/>
      <c r="J2405" s="42"/>
      <c r="K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</row>
    <row r="2406" spans="1:22" x14ac:dyDescent="0.25">
      <c r="A2406" s="20">
        <v>42060</v>
      </c>
      <c r="B2406" s="21">
        <v>13103</v>
      </c>
      <c r="C2406" s="14" t="s">
        <v>37</v>
      </c>
      <c r="D2406" s="105">
        <v>2801.5</v>
      </c>
      <c r="E2406" s="74">
        <v>42068</v>
      </c>
      <c r="F2406" s="144">
        <v>2801.5</v>
      </c>
      <c r="G2406" s="31">
        <f t="shared" si="37"/>
        <v>0</v>
      </c>
      <c r="H2406" s="39" t="s">
        <v>36</v>
      </c>
      <c r="I2406" s="3"/>
      <c r="J2406" s="42"/>
      <c r="K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</row>
    <row r="2407" spans="1:22" x14ac:dyDescent="0.25">
      <c r="A2407" s="20">
        <v>42060</v>
      </c>
      <c r="B2407" s="21">
        <v>13104</v>
      </c>
      <c r="C2407" s="14" t="s">
        <v>127</v>
      </c>
      <c r="D2407" s="105">
        <v>14744.1</v>
      </c>
      <c r="E2407" s="65">
        <v>42060</v>
      </c>
      <c r="F2407" s="106">
        <v>14744.1</v>
      </c>
      <c r="G2407" s="31">
        <f t="shared" si="37"/>
        <v>0</v>
      </c>
      <c r="H2407" s="39" t="s">
        <v>9</v>
      </c>
      <c r="I2407" s="3"/>
      <c r="J2407" s="42"/>
      <c r="K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</row>
    <row r="2408" spans="1:22" x14ac:dyDescent="0.25">
      <c r="A2408" s="20">
        <v>42060</v>
      </c>
      <c r="B2408" s="21">
        <v>13105</v>
      </c>
      <c r="C2408" s="14" t="s">
        <v>148</v>
      </c>
      <c r="D2408" s="105">
        <v>2943.8</v>
      </c>
      <c r="E2408" s="65">
        <v>42061</v>
      </c>
      <c r="F2408" s="106">
        <v>2943.8</v>
      </c>
      <c r="G2408" s="31">
        <f t="shared" si="37"/>
        <v>0</v>
      </c>
      <c r="H2408" s="39" t="s">
        <v>17</v>
      </c>
      <c r="I2408" s="3"/>
      <c r="J2408" s="42"/>
      <c r="K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</row>
    <row r="2409" spans="1:22" x14ac:dyDescent="0.25">
      <c r="A2409" s="20">
        <v>42060</v>
      </c>
      <c r="B2409" s="21">
        <v>13106</v>
      </c>
      <c r="C2409" s="14" t="s">
        <v>172</v>
      </c>
      <c r="D2409" s="105">
        <v>4410</v>
      </c>
      <c r="E2409" s="65">
        <v>42061</v>
      </c>
      <c r="F2409" s="106">
        <v>4410</v>
      </c>
      <c r="G2409" s="31">
        <f t="shared" si="37"/>
        <v>0</v>
      </c>
      <c r="H2409" s="39" t="s">
        <v>62</v>
      </c>
      <c r="I2409" s="3"/>
      <c r="J2409" s="42"/>
      <c r="K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</row>
    <row r="2410" spans="1:22" x14ac:dyDescent="0.25">
      <c r="A2410" s="20">
        <v>42060</v>
      </c>
      <c r="B2410" s="21">
        <v>13107</v>
      </c>
      <c r="C2410" s="110">
        <v>105</v>
      </c>
      <c r="D2410" s="105">
        <v>740</v>
      </c>
      <c r="E2410" s="65">
        <v>42061</v>
      </c>
      <c r="F2410" s="106">
        <v>740</v>
      </c>
      <c r="G2410" s="31">
        <f t="shared" si="37"/>
        <v>0</v>
      </c>
      <c r="H2410" s="39" t="s">
        <v>17</v>
      </c>
      <c r="I2410" s="3"/>
      <c r="J2410" s="42"/>
      <c r="K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</row>
    <row r="2411" spans="1:22" x14ac:dyDescent="0.25">
      <c r="A2411" s="20">
        <v>42060</v>
      </c>
      <c r="B2411" s="21">
        <v>13108</v>
      </c>
      <c r="C2411" s="14" t="s">
        <v>214</v>
      </c>
      <c r="D2411" s="105">
        <v>370</v>
      </c>
      <c r="E2411" s="65">
        <v>42061</v>
      </c>
      <c r="F2411" s="106">
        <v>370</v>
      </c>
      <c r="G2411" s="31">
        <f t="shared" si="37"/>
        <v>0</v>
      </c>
      <c r="H2411" s="39" t="s">
        <v>17</v>
      </c>
      <c r="I2411" s="3"/>
      <c r="J2411" s="42"/>
      <c r="K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</row>
    <row r="2412" spans="1:22" x14ac:dyDescent="0.25">
      <c r="A2412" s="20">
        <v>42060</v>
      </c>
      <c r="B2412" s="21">
        <v>13109</v>
      </c>
      <c r="C2412" s="14" t="s">
        <v>58</v>
      </c>
      <c r="D2412" s="105">
        <v>370</v>
      </c>
      <c r="E2412" s="65">
        <v>42061</v>
      </c>
      <c r="F2412" s="106">
        <v>370</v>
      </c>
      <c r="G2412" s="31">
        <f t="shared" si="37"/>
        <v>0</v>
      </c>
      <c r="H2412" s="39" t="s">
        <v>17</v>
      </c>
      <c r="I2412" s="3"/>
      <c r="J2412" s="42"/>
      <c r="K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</row>
    <row r="2413" spans="1:22" x14ac:dyDescent="0.25">
      <c r="A2413" s="20">
        <v>42060</v>
      </c>
      <c r="B2413" s="21">
        <v>13110</v>
      </c>
      <c r="C2413" s="14" t="s">
        <v>57</v>
      </c>
      <c r="D2413" s="105">
        <v>1110</v>
      </c>
      <c r="E2413" s="65">
        <v>42061</v>
      </c>
      <c r="F2413" s="106">
        <v>1110</v>
      </c>
      <c r="G2413" s="31">
        <f t="shared" si="37"/>
        <v>0</v>
      </c>
      <c r="H2413" s="39" t="s">
        <v>17</v>
      </c>
      <c r="I2413" s="3"/>
      <c r="J2413" s="42"/>
      <c r="K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</row>
    <row r="2414" spans="1:22" x14ac:dyDescent="0.25">
      <c r="A2414" s="20">
        <v>42060</v>
      </c>
      <c r="B2414" s="21">
        <v>13111</v>
      </c>
      <c r="C2414" s="14" t="s">
        <v>53</v>
      </c>
      <c r="D2414" s="105">
        <v>720</v>
      </c>
      <c r="E2414" s="65">
        <v>42061</v>
      </c>
      <c r="F2414" s="106">
        <v>720</v>
      </c>
      <c r="G2414" s="31">
        <f t="shared" si="37"/>
        <v>0</v>
      </c>
      <c r="H2414" s="39" t="s">
        <v>17</v>
      </c>
      <c r="I2414" s="3"/>
      <c r="J2414" s="42"/>
      <c r="K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</row>
    <row r="2415" spans="1:22" x14ac:dyDescent="0.25">
      <c r="A2415" s="20">
        <v>42060</v>
      </c>
      <c r="B2415" s="21">
        <v>13112</v>
      </c>
      <c r="C2415" s="14" t="s">
        <v>26</v>
      </c>
      <c r="D2415" s="105">
        <v>580</v>
      </c>
      <c r="E2415" s="65">
        <v>42060</v>
      </c>
      <c r="F2415" s="106">
        <v>580</v>
      </c>
      <c r="G2415" s="31">
        <f t="shared" si="37"/>
        <v>0</v>
      </c>
      <c r="H2415" s="39" t="s">
        <v>9</v>
      </c>
      <c r="I2415" s="3"/>
      <c r="J2415" s="42"/>
      <c r="K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</row>
    <row r="2416" spans="1:22" x14ac:dyDescent="0.25">
      <c r="A2416" s="20">
        <v>42060</v>
      </c>
      <c r="B2416" s="21">
        <v>13113</v>
      </c>
      <c r="C2416" s="14" t="s">
        <v>81</v>
      </c>
      <c r="D2416" s="105">
        <v>1583.4</v>
      </c>
      <c r="E2416" s="65">
        <v>42061</v>
      </c>
      <c r="F2416" s="106">
        <v>1583.4</v>
      </c>
      <c r="G2416" s="31">
        <f t="shared" si="37"/>
        <v>0</v>
      </c>
      <c r="H2416" s="39" t="s">
        <v>17</v>
      </c>
      <c r="I2416" s="3"/>
      <c r="J2416" s="42"/>
      <c r="K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</row>
    <row r="2417" spans="1:22" x14ac:dyDescent="0.25">
      <c r="A2417" s="20">
        <v>42060</v>
      </c>
      <c r="B2417" s="21">
        <v>13114</v>
      </c>
      <c r="C2417" s="14" t="s">
        <v>723</v>
      </c>
      <c r="D2417" s="105">
        <v>3676</v>
      </c>
      <c r="E2417" s="65">
        <v>42061</v>
      </c>
      <c r="F2417" s="106">
        <v>3676</v>
      </c>
      <c r="G2417" s="31">
        <f t="shared" si="37"/>
        <v>0</v>
      </c>
      <c r="H2417" s="39" t="s">
        <v>17</v>
      </c>
      <c r="I2417" s="3"/>
      <c r="J2417" s="42"/>
      <c r="K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</row>
    <row r="2418" spans="1:22" x14ac:dyDescent="0.25">
      <c r="A2418" s="20">
        <v>42060</v>
      </c>
      <c r="B2418" s="21">
        <v>13115</v>
      </c>
      <c r="C2418" s="14" t="s">
        <v>45</v>
      </c>
      <c r="D2418" s="105">
        <v>67289.59</v>
      </c>
      <c r="E2418" s="65">
        <v>42074</v>
      </c>
      <c r="F2418" s="106">
        <v>67289.59</v>
      </c>
      <c r="G2418" s="31">
        <f t="shared" si="37"/>
        <v>0</v>
      </c>
      <c r="H2418" s="39" t="s">
        <v>46</v>
      </c>
      <c r="I2418" s="3"/>
      <c r="J2418" s="42"/>
      <c r="K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</row>
    <row r="2419" spans="1:22" x14ac:dyDescent="0.25">
      <c r="A2419" s="20">
        <v>42060</v>
      </c>
      <c r="B2419" s="21">
        <v>13116</v>
      </c>
      <c r="C2419" s="14" t="s">
        <v>131</v>
      </c>
      <c r="D2419" s="105">
        <v>11406.85</v>
      </c>
      <c r="E2419" s="65">
        <v>42061</v>
      </c>
      <c r="F2419" s="106">
        <v>11406.85</v>
      </c>
      <c r="G2419" s="31">
        <f t="shared" si="37"/>
        <v>0</v>
      </c>
      <c r="H2419" s="39" t="s">
        <v>9</v>
      </c>
      <c r="I2419" s="3"/>
      <c r="J2419" s="42"/>
      <c r="K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</row>
    <row r="2420" spans="1:22" x14ac:dyDescent="0.25">
      <c r="A2420" s="20">
        <v>42060</v>
      </c>
      <c r="B2420" s="21">
        <v>13117</v>
      </c>
      <c r="C2420" s="14" t="s">
        <v>130</v>
      </c>
      <c r="D2420" s="105">
        <v>3076.6</v>
      </c>
      <c r="E2420" s="66" t="s">
        <v>727</v>
      </c>
      <c r="F2420" s="106">
        <f>2576.6+500</f>
        <v>3076.6</v>
      </c>
      <c r="G2420" s="31">
        <f t="shared" si="37"/>
        <v>0</v>
      </c>
      <c r="H2420" s="39" t="s">
        <v>17</v>
      </c>
      <c r="I2420" s="3"/>
      <c r="J2420" s="42"/>
      <c r="K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</row>
    <row r="2421" spans="1:22" x14ac:dyDescent="0.25">
      <c r="A2421" s="20">
        <v>42060</v>
      </c>
      <c r="B2421" s="21">
        <v>13118</v>
      </c>
      <c r="C2421" s="14" t="s">
        <v>168</v>
      </c>
      <c r="D2421" s="105">
        <v>8408.7999999999993</v>
      </c>
      <c r="E2421" s="65">
        <v>42061</v>
      </c>
      <c r="F2421" s="106">
        <v>8408.7999999999993</v>
      </c>
      <c r="G2421" s="31">
        <f t="shared" si="37"/>
        <v>0</v>
      </c>
      <c r="H2421" s="39" t="s">
        <v>17</v>
      </c>
      <c r="I2421" s="3"/>
      <c r="J2421" s="42"/>
      <c r="K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</row>
    <row r="2422" spans="1:22" x14ac:dyDescent="0.25">
      <c r="A2422" s="20">
        <v>42060</v>
      </c>
      <c r="B2422" s="21">
        <v>13119</v>
      </c>
      <c r="C2422" s="14" t="s">
        <v>255</v>
      </c>
      <c r="D2422" s="105">
        <v>2970</v>
      </c>
      <c r="E2422" s="65">
        <v>42061</v>
      </c>
      <c r="F2422" s="106">
        <v>2970</v>
      </c>
      <c r="G2422" s="31">
        <f t="shared" si="37"/>
        <v>0</v>
      </c>
      <c r="H2422" s="39" t="s">
        <v>9</v>
      </c>
      <c r="I2422" s="3"/>
      <c r="J2422" s="42"/>
      <c r="K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</row>
    <row r="2423" spans="1:22" x14ac:dyDescent="0.25">
      <c r="A2423" s="20">
        <v>42060</v>
      </c>
      <c r="B2423" s="21">
        <v>13120</v>
      </c>
      <c r="C2423" s="14" t="s">
        <v>64</v>
      </c>
      <c r="D2423" s="105">
        <v>2511.6</v>
      </c>
      <c r="E2423" s="65">
        <v>42060</v>
      </c>
      <c r="F2423" s="106">
        <v>2511.6</v>
      </c>
      <c r="G2423" s="31">
        <f t="shared" si="37"/>
        <v>0</v>
      </c>
      <c r="H2423" s="39" t="s">
        <v>9</v>
      </c>
      <c r="I2423" s="3"/>
      <c r="J2423" s="42"/>
      <c r="K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</row>
    <row r="2424" spans="1:22" x14ac:dyDescent="0.25">
      <c r="A2424" s="20">
        <v>42060</v>
      </c>
      <c r="B2424" s="21">
        <v>13121</v>
      </c>
      <c r="C2424" s="14" t="s">
        <v>239</v>
      </c>
      <c r="D2424" s="105">
        <v>4201.5</v>
      </c>
      <c r="E2424" s="65">
        <v>42060</v>
      </c>
      <c r="F2424" s="106">
        <v>4201.5</v>
      </c>
      <c r="G2424" s="31">
        <f t="shared" si="37"/>
        <v>0</v>
      </c>
      <c r="H2424" s="39" t="s">
        <v>9</v>
      </c>
      <c r="I2424" s="3"/>
      <c r="J2424" s="42"/>
      <c r="K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</row>
    <row r="2425" spans="1:22" x14ac:dyDescent="0.25">
      <c r="A2425" s="20">
        <v>42060</v>
      </c>
      <c r="B2425" s="21">
        <v>13122</v>
      </c>
      <c r="C2425" s="14" t="s">
        <v>30</v>
      </c>
      <c r="D2425" s="105">
        <v>3524.2</v>
      </c>
      <c r="E2425" s="65">
        <v>42060</v>
      </c>
      <c r="F2425" s="106">
        <v>3524.2</v>
      </c>
      <c r="G2425" s="31">
        <f t="shared" si="37"/>
        <v>0</v>
      </c>
      <c r="H2425" s="39" t="s">
        <v>9</v>
      </c>
      <c r="I2425" s="3"/>
      <c r="J2425" s="42"/>
      <c r="K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</row>
    <row r="2426" spans="1:22" x14ac:dyDescent="0.25">
      <c r="A2426" s="20">
        <v>42060</v>
      </c>
      <c r="B2426" s="21">
        <v>13123</v>
      </c>
      <c r="C2426" s="14" t="s">
        <v>30</v>
      </c>
      <c r="D2426" s="105">
        <v>877.4</v>
      </c>
      <c r="E2426" s="65">
        <v>42060</v>
      </c>
      <c r="F2426" s="106">
        <v>877.4</v>
      </c>
      <c r="G2426" s="31">
        <f t="shared" si="37"/>
        <v>0</v>
      </c>
      <c r="H2426" s="39" t="s">
        <v>9</v>
      </c>
      <c r="I2426" s="3"/>
      <c r="J2426" s="42"/>
      <c r="K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</row>
    <row r="2427" spans="1:22" x14ac:dyDescent="0.25">
      <c r="A2427" s="20">
        <v>42060</v>
      </c>
      <c r="B2427" s="21">
        <v>13124</v>
      </c>
      <c r="C2427" s="14" t="s">
        <v>47</v>
      </c>
      <c r="D2427" s="105">
        <v>22795.8</v>
      </c>
      <c r="E2427" s="65">
        <v>42060</v>
      </c>
      <c r="F2427" s="106">
        <v>22795.8</v>
      </c>
      <c r="G2427" s="31">
        <f t="shared" si="37"/>
        <v>0</v>
      </c>
      <c r="H2427" s="39" t="s">
        <v>9</v>
      </c>
      <c r="I2427" s="3"/>
      <c r="J2427" s="42"/>
      <c r="K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</row>
    <row r="2428" spans="1:22" x14ac:dyDescent="0.25">
      <c r="A2428" s="20">
        <v>42060</v>
      </c>
      <c r="B2428" s="21">
        <v>13125</v>
      </c>
      <c r="C2428" s="14" t="s">
        <v>675</v>
      </c>
      <c r="D2428" s="105">
        <v>740</v>
      </c>
      <c r="E2428" s="65">
        <v>42060</v>
      </c>
      <c r="F2428" s="106">
        <v>740</v>
      </c>
      <c r="G2428" s="31">
        <f t="shared" si="37"/>
        <v>0</v>
      </c>
      <c r="H2428" s="39" t="s">
        <v>9</v>
      </c>
      <c r="I2428" s="3"/>
      <c r="J2428" s="42"/>
      <c r="K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</row>
    <row r="2429" spans="1:22" x14ac:dyDescent="0.25">
      <c r="A2429" s="20">
        <v>42060</v>
      </c>
      <c r="B2429" s="21">
        <v>13126</v>
      </c>
      <c r="C2429" s="14" t="s">
        <v>332</v>
      </c>
      <c r="D2429" s="105">
        <v>3084.2</v>
      </c>
      <c r="E2429" s="65">
        <v>42060</v>
      </c>
      <c r="F2429" s="106">
        <v>3084.2</v>
      </c>
      <c r="G2429" s="31">
        <f t="shared" si="37"/>
        <v>0</v>
      </c>
      <c r="H2429" s="39" t="s">
        <v>9</v>
      </c>
      <c r="I2429" s="3"/>
      <c r="J2429" s="42"/>
      <c r="K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</row>
    <row r="2430" spans="1:22" x14ac:dyDescent="0.25">
      <c r="A2430" s="20">
        <v>42060</v>
      </c>
      <c r="B2430" s="21">
        <v>13127</v>
      </c>
      <c r="C2430" s="14" t="s">
        <v>111</v>
      </c>
      <c r="D2430" s="105">
        <v>133675</v>
      </c>
      <c r="E2430" s="65">
        <v>42061</v>
      </c>
      <c r="F2430" s="106">
        <v>133675</v>
      </c>
      <c r="G2430" s="31">
        <f t="shared" si="37"/>
        <v>0</v>
      </c>
      <c r="H2430" s="39" t="s">
        <v>94</v>
      </c>
      <c r="I2430" s="3"/>
      <c r="J2430" s="42"/>
      <c r="K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</row>
    <row r="2431" spans="1:22" x14ac:dyDescent="0.25">
      <c r="A2431" s="20">
        <v>42060</v>
      </c>
      <c r="B2431" s="21">
        <v>13128</v>
      </c>
      <c r="C2431" s="14" t="s">
        <v>111</v>
      </c>
      <c r="D2431" s="105">
        <v>177956</v>
      </c>
      <c r="E2431" s="65">
        <v>42061</v>
      </c>
      <c r="F2431" s="106">
        <v>177956</v>
      </c>
      <c r="G2431" s="31">
        <f t="shared" si="37"/>
        <v>0</v>
      </c>
      <c r="H2431" s="39" t="s">
        <v>94</v>
      </c>
      <c r="I2431" s="3"/>
      <c r="J2431" s="42"/>
      <c r="K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</row>
    <row r="2432" spans="1:22" x14ac:dyDescent="0.25">
      <c r="A2432" s="20">
        <v>42060</v>
      </c>
      <c r="B2432" s="21">
        <v>13129</v>
      </c>
      <c r="C2432" s="14" t="s">
        <v>87</v>
      </c>
      <c r="D2432" s="105">
        <v>2361.35</v>
      </c>
      <c r="E2432" s="65">
        <v>42060</v>
      </c>
      <c r="F2432" s="106">
        <v>2361.25</v>
      </c>
      <c r="G2432" s="31">
        <f t="shared" si="37"/>
        <v>9.9999999999909051E-2</v>
      </c>
      <c r="H2432" s="39" t="s">
        <v>94</v>
      </c>
      <c r="I2432" s="3"/>
      <c r="J2432" s="42"/>
      <c r="K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</row>
    <row r="2433" spans="1:22" x14ac:dyDescent="0.25">
      <c r="A2433" s="20">
        <v>42060</v>
      </c>
      <c r="B2433" s="21">
        <v>13130</v>
      </c>
      <c r="C2433" s="14" t="s">
        <v>48</v>
      </c>
      <c r="D2433" s="105">
        <v>2808.2</v>
      </c>
      <c r="E2433" s="65">
        <v>42060</v>
      </c>
      <c r="F2433" s="106">
        <v>2808.2</v>
      </c>
      <c r="G2433" s="31">
        <f t="shared" si="37"/>
        <v>0</v>
      </c>
      <c r="H2433" s="39" t="s">
        <v>94</v>
      </c>
      <c r="I2433" s="3"/>
      <c r="J2433" s="42"/>
      <c r="K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</row>
    <row r="2434" spans="1:22" x14ac:dyDescent="0.25">
      <c r="A2434" s="20">
        <v>42060</v>
      </c>
      <c r="B2434" s="21">
        <v>13131</v>
      </c>
      <c r="C2434" s="14" t="s">
        <v>110</v>
      </c>
      <c r="D2434" s="105">
        <v>2247.6</v>
      </c>
      <c r="E2434" s="65">
        <v>42063</v>
      </c>
      <c r="F2434" s="106">
        <v>2247.6</v>
      </c>
      <c r="G2434" s="31">
        <f t="shared" si="37"/>
        <v>0</v>
      </c>
      <c r="H2434" s="39" t="s">
        <v>94</v>
      </c>
      <c r="I2434" s="3"/>
      <c r="J2434" s="42"/>
      <c r="K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</row>
    <row r="2435" spans="1:22" x14ac:dyDescent="0.25">
      <c r="A2435" s="20">
        <v>42060</v>
      </c>
      <c r="B2435" s="21">
        <v>13132</v>
      </c>
      <c r="C2435" s="14" t="s">
        <v>245</v>
      </c>
      <c r="D2435" s="105">
        <v>4778.12</v>
      </c>
      <c r="E2435" s="74" t="s">
        <v>755</v>
      </c>
      <c r="F2435" s="144">
        <v>4778.12</v>
      </c>
      <c r="G2435" s="31">
        <f t="shared" ref="G2435:G2498" si="38">D2435-F2435</f>
        <v>0</v>
      </c>
      <c r="H2435" s="39" t="s">
        <v>9</v>
      </c>
      <c r="I2435" s="3"/>
      <c r="J2435" s="42"/>
      <c r="K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</row>
    <row r="2436" spans="1:22" x14ac:dyDescent="0.25">
      <c r="A2436" s="20">
        <v>42060</v>
      </c>
      <c r="B2436" s="21">
        <v>13133</v>
      </c>
      <c r="C2436" s="14" t="s">
        <v>141</v>
      </c>
      <c r="D2436" s="105">
        <v>2542.6</v>
      </c>
      <c r="E2436" s="65">
        <v>42060</v>
      </c>
      <c r="F2436" s="106">
        <v>2542.6</v>
      </c>
      <c r="G2436" s="31">
        <f t="shared" si="38"/>
        <v>0</v>
      </c>
      <c r="H2436" s="39" t="s">
        <v>9</v>
      </c>
      <c r="I2436" s="3"/>
      <c r="J2436" s="42"/>
      <c r="K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</row>
    <row r="2437" spans="1:22" x14ac:dyDescent="0.25">
      <c r="A2437" s="20">
        <v>42060</v>
      </c>
      <c r="B2437" s="21">
        <v>13134</v>
      </c>
      <c r="C2437" s="14" t="s">
        <v>100</v>
      </c>
      <c r="D2437" s="105">
        <v>2050.75</v>
      </c>
      <c r="E2437" s="65">
        <v>42060</v>
      </c>
      <c r="F2437" s="106">
        <v>2050.75</v>
      </c>
      <c r="G2437" s="31">
        <f t="shared" si="38"/>
        <v>0</v>
      </c>
      <c r="H2437" s="39" t="s">
        <v>9</v>
      </c>
      <c r="I2437" s="3"/>
      <c r="J2437" s="42"/>
      <c r="K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</row>
    <row r="2438" spans="1:22" x14ac:dyDescent="0.25">
      <c r="A2438" s="20">
        <v>42060</v>
      </c>
      <c r="B2438" s="21">
        <v>13135</v>
      </c>
      <c r="C2438" s="14" t="s">
        <v>250</v>
      </c>
      <c r="D2438" s="105">
        <v>6702.4</v>
      </c>
      <c r="E2438" s="65">
        <v>42061</v>
      </c>
      <c r="F2438" s="106">
        <v>6702.4</v>
      </c>
      <c r="G2438" s="31">
        <f t="shared" si="38"/>
        <v>0</v>
      </c>
      <c r="H2438" s="39" t="s">
        <v>19</v>
      </c>
      <c r="I2438" s="3"/>
      <c r="J2438" s="42"/>
      <c r="K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</row>
    <row r="2439" spans="1:22" x14ac:dyDescent="0.25">
      <c r="A2439" s="20">
        <v>42060</v>
      </c>
      <c r="B2439" s="21">
        <v>13136</v>
      </c>
      <c r="C2439" s="14" t="s">
        <v>98</v>
      </c>
      <c r="D2439" s="105">
        <v>1006</v>
      </c>
      <c r="E2439" s="65">
        <v>42061</v>
      </c>
      <c r="F2439" s="106">
        <v>1006</v>
      </c>
      <c r="G2439" s="31">
        <f t="shared" si="38"/>
        <v>0</v>
      </c>
      <c r="H2439" s="39" t="s">
        <v>19</v>
      </c>
      <c r="I2439" s="3"/>
      <c r="J2439" s="42"/>
      <c r="K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</row>
    <row r="2440" spans="1:22" x14ac:dyDescent="0.25">
      <c r="A2440" s="20">
        <v>42060</v>
      </c>
      <c r="B2440" s="21">
        <v>13137</v>
      </c>
      <c r="C2440" s="14" t="s">
        <v>93</v>
      </c>
      <c r="D2440" s="105">
        <v>1512</v>
      </c>
      <c r="E2440" s="65">
        <v>42061</v>
      </c>
      <c r="F2440" s="106">
        <v>1512</v>
      </c>
      <c r="G2440" s="31">
        <f t="shared" si="38"/>
        <v>0</v>
      </c>
      <c r="H2440" s="39" t="s">
        <v>19</v>
      </c>
      <c r="I2440" s="3"/>
      <c r="J2440" s="42"/>
      <c r="K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</row>
    <row r="2441" spans="1:22" x14ac:dyDescent="0.25">
      <c r="A2441" s="20">
        <v>42060</v>
      </c>
      <c r="B2441" s="21">
        <v>13138</v>
      </c>
      <c r="C2441" s="14" t="s">
        <v>95</v>
      </c>
      <c r="D2441" s="105">
        <v>3837.6</v>
      </c>
      <c r="E2441" s="65">
        <v>42061</v>
      </c>
      <c r="F2441" s="106">
        <v>3837.6</v>
      </c>
      <c r="G2441" s="31">
        <f t="shared" si="38"/>
        <v>0</v>
      </c>
      <c r="H2441" s="39" t="s">
        <v>19</v>
      </c>
      <c r="I2441" s="3"/>
      <c r="J2441" s="42"/>
      <c r="K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</row>
    <row r="2442" spans="1:22" x14ac:dyDescent="0.25">
      <c r="A2442" s="20">
        <v>42060</v>
      </c>
      <c r="B2442" s="21">
        <v>13139</v>
      </c>
      <c r="C2442" s="14" t="s">
        <v>697</v>
      </c>
      <c r="D2442" s="105">
        <v>928.4</v>
      </c>
      <c r="E2442" s="74" t="s">
        <v>769</v>
      </c>
      <c r="F2442" s="144">
        <v>928.4</v>
      </c>
      <c r="G2442" s="31">
        <f t="shared" si="38"/>
        <v>0</v>
      </c>
      <c r="H2442" s="39" t="s">
        <v>9</v>
      </c>
      <c r="I2442" s="3"/>
      <c r="J2442" s="42"/>
      <c r="K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</row>
    <row r="2443" spans="1:22" x14ac:dyDescent="0.25">
      <c r="A2443" s="20">
        <v>42060</v>
      </c>
      <c r="B2443" s="21">
        <v>13140</v>
      </c>
      <c r="C2443" s="14" t="s">
        <v>99</v>
      </c>
      <c r="D2443" s="105">
        <v>388.8</v>
      </c>
      <c r="E2443" s="65">
        <v>42062</v>
      </c>
      <c r="F2443" s="106">
        <v>388.8</v>
      </c>
      <c r="G2443" s="31">
        <f t="shared" si="38"/>
        <v>0</v>
      </c>
      <c r="H2443" s="39" t="s">
        <v>9</v>
      </c>
      <c r="I2443" s="3"/>
      <c r="J2443" s="42"/>
      <c r="K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</row>
    <row r="2444" spans="1:22" x14ac:dyDescent="0.25">
      <c r="A2444" s="20">
        <v>42060</v>
      </c>
      <c r="B2444" s="21">
        <v>13141</v>
      </c>
      <c r="C2444" s="14" t="s">
        <v>24</v>
      </c>
      <c r="D2444" s="105">
        <v>2560</v>
      </c>
      <c r="E2444" s="74">
        <v>42074</v>
      </c>
      <c r="F2444" s="144">
        <v>2560</v>
      </c>
      <c r="G2444" s="31">
        <f t="shared" si="38"/>
        <v>0</v>
      </c>
      <c r="H2444" s="39" t="s">
        <v>9</v>
      </c>
      <c r="I2444" s="3"/>
      <c r="J2444" s="42"/>
      <c r="K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</row>
    <row r="2445" spans="1:22" x14ac:dyDescent="0.25">
      <c r="A2445" s="20">
        <v>42060</v>
      </c>
      <c r="B2445" s="21">
        <v>13142</v>
      </c>
      <c r="C2445" s="14" t="s">
        <v>112</v>
      </c>
      <c r="D2445" s="105">
        <v>1312.4</v>
      </c>
      <c r="E2445" s="65">
        <v>42060</v>
      </c>
      <c r="F2445" s="106">
        <v>1312.4</v>
      </c>
      <c r="G2445" s="31">
        <f t="shared" si="38"/>
        <v>0</v>
      </c>
      <c r="H2445" s="39" t="s">
        <v>9</v>
      </c>
      <c r="I2445" s="3"/>
      <c r="J2445" s="42"/>
      <c r="K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</row>
    <row r="2446" spans="1:22" x14ac:dyDescent="0.25">
      <c r="A2446" s="20">
        <v>42060</v>
      </c>
      <c r="B2446" s="21">
        <v>13143</v>
      </c>
      <c r="C2446" s="14" t="s">
        <v>102</v>
      </c>
      <c r="D2446" s="105">
        <v>739.2</v>
      </c>
      <c r="E2446" s="65">
        <v>42060</v>
      </c>
      <c r="F2446" s="106">
        <v>739.2</v>
      </c>
      <c r="G2446" s="31">
        <f t="shared" si="38"/>
        <v>0</v>
      </c>
      <c r="H2446" s="39" t="s">
        <v>9</v>
      </c>
      <c r="I2446" s="3"/>
      <c r="J2446" s="42"/>
      <c r="K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</row>
    <row r="2447" spans="1:22" x14ac:dyDescent="0.25">
      <c r="A2447" s="20">
        <v>42060</v>
      </c>
      <c r="B2447" s="21">
        <v>13144</v>
      </c>
      <c r="C2447" s="14" t="s">
        <v>32</v>
      </c>
      <c r="D2447" s="105">
        <v>7079.4</v>
      </c>
      <c r="E2447" s="65">
        <v>42062</v>
      </c>
      <c r="F2447" s="106">
        <v>7079.4</v>
      </c>
      <c r="G2447" s="31">
        <f t="shared" si="38"/>
        <v>0</v>
      </c>
      <c r="H2447" s="39" t="s">
        <v>9</v>
      </c>
      <c r="I2447" s="3"/>
      <c r="J2447" s="42"/>
      <c r="K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</row>
    <row r="2448" spans="1:22" x14ac:dyDescent="0.25">
      <c r="A2448" s="20">
        <v>42060</v>
      </c>
      <c r="B2448" s="21">
        <v>13145</v>
      </c>
      <c r="C2448" s="14" t="s">
        <v>136</v>
      </c>
      <c r="D2448" s="105">
        <v>21898</v>
      </c>
      <c r="E2448" s="65">
        <v>42060</v>
      </c>
      <c r="F2448" s="106">
        <v>21898</v>
      </c>
      <c r="G2448" s="31">
        <f t="shared" si="38"/>
        <v>0</v>
      </c>
      <c r="H2448" s="39" t="s">
        <v>9</v>
      </c>
      <c r="I2448" s="3"/>
      <c r="J2448" s="42"/>
      <c r="K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</row>
    <row r="2449" spans="1:22" x14ac:dyDescent="0.25">
      <c r="A2449" s="20">
        <v>42060</v>
      </c>
      <c r="B2449" s="21">
        <v>13146</v>
      </c>
      <c r="C2449" s="14" t="s">
        <v>136</v>
      </c>
      <c r="D2449" s="105">
        <v>520</v>
      </c>
      <c r="E2449" s="65">
        <v>42060</v>
      </c>
      <c r="F2449" s="106">
        <v>520</v>
      </c>
      <c r="G2449" s="31">
        <f t="shared" si="38"/>
        <v>0</v>
      </c>
      <c r="H2449" s="39" t="s">
        <v>9</v>
      </c>
      <c r="I2449" s="3"/>
      <c r="J2449" s="42"/>
      <c r="K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</row>
    <row r="2450" spans="1:22" x14ac:dyDescent="0.25">
      <c r="A2450" s="20">
        <v>42060</v>
      </c>
      <c r="B2450" s="21">
        <v>13147</v>
      </c>
      <c r="C2450" s="14" t="s">
        <v>366</v>
      </c>
      <c r="D2450" s="105">
        <v>6646.4</v>
      </c>
      <c r="E2450" s="65">
        <v>42060</v>
      </c>
      <c r="F2450" s="106">
        <v>6646.4</v>
      </c>
      <c r="G2450" s="31">
        <f t="shared" si="38"/>
        <v>0</v>
      </c>
      <c r="H2450" s="39" t="s">
        <v>9</v>
      </c>
      <c r="I2450" s="3"/>
      <c r="J2450" s="42"/>
      <c r="K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</row>
    <row r="2451" spans="1:22" x14ac:dyDescent="0.25">
      <c r="A2451" s="20">
        <v>42060</v>
      </c>
      <c r="B2451" s="21">
        <v>13148</v>
      </c>
      <c r="C2451" s="14" t="s">
        <v>697</v>
      </c>
      <c r="D2451" s="105">
        <v>29325.83</v>
      </c>
      <c r="E2451" s="74" t="s">
        <v>763</v>
      </c>
      <c r="F2451" s="144">
        <v>29325.83</v>
      </c>
      <c r="G2451" s="31">
        <f t="shared" si="38"/>
        <v>0</v>
      </c>
      <c r="H2451" s="39" t="s">
        <v>9</v>
      </c>
      <c r="I2451" s="3"/>
      <c r="J2451" s="42"/>
      <c r="K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</row>
    <row r="2452" spans="1:22" x14ac:dyDescent="0.25">
      <c r="A2452" s="20">
        <v>42060</v>
      </c>
      <c r="B2452" s="21">
        <v>13149</v>
      </c>
      <c r="C2452" s="14" t="s">
        <v>438</v>
      </c>
      <c r="D2452" s="105">
        <v>6673.8</v>
      </c>
      <c r="E2452" s="65">
        <v>42060</v>
      </c>
      <c r="F2452" s="106">
        <v>6673.8</v>
      </c>
      <c r="G2452" s="31">
        <f t="shared" si="38"/>
        <v>0</v>
      </c>
      <c r="H2452" s="39" t="s">
        <v>9</v>
      </c>
      <c r="I2452" s="3"/>
      <c r="J2452" s="42"/>
      <c r="K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</row>
    <row r="2453" spans="1:22" x14ac:dyDescent="0.25">
      <c r="A2453" s="20">
        <v>42060</v>
      </c>
      <c r="B2453" s="21">
        <v>13150</v>
      </c>
      <c r="C2453" s="14" t="s">
        <v>134</v>
      </c>
      <c r="D2453" s="105">
        <v>7585</v>
      </c>
      <c r="E2453" s="65">
        <v>42060</v>
      </c>
      <c r="F2453" s="106">
        <v>7585</v>
      </c>
      <c r="G2453" s="31">
        <f t="shared" si="38"/>
        <v>0</v>
      </c>
      <c r="H2453" s="39" t="s">
        <v>9</v>
      </c>
      <c r="I2453" s="3"/>
      <c r="J2453" s="42"/>
      <c r="K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</row>
    <row r="2454" spans="1:22" x14ac:dyDescent="0.25">
      <c r="A2454" s="20">
        <v>42060</v>
      </c>
      <c r="B2454" s="21">
        <v>13151</v>
      </c>
      <c r="C2454" s="14" t="s">
        <v>411</v>
      </c>
      <c r="D2454" s="105">
        <v>2700.2</v>
      </c>
      <c r="E2454" s="65">
        <v>42060</v>
      </c>
      <c r="F2454" s="106">
        <v>2700.2</v>
      </c>
      <c r="G2454" s="31">
        <f t="shared" si="38"/>
        <v>0</v>
      </c>
      <c r="H2454" s="39" t="s">
        <v>9</v>
      </c>
      <c r="I2454" s="3"/>
      <c r="J2454" s="42"/>
      <c r="K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</row>
    <row r="2455" spans="1:22" x14ac:dyDescent="0.25">
      <c r="A2455" s="20">
        <v>42060</v>
      </c>
      <c r="B2455" s="21">
        <v>13152</v>
      </c>
      <c r="C2455" s="14" t="s">
        <v>237</v>
      </c>
      <c r="D2455" s="105">
        <v>330</v>
      </c>
      <c r="E2455" s="65">
        <v>42060</v>
      </c>
      <c r="F2455" s="106">
        <v>330</v>
      </c>
      <c r="G2455" s="31">
        <f t="shared" si="38"/>
        <v>0</v>
      </c>
      <c r="H2455" s="39" t="s">
        <v>62</v>
      </c>
      <c r="I2455" s="3"/>
      <c r="J2455" s="42"/>
      <c r="K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</row>
    <row r="2456" spans="1:22" x14ac:dyDescent="0.25">
      <c r="A2456" s="20">
        <v>42060</v>
      </c>
      <c r="B2456" s="21">
        <v>13153</v>
      </c>
      <c r="C2456" s="14" t="s">
        <v>24</v>
      </c>
      <c r="D2456" s="105">
        <v>88702.7</v>
      </c>
      <c r="E2456" s="74">
        <v>42081</v>
      </c>
      <c r="F2456" s="144">
        <v>88702.7</v>
      </c>
      <c r="G2456" s="31">
        <f t="shared" si="38"/>
        <v>0</v>
      </c>
      <c r="H2456" s="39" t="s">
        <v>187</v>
      </c>
      <c r="I2456" s="3"/>
      <c r="J2456" s="42"/>
      <c r="K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</row>
    <row r="2457" spans="1:22" x14ac:dyDescent="0.25">
      <c r="A2457" s="20">
        <v>42060</v>
      </c>
      <c r="B2457" s="21">
        <v>13154</v>
      </c>
      <c r="C2457" s="26" t="s">
        <v>12</v>
      </c>
      <c r="D2457" s="108">
        <v>0</v>
      </c>
      <c r="E2457" s="65"/>
      <c r="F2457" s="106"/>
      <c r="G2457" s="31">
        <f t="shared" si="38"/>
        <v>0</v>
      </c>
      <c r="H2457" s="39" t="s">
        <v>13</v>
      </c>
      <c r="I2457" s="3"/>
      <c r="J2457" s="42"/>
      <c r="K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</row>
    <row r="2458" spans="1:22" x14ac:dyDescent="0.25">
      <c r="A2458" s="20">
        <v>42060</v>
      </c>
      <c r="B2458" s="21">
        <v>13155</v>
      </c>
      <c r="C2458" s="14" t="s">
        <v>32</v>
      </c>
      <c r="D2458" s="105">
        <v>280343</v>
      </c>
      <c r="E2458" s="65">
        <v>42062</v>
      </c>
      <c r="F2458" s="106">
        <v>280343</v>
      </c>
      <c r="G2458" s="31">
        <f t="shared" si="38"/>
        <v>0</v>
      </c>
      <c r="H2458" s="39" t="s">
        <v>9</v>
      </c>
      <c r="I2458" s="3"/>
      <c r="J2458" s="42"/>
      <c r="K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</row>
    <row r="2459" spans="1:22" x14ac:dyDescent="0.25">
      <c r="A2459" s="20">
        <v>42060</v>
      </c>
      <c r="B2459" s="21">
        <v>13156</v>
      </c>
      <c r="C2459" s="14" t="s">
        <v>80</v>
      </c>
      <c r="D2459" s="105">
        <v>6670.8</v>
      </c>
      <c r="E2459" s="65">
        <v>42060</v>
      </c>
      <c r="F2459" s="106">
        <v>6670.8</v>
      </c>
      <c r="G2459" s="31">
        <f t="shared" si="38"/>
        <v>0</v>
      </c>
      <c r="H2459" s="39" t="s">
        <v>9</v>
      </c>
      <c r="I2459" s="3"/>
      <c r="J2459" s="42"/>
      <c r="K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</row>
    <row r="2460" spans="1:22" x14ac:dyDescent="0.25">
      <c r="A2460" s="20">
        <v>42060</v>
      </c>
      <c r="B2460" s="21">
        <v>13157</v>
      </c>
      <c r="C2460" s="14" t="s">
        <v>651</v>
      </c>
      <c r="D2460" s="105">
        <v>32305.599999999999</v>
      </c>
      <c r="E2460" s="65">
        <v>42061</v>
      </c>
      <c r="F2460" s="106">
        <v>32305.599999999999</v>
      </c>
      <c r="G2460" s="31">
        <f t="shared" si="38"/>
        <v>0</v>
      </c>
      <c r="H2460" s="39" t="s">
        <v>17</v>
      </c>
      <c r="I2460" s="3"/>
      <c r="J2460" s="42"/>
      <c r="K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</row>
    <row r="2461" spans="1:22" x14ac:dyDescent="0.25">
      <c r="A2461" s="20">
        <v>42060</v>
      </c>
      <c r="B2461" s="21">
        <v>13158</v>
      </c>
      <c r="C2461" s="14" t="s">
        <v>325</v>
      </c>
      <c r="D2461" s="105">
        <v>947.1</v>
      </c>
      <c r="E2461" s="65">
        <v>42061</v>
      </c>
      <c r="F2461" s="106">
        <v>947.1</v>
      </c>
      <c r="G2461" s="31">
        <f t="shared" si="38"/>
        <v>0</v>
      </c>
      <c r="H2461" s="39" t="s">
        <v>94</v>
      </c>
      <c r="I2461" s="3"/>
      <c r="J2461" s="42"/>
      <c r="K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</row>
    <row r="2462" spans="1:22" x14ac:dyDescent="0.25">
      <c r="A2462" s="20">
        <v>42060</v>
      </c>
      <c r="B2462" s="21">
        <v>13159</v>
      </c>
      <c r="C2462" s="14" t="s">
        <v>229</v>
      </c>
      <c r="D2462" s="105">
        <v>1310.4000000000001</v>
      </c>
      <c r="E2462" s="65">
        <v>42061</v>
      </c>
      <c r="F2462" s="106">
        <v>1310.4000000000001</v>
      </c>
      <c r="G2462" s="31">
        <f t="shared" si="38"/>
        <v>0</v>
      </c>
      <c r="H2462" s="39" t="s">
        <v>94</v>
      </c>
      <c r="I2462" s="3"/>
      <c r="J2462" s="42"/>
      <c r="K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</row>
    <row r="2463" spans="1:22" x14ac:dyDescent="0.25">
      <c r="A2463" s="20">
        <v>42060</v>
      </c>
      <c r="B2463" s="21">
        <v>13160</v>
      </c>
      <c r="C2463" s="14" t="s">
        <v>74</v>
      </c>
      <c r="D2463" s="105">
        <v>2139</v>
      </c>
      <c r="E2463" s="65">
        <v>42060</v>
      </c>
      <c r="F2463" s="106">
        <v>2139</v>
      </c>
      <c r="G2463" s="31">
        <f t="shared" si="38"/>
        <v>0</v>
      </c>
      <c r="H2463" s="39" t="s">
        <v>9</v>
      </c>
      <c r="I2463" s="3"/>
      <c r="J2463" s="42"/>
      <c r="K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</row>
    <row r="2464" spans="1:22" x14ac:dyDescent="0.25">
      <c r="A2464" s="20">
        <v>42061</v>
      </c>
      <c r="B2464" s="21">
        <v>13161</v>
      </c>
      <c r="C2464" s="14" t="s">
        <v>555</v>
      </c>
      <c r="D2464" s="105">
        <v>42718.55</v>
      </c>
      <c r="E2464" s="74">
        <v>42065</v>
      </c>
      <c r="F2464" s="144">
        <v>42718.55</v>
      </c>
      <c r="G2464" s="31">
        <f t="shared" si="38"/>
        <v>0</v>
      </c>
      <c r="H2464" s="39" t="s">
        <v>9</v>
      </c>
      <c r="I2464" s="3"/>
      <c r="J2464" s="42"/>
      <c r="K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</row>
    <row r="2465" spans="1:22" x14ac:dyDescent="0.25">
      <c r="A2465" s="20">
        <v>42061</v>
      </c>
      <c r="B2465" s="21">
        <v>13162</v>
      </c>
      <c r="C2465" s="14" t="s">
        <v>267</v>
      </c>
      <c r="D2465" s="105">
        <v>1492.6</v>
      </c>
      <c r="E2465" s="65">
        <v>42061</v>
      </c>
      <c r="F2465" s="106">
        <v>1492.6</v>
      </c>
      <c r="G2465" s="31">
        <f t="shared" si="38"/>
        <v>0</v>
      </c>
      <c r="H2465" s="39" t="s">
        <v>9</v>
      </c>
      <c r="I2465" s="3"/>
      <c r="J2465" s="42"/>
      <c r="K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</row>
    <row r="2466" spans="1:22" x14ac:dyDescent="0.25">
      <c r="A2466" s="20">
        <v>42061</v>
      </c>
      <c r="B2466" s="21">
        <v>13163</v>
      </c>
      <c r="C2466" s="14" t="s">
        <v>20</v>
      </c>
      <c r="D2466" s="105">
        <v>10773</v>
      </c>
      <c r="E2466" s="65">
        <v>42061</v>
      </c>
      <c r="F2466" s="106">
        <v>10773</v>
      </c>
      <c r="G2466" s="31">
        <f t="shared" si="38"/>
        <v>0</v>
      </c>
      <c r="H2466" s="39" t="s">
        <v>94</v>
      </c>
      <c r="I2466" s="3"/>
      <c r="J2466" s="42"/>
      <c r="K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</row>
    <row r="2467" spans="1:22" x14ac:dyDescent="0.25">
      <c r="A2467" s="20">
        <v>42061</v>
      </c>
      <c r="B2467" s="21">
        <v>13164</v>
      </c>
      <c r="C2467" s="14" t="s">
        <v>215</v>
      </c>
      <c r="D2467" s="105">
        <v>14611.1</v>
      </c>
      <c r="E2467" s="65">
        <v>42061</v>
      </c>
      <c r="F2467" s="106">
        <v>14611.1</v>
      </c>
      <c r="G2467" s="31">
        <f t="shared" si="38"/>
        <v>0</v>
      </c>
      <c r="H2467" s="39" t="s">
        <v>19</v>
      </c>
      <c r="I2467" s="3"/>
      <c r="J2467" s="42"/>
      <c r="K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</row>
    <row r="2468" spans="1:22" x14ac:dyDescent="0.25">
      <c r="A2468" s="20">
        <v>42061</v>
      </c>
      <c r="B2468" s="21">
        <v>13165</v>
      </c>
      <c r="C2468" s="14" t="s">
        <v>14</v>
      </c>
      <c r="D2468" s="105">
        <v>21489.3</v>
      </c>
      <c r="E2468" s="65">
        <v>42062</v>
      </c>
      <c r="F2468" s="106">
        <v>21489.3</v>
      </c>
      <c r="G2468" s="31">
        <f t="shared" si="38"/>
        <v>0</v>
      </c>
      <c r="H2468" s="39" t="s">
        <v>187</v>
      </c>
      <c r="I2468" s="3"/>
      <c r="J2468" s="42"/>
      <c r="K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</row>
    <row r="2469" spans="1:22" x14ac:dyDescent="0.25">
      <c r="A2469" s="20">
        <v>42061</v>
      </c>
      <c r="B2469" s="21">
        <v>13166</v>
      </c>
      <c r="C2469" s="14" t="s">
        <v>14</v>
      </c>
      <c r="D2469" s="105">
        <v>489.6</v>
      </c>
      <c r="E2469" s="65">
        <v>42062</v>
      </c>
      <c r="F2469" s="106">
        <v>489.6</v>
      </c>
      <c r="G2469" s="31">
        <f t="shared" si="38"/>
        <v>0</v>
      </c>
      <c r="H2469" s="39" t="s">
        <v>187</v>
      </c>
      <c r="I2469" s="3"/>
      <c r="J2469" s="42"/>
      <c r="K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</row>
    <row r="2470" spans="1:22" x14ac:dyDescent="0.25">
      <c r="A2470" s="20">
        <v>42061</v>
      </c>
      <c r="B2470" s="21">
        <v>13167</v>
      </c>
      <c r="C2470" s="14" t="s">
        <v>571</v>
      </c>
      <c r="D2470" s="105">
        <v>10482.56</v>
      </c>
      <c r="E2470" s="74">
        <v>42153</v>
      </c>
      <c r="F2470" s="144">
        <v>10482.56</v>
      </c>
      <c r="G2470" s="31">
        <f t="shared" si="38"/>
        <v>0</v>
      </c>
      <c r="H2470" s="39" t="s">
        <v>15</v>
      </c>
      <c r="I2470" s="3"/>
      <c r="J2470" s="42"/>
      <c r="K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</row>
    <row r="2471" spans="1:22" x14ac:dyDescent="0.25">
      <c r="A2471" s="20">
        <v>42061</v>
      </c>
      <c r="B2471" s="21">
        <v>13168</v>
      </c>
      <c r="C2471" s="14" t="s">
        <v>720</v>
      </c>
      <c r="D2471" s="105">
        <v>9609.2000000000007</v>
      </c>
      <c r="E2471" s="65">
        <v>42061</v>
      </c>
      <c r="F2471" s="106">
        <v>9609.2000000000007</v>
      </c>
      <c r="G2471" s="31">
        <f t="shared" si="38"/>
        <v>0</v>
      </c>
      <c r="H2471" s="39" t="s">
        <v>9</v>
      </c>
      <c r="I2471" s="3"/>
      <c r="J2471" s="42"/>
      <c r="K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</row>
    <row r="2472" spans="1:22" x14ac:dyDescent="0.25">
      <c r="A2472" s="20">
        <v>42061</v>
      </c>
      <c r="B2472" s="21">
        <v>13169</v>
      </c>
      <c r="C2472" s="14" t="s">
        <v>158</v>
      </c>
      <c r="D2472" s="105">
        <v>8183.8</v>
      </c>
      <c r="E2472" s="65">
        <v>42061</v>
      </c>
      <c r="F2472" s="106">
        <v>8183.8</v>
      </c>
      <c r="G2472" s="31">
        <f t="shared" si="38"/>
        <v>0</v>
      </c>
      <c r="H2472" s="39" t="s">
        <v>9</v>
      </c>
      <c r="I2472" s="3"/>
      <c r="J2472" s="42"/>
      <c r="K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</row>
    <row r="2473" spans="1:22" x14ac:dyDescent="0.25">
      <c r="A2473" s="20">
        <v>42061</v>
      </c>
      <c r="B2473" s="21">
        <v>13170</v>
      </c>
      <c r="C2473" s="14" t="s">
        <v>16</v>
      </c>
      <c r="D2473" s="105">
        <v>7391.6</v>
      </c>
      <c r="E2473" s="65">
        <v>42061</v>
      </c>
      <c r="F2473" s="106">
        <v>7391.6</v>
      </c>
      <c r="G2473" s="31">
        <f t="shared" si="38"/>
        <v>0</v>
      </c>
      <c r="H2473" s="39" t="s">
        <v>17</v>
      </c>
      <c r="I2473" s="3"/>
      <c r="J2473" s="42"/>
      <c r="K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</row>
    <row r="2474" spans="1:22" x14ac:dyDescent="0.25">
      <c r="A2474" s="20">
        <v>42061</v>
      </c>
      <c r="B2474" s="21">
        <v>13171</v>
      </c>
      <c r="C2474" s="14" t="s">
        <v>49</v>
      </c>
      <c r="D2474" s="105">
        <v>1669.8</v>
      </c>
      <c r="E2474" s="65">
        <v>42061</v>
      </c>
      <c r="F2474" s="106">
        <v>1669.8</v>
      </c>
      <c r="G2474" s="31">
        <f t="shared" si="38"/>
        <v>0</v>
      </c>
      <c r="H2474" s="39" t="s">
        <v>94</v>
      </c>
      <c r="I2474" s="3"/>
      <c r="J2474" s="42"/>
      <c r="K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</row>
    <row r="2475" spans="1:22" x14ac:dyDescent="0.25">
      <c r="A2475" s="20">
        <v>42061</v>
      </c>
      <c r="B2475" s="21">
        <v>13172</v>
      </c>
      <c r="C2475" s="14" t="s">
        <v>151</v>
      </c>
      <c r="D2475" s="105">
        <v>3026.8</v>
      </c>
      <c r="E2475" s="65">
        <v>42062</v>
      </c>
      <c r="F2475" s="106">
        <v>3026.8</v>
      </c>
      <c r="G2475" s="31">
        <f t="shared" si="38"/>
        <v>0</v>
      </c>
      <c r="H2475" s="39" t="s">
        <v>9</v>
      </c>
      <c r="I2475" s="3"/>
      <c r="J2475" s="42"/>
      <c r="K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</row>
    <row r="2476" spans="1:22" x14ac:dyDescent="0.25">
      <c r="A2476" s="20">
        <v>42061</v>
      </c>
      <c r="B2476" s="21">
        <v>13173</v>
      </c>
      <c r="C2476" s="14" t="s">
        <v>48</v>
      </c>
      <c r="D2476" s="105">
        <v>5797.2</v>
      </c>
      <c r="E2476" s="65">
        <v>42061</v>
      </c>
      <c r="F2476" s="106">
        <v>5797.2</v>
      </c>
      <c r="G2476" s="31">
        <f t="shared" si="38"/>
        <v>0</v>
      </c>
      <c r="H2476" s="39" t="s">
        <v>94</v>
      </c>
      <c r="I2476" s="3"/>
      <c r="J2476" s="42"/>
      <c r="K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</row>
    <row r="2477" spans="1:22" x14ac:dyDescent="0.25">
      <c r="A2477" s="20">
        <v>42061</v>
      </c>
      <c r="B2477" s="21">
        <v>13174</v>
      </c>
      <c r="C2477" s="14" t="s">
        <v>161</v>
      </c>
      <c r="D2477" s="105">
        <v>2970.5</v>
      </c>
      <c r="E2477" s="65">
        <v>42061</v>
      </c>
      <c r="F2477" s="106">
        <v>2970.5</v>
      </c>
      <c r="G2477" s="31">
        <f t="shared" si="38"/>
        <v>0</v>
      </c>
      <c r="H2477" s="39" t="s">
        <v>9</v>
      </c>
      <c r="I2477" s="3"/>
      <c r="J2477" s="42"/>
      <c r="K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</row>
    <row r="2478" spans="1:22" x14ac:dyDescent="0.25">
      <c r="A2478" s="20">
        <v>42061</v>
      </c>
      <c r="B2478" s="21">
        <v>13175</v>
      </c>
      <c r="C2478" s="14" t="s">
        <v>375</v>
      </c>
      <c r="D2478" s="105">
        <v>3020.5</v>
      </c>
      <c r="E2478" s="65">
        <v>42061</v>
      </c>
      <c r="F2478" s="106">
        <v>3020.5</v>
      </c>
      <c r="G2478" s="31">
        <f t="shared" si="38"/>
        <v>0</v>
      </c>
      <c r="H2478" s="39" t="s">
        <v>9</v>
      </c>
      <c r="I2478" s="3"/>
      <c r="J2478" s="42"/>
      <c r="K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</row>
    <row r="2479" spans="1:22" x14ac:dyDescent="0.25">
      <c r="A2479" s="20">
        <v>42061</v>
      </c>
      <c r="B2479" s="21">
        <v>13176</v>
      </c>
      <c r="C2479" s="14" t="s">
        <v>21</v>
      </c>
      <c r="D2479" s="105">
        <v>5994.25</v>
      </c>
      <c r="E2479" s="65">
        <v>42061</v>
      </c>
      <c r="F2479" s="106">
        <v>5994.25</v>
      </c>
      <c r="G2479" s="31">
        <f t="shared" si="38"/>
        <v>0</v>
      </c>
      <c r="H2479" s="39" t="s">
        <v>9</v>
      </c>
      <c r="I2479" s="3"/>
      <c r="J2479" s="42"/>
      <c r="K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</row>
    <row r="2480" spans="1:22" x14ac:dyDescent="0.25">
      <c r="A2480" s="20">
        <v>42061</v>
      </c>
      <c r="B2480" s="21">
        <v>13177</v>
      </c>
      <c r="C2480" s="14" t="s">
        <v>112</v>
      </c>
      <c r="D2480" s="105">
        <v>11447.5</v>
      </c>
      <c r="E2480" s="65">
        <v>42061</v>
      </c>
      <c r="F2480" s="106">
        <v>11447.5</v>
      </c>
      <c r="G2480" s="31">
        <f t="shared" si="38"/>
        <v>0</v>
      </c>
      <c r="H2480" s="39" t="s">
        <v>9</v>
      </c>
      <c r="I2480" s="3"/>
      <c r="J2480" s="42"/>
      <c r="K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</row>
    <row r="2481" spans="1:22" x14ac:dyDescent="0.25">
      <c r="A2481" s="20">
        <v>42061</v>
      </c>
      <c r="B2481" s="21">
        <v>13178</v>
      </c>
      <c r="C2481" s="14" t="s">
        <v>239</v>
      </c>
      <c r="D2481" s="105">
        <v>609.20000000000005</v>
      </c>
      <c r="E2481" s="65">
        <v>42061</v>
      </c>
      <c r="F2481" s="106">
        <v>609.20000000000005</v>
      </c>
      <c r="G2481" s="31">
        <f t="shared" si="38"/>
        <v>0</v>
      </c>
      <c r="H2481" s="39" t="s">
        <v>9</v>
      </c>
      <c r="I2481" s="3"/>
      <c r="J2481" s="42"/>
      <c r="K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</row>
    <row r="2482" spans="1:22" x14ac:dyDescent="0.25">
      <c r="A2482" s="20">
        <v>42061</v>
      </c>
      <c r="B2482" s="21">
        <v>13179</v>
      </c>
      <c r="C2482" s="14" t="s">
        <v>125</v>
      </c>
      <c r="D2482" s="105">
        <v>11874.9</v>
      </c>
      <c r="E2482" s="74">
        <v>42064</v>
      </c>
      <c r="F2482" s="144">
        <v>11874.9</v>
      </c>
      <c r="G2482" s="31">
        <f t="shared" si="38"/>
        <v>0</v>
      </c>
      <c r="H2482" s="39" t="s">
        <v>9</v>
      </c>
      <c r="I2482" s="3"/>
      <c r="J2482" s="42"/>
      <c r="K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</row>
    <row r="2483" spans="1:22" x14ac:dyDescent="0.25">
      <c r="A2483" s="20">
        <v>42061</v>
      </c>
      <c r="B2483" s="21">
        <v>13180</v>
      </c>
      <c r="C2483" s="14" t="s">
        <v>728</v>
      </c>
      <c r="D2483" s="105">
        <v>2679.6</v>
      </c>
      <c r="E2483" s="74">
        <v>42069</v>
      </c>
      <c r="F2483" s="144">
        <v>2679.6</v>
      </c>
      <c r="G2483" s="31">
        <f t="shared" si="38"/>
        <v>0</v>
      </c>
      <c r="H2483" s="39" t="s">
        <v>9</v>
      </c>
      <c r="I2483" s="3"/>
      <c r="J2483" s="42"/>
      <c r="K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</row>
    <row r="2484" spans="1:22" x14ac:dyDescent="0.25">
      <c r="A2484" s="20">
        <v>42061</v>
      </c>
      <c r="B2484" s="21">
        <v>13181</v>
      </c>
      <c r="C2484" s="14" t="s">
        <v>14</v>
      </c>
      <c r="D2484" s="105">
        <v>170441.37</v>
      </c>
      <c r="E2484" s="67" t="s">
        <v>762</v>
      </c>
      <c r="F2484" s="144">
        <f>11777.8+158663.57</f>
        <v>170441.37</v>
      </c>
      <c r="G2484" s="31">
        <f t="shared" si="38"/>
        <v>0</v>
      </c>
      <c r="H2484" s="39" t="s">
        <v>46</v>
      </c>
      <c r="I2484" s="3"/>
      <c r="J2484" s="42"/>
      <c r="K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</row>
    <row r="2485" spans="1:22" x14ac:dyDescent="0.25">
      <c r="A2485" s="20">
        <v>42061</v>
      </c>
      <c r="B2485" s="21">
        <v>13182</v>
      </c>
      <c r="C2485" s="14" t="s">
        <v>214</v>
      </c>
      <c r="D2485" s="105">
        <v>1850</v>
      </c>
      <c r="E2485" s="65">
        <v>42061</v>
      </c>
      <c r="F2485" s="106">
        <v>1850</v>
      </c>
      <c r="G2485" s="31">
        <f t="shared" si="38"/>
        <v>0</v>
      </c>
      <c r="H2485" s="39" t="s">
        <v>59</v>
      </c>
      <c r="I2485" s="3"/>
      <c r="J2485" s="42"/>
      <c r="K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</row>
    <row r="2486" spans="1:22" x14ac:dyDescent="0.25">
      <c r="A2486" s="20">
        <v>42061</v>
      </c>
      <c r="B2486" s="21">
        <v>13183</v>
      </c>
      <c r="C2486" s="14" t="s">
        <v>58</v>
      </c>
      <c r="D2486" s="105">
        <v>370</v>
      </c>
      <c r="E2486" s="65">
        <v>42061</v>
      </c>
      <c r="F2486" s="106">
        <v>370</v>
      </c>
      <c r="G2486" s="31">
        <f t="shared" si="38"/>
        <v>0</v>
      </c>
      <c r="H2486" s="39" t="s">
        <v>59</v>
      </c>
      <c r="I2486" s="3"/>
      <c r="J2486" s="42"/>
      <c r="K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</row>
    <row r="2487" spans="1:22" x14ac:dyDescent="0.25">
      <c r="A2487" s="20">
        <v>42061</v>
      </c>
      <c r="B2487" s="21">
        <v>13184</v>
      </c>
      <c r="C2487" s="14" t="s">
        <v>57</v>
      </c>
      <c r="D2487" s="105">
        <v>925</v>
      </c>
      <c r="E2487" s="65">
        <v>42061</v>
      </c>
      <c r="F2487" s="106">
        <v>925</v>
      </c>
      <c r="G2487" s="31">
        <f t="shared" si="38"/>
        <v>0</v>
      </c>
      <c r="H2487" s="39" t="s">
        <v>59</v>
      </c>
      <c r="I2487" s="3"/>
      <c r="J2487" s="42"/>
      <c r="K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</row>
    <row r="2488" spans="1:22" x14ac:dyDescent="0.25">
      <c r="A2488" s="20">
        <v>42061</v>
      </c>
      <c r="B2488" s="21">
        <v>13185</v>
      </c>
      <c r="C2488" s="110">
        <v>105</v>
      </c>
      <c r="D2488" s="105">
        <v>740</v>
      </c>
      <c r="E2488" s="65">
        <v>42061</v>
      </c>
      <c r="F2488" s="106">
        <v>740</v>
      </c>
      <c r="G2488" s="31">
        <f t="shared" si="38"/>
        <v>0</v>
      </c>
      <c r="H2488" s="39" t="s">
        <v>59</v>
      </c>
      <c r="I2488" s="3"/>
      <c r="J2488" s="42"/>
      <c r="K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</row>
    <row r="2489" spans="1:22" x14ac:dyDescent="0.25">
      <c r="A2489" s="20">
        <v>42061</v>
      </c>
      <c r="B2489" s="21">
        <v>13186</v>
      </c>
      <c r="C2489" s="14" t="s">
        <v>254</v>
      </c>
      <c r="D2489" s="105">
        <v>4763.3999999999996</v>
      </c>
      <c r="E2489" s="65">
        <v>42061</v>
      </c>
      <c r="F2489" s="106">
        <v>4763.3999999999996</v>
      </c>
      <c r="G2489" s="31">
        <f t="shared" si="38"/>
        <v>0</v>
      </c>
      <c r="H2489" s="39" t="s">
        <v>9</v>
      </c>
      <c r="I2489" s="3"/>
      <c r="J2489" s="42"/>
      <c r="K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</row>
    <row r="2490" spans="1:22" x14ac:dyDescent="0.25">
      <c r="A2490" s="20">
        <v>42061</v>
      </c>
      <c r="B2490" s="21">
        <v>13187</v>
      </c>
      <c r="C2490" s="14" t="s">
        <v>214</v>
      </c>
      <c r="D2490" s="105">
        <v>740</v>
      </c>
      <c r="E2490" s="65">
        <v>42061</v>
      </c>
      <c r="F2490" s="106">
        <v>740</v>
      </c>
      <c r="G2490" s="31">
        <f t="shared" si="38"/>
        <v>0</v>
      </c>
      <c r="H2490" s="39" t="s">
        <v>59</v>
      </c>
      <c r="I2490" s="3"/>
      <c r="J2490" s="42"/>
      <c r="K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</row>
    <row r="2491" spans="1:22" x14ac:dyDescent="0.25">
      <c r="A2491" s="20">
        <v>42061</v>
      </c>
      <c r="B2491" s="21">
        <v>13188</v>
      </c>
      <c r="C2491" s="14" t="s">
        <v>83</v>
      </c>
      <c r="D2491" s="105">
        <v>5436</v>
      </c>
      <c r="E2491" s="65">
        <v>42061</v>
      </c>
      <c r="F2491" s="106">
        <v>5436</v>
      </c>
      <c r="G2491" s="31">
        <f t="shared" si="38"/>
        <v>0</v>
      </c>
      <c r="H2491" s="39" t="s">
        <v>59</v>
      </c>
      <c r="I2491" s="3"/>
      <c r="J2491" s="42"/>
      <c r="K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</row>
    <row r="2492" spans="1:22" x14ac:dyDescent="0.25">
      <c r="A2492" s="20">
        <v>42061</v>
      </c>
      <c r="B2492" s="21">
        <v>13189</v>
      </c>
      <c r="C2492" s="14" t="s">
        <v>30</v>
      </c>
      <c r="D2492" s="105">
        <v>2124.4</v>
      </c>
      <c r="E2492" s="65">
        <v>42061</v>
      </c>
      <c r="F2492" s="106">
        <v>2124.4</v>
      </c>
      <c r="G2492" s="31">
        <f t="shared" si="38"/>
        <v>0</v>
      </c>
      <c r="H2492" s="39" t="s">
        <v>9</v>
      </c>
      <c r="I2492" s="3"/>
      <c r="J2492" s="42"/>
      <c r="K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</row>
    <row r="2493" spans="1:22" x14ac:dyDescent="0.25">
      <c r="A2493" s="20">
        <v>42061</v>
      </c>
      <c r="B2493" s="21">
        <v>13190</v>
      </c>
      <c r="C2493" s="14" t="s">
        <v>254</v>
      </c>
      <c r="D2493" s="105">
        <v>1482.4</v>
      </c>
      <c r="E2493" s="65">
        <v>42061</v>
      </c>
      <c r="F2493" s="106">
        <v>1482.4</v>
      </c>
      <c r="G2493" s="31">
        <f t="shared" si="38"/>
        <v>0</v>
      </c>
      <c r="H2493" s="39" t="s">
        <v>9</v>
      </c>
      <c r="I2493" s="3"/>
      <c r="J2493" s="42"/>
      <c r="K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</row>
    <row r="2494" spans="1:22" x14ac:dyDescent="0.25">
      <c r="A2494" s="20">
        <v>42061</v>
      </c>
      <c r="B2494" s="21">
        <v>13191</v>
      </c>
      <c r="C2494" s="14" t="s">
        <v>91</v>
      </c>
      <c r="D2494" s="105">
        <v>1122.5</v>
      </c>
      <c r="E2494" s="65">
        <v>42061</v>
      </c>
      <c r="F2494" s="106">
        <v>1122.5</v>
      </c>
      <c r="G2494" s="31">
        <f t="shared" si="38"/>
        <v>0</v>
      </c>
      <c r="H2494" s="39" t="s">
        <v>59</v>
      </c>
      <c r="I2494" s="3"/>
      <c r="J2494" s="42"/>
      <c r="K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</row>
    <row r="2495" spans="1:22" x14ac:dyDescent="0.25">
      <c r="A2495" s="20">
        <v>42061</v>
      </c>
      <c r="B2495" s="21">
        <v>13192</v>
      </c>
      <c r="C2495" s="14" t="s">
        <v>292</v>
      </c>
      <c r="D2495" s="105">
        <v>2291.1</v>
      </c>
      <c r="E2495" s="65">
        <v>42061</v>
      </c>
      <c r="F2495" s="106">
        <v>2291.1</v>
      </c>
      <c r="G2495" s="31">
        <f t="shared" si="38"/>
        <v>0</v>
      </c>
      <c r="H2495" s="39" t="s">
        <v>59</v>
      </c>
      <c r="I2495" s="3"/>
      <c r="J2495" s="42"/>
      <c r="K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</row>
    <row r="2496" spans="1:22" x14ac:dyDescent="0.25">
      <c r="A2496" s="20">
        <v>42061</v>
      </c>
      <c r="B2496" s="21">
        <v>13193</v>
      </c>
      <c r="C2496" s="14" t="s">
        <v>55</v>
      </c>
      <c r="D2496" s="105">
        <v>14855.75</v>
      </c>
      <c r="E2496" s="65">
        <v>42061</v>
      </c>
      <c r="F2496" s="106">
        <v>14855.75</v>
      </c>
      <c r="G2496" s="31">
        <f t="shared" si="38"/>
        <v>0</v>
      </c>
      <c r="H2496" s="39" t="s">
        <v>9</v>
      </c>
      <c r="I2496" s="3"/>
      <c r="J2496" s="42"/>
      <c r="K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</row>
    <row r="2497" spans="1:22" x14ac:dyDescent="0.25">
      <c r="A2497" s="20">
        <v>42061</v>
      </c>
      <c r="B2497" s="21">
        <v>13194</v>
      </c>
      <c r="C2497" s="14" t="s">
        <v>55</v>
      </c>
      <c r="D2497" s="105">
        <v>5027</v>
      </c>
      <c r="E2497" s="65">
        <v>42061</v>
      </c>
      <c r="F2497" s="106">
        <v>5027</v>
      </c>
      <c r="G2497" s="31">
        <f t="shared" si="38"/>
        <v>0</v>
      </c>
      <c r="H2497" s="39" t="s">
        <v>9</v>
      </c>
      <c r="I2497" s="3"/>
      <c r="J2497" s="42"/>
      <c r="K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</row>
    <row r="2498" spans="1:22" x14ac:dyDescent="0.25">
      <c r="A2498" s="20">
        <v>42061</v>
      </c>
      <c r="B2498" s="21">
        <v>13195</v>
      </c>
      <c r="C2498" s="14" t="s">
        <v>53</v>
      </c>
      <c r="D2498" s="105">
        <v>662.4</v>
      </c>
      <c r="E2498" s="65">
        <v>42061</v>
      </c>
      <c r="F2498" s="106">
        <v>662.4</v>
      </c>
      <c r="G2498" s="31">
        <f t="shared" si="38"/>
        <v>0</v>
      </c>
      <c r="H2498" s="39" t="s">
        <v>59</v>
      </c>
      <c r="I2498" s="3"/>
      <c r="J2498" s="42"/>
      <c r="K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</row>
    <row r="2499" spans="1:22" x14ac:dyDescent="0.25">
      <c r="A2499" s="20">
        <v>42061</v>
      </c>
      <c r="B2499" s="21">
        <v>13196</v>
      </c>
      <c r="C2499" s="14" t="s">
        <v>729</v>
      </c>
      <c r="D2499" s="105">
        <v>1840.9</v>
      </c>
      <c r="E2499" s="65">
        <v>42061</v>
      </c>
      <c r="F2499" s="106">
        <v>1840.9</v>
      </c>
      <c r="G2499" s="31">
        <f t="shared" ref="G2499:G2562" si="39">D2499-F2499</f>
        <v>0</v>
      </c>
      <c r="H2499" s="39" t="s">
        <v>59</v>
      </c>
      <c r="I2499" s="3"/>
      <c r="J2499" s="42"/>
      <c r="K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</row>
    <row r="2500" spans="1:22" x14ac:dyDescent="0.25">
      <c r="A2500" s="20">
        <v>42061</v>
      </c>
      <c r="B2500" s="21">
        <v>13197</v>
      </c>
      <c r="C2500" s="14" t="s">
        <v>81</v>
      </c>
      <c r="D2500" s="105">
        <v>2666.3</v>
      </c>
      <c r="E2500" s="65">
        <v>42061</v>
      </c>
      <c r="F2500" s="106">
        <v>2666.3</v>
      </c>
      <c r="G2500" s="31">
        <f t="shared" si="39"/>
        <v>0</v>
      </c>
      <c r="H2500" s="39" t="s">
        <v>59</v>
      </c>
      <c r="I2500" s="3"/>
      <c r="J2500" s="42"/>
      <c r="K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</row>
    <row r="2501" spans="1:22" x14ac:dyDescent="0.25">
      <c r="A2501" s="20">
        <v>42061</v>
      </c>
      <c r="B2501" s="21">
        <v>13198</v>
      </c>
      <c r="C2501" s="14" t="s">
        <v>82</v>
      </c>
      <c r="D2501" s="105">
        <v>6374.6</v>
      </c>
      <c r="E2501" s="65">
        <v>42061</v>
      </c>
      <c r="F2501" s="106">
        <v>6374.6</v>
      </c>
      <c r="G2501" s="31">
        <f t="shared" si="39"/>
        <v>0</v>
      </c>
      <c r="H2501" s="39" t="s">
        <v>59</v>
      </c>
      <c r="I2501" s="3"/>
      <c r="J2501" s="42"/>
      <c r="K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</row>
    <row r="2502" spans="1:22" x14ac:dyDescent="0.25">
      <c r="A2502" s="20">
        <v>42061</v>
      </c>
      <c r="B2502" s="21">
        <v>13199</v>
      </c>
      <c r="C2502" s="14" t="s">
        <v>155</v>
      </c>
      <c r="D2502" s="105">
        <v>1583.9</v>
      </c>
      <c r="E2502" s="65">
        <v>42061</v>
      </c>
      <c r="F2502" s="106">
        <v>1583.9</v>
      </c>
      <c r="G2502" s="31">
        <f t="shared" si="39"/>
        <v>0</v>
      </c>
      <c r="H2502" s="39" t="s">
        <v>59</v>
      </c>
      <c r="I2502" s="3"/>
      <c r="J2502" s="42"/>
      <c r="K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</row>
    <row r="2503" spans="1:22" x14ac:dyDescent="0.25">
      <c r="A2503" s="20">
        <v>42061</v>
      </c>
      <c r="B2503" s="21">
        <v>13200</v>
      </c>
      <c r="C2503" s="14" t="s">
        <v>45</v>
      </c>
      <c r="D2503" s="105">
        <v>5418.4</v>
      </c>
      <c r="E2503" s="74">
        <v>42074</v>
      </c>
      <c r="F2503" s="144">
        <v>5418.4</v>
      </c>
      <c r="G2503" s="31">
        <f t="shared" si="39"/>
        <v>0</v>
      </c>
      <c r="H2503" s="39" t="s">
        <v>59</v>
      </c>
      <c r="I2503" s="3"/>
      <c r="J2503" s="42"/>
      <c r="K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</row>
    <row r="2504" spans="1:22" x14ac:dyDescent="0.25">
      <c r="A2504" s="20">
        <v>42061</v>
      </c>
      <c r="B2504" s="21">
        <v>13201</v>
      </c>
      <c r="C2504" s="14" t="s">
        <v>118</v>
      </c>
      <c r="D2504" s="105">
        <v>11767.2</v>
      </c>
      <c r="E2504" s="66" t="s">
        <v>746</v>
      </c>
      <c r="F2504" s="106">
        <f>744+11023.2</f>
        <v>11767.2</v>
      </c>
      <c r="G2504" s="31">
        <f t="shared" si="39"/>
        <v>0</v>
      </c>
      <c r="H2504" s="39" t="s">
        <v>59</v>
      </c>
      <c r="I2504" s="3"/>
      <c r="J2504" s="42"/>
      <c r="K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</row>
    <row r="2505" spans="1:22" x14ac:dyDescent="0.25">
      <c r="A2505" s="20">
        <v>42061</v>
      </c>
      <c r="B2505" s="21">
        <v>13202</v>
      </c>
      <c r="C2505" s="14" t="s">
        <v>256</v>
      </c>
      <c r="D2505" s="105">
        <v>5157.6000000000004</v>
      </c>
      <c r="E2505" s="65">
        <v>42062</v>
      </c>
      <c r="F2505" s="106">
        <v>5157.6000000000004</v>
      </c>
      <c r="G2505" s="31">
        <f t="shared" si="39"/>
        <v>0</v>
      </c>
      <c r="H2505" s="39" t="s">
        <v>36</v>
      </c>
      <c r="I2505" s="3"/>
      <c r="J2505" s="42"/>
      <c r="K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</row>
    <row r="2506" spans="1:22" x14ac:dyDescent="0.25">
      <c r="A2506" s="20">
        <v>42061</v>
      </c>
      <c r="B2506" s="21">
        <v>13203</v>
      </c>
      <c r="C2506" s="14" t="s">
        <v>124</v>
      </c>
      <c r="D2506" s="105">
        <v>1025.7</v>
      </c>
      <c r="E2506" s="65">
        <v>42061</v>
      </c>
      <c r="F2506" s="106">
        <v>1025.7</v>
      </c>
      <c r="G2506" s="31">
        <f t="shared" si="39"/>
        <v>0</v>
      </c>
      <c r="H2506" s="39" t="s">
        <v>9</v>
      </c>
      <c r="I2506" s="3"/>
      <c r="J2506" s="42"/>
      <c r="K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</row>
    <row r="2507" spans="1:22" x14ac:dyDescent="0.25">
      <c r="A2507" s="20">
        <v>42061</v>
      </c>
      <c r="B2507" s="21">
        <v>13204</v>
      </c>
      <c r="C2507" s="14" t="s">
        <v>26</v>
      </c>
      <c r="D2507" s="105">
        <v>1104</v>
      </c>
      <c r="E2507" s="65">
        <v>42061</v>
      </c>
      <c r="F2507" s="106">
        <v>1104</v>
      </c>
      <c r="G2507" s="31">
        <f t="shared" si="39"/>
        <v>0</v>
      </c>
      <c r="H2507" s="39" t="s">
        <v>27</v>
      </c>
      <c r="I2507" s="3"/>
      <c r="J2507" s="42"/>
      <c r="K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</row>
    <row r="2508" spans="1:22" x14ac:dyDescent="0.25">
      <c r="A2508" s="20">
        <v>42061</v>
      </c>
      <c r="B2508" s="21">
        <v>13205</v>
      </c>
      <c r="C2508" s="14" t="s">
        <v>229</v>
      </c>
      <c r="D2508" s="105">
        <v>5253.04</v>
      </c>
      <c r="E2508" s="65">
        <v>42061</v>
      </c>
      <c r="F2508" s="106">
        <v>5253.04</v>
      </c>
      <c r="G2508" s="31">
        <f t="shared" si="39"/>
        <v>0</v>
      </c>
      <c r="H2508" s="39" t="s">
        <v>9</v>
      </c>
      <c r="I2508" s="3"/>
      <c r="J2508" s="42"/>
      <c r="K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</row>
    <row r="2509" spans="1:22" x14ac:dyDescent="0.25">
      <c r="A2509" s="20">
        <v>42061</v>
      </c>
      <c r="B2509" s="21">
        <v>13206</v>
      </c>
      <c r="C2509" s="14" t="s">
        <v>168</v>
      </c>
      <c r="D2509" s="105">
        <v>8638.7999999999993</v>
      </c>
      <c r="E2509" s="65">
        <v>42061</v>
      </c>
      <c r="F2509" s="106">
        <v>8638.7999999999993</v>
      </c>
      <c r="G2509" s="31">
        <f t="shared" si="39"/>
        <v>0</v>
      </c>
      <c r="H2509" s="39" t="s">
        <v>59</v>
      </c>
      <c r="I2509" s="3"/>
      <c r="J2509" s="42"/>
      <c r="K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</row>
    <row r="2510" spans="1:22" x14ac:dyDescent="0.25">
      <c r="A2510" s="20">
        <v>42061</v>
      </c>
      <c r="B2510" s="21">
        <v>13207</v>
      </c>
      <c r="C2510" s="26" t="s">
        <v>12</v>
      </c>
      <c r="D2510" s="108">
        <v>0</v>
      </c>
      <c r="E2510" s="65"/>
      <c r="F2510" s="106"/>
      <c r="G2510" s="31">
        <f t="shared" si="39"/>
        <v>0</v>
      </c>
      <c r="H2510" s="39" t="s">
        <v>13</v>
      </c>
      <c r="I2510" s="3"/>
      <c r="J2510" s="42"/>
      <c r="K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</row>
    <row r="2511" spans="1:22" x14ac:dyDescent="0.25">
      <c r="A2511" s="20">
        <v>42061</v>
      </c>
      <c r="B2511" s="21">
        <v>13208</v>
      </c>
      <c r="C2511" s="14" t="s">
        <v>233</v>
      </c>
      <c r="D2511" s="105">
        <v>14901.9</v>
      </c>
      <c r="E2511" s="65">
        <v>42062</v>
      </c>
      <c r="F2511" s="106">
        <v>14901.9</v>
      </c>
      <c r="G2511" s="31">
        <f t="shared" si="39"/>
        <v>0</v>
      </c>
      <c r="H2511" s="39" t="s">
        <v>36</v>
      </c>
      <c r="I2511" s="3"/>
      <c r="J2511" s="42"/>
      <c r="K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</row>
    <row r="2512" spans="1:22" x14ac:dyDescent="0.25">
      <c r="A2512" s="20">
        <v>42061</v>
      </c>
      <c r="B2512" s="21">
        <v>13209</v>
      </c>
      <c r="C2512" s="14" t="s">
        <v>47</v>
      </c>
      <c r="D2512" s="105">
        <v>13058.4</v>
      </c>
      <c r="E2512" s="65">
        <v>42062</v>
      </c>
      <c r="F2512" s="106">
        <v>13058.4</v>
      </c>
      <c r="G2512" s="31">
        <f t="shared" si="39"/>
        <v>0</v>
      </c>
      <c r="H2512" s="39" t="s">
        <v>9</v>
      </c>
      <c r="I2512" s="3"/>
      <c r="J2512" s="42"/>
      <c r="K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</row>
    <row r="2513" spans="1:22" x14ac:dyDescent="0.25">
      <c r="A2513" s="20">
        <v>42061</v>
      </c>
      <c r="B2513" s="21">
        <v>13210</v>
      </c>
      <c r="C2513" s="14" t="s">
        <v>675</v>
      </c>
      <c r="D2513" s="105">
        <v>740</v>
      </c>
      <c r="E2513" s="65">
        <v>42061</v>
      </c>
      <c r="F2513" s="106">
        <v>740</v>
      </c>
      <c r="G2513" s="31">
        <f t="shared" si="39"/>
        <v>0</v>
      </c>
      <c r="H2513" s="39" t="s">
        <v>9</v>
      </c>
      <c r="I2513" s="3"/>
      <c r="J2513" s="42"/>
      <c r="K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</row>
    <row r="2514" spans="1:22" x14ac:dyDescent="0.25">
      <c r="A2514" s="20">
        <v>42061</v>
      </c>
      <c r="B2514" s="21">
        <v>13211</v>
      </c>
      <c r="C2514" s="14" t="s">
        <v>285</v>
      </c>
      <c r="D2514" s="105">
        <v>1538.2</v>
      </c>
      <c r="E2514" s="65">
        <v>42062</v>
      </c>
      <c r="F2514" s="106">
        <v>1538.2</v>
      </c>
      <c r="G2514" s="31">
        <f t="shared" si="39"/>
        <v>0</v>
      </c>
      <c r="H2514" s="39" t="s">
        <v>15</v>
      </c>
      <c r="I2514" s="3"/>
      <c r="J2514" s="42"/>
      <c r="K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</row>
    <row r="2515" spans="1:22" x14ac:dyDescent="0.25">
      <c r="A2515" s="20">
        <v>42061</v>
      </c>
      <c r="B2515" s="21">
        <v>13212</v>
      </c>
      <c r="C2515" s="14" t="s">
        <v>224</v>
      </c>
      <c r="D2515" s="105">
        <v>3696.6</v>
      </c>
      <c r="E2515" s="65">
        <v>42062</v>
      </c>
      <c r="F2515" s="106">
        <v>3696.6</v>
      </c>
      <c r="G2515" s="31">
        <f t="shared" si="39"/>
        <v>0</v>
      </c>
      <c r="H2515" s="39" t="s">
        <v>15</v>
      </c>
      <c r="I2515" s="3"/>
      <c r="J2515" s="42"/>
      <c r="K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</row>
    <row r="2516" spans="1:22" x14ac:dyDescent="0.25">
      <c r="A2516" s="20">
        <v>42061</v>
      </c>
      <c r="B2516" s="21">
        <v>13213</v>
      </c>
      <c r="C2516" s="14" t="s">
        <v>399</v>
      </c>
      <c r="D2516" s="105">
        <v>4504</v>
      </c>
      <c r="E2516" s="65">
        <v>42061</v>
      </c>
      <c r="F2516" s="106">
        <v>4504</v>
      </c>
      <c r="G2516" s="31">
        <f t="shared" si="39"/>
        <v>0</v>
      </c>
      <c r="H2516" s="39" t="s">
        <v>59</v>
      </c>
      <c r="I2516" s="3"/>
      <c r="J2516" s="42"/>
      <c r="K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</row>
    <row r="2517" spans="1:22" x14ac:dyDescent="0.25">
      <c r="A2517" s="20">
        <v>42061</v>
      </c>
      <c r="B2517" s="21">
        <v>13214</v>
      </c>
      <c r="C2517" s="14" t="s">
        <v>60</v>
      </c>
      <c r="D2517" s="105">
        <v>5115.6000000000004</v>
      </c>
      <c r="E2517" s="65">
        <v>42062</v>
      </c>
      <c r="F2517" s="106">
        <v>5115.6000000000004</v>
      </c>
      <c r="G2517" s="31">
        <f t="shared" si="39"/>
        <v>0</v>
      </c>
      <c r="H2517" s="39" t="s">
        <v>36</v>
      </c>
      <c r="I2517" s="3"/>
      <c r="J2517" s="42"/>
      <c r="K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</row>
    <row r="2518" spans="1:22" x14ac:dyDescent="0.25">
      <c r="A2518" s="20">
        <v>42061</v>
      </c>
      <c r="B2518" s="21">
        <v>13215</v>
      </c>
      <c r="C2518" s="14" t="s">
        <v>137</v>
      </c>
      <c r="D2518" s="105">
        <v>395.4</v>
      </c>
      <c r="E2518" s="65">
        <v>42061</v>
      </c>
      <c r="F2518" s="106">
        <v>395.4</v>
      </c>
      <c r="G2518" s="31">
        <f t="shared" si="39"/>
        <v>0</v>
      </c>
      <c r="H2518" s="39" t="s">
        <v>9</v>
      </c>
      <c r="I2518" s="3"/>
      <c r="J2518" s="42"/>
      <c r="K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</row>
    <row r="2519" spans="1:22" x14ac:dyDescent="0.25">
      <c r="A2519" s="20">
        <v>42061</v>
      </c>
      <c r="B2519" s="21">
        <v>13216</v>
      </c>
      <c r="C2519" s="14" t="s">
        <v>118</v>
      </c>
      <c r="D2519" s="105">
        <v>602.6</v>
      </c>
      <c r="E2519" s="65">
        <v>42061</v>
      </c>
      <c r="F2519" s="106">
        <v>602.6</v>
      </c>
      <c r="G2519" s="31">
        <f t="shared" si="39"/>
        <v>0</v>
      </c>
      <c r="H2519" s="39" t="s">
        <v>59</v>
      </c>
      <c r="I2519" s="3"/>
      <c r="J2519" s="42"/>
      <c r="K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</row>
    <row r="2520" spans="1:22" x14ac:dyDescent="0.25">
      <c r="A2520" s="20">
        <v>42061</v>
      </c>
      <c r="B2520" s="21">
        <v>13217</v>
      </c>
      <c r="C2520" s="14" t="s">
        <v>106</v>
      </c>
      <c r="D2520" s="105">
        <v>10346</v>
      </c>
      <c r="E2520" s="65">
        <v>42062</v>
      </c>
      <c r="F2520" s="106">
        <v>10346</v>
      </c>
      <c r="G2520" s="31">
        <f t="shared" si="39"/>
        <v>0</v>
      </c>
      <c r="H2520" s="39" t="s">
        <v>15</v>
      </c>
      <c r="I2520" s="3"/>
      <c r="J2520" s="42"/>
      <c r="K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</row>
    <row r="2521" spans="1:22" x14ac:dyDescent="0.25">
      <c r="A2521" s="20">
        <v>42061</v>
      </c>
      <c r="B2521" s="21">
        <v>13218</v>
      </c>
      <c r="C2521" s="14" t="s">
        <v>24</v>
      </c>
      <c r="D2521" s="105">
        <v>99399.06</v>
      </c>
      <c r="E2521" s="74">
        <v>42081</v>
      </c>
      <c r="F2521" s="144">
        <v>99399.06</v>
      </c>
      <c r="G2521" s="31">
        <f t="shared" si="39"/>
        <v>0</v>
      </c>
      <c r="H2521" s="39" t="s">
        <v>183</v>
      </c>
      <c r="I2521" s="3"/>
      <c r="J2521" s="42"/>
      <c r="K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</row>
    <row r="2522" spans="1:22" x14ac:dyDescent="0.25">
      <c r="A2522" s="20">
        <v>42061</v>
      </c>
      <c r="B2522" s="21">
        <v>13219</v>
      </c>
      <c r="C2522" s="14" t="s">
        <v>725</v>
      </c>
      <c r="D2522" s="105">
        <v>1197</v>
      </c>
      <c r="E2522" s="65">
        <v>42061</v>
      </c>
      <c r="F2522" s="106">
        <v>1197</v>
      </c>
      <c r="G2522" s="31">
        <f t="shared" si="39"/>
        <v>0</v>
      </c>
      <c r="H2522" s="39" t="s">
        <v>9</v>
      </c>
      <c r="I2522" s="3"/>
      <c r="J2522" s="42"/>
      <c r="K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</row>
    <row r="2523" spans="1:22" x14ac:dyDescent="0.25">
      <c r="A2523" s="20">
        <v>42061</v>
      </c>
      <c r="B2523" s="21">
        <v>13220</v>
      </c>
      <c r="C2523" s="14" t="s">
        <v>56</v>
      </c>
      <c r="D2523" s="105">
        <v>11054</v>
      </c>
      <c r="E2523" s="65">
        <v>42062</v>
      </c>
      <c r="F2523" s="106">
        <v>11054</v>
      </c>
      <c r="G2523" s="31">
        <f t="shared" si="39"/>
        <v>0</v>
      </c>
      <c r="H2523" s="39" t="s">
        <v>36</v>
      </c>
      <c r="I2523" s="3"/>
      <c r="J2523" s="42"/>
      <c r="K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</row>
    <row r="2524" spans="1:22" x14ac:dyDescent="0.25">
      <c r="A2524" s="20">
        <v>42061</v>
      </c>
      <c r="B2524" s="21">
        <v>13221</v>
      </c>
      <c r="C2524" s="14" t="s">
        <v>179</v>
      </c>
      <c r="D2524" s="105">
        <v>504</v>
      </c>
      <c r="E2524" s="65">
        <v>42062</v>
      </c>
      <c r="F2524" s="106">
        <v>504</v>
      </c>
      <c r="G2524" s="31">
        <f t="shared" si="39"/>
        <v>0</v>
      </c>
      <c r="H2524" s="39" t="s">
        <v>183</v>
      </c>
      <c r="I2524" s="3"/>
      <c r="J2524" s="42"/>
      <c r="K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</row>
    <row r="2525" spans="1:22" x14ac:dyDescent="0.25">
      <c r="A2525" s="20">
        <v>42061</v>
      </c>
      <c r="B2525" s="21">
        <v>13222</v>
      </c>
      <c r="C2525" s="14" t="s">
        <v>110</v>
      </c>
      <c r="D2525" s="105">
        <v>44633.09</v>
      </c>
      <c r="E2525" s="67" t="s">
        <v>764</v>
      </c>
      <c r="F2525" s="144">
        <f>7849.92+36783.17</f>
        <v>44633.09</v>
      </c>
      <c r="G2525" s="31">
        <f t="shared" si="39"/>
        <v>0</v>
      </c>
      <c r="H2525" s="39" t="s">
        <v>183</v>
      </c>
      <c r="I2525" s="3"/>
      <c r="J2525" s="42"/>
      <c r="K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</row>
    <row r="2526" spans="1:22" x14ac:dyDescent="0.25">
      <c r="A2526" s="20">
        <v>42061</v>
      </c>
      <c r="B2526" s="21">
        <v>13223</v>
      </c>
      <c r="C2526" s="14" t="s">
        <v>730</v>
      </c>
      <c r="D2526" s="105">
        <v>1699.6</v>
      </c>
      <c r="E2526" s="65">
        <v>42062</v>
      </c>
      <c r="F2526" s="106">
        <v>1699.6</v>
      </c>
      <c r="G2526" s="31">
        <f t="shared" si="39"/>
        <v>0</v>
      </c>
      <c r="H2526" s="39" t="s">
        <v>36</v>
      </c>
      <c r="I2526" s="3"/>
      <c r="J2526" s="42"/>
      <c r="K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</row>
    <row r="2527" spans="1:22" x14ac:dyDescent="0.25">
      <c r="A2527" s="20">
        <v>42061</v>
      </c>
      <c r="B2527" s="21">
        <v>13224</v>
      </c>
      <c r="C2527" s="14" t="s">
        <v>725</v>
      </c>
      <c r="D2527" s="105">
        <v>5658.2</v>
      </c>
      <c r="E2527" s="65">
        <v>42061</v>
      </c>
      <c r="F2527" s="106">
        <v>5658.2</v>
      </c>
      <c r="G2527" s="31">
        <f t="shared" si="39"/>
        <v>0</v>
      </c>
      <c r="H2527" s="39" t="s">
        <v>9</v>
      </c>
      <c r="I2527" s="3"/>
      <c r="J2527" s="42"/>
      <c r="K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</row>
    <row r="2528" spans="1:22" x14ac:dyDescent="0.25">
      <c r="A2528" s="20">
        <v>42061</v>
      </c>
      <c r="B2528" s="21">
        <v>13225</v>
      </c>
      <c r="C2528" s="14" t="s">
        <v>334</v>
      </c>
      <c r="D2528" s="105">
        <v>2587.1999999999998</v>
      </c>
      <c r="E2528" s="65">
        <v>42062</v>
      </c>
      <c r="F2528" s="106">
        <v>2587.1999999999998</v>
      </c>
      <c r="G2528" s="31">
        <f t="shared" si="39"/>
        <v>0</v>
      </c>
      <c r="H2528" s="39" t="s">
        <v>36</v>
      </c>
      <c r="I2528" s="3"/>
      <c r="J2528" s="42"/>
      <c r="K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</row>
    <row r="2529" spans="1:22" x14ac:dyDescent="0.25">
      <c r="A2529" s="20">
        <v>42061</v>
      </c>
      <c r="B2529" s="21">
        <v>13226</v>
      </c>
      <c r="C2529" s="14" t="s">
        <v>128</v>
      </c>
      <c r="D2529" s="105">
        <v>13005.2</v>
      </c>
      <c r="E2529" s="65">
        <v>42061</v>
      </c>
      <c r="F2529" s="106">
        <v>13005.2</v>
      </c>
      <c r="G2529" s="31">
        <f t="shared" si="39"/>
        <v>0</v>
      </c>
      <c r="H2529" s="39" t="s">
        <v>17</v>
      </c>
      <c r="I2529" s="3"/>
      <c r="J2529" s="42"/>
      <c r="K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</row>
    <row r="2530" spans="1:22" x14ac:dyDescent="0.25">
      <c r="A2530" s="20">
        <v>42061</v>
      </c>
      <c r="B2530" s="21">
        <v>13227</v>
      </c>
      <c r="C2530" s="14" t="s">
        <v>35</v>
      </c>
      <c r="D2530" s="105">
        <v>21236.46</v>
      </c>
      <c r="E2530" s="65">
        <v>42062</v>
      </c>
      <c r="F2530" s="106">
        <v>21236.46</v>
      </c>
      <c r="G2530" s="31">
        <f t="shared" si="39"/>
        <v>0</v>
      </c>
      <c r="H2530" s="39" t="s">
        <v>36</v>
      </c>
      <c r="I2530" s="3"/>
      <c r="J2530" s="42"/>
      <c r="K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</row>
    <row r="2531" spans="1:22" x14ac:dyDescent="0.25">
      <c r="A2531" s="20">
        <v>42061</v>
      </c>
      <c r="B2531" s="21">
        <v>13228</v>
      </c>
      <c r="C2531" s="14" t="s">
        <v>130</v>
      </c>
      <c r="D2531" s="105">
        <v>5103.2</v>
      </c>
      <c r="E2531" s="65">
        <v>42063</v>
      </c>
      <c r="F2531" s="106">
        <v>5103.2</v>
      </c>
      <c r="G2531" s="31">
        <f t="shared" si="39"/>
        <v>0</v>
      </c>
      <c r="H2531" s="39" t="s">
        <v>17</v>
      </c>
      <c r="I2531" s="3"/>
      <c r="J2531" s="42"/>
      <c r="K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</row>
    <row r="2532" spans="1:22" x14ac:dyDescent="0.25">
      <c r="A2532" s="20">
        <v>42061</v>
      </c>
      <c r="B2532" s="21">
        <v>13229</v>
      </c>
      <c r="C2532" s="14" t="s">
        <v>718</v>
      </c>
      <c r="D2532" s="105">
        <v>11049.2</v>
      </c>
      <c r="E2532" s="65">
        <v>42062</v>
      </c>
      <c r="F2532" s="106">
        <v>11049.2</v>
      </c>
      <c r="G2532" s="31">
        <f t="shared" si="39"/>
        <v>0</v>
      </c>
      <c r="H2532" s="39" t="s">
        <v>17</v>
      </c>
      <c r="I2532" s="3"/>
      <c r="J2532" s="42"/>
      <c r="K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</row>
    <row r="2533" spans="1:22" x14ac:dyDescent="0.25">
      <c r="A2533" s="20">
        <v>42061</v>
      </c>
      <c r="B2533" s="21">
        <v>13230</v>
      </c>
      <c r="C2533" s="14" t="s">
        <v>131</v>
      </c>
      <c r="D2533" s="105">
        <v>5611.5</v>
      </c>
      <c r="E2533" s="65">
        <v>42061</v>
      </c>
      <c r="F2533" s="106">
        <v>5611.5</v>
      </c>
      <c r="G2533" s="31">
        <f t="shared" si="39"/>
        <v>0</v>
      </c>
      <c r="H2533" s="39" t="s">
        <v>17</v>
      </c>
      <c r="I2533" s="3"/>
      <c r="J2533" s="42"/>
      <c r="K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</row>
    <row r="2534" spans="1:22" x14ac:dyDescent="0.25">
      <c r="A2534" s="20">
        <v>42061</v>
      </c>
      <c r="B2534" s="21">
        <v>13231</v>
      </c>
      <c r="C2534" s="14" t="s">
        <v>106</v>
      </c>
      <c r="D2534" s="105">
        <v>20983.759999999998</v>
      </c>
      <c r="E2534" s="65">
        <v>42062</v>
      </c>
      <c r="F2534" s="106">
        <v>20983.759999999998</v>
      </c>
      <c r="G2534" s="31">
        <f t="shared" si="39"/>
        <v>0</v>
      </c>
      <c r="H2534" s="39" t="s">
        <v>19</v>
      </c>
      <c r="I2534" s="3"/>
      <c r="J2534" s="42"/>
      <c r="K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</row>
    <row r="2535" spans="1:22" x14ac:dyDescent="0.25">
      <c r="A2535" s="20">
        <v>42061</v>
      </c>
      <c r="B2535" s="21">
        <v>13232</v>
      </c>
      <c r="C2535" s="14" t="s">
        <v>250</v>
      </c>
      <c r="D2535" s="105">
        <v>4020</v>
      </c>
      <c r="E2535" s="65">
        <v>42062</v>
      </c>
      <c r="F2535" s="106">
        <v>4020</v>
      </c>
      <c r="G2535" s="31">
        <f t="shared" si="39"/>
        <v>0</v>
      </c>
      <c r="H2535" s="39" t="s">
        <v>19</v>
      </c>
      <c r="I2535" s="3"/>
      <c r="J2535" s="42"/>
      <c r="K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</row>
    <row r="2536" spans="1:22" x14ac:dyDescent="0.25">
      <c r="A2536" s="20">
        <v>42061</v>
      </c>
      <c r="B2536" s="21">
        <v>13233</v>
      </c>
      <c r="C2536" s="14" t="s">
        <v>135</v>
      </c>
      <c r="D2536" s="105">
        <v>7803</v>
      </c>
      <c r="E2536" s="65">
        <v>42061</v>
      </c>
      <c r="F2536" s="106">
        <v>7803</v>
      </c>
      <c r="G2536" s="31">
        <f t="shared" si="39"/>
        <v>0</v>
      </c>
      <c r="H2536" s="39" t="s">
        <v>9</v>
      </c>
      <c r="I2536" s="3"/>
      <c r="J2536" s="42"/>
      <c r="K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</row>
    <row r="2537" spans="1:22" x14ac:dyDescent="0.25">
      <c r="A2537" s="20">
        <v>42061</v>
      </c>
      <c r="B2537" s="21">
        <v>13234</v>
      </c>
      <c r="C2537" s="14" t="s">
        <v>104</v>
      </c>
      <c r="D2537" s="105">
        <v>592.79999999999995</v>
      </c>
      <c r="E2537" s="65">
        <v>42062</v>
      </c>
      <c r="F2537" s="106">
        <v>592.79999999999995</v>
      </c>
      <c r="G2537" s="31">
        <f t="shared" si="39"/>
        <v>0</v>
      </c>
      <c r="H2537" s="39" t="s">
        <v>19</v>
      </c>
      <c r="I2537" s="3"/>
      <c r="J2537" s="42"/>
      <c r="K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</row>
    <row r="2538" spans="1:22" x14ac:dyDescent="0.25">
      <c r="A2538" s="20">
        <v>42061</v>
      </c>
      <c r="B2538" s="21">
        <v>13235</v>
      </c>
      <c r="C2538" s="14" t="s">
        <v>93</v>
      </c>
      <c r="D2538" s="105">
        <v>1627.2</v>
      </c>
      <c r="E2538" s="65">
        <v>42062</v>
      </c>
      <c r="F2538" s="106">
        <v>1627.2</v>
      </c>
      <c r="G2538" s="31">
        <f t="shared" si="39"/>
        <v>0</v>
      </c>
      <c r="H2538" s="39" t="s">
        <v>19</v>
      </c>
      <c r="I2538" s="3"/>
      <c r="J2538" s="42"/>
      <c r="K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</row>
    <row r="2539" spans="1:22" x14ac:dyDescent="0.25">
      <c r="A2539" s="20">
        <v>42061</v>
      </c>
      <c r="B2539" s="21">
        <v>13236</v>
      </c>
      <c r="C2539" s="14" t="s">
        <v>689</v>
      </c>
      <c r="D2539" s="105">
        <v>11063.9</v>
      </c>
      <c r="E2539" s="65">
        <v>42062</v>
      </c>
      <c r="F2539" s="106">
        <v>11063.9</v>
      </c>
      <c r="G2539" s="31">
        <f t="shared" si="39"/>
        <v>0</v>
      </c>
      <c r="H2539" s="39" t="s">
        <v>19</v>
      </c>
      <c r="I2539" s="3"/>
      <c r="J2539" s="42"/>
      <c r="K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</row>
    <row r="2540" spans="1:22" x14ac:dyDescent="0.25">
      <c r="A2540" s="20">
        <v>42061</v>
      </c>
      <c r="B2540" s="21">
        <v>13237</v>
      </c>
      <c r="C2540" s="14" t="s">
        <v>38</v>
      </c>
      <c r="D2540" s="105">
        <v>34984.25</v>
      </c>
      <c r="E2540" s="74">
        <v>42082</v>
      </c>
      <c r="F2540" s="144">
        <v>34984.25</v>
      </c>
      <c r="G2540" s="31">
        <f t="shared" si="39"/>
        <v>0</v>
      </c>
      <c r="H2540" s="39" t="s">
        <v>19</v>
      </c>
      <c r="I2540" s="3"/>
      <c r="J2540" s="42"/>
      <c r="K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</row>
    <row r="2541" spans="1:22" x14ac:dyDescent="0.25">
      <c r="A2541" s="20">
        <v>42061</v>
      </c>
      <c r="B2541" s="21">
        <v>13238</v>
      </c>
      <c r="C2541" s="14" t="s">
        <v>96</v>
      </c>
      <c r="D2541" s="105">
        <v>4428</v>
      </c>
      <c r="E2541" s="65">
        <v>42062</v>
      </c>
      <c r="F2541" s="106">
        <v>4428</v>
      </c>
      <c r="G2541" s="31">
        <f t="shared" si="39"/>
        <v>0</v>
      </c>
      <c r="H2541" s="39" t="s">
        <v>19</v>
      </c>
      <c r="I2541" s="3"/>
      <c r="J2541" s="42"/>
      <c r="K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</row>
    <row r="2542" spans="1:22" x14ac:dyDescent="0.25">
      <c r="A2542" s="20">
        <v>42061</v>
      </c>
      <c r="B2542" s="21">
        <v>13239</v>
      </c>
      <c r="C2542" s="14" t="s">
        <v>89</v>
      </c>
      <c r="D2542" s="105">
        <v>4381.1000000000004</v>
      </c>
      <c r="E2542" s="65">
        <v>42061</v>
      </c>
      <c r="F2542" s="106">
        <v>4381.1000000000004</v>
      </c>
      <c r="G2542" s="31">
        <f t="shared" si="39"/>
        <v>0</v>
      </c>
      <c r="H2542" s="39" t="s">
        <v>9</v>
      </c>
      <c r="I2542" s="3"/>
      <c r="J2542" s="42"/>
      <c r="K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</row>
    <row r="2543" spans="1:22" x14ac:dyDescent="0.25">
      <c r="A2543" s="20">
        <v>42061</v>
      </c>
      <c r="B2543" s="21">
        <v>13240</v>
      </c>
      <c r="C2543" s="14" t="s">
        <v>87</v>
      </c>
      <c r="D2543" s="105">
        <v>840</v>
      </c>
      <c r="E2543" s="65">
        <v>42061</v>
      </c>
      <c r="F2543" s="106">
        <v>840</v>
      </c>
      <c r="G2543" s="31">
        <f t="shared" si="39"/>
        <v>0</v>
      </c>
      <c r="H2543" s="39" t="s">
        <v>9</v>
      </c>
      <c r="I2543" s="3"/>
      <c r="J2543" s="42"/>
      <c r="K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</row>
    <row r="2544" spans="1:22" x14ac:dyDescent="0.25">
      <c r="A2544" s="20">
        <v>42061</v>
      </c>
      <c r="B2544" s="21">
        <v>13241</v>
      </c>
      <c r="C2544" s="14" t="s">
        <v>190</v>
      </c>
      <c r="D2544" s="105">
        <v>9771.6</v>
      </c>
      <c r="E2544" s="65">
        <v>42062</v>
      </c>
      <c r="F2544" s="106">
        <v>9771.6</v>
      </c>
      <c r="G2544" s="31">
        <f t="shared" si="39"/>
        <v>0</v>
      </c>
      <c r="H2544" s="39" t="s">
        <v>19</v>
      </c>
      <c r="I2544" s="3"/>
      <c r="J2544" s="42"/>
      <c r="K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</row>
    <row r="2545" spans="1:22" x14ac:dyDescent="0.25">
      <c r="A2545" s="20">
        <v>42061</v>
      </c>
      <c r="B2545" s="21">
        <v>13242</v>
      </c>
      <c r="C2545" s="14" t="s">
        <v>104</v>
      </c>
      <c r="D2545" s="105">
        <v>560</v>
      </c>
      <c r="E2545" s="65">
        <v>42062</v>
      </c>
      <c r="F2545" s="106">
        <v>560</v>
      </c>
      <c r="G2545" s="31">
        <f t="shared" si="39"/>
        <v>0</v>
      </c>
      <c r="H2545" s="39" t="s">
        <v>19</v>
      </c>
      <c r="I2545" s="3"/>
      <c r="J2545" s="42"/>
      <c r="K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</row>
    <row r="2546" spans="1:22" x14ac:dyDescent="0.25">
      <c r="A2546" s="20">
        <v>42061</v>
      </c>
      <c r="B2546" s="21">
        <v>13243</v>
      </c>
      <c r="C2546" s="14" t="s">
        <v>247</v>
      </c>
      <c r="D2546" s="105">
        <v>5920.2</v>
      </c>
      <c r="E2546" s="65">
        <v>42062</v>
      </c>
      <c r="F2546" s="106">
        <v>5920.2</v>
      </c>
      <c r="G2546" s="31">
        <f t="shared" si="39"/>
        <v>0</v>
      </c>
      <c r="H2546" s="39" t="s">
        <v>94</v>
      </c>
      <c r="I2546" s="3"/>
      <c r="J2546" s="42"/>
      <c r="K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</row>
    <row r="2547" spans="1:22" x14ac:dyDescent="0.25">
      <c r="A2547" s="20">
        <v>42061</v>
      </c>
      <c r="B2547" s="21">
        <v>13244</v>
      </c>
      <c r="C2547" s="14" t="s">
        <v>136</v>
      </c>
      <c r="D2547" s="105">
        <v>36844.6</v>
      </c>
      <c r="E2547" s="74">
        <v>42064</v>
      </c>
      <c r="F2547" s="144">
        <v>36844.6</v>
      </c>
      <c r="G2547" s="31">
        <f t="shared" si="39"/>
        <v>0</v>
      </c>
      <c r="H2547" s="39" t="s">
        <v>9</v>
      </c>
      <c r="I2547" s="3"/>
      <c r="J2547" s="42"/>
      <c r="K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</row>
    <row r="2548" spans="1:22" x14ac:dyDescent="0.25">
      <c r="A2548" s="20">
        <v>42061</v>
      </c>
      <c r="B2548" s="21">
        <v>13245</v>
      </c>
      <c r="C2548" s="14" t="s">
        <v>213</v>
      </c>
      <c r="D2548" s="105">
        <v>39224</v>
      </c>
      <c r="E2548" s="74">
        <v>42153</v>
      </c>
      <c r="F2548" s="144">
        <v>39224</v>
      </c>
      <c r="G2548" s="31">
        <f t="shared" si="39"/>
        <v>0</v>
      </c>
      <c r="H2548" s="39" t="s">
        <v>94</v>
      </c>
      <c r="I2548" s="3"/>
      <c r="J2548" s="42"/>
      <c r="K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</row>
    <row r="2549" spans="1:22" x14ac:dyDescent="0.25">
      <c r="A2549" s="20">
        <v>42061</v>
      </c>
      <c r="B2549" s="21">
        <v>13246</v>
      </c>
      <c r="C2549" s="14" t="s">
        <v>440</v>
      </c>
      <c r="D2549" s="105">
        <v>4094.4</v>
      </c>
      <c r="E2549" s="65">
        <v>42061</v>
      </c>
      <c r="F2549" s="106">
        <v>4094.4</v>
      </c>
      <c r="G2549" s="31">
        <f t="shared" si="39"/>
        <v>0</v>
      </c>
      <c r="H2549" s="39" t="s">
        <v>9</v>
      </c>
      <c r="I2549" s="3"/>
      <c r="J2549" s="42"/>
      <c r="K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</row>
    <row r="2550" spans="1:22" x14ac:dyDescent="0.25">
      <c r="A2550" s="20">
        <v>42061</v>
      </c>
      <c r="B2550" s="21">
        <v>13247</v>
      </c>
      <c r="C2550" s="14" t="s">
        <v>213</v>
      </c>
      <c r="D2550" s="105">
        <v>62416.2</v>
      </c>
      <c r="E2550" s="126"/>
      <c r="F2550" s="111"/>
      <c r="G2550" s="31">
        <f t="shared" si="39"/>
        <v>62416.2</v>
      </c>
      <c r="H2550" s="39" t="s">
        <v>94</v>
      </c>
      <c r="I2550" s="3"/>
      <c r="J2550" s="42"/>
      <c r="K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</row>
    <row r="2551" spans="1:22" x14ac:dyDescent="0.25">
      <c r="A2551" s="20">
        <v>42061</v>
      </c>
      <c r="B2551" s="21">
        <v>13248</v>
      </c>
      <c r="C2551" s="14" t="s">
        <v>127</v>
      </c>
      <c r="D2551" s="105">
        <v>12831.75</v>
      </c>
      <c r="E2551" s="65">
        <v>42061</v>
      </c>
      <c r="F2551" s="106">
        <v>12831.75</v>
      </c>
      <c r="G2551" s="31">
        <f t="shared" si="39"/>
        <v>0</v>
      </c>
      <c r="H2551" s="39" t="s">
        <v>9</v>
      </c>
      <c r="I2551" s="3"/>
      <c r="J2551" s="42"/>
      <c r="K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</row>
    <row r="2552" spans="1:22" x14ac:dyDescent="0.25">
      <c r="A2552" s="20">
        <v>42061</v>
      </c>
      <c r="B2552" s="21">
        <v>13249</v>
      </c>
      <c r="C2552" s="14" t="s">
        <v>675</v>
      </c>
      <c r="D2552" s="105">
        <v>555</v>
      </c>
      <c r="E2552" s="65">
        <v>42061</v>
      </c>
      <c r="F2552" s="106">
        <v>555</v>
      </c>
      <c r="G2552" s="31">
        <f t="shared" si="39"/>
        <v>0</v>
      </c>
      <c r="H2552" s="39" t="s">
        <v>9</v>
      </c>
      <c r="I2552" s="3"/>
      <c r="J2552" s="42"/>
      <c r="K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</row>
    <row r="2553" spans="1:22" x14ac:dyDescent="0.25">
      <c r="A2553" s="20">
        <v>42061</v>
      </c>
      <c r="B2553" s="21">
        <v>13250</v>
      </c>
      <c r="C2553" s="14" t="s">
        <v>42</v>
      </c>
      <c r="D2553" s="105">
        <v>113.9</v>
      </c>
      <c r="E2553" s="65">
        <v>42062</v>
      </c>
      <c r="F2553" s="106">
        <v>113.9</v>
      </c>
      <c r="G2553" s="31">
        <f t="shared" si="39"/>
        <v>0</v>
      </c>
      <c r="H2553" s="39" t="s">
        <v>9</v>
      </c>
      <c r="I2553" s="3"/>
      <c r="J2553" s="42"/>
      <c r="K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</row>
    <row r="2554" spans="1:22" x14ac:dyDescent="0.25">
      <c r="A2554" s="20">
        <v>42061</v>
      </c>
      <c r="B2554" s="21">
        <v>13251</v>
      </c>
      <c r="C2554" s="14" t="s">
        <v>111</v>
      </c>
      <c r="D2554" s="105">
        <v>163172</v>
      </c>
      <c r="E2554" s="74">
        <v>42066</v>
      </c>
      <c r="F2554" s="144">
        <v>163172</v>
      </c>
      <c r="G2554" s="31">
        <f t="shared" si="39"/>
        <v>0</v>
      </c>
      <c r="H2554" s="39" t="s">
        <v>9</v>
      </c>
      <c r="I2554" s="3"/>
      <c r="J2554" s="42"/>
      <c r="K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</row>
    <row r="2555" spans="1:22" x14ac:dyDescent="0.25">
      <c r="A2555" s="20">
        <v>42061</v>
      </c>
      <c r="B2555" s="21">
        <v>13252</v>
      </c>
      <c r="C2555" s="14" t="s">
        <v>64</v>
      </c>
      <c r="D2555" s="105">
        <v>1554.2</v>
      </c>
      <c r="E2555" s="65">
        <v>42061</v>
      </c>
      <c r="F2555" s="106">
        <v>1554.2</v>
      </c>
      <c r="G2555" s="31">
        <f t="shared" si="39"/>
        <v>0</v>
      </c>
      <c r="H2555" s="39" t="s">
        <v>62</v>
      </c>
      <c r="I2555" s="3"/>
      <c r="J2555" s="42"/>
      <c r="K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</row>
    <row r="2556" spans="1:22" x14ac:dyDescent="0.25">
      <c r="A2556" s="20">
        <v>42061</v>
      </c>
      <c r="B2556" s="21">
        <v>13253</v>
      </c>
      <c r="C2556" s="14" t="s">
        <v>24</v>
      </c>
      <c r="D2556" s="105">
        <v>198308.6</v>
      </c>
      <c r="E2556" s="74">
        <v>42081</v>
      </c>
      <c r="F2556" s="144">
        <v>198308.6</v>
      </c>
      <c r="G2556" s="31">
        <f t="shared" si="39"/>
        <v>0</v>
      </c>
      <c r="H2556" s="39" t="s">
        <v>46</v>
      </c>
      <c r="I2556" s="3"/>
      <c r="J2556" s="42"/>
      <c r="K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</row>
    <row r="2557" spans="1:22" x14ac:dyDescent="0.25">
      <c r="A2557" s="20">
        <v>42061</v>
      </c>
      <c r="B2557" s="21">
        <v>13254</v>
      </c>
      <c r="C2557" s="14" t="s">
        <v>24</v>
      </c>
      <c r="D2557" s="105">
        <v>42688.58</v>
      </c>
      <c r="E2557" s="74">
        <v>42081</v>
      </c>
      <c r="F2557" s="144">
        <v>42688.58</v>
      </c>
      <c r="G2557" s="31">
        <f t="shared" si="39"/>
        <v>0</v>
      </c>
      <c r="H2557" s="39" t="s">
        <v>183</v>
      </c>
      <c r="I2557" s="3"/>
      <c r="J2557" s="42"/>
      <c r="K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</row>
    <row r="2558" spans="1:22" x14ac:dyDescent="0.25">
      <c r="A2558" s="20">
        <v>42061</v>
      </c>
      <c r="B2558" s="21">
        <v>13255</v>
      </c>
      <c r="C2558" s="14" t="s">
        <v>112</v>
      </c>
      <c r="D2558" s="105">
        <v>7988.4</v>
      </c>
      <c r="E2558" s="66" t="s">
        <v>731</v>
      </c>
      <c r="F2558" s="106">
        <f>5000+2988.4</f>
        <v>7988.4</v>
      </c>
      <c r="G2558" s="31">
        <f t="shared" si="39"/>
        <v>0</v>
      </c>
      <c r="H2558" s="39" t="s">
        <v>9</v>
      </c>
      <c r="I2558" s="3"/>
      <c r="J2558" s="42"/>
      <c r="K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</row>
    <row r="2559" spans="1:22" x14ac:dyDescent="0.25">
      <c r="A2559" s="20">
        <v>42061</v>
      </c>
      <c r="B2559" s="21">
        <v>13256</v>
      </c>
      <c r="C2559" s="14" t="s">
        <v>26</v>
      </c>
      <c r="D2559" s="105">
        <v>870</v>
      </c>
      <c r="E2559" s="65">
        <v>42062</v>
      </c>
      <c r="F2559" s="106">
        <v>870</v>
      </c>
      <c r="G2559" s="31">
        <f t="shared" si="39"/>
        <v>0</v>
      </c>
      <c r="H2559" s="39" t="s">
        <v>94</v>
      </c>
      <c r="I2559" s="3"/>
      <c r="J2559" s="42"/>
      <c r="K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</row>
    <row r="2560" spans="1:22" x14ac:dyDescent="0.25">
      <c r="A2560" s="20">
        <v>42061</v>
      </c>
      <c r="B2560" s="21">
        <v>13257</v>
      </c>
      <c r="C2560" s="14" t="s">
        <v>571</v>
      </c>
      <c r="D2560" s="105">
        <v>79602.820000000007</v>
      </c>
      <c r="E2560" s="65">
        <v>42068</v>
      </c>
      <c r="F2560" s="106">
        <f>51603+27999.82</f>
        <v>79602.820000000007</v>
      </c>
      <c r="G2560" s="31">
        <f t="shared" si="39"/>
        <v>0</v>
      </c>
      <c r="H2560" s="39" t="s">
        <v>94</v>
      </c>
      <c r="I2560" s="3"/>
      <c r="J2560" s="42"/>
      <c r="K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</row>
    <row r="2561" spans="1:22" x14ac:dyDescent="0.25">
      <c r="A2561" s="20">
        <v>42061</v>
      </c>
      <c r="B2561" s="21">
        <v>13258</v>
      </c>
      <c r="C2561" s="14" t="s">
        <v>419</v>
      </c>
      <c r="D2561" s="105">
        <v>475.2</v>
      </c>
      <c r="E2561" s="65">
        <v>42061</v>
      </c>
      <c r="F2561" s="106">
        <v>475.2</v>
      </c>
      <c r="G2561" s="31">
        <f t="shared" si="39"/>
        <v>0</v>
      </c>
      <c r="H2561" s="39" t="s">
        <v>9</v>
      </c>
      <c r="I2561" s="3"/>
      <c r="J2561" s="42"/>
      <c r="K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</row>
    <row r="2562" spans="1:22" x14ac:dyDescent="0.25">
      <c r="A2562" s="20">
        <v>42061</v>
      </c>
      <c r="B2562" s="21">
        <v>13259</v>
      </c>
      <c r="C2562" s="26" t="s">
        <v>12</v>
      </c>
      <c r="D2562" s="108">
        <v>0</v>
      </c>
      <c r="E2562" s="65"/>
      <c r="F2562" s="106"/>
      <c r="G2562" s="31">
        <f t="shared" si="39"/>
        <v>0</v>
      </c>
      <c r="H2562" s="39" t="s">
        <v>13</v>
      </c>
      <c r="I2562" s="3"/>
      <c r="J2562" s="42"/>
      <c r="K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</row>
    <row r="2563" spans="1:22" x14ac:dyDescent="0.25">
      <c r="A2563" s="20">
        <v>42061</v>
      </c>
      <c r="B2563" s="21">
        <v>13260</v>
      </c>
      <c r="C2563" s="14" t="s">
        <v>732</v>
      </c>
      <c r="D2563" s="105">
        <v>15714.4</v>
      </c>
      <c r="E2563" s="65">
        <v>42063</v>
      </c>
      <c r="F2563" s="106">
        <v>15714.4</v>
      </c>
      <c r="G2563" s="31">
        <f t="shared" ref="G2563:G2626" si="40">D2563-F2563</f>
        <v>0</v>
      </c>
      <c r="H2563" s="39" t="s">
        <v>149</v>
      </c>
      <c r="I2563" s="3"/>
      <c r="J2563" s="42"/>
      <c r="K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</row>
    <row r="2564" spans="1:22" x14ac:dyDescent="0.25">
      <c r="A2564" s="20">
        <v>42061</v>
      </c>
      <c r="B2564" s="21">
        <v>13261</v>
      </c>
      <c r="C2564" s="14" t="s">
        <v>203</v>
      </c>
      <c r="D2564" s="105">
        <v>15292</v>
      </c>
      <c r="E2564" s="65">
        <v>42063</v>
      </c>
      <c r="F2564" s="106">
        <v>15292</v>
      </c>
      <c r="G2564" s="31">
        <f t="shared" si="40"/>
        <v>0</v>
      </c>
      <c r="H2564" s="39" t="s">
        <v>149</v>
      </c>
      <c r="I2564" s="3"/>
      <c r="J2564" s="42"/>
      <c r="K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</row>
    <row r="2565" spans="1:22" x14ac:dyDescent="0.25">
      <c r="A2565" s="20">
        <v>42061</v>
      </c>
      <c r="B2565" s="21">
        <v>13262</v>
      </c>
      <c r="C2565" s="14" t="s">
        <v>195</v>
      </c>
      <c r="D2565" s="105">
        <v>115152.62</v>
      </c>
      <c r="E2565" s="65">
        <v>42063</v>
      </c>
      <c r="F2565" s="106">
        <v>115152.62</v>
      </c>
      <c r="G2565" s="31">
        <f t="shared" si="40"/>
        <v>0</v>
      </c>
      <c r="H2565" s="39" t="s">
        <v>149</v>
      </c>
      <c r="I2565" s="3"/>
      <c r="J2565" s="42"/>
      <c r="K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</row>
    <row r="2566" spans="1:22" x14ac:dyDescent="0.25">
      <c r="A2566" s="20">
        <v>42061</v>
      </c>
      <c r="B2566" s="21">
        <v>13263</v>
      </c>
      <c r="C2566" s="14" t="s">
        <v>552</v>
      </c>
      <c r="D2566" s="105">
        <v>1981.5</v>
      </c>
      <c r="E2566" s="65">
        <v>42063</v>
      </c>
      <c r="F2566" s="106">
        <v>1981.5</v>
      </c>
      <c r="G2566" s="31">
        <f t="shared" si="40"/>
        <v>0</v>
      </c>
      <c r="H2566" s="39" t="s">
        <v>149</v>
      </c>
      <c r="I2566" s="3"/>
      <c r="J2566" s="42"/>
      <c r="K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</row>
    <row r="2567" spans="1:22" x14ac:dyDescent="0.25">
      <c r="A2567" s="20">
        <v>42061</v>
      </c>
      <c r="B2567" s="21">
        <v>13264</v>
      </c>
      <c r="C2567" s="14" t="s">
        <v>200</v>
      </c>
      <c r="D2567" s="105">
        <v>1910.6</v>
      </c>
      <c r="E2567" s="65">
        <v>42063</v>
      </c>
      <c r="F2567" s="106">
        <v>1910.6</v>
      </c>
      <c r="G2567" s="31">
        <f t="shared" si="40"/>
        <v>0</v>
      </c>
      <c r="H2567" s="39" t="s">
        <v>149</v>
      </c>
      <c r="I2567" s="3"/>
      <c r="J2567" s="42"/>
      <c r="K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</row>
    <row r="2568" spans="1:22" x14ac:dyDescent="0.25">
      <c r="A2568" s="20">
        <v>42061</v>
      </c>
      <c r="B2568" s="21">
        <v>13265</v>
      </c>
      <c r="C2568" s="14" t="s">
        <v>733</v>
      </c>
      <c r="D2568" s="105">
        <v>4326.3999999999996</v>
      </c>
      <c r="E2568" s="65">
        <v>42063</v>
      </c>
      <c r="F2568" s="106">
        <v>4326.3999999999996</v>
      </c>
      <c r="G2568" s="31">
        <f t="shared" si="40"/>
        <v>0</v>
      </c>
      <c r="H2568" s="39" t="s">
        <v>149</v>
      </c>
      <c r="I2568" s="3"/>
      <c r="J2568" s="42"/>
      <c r="K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</row>
    <row r="2569" spans="1:22" x14ac:dyDescent="0.25">
      <c r="A2569" s="20">
        <v>42061</v>
      </c>
      <c r="B2569" s="21">
        <v>13266</v>
      </c>
      <c r="C2569" s="14" t="s">
        <v>76</v>
      </c>
      <c r="D2569" s="105">
        <v>3617.7</v>
      </c>
      <c r="E2569" s="65">
        <v>42061</v>
      </c>
      <c r="F2569" s="106">
        <v>3617.7</v>
      </c>
      <c r="G2569" s="31">
        <f t="shared" si="40"/>
        <v>0</v>
      </c>
      <c r="H2569" s="39" t="s">
        <v>9</v>
      </c>
      <c r="I2569" s="3"/>
      <c r="J2569" s="42"/>
      <c r="K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</row>
    <row r="2570" spans="1:22" x14ac:dyDescent="0.25">
      <c r="A2570" s="20">
        <v>42061</v>
      </c>
      <c r="B2570" s="21">
        <v>13267</v>
      </c>
      <c r="C2570" s="14" t="s">
        <v>249</v>
      </c>
      <c r="D2570" s="105">
        <v>3704.4</v>
      </c>
      <c r="E2570" s="65">
        <v>42062</v>
      </c>
      <c r="F2570" s="106">
        <v>3704.4</v>
      </c>
      <c r="G2570" s="31">
        <f t="shared" si="40"/>
        <v>0</v>
      </c>
      <c r="H2570" s="39" t="s">
        <v>94</v>
      </c>
      <c r="I2570" s="3"/>
      <c r="J2570" s="42"/>
      <c r="K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</row>
    <row r="2571" spans="1:22" x14ac:dyDescent="0.25">
      <c r="A2571" s="20">
        <v>42061</v>
      </c>
      <c r="B2571" s="21">
        <v>13268</v>
      </c>
      <c r="C2571" s="14" t="s">
        <v>207</v>
      </c>
      <c r="D2571" s="105">
        <v>12696.52</v>
      </c>
      <c r="E2571" s="74">
        <v>42067</v>
      </c>
      <c r="F2571" s="144">
        <v>12696.52</v>
      </c>
      <c r="G2571" s="31">
        <f t="shared" si="40"/>
        <v>0</v>
      </c>
      <c r="H2571" s="39" t="s">
        <v>149</v>
      </c>
      <c r="I2571" s="3"/>
      <c r="J2571" s="42"/>
      <c r="K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</row>
    <row r="2572" spans="1:22" x14ac:dyDescent="0.25">
      <c r="A2572" s="20">
        <v>42061</v>
      </c>
      <c r="B2572" s="21">
        <v>13269</v>
      </c>
      <c r="C2572" s="26" t="s">
        <v>12</v>
      </c>
      <c r="D2572" s="108">
        <v>0</v>
      </c>
      <c r="E2572" s="65"/>
      <c r="F2572" s="106"/>
      <c r="G2572" s="31">
        <f t="shared" si="40"/>
        <v>0</v>
      </c>
      <c r="H2572" s="39" t="s">
        <v>13</v>
      </c>
      <c r="I2572" s="3"/>
      <c r="J2572" s="42"/>
      <c r="K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</row>
    <row r="2573" spans="1:22" x14ac:dyDescent="0.25">
      <c r="A2573" s="20">
        <v>42061</v>
      </c>
      <c r="B2573" s="21">
        <v>13270</v>
      </c>
      <c r="C2573" s="14" t="s">
        <v>118</v>
      </c>
      <c r="D2573" s="105">
        <v>2668</v>
      </c>
      <c r="E2573" s="65">
        <v>42063</v>
      </c>
      <c r="F2573" s="106">
        <v>2668</v>
      </c>
      <c r="G2573" s="31">
        <f t="shared" si="40"/>
        <v>0</v>
      </c>
      <c r="H2573" s="39" t="s">
        <v>94</v>
      </c>
      <c r="I2573" s="3"/>
      <c r="J2573" s="42"/>
      <c r="K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</row>
    <row r="2574" spans="1:22" x14ac:dyDescent="0.25">
      <c r="A2574" s="20">
        <v>42061</v>
      </c>
      <c r="B2574" s="21">
        <v>13271</v>
      </c>
      <c r="C2574" s="14" t="s">
        <v>105</v>
      </c>
      <c r="D2574" s="105">
        <v>3522.5</v>
      </c>
      <c r="E2574" s="65">
        <v>42061</v>
      </c>
      <c r="F2574" s="106">
        <v>3522.5</v>
      </c>
      <c r="G2574" s="31">
        <f t="shared" si="40"/>
        <v>0</v>
      </c>
      <c r="H2574" s="39" t="s">
        <v>9</v>
      </c>
      <c r="I2574" s="3"/>
      <c r="J2574" s="42"/>
      <c r="K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</row>
    <row r="2575" spans="1:22" x14ac:dyDescent="0.25">
      <c r="A2575" s="20">
        <v>42061</v>
      </c>
      <c r="B2575" s="21">
        <v>13272</v>
      </c>
      <c r="C2575" s="14" t="s">
        <v>68</v>
      </c>
      <c r="D2575" s="105">
        <v>1480.8</v>
      </c>
      <c r="E2575" s="65">
        <v>42063</v>
      </c>
      <c r="F2575" s="106">
        <v>1480.8</v>
      </c>
      <c r="G2575" s="31">
        <f t="shared" si="40"/>
        <v>0</v>
      </c>
      <c r="H2575" s="39" t="s">
        <v>46</v>
      </c>
      <c r="I2575" s="3"/>
      <c r="J2575" s="42"/>
      <c r="K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</row>
    <row r="2576" spans="1:22" x14ac:dyDescent="0.25">
      <c r="A2576" s="20">
        <v>42061</v>
      </c>
      <c r="B2576" s="21">
        <v>13273</v>
      </c>
      <c r="C2576" s="14" t="s">
        <v>349</v>
      </c>
      <c r="D2576" s="105">
        <v>4019.25</v>
      </c>
      <c r="E2576" s="65">
        <v>42063</v>
      </c>
      <c r="F2576" s="106">
        <v>4019.25</v>
      </c>
      <c r="G2576" s="31">
        <f t="shared" si="40"/>
        <v>0</v>
      </c>
      <c r="H2576" s="39" t="s">
        <v>149</v>
      </c>
      <c r="I2576" s="3"/>
      <c r="J2576" s="42"/>
      <c r="K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</row>
    <row r="2577" spans="1:22" x14ac:dyDescent="0.25">
      <c r="A2577" s="20">
        <v>42061</v>
      </c>
      <c r="B2577" s="21">
        <v>13274</v>
      </c>
      <c r="C2577" s="14" t="s">
        <v>204</v>
      </c>
      <c r="D2577" s="105">
        <v>6879</v>
      </c>
      <c r="E2577" s="65">
        <v>42063</v>
      </c>
      <c r="F2577" s="106">
        <v>6879</v>
      </c>
      <c r="G2577" s="31">
        <f t="shared" si="40"/>
        <v>0</v>
      </c>
      <c r="H2577" s="39" t="s">
        <v>149</v>
      </c>
      <c r="I2577" s="3"/>
      <c r="J2577" s="42"/>
      <c r="K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</row>
    <row r="2578" spans="1:22" x14ac:dyDescent="0.25">
      <c r="A2578" s="20">
        <v>42061</v>
      </c>
      <c r="B2578" s="21">
        <v>13275</v>
      </c>
      <c r="C2578" s="14" t="s">
        <v>261</v>
      </c>
      <c r="D2578" s="105">
        <v>3515</v>
      </c>
      <c r="E2578" s="65">
        <v>42063</v>
      </c>
      <c r="F2578" s="106">
        <v>3515</v>
      </c>
      <c r="G2578" s="31">
        <f t="shared" si="40"/>
        <v>0</v>
      </c>
      <c r="H2578" s="39" t="s">
        <v>149</v>
      </c>
      <c r="I2578" s="3"/>
      <c r="J2578" s="42"/>
      <c r="K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</row>
    <row r="2579" spans="1:22" x14ac:dyDescent="0.25">
      <c r="A2579" s="20">
        <v>42061</v>
      </c>
      <c r="B2579" s="21">
        <v>13276</v>
      </c>
      <c r="C2579" s="14" t="s">
        <v>198</v>
      </c>
      <c r="D2579" s="105">
        <v>8813.4</v>
      </c>
      <c r="E2579" s="65">
        <v>42063</v>
      </c>
      <c r="F2579" s="106">
        <v>8813.4</v>
      </c>
      <c r="G2579" s="31">
        <f t="shared" si="40"/>
        <v>0</v>
      </c>
      <c r="H2579" s="39" t="s">
        <v>46</v>
      </c>
      <c r="I2579" s="3"/>
      <c r="J2579" s="42"/>
      <c r="K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</row>
    <row r="2580" spans="1:22" x14ac:dyDescent="0.25">
      <c r="A2580" s="20">
        <v>42061</v>
      </c>
      <c r="B2580" s="21">
        <v>13277</v>
      </c>
      <c r="C2580" s="14" t="s">
        <v>552</v>
      </c>
      <c r="D2580" s="105">
        <v>19085.400000000001</v>
      </c>
      <c r="E2580" s="65">
        <v>42063</v>
      </c>
      <c r="F2580" s="106">
        <v>19085.400000000001</v>
      </c>
      <c r="G2580" s="31">
        <f t="shared" si="40"/>
        <v>0</v>
      </c>
      <c r="H2580" s="39" t="s">
        <v>149</v>
      </c>
      <c r="I2580" s="3"/>
      <c r="J2580" s="42"/>
      <c r="K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</row>
    <row r="2581" spans="1:22" x14ac:dyDescent="0.25">
      <c r="A2581" s="20">
        <v>42061</v>
      </c>
      <c r="B2581" s="21">
        <v>13278</v>
      </c>
      <c r="C2581" s="14" t="s">
        <v>195</v>
      </c>
      <c r="D2581" s="105">
        <v>765.45</v>
      </c>
      <c r="E2581" s="65">
        <v>42063</v>
      </c>
      <c r="F2581" s="106">
        <v>765.45</v>
      </c>
      <c r="G2581" s="31">
        <f t="shared" si="40"/>
        <v>0</v>
      </c>
      <c r="H2581" s="39" t="s">
        <v>149</v>
      </c>
      <c r="I2581" s="3"/>
      <c r="J2581" s="42"/>
      <c r="K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</row>
    <row r="2582" spans="1:22" x14ac:dyDescent="0.25">
      <c r="A2582" s="20">
        <v>42061</v>
      </c>
      <c r="B2582" s="21">
        <v>13279</v>
      </c>
      <c r="C2582" s="14" t="s">
        <v>80</v>
      </c>
      <c r="D2582" s="105">
        <v>6926.4</v>
      </c>
      <c r="E2582" s="65">
        <v>42061</v>
      </c>
      <c r="F2582" s="106">
        <v>6926.4</v>
      </c>
      <c r="G2582" s="31">
        <f t="shared" si="40"/>
        <v>0</v>
      </c>
      <c r="H2582" s="39" t="s">
        <v>9</v>
      </c>
      <c r="I2582" s="3"/>
      <c r="J2582" s="42"/>
      <c r="K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</row>
    <row r="2583" spans="1:22" x14ac:dyDescent="0.25">
      <c r="A2583" s="20">
        <v>42061</v>
      </c>
      <c r="B2583" s="21">
        <v>13280</v>
      </c>
      <c r="C2583" s="14" t="s">
        <v>199</v>
      </c>
      <c r="D2583" s="105">
        <v>4617</v>
      </c>
      <c r="E2583" s="67" t="s">
        <v>745</v>
      </c>
      <c r="F2583" s="144">
        <f>3600+1017</f>
        <v>4617</v>
      </c>
      <c r="G2583" s="31">
        <f t="shared" si="40"/>
        <v>0</v>
      </c>
      <c r="H2583" s="39" t="s">
        <v>149</v>
      </c>
      <c r="I2583" s="3"/>
      <c r="J2583" s="42"/>
      <c r="K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</row>
    <row r="2584" spans="1:22" x14ac:dyDescent="0.25">
      <c r="A2584" s="20">
        <v>42061</v>
      </c>
      <c r="B2584" s="21">
        <v>13281</v>
      </c>
      <c r="C2584" s="14" t="s">
        <v>420</v>
      </c>
      <c r="D2584" s="105">
        <v>8489.5</v>
      </c>
      <c r="E2584" s="65">
        <v>42063</v>
      </c>
      <c r="F2584" s="106">
        <v>8489.5</v>
      </c>
      <c r="G2584" s="31">
        <f t="shared" si="40"/>
        <v>0</v>
      </c>
      <c r="H2584" s="39" t="s">
        <v>149</v>
      </c>
      <c r="I2584" s="3"/>
      <c r="J2584" s="42"/>
      <c r="K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</row>
    <row r="2585" spans="1:22" x14ac:dyDescent="0.25">
      <c r="A2585" s="20">
        <v>42061</v>
      </c>
      <c r="B2585" s="21">
        <v>13282</v>
      </c>
      <c r="C2585" s="14" t="s">
        <v>197</v>
      </c>
      <c r="D2585" s="105">
        <v>3892.4</v>
      </c>
      <c r="E2585" s="65">
        <v>42063</v>
      </c>
      <c r="F2585" s="106">
        <v>3892.4</v>
      </c>
      <c r="G2585" s="31">
        <f t="shared" si="40"/>
        <v>0</v>
      </c>
      <c r="H2585" s="39" t="s">
        <v>149</v>
      </c>
      <c r="I2585" s="3"/>
      <c r="J2585" s="42"/>
      <c r="K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</row>
    <row r="2586" spans="1:22" x14ac:dyDescent="0.25">
      <c r="A2586" s="20">
        <v>42061</v>
      </c>
      <c r="B2586" s="21">
        <v>13283</v>
      </c>
      <c r="C2586" s="14" t="s">
        <v>208</v>
      </c>
      <c r="D2586" s="105">
        <v>29695.599999999999</v>
      </c>
      <c r="E2586" s="65">
        <v>42063</v>
      </c>
      <c r="F2586" s="106">
        <v>29695.599999999999</v>
      </c>
      <c r="G2586" s="31">
        <f t="shared" si="40"/>
        <v>0</v>
      </c>
      <c r="H2586" s="39" t="s">
        <v>149</v>
      </c>
      <c r="I2586" s="3"/>
      <c r="J2586" s="42"/>
      <c r="K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</row>
    <row r="2587" spans="1:22" x14ac:dyDescent="0.25">
      <c r="A2587" s="20">
        <v>42061</v>
      </c>
      <c r="B2587" s="21">
        <v>13284</v>
      </c>
      <c r="C2587" s="14" t="s">
        <v>574</v>
      </c>
      <c r="D2587" s="105">
        <v>15377.28</v>
      </c>
      <c r="E2587" s="65">
        <v>42063</v>
      </c>
      <c r="F2587" s="106">
        <v>15377.28</v>
      </c>
      <c r="G2587" s="31">
        <f t="shared" si="40"/>
        <v>0</v>
      </c>
      <c r="H2587" s="39" t="s">
        <v>149</v>
      </c>
      <c r="I2587" s="3"/>
      <c r="J2587" s="42"/>
      <c r="K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</row>
    <row r="2588" spans="1:22" x14ac:dyDescent="0.25">
      <c r="A2588" s="20">
        <v>42061</v>
      </c>
      <c r="B2588" s="21">
        <v>13285</v>
      </c>
      <c r="C2588" s="14" t="s">
        <v>574</v>
      </c>
      <c r="D2588" s="105">
        <v>6112.8</v>
      </c>
      <c r="E2588" s="65">
        <v>42063</v>
      </c>
      <c r="F2588" s="106">
        <v>6112.8</v>
      </c>
      <c r="G2588" s="31">
        <f t="shared" si="40"/>
        <v>0</v>
      </c>
      <c r="H2588" s="39" t="s">
        <v>149</v>
      </c>
      <c r="I2588" s="3"/>
      <c r="J2588" s="42"/>
      <c r="K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</row>
    <row r="2589" spans="1:22" x14ac:dyDescent="0.25">
      <c r="A2589" s="20">
        <v>42062</v>
      </c>
      <c r="B2589" s="21">
        <v>13286</v>
      </c>
      <c r="C2589" s="14" t="s">
        <v>86</v>
      </c>
      <c r="D2589" s="105">
        <v>494.4</v>
      </c>
      <c r="E2589" s="65">
        <v>42062</v>
      </c>
      <c r="F2589" s="106">
        <v>494.4</v>
      </c>
      <c r="G2589" s="31">
        <f t="shared" si="40"/>
        <v>0</v>
      </c>
      <c r="H2589" s="39" t="s">
        <v>9</v>
      </c>
      <c r="I2589" s="3"/>
      <c r="J2589" s="42"/>
      <c r="K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</row>
    <row r="2590" spans="1:22" x14ac:dyDescent="0.25">
      <c r="A2590" s="20">
        <v>42062</v>
      </c>
      <c r="B2590" s="21">
        <v>13287</v>
      </c>
      <c r="C2590" s="14" t="s">
        <v>14</v>
      </c>
      <c r="D2590" s="105">
        <v>36735.300000000003</v>
      </c>
      <c r="E2590" s="74">
        <v>42075</v>
      </c>
      <c r="F2590" s="144">
        <v>36735.300000000003</v>
      </c>
      <c r="G2590" s="31">
        <f t="shared" si="40"/>
        <v>0</v>
      </c>
      <c r="H2590" s="39" t="s">
        <v>15</v>
      </c>
      <c r="I2590" s="3"/>
      <c r="J2590" s="42"/>
      <c r="K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</row>
    <row r="2591" spans="1:22" x14ac:dyDescent="0.25">
      <c r="A2591" s="20">
        <v>42062</v>
      </c>
      <c r="B2591" s="21">
        <v>13288</v>
      </c>
      <c r="C2591" s="14" t="s">
        <v>267</v>
      </c>
      <c r="D2591" s="105">
        <v>2448.62</v>
      </c>
      <c r="E2591" s="65">
        <v>42062</v>
      </c>
      <c r="F2591" s="106">
        <v>2448.62</v>
      </c>
      <c r="G2591" s="31">
        <f t="shared" si="40"/>
        <v>0</v>
      </c>
      <c r="H2591" s="39" t="s">
        <v>19</v>
      </c>
      <c r="I2591" s="3"/>
      <c r="J2591" s="42"/>
      <c r="K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</row>
    <row r="2592" spans="1:22" x14ac:dyDescent="0.25">
      <c r="A2592" s="20">
        <v>42062</v>
      </c>
      <c r="B2592" s="21">
        <v>13289</v>
      </c>
      <c r="C2592" s="14" t="s">
        <v>20</v>
      </c>
      <c r="D2592" s="105">
        <v>16326.45</v>
      </c>
      <c r="E2592" s="74">
        <v>42065</v>
      </c>
      <c r="F2592" s="144">
        <v>16326.45</v>
      </c>
      <c r="G2592" s="31">
        <f t="shared" si="40"/>
        <v>0</v>
      </c>
      <c r="H2592" s="39" t="s">
        <v>94</v>
      </c>
      <c r="I2592" s="3"/>
      <c r="J2592" s="42"/>
      <c r="K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</row>
    <row r="2593" spans="1:22" x14ac:dyDescent="0.25">
      <c r="A2593" s="20">
        <v>42062</v>
      </c>
      <c r="B2593" s="21">
        <v>13290</v>
      </c>
      <c r="C2593" s="14" t="s">
        <v>16</v>
      </c>
      <c r="D2593" s="105">
        <v>8602</v>
      </c>
      <c r="E2593" s="65">
        <v>42062</v>
      </c>
      <c r="F2593" s="106">
        <v>8602</v>
      </c>
      <c r="G2593" s="31">
        <f t="shared" si="40"/>
        <v>0</v>
      </c>
      <c r="H2593" s="39" t="s">
        <v>19</v>
      </c>
      <c r="I2593" s="3"/>
      <c r="J2593" s="42"/>
      <c r="K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</row>
    <row r="2594" spans="1:22" x14ac:dyDescent="0.25">
      <c r="A2594" s="20">
        <v>42062</v>
      </c>
      <c r="B2594" s="21">
        <v>13291</v>
      </c>
      <c r="C2594" s="14" t="s">
        <v>158</v>
      </c>
      <c r="D2594" s="105">
        <v>2004</v>
      </c>
      <c r="E2594" s="65">
        <v>42062</v>
      </c>
      <c r="F2594" s="106">
        <v>2004</v>
      </c>
      <c r="G2594" s="31">
        <f t="shared" si="40"/>
        <v>0</v>
      </c>
      <c r="H2594" s="39" t="s">
        <v>9</v>
      </c>
      <c r="I2594" s="3"/>
      <c r="J2594" s="42"/>
      <c r="K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</row>
    <row r="2595" spans="1:22" x14ac:dyDescent="0.25">
      <c r="A2595" s="20">
        <v>42062</v>
      </c>
      <c r="B2595" s="21">
        <v>13292</v>
      </c>
      <c r="C2595" s="14" t="s">
        <v>26</v>
      </c>
      <c r="D2595" s="105">
        <v>3864</v>
      </c>
      <c r="E2595" s="65">
        <v>42062</v>
      </c>
      <c r="F2595" s="106">
        <v>3864</v>
      </c>
      <c r="G2595" s="31">
        <f t="shared" si="40"/>
        <v>0</v>
      </c>
      <c r="H2595" s="39" t="s">
        <v>27</v>
      </c>
      <c r="I2595" s="3"/>
      <c r="J2595" s="42"/>
      <c r="K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</row>
    <row r="2596" spans="1:22" x14ac:dyDescent="0.25">
      <c r="A2596" s="20">
        <v>42062</v>
      </c>
      <c r="B2596" s="21">
        <v>13293</v>
      </c>
      <c r="C2596" s="14" t="s">
        <v>57</v>
      </c>
      <c r="D2596" s="105">
        <v>1295</v>
      </c>
      <c r="E2596" s="65">
        <v>42062</v>
      </c>
      <c r="F2596" s="106">
        <v>1295</v>
      </c>
      <c r="G2596" s="31">
        <f t="shared" si="40"/>
        <v>0</v>
      </c>
      <c r="H2596" s="39" t="s">
        <v>59</v>
      </c>
      <c r="I2596" s="3"/>
      <c r="J2596" s="42"/>
      <c r="K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</row>
    <row r="2597" spans="1:22" x14ac:dyDescent="0.25">
      <c r="A2597" s="20">
        <v>42062</v>
      </c>
      <c r="B2597" s="21">
        <v>13294</v>
      </c>
      <c r="C2597" s="14" t="s">
        <v>214</v>
      </c>
      <c r="D2597" s="105">
        <v>2960</v>
      </c>
      <c r="E2597" s="65">
        <v>42062</v>
      </c>
      <c r="F2597" s="106">
        <v>2960</v>
      </c>
      <c r="G2597" s="31">
        <f t="shared" si="40"/>
        <v>0</v>
      </c>
      <c r="H2597" s="39" t="s">
        <v>59</v>
      </c>
      <c r="I2597" s="3"/>
      <c r="J2597" s="42"/>
      <c r="K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</row>
    <row r="2598" spans="1:22" x14ac:dyDescent="0.25">
      <c r="A2598" s="20">
        <v>42062</v>
      </c>
      <c r="B2598" s="21">
        <v>13295</v>
      </c>
      <c r="C2598" s="110">
        <v>105</v>
      </c>
      <c r="D2598" s="105">
        <v>1406</v>
      </c>
      <c r="E2598" s="65">
        <v>42062</v>
      </c>
      <c r="F2598" s="106">
        <v>1406</v>
      </c>
      <c r="G2598" s="31">
        <f t="shared" si="40"/>
        <v>0</v>
      </c>
      <c r="H2598" s="39" t="s">
        <v>59</v>
      </c>
      <c r="I2598" s="3"/>
      <c r="J2598" s="42"/>
      <c r="K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</row>
    <row r="2599" spans="1:22" x14ac:dyDescent="0.25">
      <c r="A2599" s="20">
        <v>42062</v>
      </c>
      <c r="B2599" s="21">
        <v>13296</v>
      </c>
      <c r="C2599" s="14" t="s">
        <v>58</v>
      </c>
      <c r="D2599" s="105">
        <v>370</v>
      </c>
      <c r="E2599" s="65">
        <v>42062</v>
      </c>
      <c r="F2599" s="106">
        <v>370</v>
      </c>
      <c r="G2599" s="31">
        <f t="shared" si="40"/>
        <v>0</v>
      </c>
      <c r="H2599" s="39" t="s">
        <v>59</v>
      </c>
      <c r="I2599" s="3"/>
      <c r="J2599" s="42"/>
      <c r="K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</row>
    <row r="2600" spans="1:22" x14ac:dyDescent="0.25">
      <c r="A2600" s="20">
        <v>42062</v>
      </c>
      <c r="B2600" s="21">
        <v>13297</v>
      </c>
      <c r="C2600" s="14" t="s">
        <v>720</v>
      </c>
      <c r="D2600" s="105">
        <v>9073.2999999999993</v>
      </c>
      <c r="E2600" s="65">
        <v>42062</v>
      </c>
      <c r="F2600" s="106">
        <v>9073.2999999999993</v>
      </c>
      <c r="G2600" s="31">
        <f t="shared" si="40"/>
        <v>0</v>
      </c>
      <c r="H2600" s="39" t="s">
        <v>9</v>
      </c>
      <c r="I2600" s="3"/>
      <c r="J2600" s="42"/>
      <c r="K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</row>
    <row r="2601" spans="1:22" x14ac:dyDescent="0.25">
      <c r="A2601" s="20">
        <v>42062</v>
      </c>
      <c r="B2601" s="21">
        <v>13298</v>
      </c>
      <c r="C2601" s="14" t="s">
        <v>658</v>
      </c>
      <c r="D2601" s="105">
        <v>5040</v>
      </c>
      <c r="E2601" s="65">
        <v>42062</v>
      </c>
      <c r="F2601" s="106">
        <v>5040</v>
      </c>
      <c r="G2601" s="31">
        <f t="shared" si="40"/>
        <v>0</v>
      </c>
      <c r="H2601" s="39" t="s">
        <v>9</v>
      </c>
      <c r="I2601" s="3"/>
      <c r="J2601" s="42"/>
      <c r="K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</row>
    <row r="2602" spans="1:22" x14ac:dyDescent="0.25">
      <c r="A2602" s="20">
        <v>42062</v>
      </c>
      <c r="B2602" s="21">
        <v>13299</v>
      </c>
      <c r="C2602" s="14" t="s">
        <v>21</v>
      </c>
      <c r="D2602" s="105">
        <v>6006</v>
      </c>
      <c r="E2602" s="65">
        <v>42062</v>
      </c>
      <c r="F2602" s="106">
        <v>6006</v>
      </c>
      <c r="G2602" s="31">
        <f t="shared" si="40"/>
        <v>0</v>
      </c>
      <c r="H2602" s="39" t="s">
        <v>9</v>
      </c>
      <c r="I2602" s="3"/>
      <c r="J2602" s="42"/>
      <c r="K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</row>
    <row r="2603" spans="1:22" x14ac:dyDescent="0.25">
      <c r="A2603" s="20">
        <v>42062</v>
      </c>
      <c r="B2603" s="21">
        <v>13300</v>
      </c>
      <c r="C2603" s="14" t="s">
        <v>114</v>
      </c>
      <c r="D2603" s="105">
        <v>2779.2</v>
      </c>
      <c r="E2603" s="65">
        <v>42062</v>
      </c>
      <c r="F2603" s="106">
        <v>2779.2</v>
      </c>
      <c r="G2603" s="31">
        <f t="shared" si="40"/>
        <v>0</v>
      </c>
      <c r="H2603" s="39" t="s">
        <v>9</v>
      </c>
      <c r="I2603" s="3"/>
      <c r="J2603" s="42"/>
      <c r="K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</row>
    <row r="2604" spans="1:22" x14ac:dyDescent="0.25">
      <c r="A2604" s="20">
        <v>42062</v>
      </c>
      <c r="B2604" s="21">
        <v>13301</v>
      </c>
      <c r="C2604" s="14" t="s">
        <v>121</v>
      </c>
      <c r="D2604" s="105">
        <v>2996.5</v>
      </c>
      <c r="E2604" s="65">
        <v>42062</v>
      </c>
      <c r="F2604" s="106">
        <v>2996.5</v>
      </c>
      <c r="G2604" s="31">
        <f t="shared" si="40"/>
        <v>0</v>
      </c>
      <c r="H2604" s="39" t="s">
        <v>9</v>
      </c>
      <c r="I2604" s="3"/>
      <c r="J2604" s="42"/>
      <c r="K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</row>
    <row r="2605" spans="1:22" x14ac:dyDescent="0.25">
      <c r="A2605" s="20">
        <v>42062</v>
      </c>
      <c r="B2605" s="21">
        <v>13302</v>
      </c>
      <c r="C2605" s="14" t="s">
        <v>734</v>
      </c>
      <c r="D2605" s="105">
        <v>5944.05</v>
      </c>
      <c r="E2605" s="65">
        <v>42062</v>
      </c>
      <c r="F2605" s="106">
        <v>5944.05</v>
      </c>
      <c r="G2605" s="31">
        <f t="shared" si="40"/>
        <v>0</v>
      </c>
      <c r="H2605" s="39" t="s">
        <v>59</v>
      </c>
      <c r="I2605" s="3"/>
      <c r="J2605" s="42"/>
      <c r="K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</row>
    <row r="2606" spans="1:22" x14ac:dyDescent="0.25">
      <c r="A2606" s="20">
        <v>42062</v>
      </c>
      <c r="B2606" s="21">
        <v>13303</v>
      </c>
      <c r="C2606" s="14" t="s">
        <v>48</v>
      </c>
      <c r="D2606" s="105">
        <v>4314.6000000000004</v>
      </c>
      <c r="E2606" s="65">
        <v>42062</v>
      </c>
      <c r="F2606" s="106">
        <v>4314.6000000000004</v>
      </c>
      <c r="G2606" s="31">
        <f t="shared" si="40"/>
        <v>0</v>
      </c>
      <c r="H2606" s="39" t="s">
        <v>94</v>
      </c>
      <c r="I2606" s="3"/>
      <c r="J2606" s="42"/>
      <c r="K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</row>
    <row r="2607" spans="1:22" x14ac:dyDescent="0.25">
      <c r="A2607" s="20">
        <v>42062</v>
      </c>
      <c r="B2607" s="21">
        <v>13304</v>
      </c>
      <c r="C2607" s="14" t="s">
        <v>50</v>
      </c>
      <c r="D2607" s="105">
        <v>4954.3999999999996</v>
      </c>
      <c r="E2607" s="65">
        <v>42062</v>
      </c>
      <c r="F2607" s="106">
        <v>4954.3999999999996</v>
      </c>
      <c r="G2607" s="31">
        <f t="shared" si="40"/>
        <v>0</v>
      </c>
      <c r="H2607" s="39" t="s">
        <v>94</v>
      </c>
      <c r="I2607" s="3"/>
      <c r="J2607" s="42"/>
      <c r="K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</row>
    <row r="2608" spans="1:22" x14ac:dyDescent="0.25">
      <c r="A2608" s="20">
        <v>42062</v>
      </c>
      <c r="B2608" s="21">
        <v>13305</v>
      </c>
      <c r="C2608" s="14" t="s">
        <v>45</v>
      </c>
      <c r="D2608" s="105">
        <v>17398.55</v>
      </c>
      <c r="E2608" s="74">
        <v>42074</v>
      </c>
      <c r="F2608" s="144">
        <v>17398.55</v>
      </c>
      <c r="G2608" s="31">
        <f t="shared" si="40"/>
        <v>0</v>
      </c>
      <c r="H2608" s="39" t="s">
        <v>59</v>
      </c>
      <c r="I2608" s="3"/>
      <c r="J2608" s="42"/>
      <c r="K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</row>
    <row r="2609" spans="1:22" x14ac:dyDescent="0.25">
      <c r="A2609" s="20">
        <v>42062</v>
      </c>
      <c r="B2609" s="21">
        <v>13306</v>
      </c>
      <c r="C2609" s="14" t="s">
        <v>168</v>
      </c>
      <c r="D2609" s="105">
        <v>9247.2000000000007</v>
      </c>
      <c r="E2609" s="65">
        <v>42062</v>
      </c>
      <c r="F2609" s="106">
        <v>9247.2000000000007</v>
      </c>
      <c r="G2609" s="31">
        <f t="shared" si="40"/>
        <v>0</v>
      </c>
      <c r="H2609" s="39" t="s">
        <v>59</v>
      </c>
      <c r="I2609" s="3"/>
      <c r="J2609" s="42"/>
      <c r="K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</row>
    <row r="2610" spans="1:22" x14ac:dyDescent="0.25">
      <c r="A2610" s="20">
        <v>42062</v>
      </c>
      <c r="B2610" s="21">
        <v>13307</v>
      </c>
      <c r="C2610" s="14" t="s">
        <v>82</v>
      </c>
      <c r="D2610" s="105">
        <v>5951</v>
      </c>
      <c r="E2610" s="65">
        <v>42062</v>
      </c>
      <c r="F2610" s="106">
        <v>5951</v>
      </c>
      <c r="G2610" s="31">
        <f t="shared" si="40"/>
        <v>0</v>
      </c>
      <c r="H2610" s="39" t="s">
        <v>59</v>
      </c>
      <c r="I2610" s="3"/>
      <c r="J2610" s="42"/>
      <c r="K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</row>
    <row r="2611" spans="1:22" x14ac:dyDescent="0.25">
      <c r="A2611" s="20">
        <v>42062</v>
      </c>
      <c r="B2611" s="21">
        <v>13308</v>
      </c>
      <c r="C2611" s="14" t="s">
        <v>53</v>
      </c>
      <c r="D2611" s="105">
        <v>2178</v>
      </c>
      <c r="E2611" s="65">
        <v>42062</v>
      </c>
      <c r="F2611" s="106">
        <v>2178</v>
      </c>
      <c r="G2611" s="31">
        <f t="shared" si="40"/>
        <v>0</v>
      </c>
      <c r="H2611" s="39" t="s">
        <v>59</v>
      </c>
      <c r="I2611" s="3"/>
      <c r="J2611" s="42"/>
      <c r="K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</row>
    <row r="2612" spans="1:22" x14ac:dyDescent="0.25">
      <c r="A2612" s="20">
        <v>42062</v>
      </c>
      <c r="B2612" s="21">
        <v>13309</v>
      </c>
      <c r="C2612" s="14" t="s">
        <v>81</v>
      </c>
      <c r="D2612" s="105">
        <v>3683.8</v>
      </c>
      <c r="E2612" s="65">
        <v>42062</v>
      </c>
      <c r="F2612" s="106">
        <v>3683.8</v>
      </c>
      <c r="G2612" s="31">
        <f t="shared" si="40"/>
        <v>0</v>
      </c>
      <c r="H2612" s="39" t="s">
        <v>59</v>
      </c>
      <c r="I2612" s="3"/>
      <c r="J2612" s="42"/>
      <c r="K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</row>
    <row r="2613" spans="1:22" x14ac:dyDescent="0.25">
      <c r="A2613" s="20">
        <v>42062</v>
      </c>
      <c r="B2613" s="21">
        <v>13310</v>
      </c>
      <c r="C2613" s="26" t="s">
        <v>12</v>
      </c>
      <c r="D2613" s="108">
        <v>0</v>
      </c>
      <c r="E2613" s="65"/>
      <c r="F2613" s="106"/>
      <c r="G2613" s="31">
        <f t="shared" si="40"/>
        <v>0</v>
      </c>
      <c r="H2613" s="39" t="s">
        <v>13</v>
      </c>
      <c r="I2613" s="3"/>
      <c r="J2613" s="42"/>
      <c r="K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</row>
    <row r="2614" spans="1:22" x14ac:dyDescent="0.25">
      <c r="A2614" s="20">
        <v>42062</v>
      </c>
      <c r="B2614" s="21">
        <v>13311</v>
      </c>
      <c r="C2614" s="14" t="s">
        <v>125</v>
      </c>
      <c r="D2614" s="105">
        <v>16030.4</v>
      </c>
      <c r="E2614" s="74">
        <v>42066</v>
      </c>
      <c r="F2614" s="144">
        <v>16030.4</v>
      </c>
      <c r="G2614" s="31">
        <f t="shared" si="40"/>
        <v>0</v>
      </c>
      <c r="H2614" s="39" t="s">
        <v>9</v>
      </c>
      <c r="I2614" s="3"/>
      <c r="J2614" s="42"/>
      <c r="K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</row>
    <row r="2615" spans="1:22" x14ac:dyDescent="0.25">
      <c r="A2615" s="20">
        <v>42062</v>
      </c>
      <c r="B2615" s="21">
        <v>13312</v>
      </c>
      <c r="C2615" s="14" t="s">
        <v>169</v>
      </c>
      <c r="D2615" s="105">
        <v>1564</v>
      </c>
      <c r="E2615" s="65">
        <v>42062</v>
      </c>
      <c r="F2615" s="106">
        <v>1564</v>
      </c>
      <c r="G2615" s="31">
        <f t="shared" si="40"/>
        <v>0</v>
      </c>
      <c r="H2615" s="39" t="s">
        <v>59</v>
      </c>
      <c r="I2615" s="3"/>
      <c r="J2615" s="42"/>
      <c r="K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</row>
    <row r="2616" spans="1:22" x14ac:dyDescent="0.25">
      <c r="A2616" s="20">
        <v>42062</v>
      </c>
      <c r="B2616" s="21">
        <v>13313</v>
      </c>
      <c r="C2616" s="14" t="s">
        <v>49</v>
      </c>
      <c r="D2616" s="105">
        <v>1577.8</v>
      </c>
      <c r="E2616" s="65">
        <v>42062</v>
      </c>
      <c r="F2616" s="106">
        <v>1577.8</v>
      </c>
      <c r="G2616" s="31">
        <f t="shared" si="40"/>
        <v>0</v>
      </c>
      <c r="H2616" s="39" t="s">
        <v>17</v>
      </c>
      <c r="I2616" s="3"/>
      <c r="J2616" s="42"/>
      <c r="K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</row>
    <row r="2617" spans="1:22" x14ac:dyDescent="0.25">
      <c r="A2617" s="20">
        <v>42062</v>
      </c>
      <c r="B2617" s="21">
        <v>13314</v>
      </c>
      <c r="C2617" s="14" t="s">
        <v>34</v>
      </c>
      <c r="D2617" s="105">
        <v>3700</v>
      </c>
      <c r="E2617" s="65">
        <v>42062</v>
      </c>
      <c r="F2617" s="106">
        <v>3700</v>
      </c>
      <c r="G2617" s="31">
        <f t="shared" si="40"/>
        <v>0</v>
      </c>
      <c r="H2617" s="39" t="s">
        <v>9</v>
      </c>
      <c r="I2617" s="3"/>
      <c r="J2617" s="42"/>
      <c r="K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</row>
    <row r="2618" spans="1:22" x14ac:dyDescent="0.25">
      <c r="A2618" s="20">
        <v>42062</v>
      </c>
      <c r="B2618" s="21">
        <v>13315</v>
      </c>
      <c r="C2618" s="14" t="s">
        <v>33</v>
      </c>
      <c r="D2618" s="105">
        <v>4915.2</v>
      </c>
      <c r="E2618" s="65">
        <v>42062</v>
      </c>
      <c r="F2618" s="106">
        <v>4915.2</v>
      </c>
      <c r="G2618" s="31">
        <f t="shared" si="40"/>
        <v>0</v>
      </c>
      <c r="H2618" s="39" t="s">
        <v>9</v>
      </c>
      <c r="I2618" s="3"/>
      <c r="J2618" s="42"/>
      <c r="K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</row>
    <row r="2619" spans="1:22" x14ac:dyDescent="0.25">
      <c r="A2619" s="20">
        <v>42062</v>
      </c>
      <c r="B2619" s="21">
        <v>13316</v>
      </c>
      <c r="C2619" s="14" t="s">
        <v>426</v>
      </c>
      <c r="D2619" s="105">
        <v>4148</v>
      </c>
      <c r="E2619" s="65">
        <v>42063</v>
      </c>
      <c r="F2619" s="106">
        <v>4148</v>
      </c>
      <c r="G2619" s="31">
        <f t="shared" si="40"/>
        <v>0</v>
      </c>
      <c r="H2619" s="39" t="s">
        <v>62</v>
      </c>
      <c r="I2619" s="3"/>
      <c r="J2619" s="42"/>
      <c r="K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</row>
    <row r="2620" spans="1:22" x14ac:dyDescent="0.25">
      <c r="A2620" s="20">
        <v>42062</v>
      </c>
      <c r="B2620" s="21">
        <v>13317</v>
      </c>
      <c r="C2620" s="14" t="s">
        <v>78</v>
      </c>
      <c r="D2620" s="105">
        <v>8694</v>
      </c>
      <c r="E2620" s="65">
        <v>42063</v>
      </c>
      <c r="F2620" s="106">
        <v>8694</v>
      </c>
      <c r="G2620" s="31">
        <f t="shared" si="40"/>
        <v>0</v>
      </c>
      <c r="H2620" s="39" t="s">
        <v>62</v>
      </c>
      <c r="I2620" s="3"/>
      <c r="J2620" s="42"/>
      <c r="K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</row>
    <row r="2621" spans="1:22" x14ac:dyDescent="0.25">
      <c r="A2621" s="20">
        <v>42062</v>
      </c>
      <c r="B2621" s="21">
        <v>13318</v>
      </c>
      <c r="C2621" s="14" t="s">
        <v>151</v>
      </c>
      <c r="D2621" s="105">
        <v>2919.6</v>
      </c>
      <c r="E2621" s="65">
        <v>42063</v>
      </c>
      <c r="F2621" s="106">
        <v>2919.6</v>
      </c>
      <c r="G2621" s="31">
        <f t="shared" si="40"/>
        <v>0</v>
      </c>
      <c r="H2621" s="39" t="s">
        <v>9</v>
      </c>
      <c r="I2621" s="3"/>
      <c r="J2621" s="42"/>
      <c r="K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</row>
    <row r="2622" spans="1:22" x14ac:dyDescent="0.25">
      <c r="A2622" s="20">
        <v>42062</v>
      </c>
      <c r="B2622" s="21">
        <v>13319</v>
      </c>
      <c r="C2622" s="14" t="s">
        <v>67</v>
      </c>
      <c r="D2622" s="105">
        <v>5254.4</v>
      </c>
      <c r="E2622" s="65">
        <v>42063</v>
      </c>
      <c r="F2622" s="106">
        <v>5254.4</v>
      </c>
      <c r="G2622" s="31">
        <f t="shared" si="40"/>
        <v>0</v>
      </c>
      <c r="H2622" s="39" t="s">
        <v>62</v>
      </c>
      <c r="I2622" s="3"/>
      <c r="J2622" s="42"/>
      <c r="K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</row>
    <row r="2623" spans="1:22" x14ac:dyDescent="0.25">
      <c r="A2623" s="20">
        <v>42062</v>
      </c>
      <c r="B2623" s="21">
        <v>13320</v>
      </c>
      <c r="C2623" s="14" t="s">
        <v>694</v>
      </c>
      <c r="D2623" s="105">
        <v>3197.7</v>
      </c>
      <c r="E2623" s="65">
        <v>42062</v>
      </c>
      <c r="F2623" s="106">
        <v>3197.7</v>
      </c>
      <c r="G2623" s="31">
        <f t="shared" si="40"/>
        <v>0</v>
      </c>
      <c r="H2623" s="39" t="s">
        <v>9</v>
      </c>
      <c r="I2623" s="3"/>
      <c r="J2623" s="42"/>
      <c r="K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</row>
    <row r="2624" spans="1:22" x14ac:dyDescent="0.25">
      <c r="A2624" s="20">
        <v>42062</v>
      </c>
      <c r="B2624" s="21">
        <v>13321</v>
      </c>
      <c r="C2624" s="14" t="s">
        <v>170</v>
      </c>
      <c r="D2624" s="105">
        <v>5768.4</v>
      </c>
      <c r="E2624" s="65">
        <v>42063</v>
      </c>
      <c r="F2624" s="106">
        <v>5768.4</v>
      </c>
      <c r="G2624" s="31">
        <f t="shared" si="40"/>
        <v>0</v>
      </c>
      <c r="H2624" s="39" t="s">
        <v>62</v>
      </c>
      <c r="I2624" s="3"/>
      <c r="J2624" s="42"/>
      <c r="K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</row>
    <row r="2625" spans="1:22" x14ac:dyDescent="0.25">
      <c r="A2625" s="20">
        <v>42062</v>
      </c>
      <c r="B2625" s="21">
        <v>13322</v>
      </c>
      <c r="C2625" s="14" t="s">
        <v>75</v>
      </c>
      <c r="D2625" s="105">
        <v>22619.4</v>
      </c>
      <c r="E2625" s="65">
        <v>42063</v>
      </c>
      <c r="F2625" s="106">
        <v>22619.4</v>
      </c>
      <c r="G2625" s="31">
        <f t="shared" si="40"/>
        <v>0</v>
      </c>
      <c r="H2625" s="39" t="s">
        <v>62</v>
      </c>
      <c r="I2625" s="3"/>
      <c r="J2625" s="42"/>
      <c r="K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</row>
    <row r="2626" spans="1:22" x14ac:dyDescent="0.25">
      <c r="A2626" s="20">
        <v>42062</v>
      </c>
      <c r="B2626" s="21">
        <v>13323</v>
      </c>
      <c r="C2626" s="14" t="s">
        <v>694</v>
      </c>
      <c r="D2626" s="105">
        <v>1428</v>
      </c>
      <c r="E2626" s="65">
        <v>42062</v>
      </c>
      <c r="F2626" s="106">
        <v>1428</v>
      </c>
      <c r="G2626" s="31">
        <f t="shared" si="40"/>
        <v>0</v>
      </c>
      <c r="H2626" s="39" t="s">
        <v>9</v>
      </c>
      <c r="I2626" s="3"/>
      <c r="J2626" s="42"/>
      <c r="K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</row>
    <row r="2627" spans="1:22" x14ac:dyDescent="0.25">
      <c r="A2627" s="20">
        <v>42062</v>
      </c>
      <c r="B2627" s="21">
        <v>13324</v>
      </c>
      <c r="C2627" s="14" t="s">
        <v>47</v>
      </c>
      <c r="D2627" s="105">
        <v>20020.400000000001</v>
      </c>
      <c r="E2627" s="65">
        <v>42063</v>
      </c>
      <c r="F2627" s="106">
        <v>20020.400000000001</v>
      </c>
      <c r="G2627" s="31">
        <f t="shared" ref="G2627:G2690" si="41">D2627-F2627</f>
        <v>0</v>
      </c>
      <c r="H2627" s="39" t="s">
        <v>36</v>
      </c>
      <c r="I2627" s="3"/>
      <c r="J2627" s="42"/>
      <c r="K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</row>
    <row r="2628" spans="1:22" x14ac:dyDescent="0.25">
      <c r="A2628" s="20">
        <v>42062</v>
      </c>
      <c r="B2628" s="21">
        <v>13325</v>
      </c>
      <c r="C2628" s="14" t="s">
        <v>256</v>
      </c>
      <c r="D2628" s="105">
        <v>4888.8</v>
      </c>
      <c r="E2628" s="65">
        <v>42063</v>
      </c>
      <c r="F2628" s="106">
        <v>4888.8</v>
      </c>
      <c r="G2628" s="31">
        <f t="shared" si="41"/>
        <v>0</v>
      </c>
      <c r="H2628" s="39" t="s">
        <v>36</v>
      </c>
      <c r="I2628" s="3"/>
      <c r="J2628" s="42"/>
      <c r="K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</row>
    <row r="2629" spans="1:22" x14ac:dyDescent="0.25">
      <c r="A2629" s="20">
        <v>42062</v>
      </c>
      <c r="B2629" s="21">
        <v>13326</v>
      </c>
      <c r="C2629" s="14" t="s">
        <v>256</v>
      </c>
      <c r="D2629" s="105">
        <v>2189.6</v>
      </c>
      <c r="E2629" s="65">
        <v>42063</v>
      </c>
      <c r="F2629" s="106">
        <v>2189.6</v>
      </c>
      <c r="G2629" s="31">
        <f t="shared" si="41"/>
        <v>0</v>
      </c>
      <c r="H2629" s="39" t="s">
        <v>36</v>
      </c>
      <c r="I2629" s="3"/>
      <c r="J2629" s="42"/>
      <c r="K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</row>
    <row r="2630" spans="1:22" x14ac:dyDescent="0.25">
      <c r="A2630" s="20">
        <v>42062</v>
      </c>
      <c r="B2630" s="21">
        <v>13327</v>
      </c>
      <c r="C2630" s="26" t="s">
        <v>12</v>
      </c>
      <c r="D2630" s="108">
        <v>0</v>
      </c>
      <c r="E2630" s="73" t="s">
        <v>735</v>
      </c>
      <c r="F2630" s="106"/>
      <c r="G2630" s="31">
        <f t="shared" si="41"/>
        <v>0</v>
      </c>
      <c r="H2630" s="39" t="s">
        <v>13</v>
      </c>
      <c r="I2630" s="3"/>
      <c r="J2630" s="42"/>
      <c r="K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</row>
    <row r="2631" spans="1:22" x14ac:dyDescent="0.25">
      <c r="A2631" s="20">
        <v>42062</v>
      </c>
      <c r="B2631" s="21">
        <v>13328</v>
      </c>
      <c r="C2631" s="14" t="s">
        <v>328</v>
      </c>
      <c r="D2631" s="105">
        <v>1306.56</v>
      </c>
      <c r="E2631" s="65">
        <v>42063</v>
      </c>
      <c r="F2631" s="106">
        <v>1306.56</v>
      </c>
      <c r="G2631" s="31">
        <f t="shared" si="41"/>
        <v>0</v>
      </c>
      <c r="H2631" s="39" t="s">
        <v>62</v>
      </c>
      <c r="I2631" s="3"/>
      <c r="J2631" s="42"/>
      <c r="K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</row>
    <row r="2632" spans="1:22" x14ac:dyDescent="0.25">
      <c r="A2632" s="20">
        <v>42062</v>
      </c>
      <c r="B2632" s="21">
        <v>13329</v>
      </c>
      <c r="C2632" s="14" t="s">
        <v>55</v>
      </c>
      <c r="D2632" s="105">
        <v>27936.9</v>
      </c>
      <c r="E2632" s="65">
        <v>42063</v>
      </c>
      <c r="F2632" s="106">
        <v>27936.9</v>
      </c>
      <c r="G2632" s="31">
        <f t="shared" si="41"/>
        <v>0</v>
      </c>
      <c r="H2632" s="39" t="s">
        <v>36</v>
      </c>
      <c r="I2632" s="3"/>
      <c r="J2632" s="42"/>
      <c r="K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</row>
    <row r="2633" spans="1:22" x14ac:dyDescent="0.25">
      <c r="A2633" s="20">
        <v>42062</v>
      </c>
      <c r="B2633" s="21">
        <v>13330</v>
      </c>
      <c r="C2633" s="14" t="s">
        <v>35</v>
      </c>
      <c r="D2633" s="105">
        <v>25007.4</v>
      </c>
      <c r="E2633" s="65">
        <v>42063</v>
      </c>
      <c r="F2633" s="106">
        <v>25007.4</v>
      </c>
      <c r="G2633" s="31">
        <f t="shared" si="41"/>
        <v>0</v>
      </c>
      <c r="H2633" s="39" t="s">
        <v>36</v>
      </c>
      <c r="I2633" s="3"/>
      <c r="J2633" s="42"/>
      <c r="K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</row>
    <row r="2634" spans="1:22" x14ac:dyDescent="0.25">
      <c r="A2634" s="20">
        <v>42062</v>
      </c>
      <c r="B2634" s="21">
        <v>13331</v>
      </c>
      <c r="C2634" s="14" t="s">
        <v>60</v>
      </c>
      <c r="D2634" s="105">
        <v>6563.2</v>
      </c>
      <c r="E2634" s="65">
        <v>42063</v>
      </c>
      <c r="F2634" s="106">
        <v>6563.2</v>
      </c>
      <c r="G2634" s="31">
        <f t="shared" si="41"/>
        <v>0</v>
      </c>
      <c r="H2634" s="39" t="s">
        <v>17</v>
      </c>
      <c r="I2634" s="3"/>
      <c r="J2634" s="42"/>
      <c r="K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</row>
    <row r="2635" spans="1:22" x14ac:dyDescent="0.25">
      <c r="A2635" s="20">
        <v>42062</v>
      </c>
      <c r="B2635" s="21">
        <v>13332</v>
      </c>
      <c r="C2635" s="14" t="s">
        <v>37</v>
      </c>
      <c r="D2635" s="105">
        <v>3257.1</v>
      </c>
      <c r="E2635" s="65">
        <v>42068</v>
      </c>
      <c r="F2635" s="106">
        <v>3257.1</v>
      </c>
      <c r="G2635" s="31">
        <f t="shared" si="41"/>
        <v>0</v>
      </c>
      <c r="H2635" s="39" t="s">
        <v>36</v>
      </c>
      <c r="I2635" s="3"/>
      <c r="J2635" s="42"/>
      <c r="K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</row>
    <row r="2636" spans="1:22" x14ac:dyDescent="0.25">
      <c r="A2636" s="20">
        <v>42062</v>
      </c>
      <c r="B2636" s="21">
        <v>13333</v>
      </c>
      <c r="C2636" s="14" t="s">
        <v>133</v>
      </c>
      <c r="D2636" s="105">
        <v>25155.9</v>
      </c>
      <c r="E2636" s="65">
        <v>42062</v>
      </c>
      <c r="F2636" s="106">
        <v>25155.9</v>
      </c>
      <c r="G2636" s="31">
        <f t="shared" si="41"/>
        <v>0</v>
      </c>
      <c r="H2636" s="39" t="s">
        <v>9</v>
      </c>
      <c r="I2636" s="3"/>
      <c r="J2636" s="42"/>
      <c r="K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</row>
    <row r="2637" spans="1:22" x14ac:dyDescent="0.25">
      <c r="A2637" s="20">
        <v>42062</v>
      </c>
      <c r="B2637" s="21">
        <v>13334</v>
      </c>
      <c r="C2637" s="14" t="s">
        <v>268</v>
      </c>
      <c r="D2637" s="105">
        <v>5225.8500000000004</v>
      </c>
      <c r="E2637" s="65">
        <v>42063</v>
      </c>
      <c r="F2637" s="106">
        <v>5225.8500000000004</v>
      </c>
      <c r="G2637" s="31">
        <f t="shared" si="41"/>
        <v>0</v>
      </c>
      <c r="H2637" s="39" t="s">
        <v>62</v>
      </c>
      <c r="I2637" s="3"/>
      <c r="J2637" s="42"/>
      <c r="K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</row>
    <row r="2638" spans="1:22" x14ac:dyDescent="0.25">
      <c r="A2638" s="20">
        <v>42062</v>
      </c>
      <c r="B2638" s="21">
        <v>13335</v>
      </c>
      <c r="C2638" s="14" t="s">
        <v>591</v>
      </c>
      <c r="D2638" s="105">
        <v>10813.6</v>
      </c>
      <c r="E2638" s="65">
        <v>42063</v>
      </c>
      <c r="F2638" s="106">
        <v>10813.6</v>
      </c>
      <c r="G2638" s="31">
        <f t="shared" si="41"/>
        <v>0</v>
      </c>
      <c r="H2638" s="39" t="s">
        <v>36</v>
      </c>
      <c r="I2638" s="3"/>
      <c r="J2638" s="42"/>
      <c r="K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</row>
    <row r="2639" spans="1:22" x14ac:dyDescent="0.25">
      <c r="A2639" s="20">
        <v>42062</v>
      </c>
      <c r="B2639" s="21">
        <v>13336</v>
      </c>
      <c r="C2639" s="14" t="s">
        <v>14</v>
      </c>
      <c r="D2639" s="105">
        <v>198498.6</v>
      </c>
      <c r="E2639" s="74">
        <v>42047</v>
      </c>
      <c r="F2639" s="144">
        <v>198498.6</v>
      </c>
      <c r="G2639" s="31">
        <f t="shared" si="41"/>
        <v>0</v>
      </c>
      <c r="H2639" s="39" t="s">
        <v>46</v>
      </c>
      <c r="I2639" s="3"/>
      <c r="J2639" s="42"/>
      <c r="K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</row>
    <row r="2640" spans="1:22" x14ac:dyDescent="0.25">
      <c r="A2640" s="20">
        <v>42062</v>
      </c>
      <c r="B2640" s="21">
        <v>13337</v>
      </c>
      <c r="C2640" s="14" t="s">
        <v>65</v>
      </c>
      <c r="D2640" s="105">
        <v>11688.8</v>
      </c>
      <c r="E2640" s="65">
        <v>42063</v>
      </c>
      <c r="F2640" s="106">
        <v>11688.8</v>
      </c>
      <c r="G2640" s="31">
        <f t="shared" si="41"/>
        <v>0</v>
      </c>
      <c r="H2640" s="39" t="s">
        <v>36</v>
      </c>
      <c r="I2640" s="3"/>
      <c r="J2640" s="42"/>
      <c r="K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</row>
    <row r="2641" spans="1:22" x14ac:dyDescent="0.25">
      <c r="A2641" s="20">
        <v>42062</v>
      </c>
      <c r="B2641" s="21">
        <v>13338</v>
      </c>
      <c r="C2641" s="14" t="s">
        <v>133</v>
      </c>
      <c r="D2641" s="105">
        <v>2119.1999999999998</v>
      </c>
      <c r="E2641" s="65">
        <v>42062</v>
      </c>
      <c r="F2641" s="106">
        <v>2119.1999999999998</v>
      </c>
      <c r="G2641" s="31">
        <f t="shared" si="41"/>
        <v>0</v>
      </c>
      <c r="H2641" s="39" t="s">
        <v>9</v>
      </c>
      <c r="I2641" s="3"/>
      <c r="J2641" s="42"/>
      <c r="K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</row>
    <row r="2642" spans="1:22" x14ac:dyDescent="0.25">
      <c r="A2642" s="20">
        <v>42062</v>
      </c>
      <c r="B2642" s="21">
        <v>13339</v>
      </c>
      <c r="C2642" s="14" t="s">
        <v>675</v>
      </c>
      <c r="D2642" s="105">
        <v>1110</v>
      </c>
      <c r="E2642" s="65">
        <v>42062</v>
      </c>
      <c r="F2642" s="106">
        <v>1110</v>
      </c>
      <c r="G2642" s="31">
        <f t="shared" si="41"/>
        <v>0</v>
      </c>
      <c r="H2642" s="39" t="s">
        <v>9</v>
      </c>
      <c r="I2642" s="3"/>
      <c r="J2642" s="42"/>
      <c r="K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</row>
    <row r="2643" spans="1:22" x14ac:dyDescent="0.25">
      <c r="A2643" s="20">
        <v>42062</v>
      </c>
      <c r="B2643" s="21">
        <v>13340</v>
      </c>
      <c r="C2643" s="14" t="s">
        <v>178</v>
      </c>
      <c r="D2643" s="105">
        <v>11431.6</v>
      </c>
      <c r="E2643" s="65">
        <v>42063</v>
      </c>
      <c r="F2643" s="106">
        <v>11431.6</v>
      </c>
      <c r="G2643" s="31">
        <f t="shared" si="41"/>
        <v>0</v>
      </c>
      <c r="H2643" s="39" t="s">
        <v>62</v>
      </c>
      <c r="I2643" s="3"/>
      <c r="J2643" s="42"/>
      <c r="K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</row>
    <row r="2644" spans="1:22" x14ac:dyDescent="0.25">
      <c r="A2644" s="20">
        <v>42062</v>
      </c>
      <c r="B2644" s="21">
        <v>13341</v>
      </c>
      <c r="C2644" s="14" t="s">
        <v>128</v>
      </c>
      <c r="D2644" s="105">
        <v>13665.6</v>
      </c>
      <c r="E2644" s="65">
        <v>42062</v>
      </c>
      <c r="F2644" s="106">
        <v>13665.6</v>
      </c>
      <c r="G2644" s="31">
        <f t="shared" si="41"/>
        <v>0</v>
      </c>
      <c r="H2644" s="39" t="s">
        <v>17</v>
      </c>
      <c r="I2644" s="3"/>
      <c r="J2644" s="42"/>
      <c r="K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</row>
    <row r="2645" spans="1:22" x14ac:dyDescent="0.25">
      <c r="A2645" s="20">
        <v>42062</v>
      </c>
      <c r="B2645" s="21">
        <v>13342</v>
      </c>
      <c r="C2645" s="14" t="s">
        <v>221</v>
      </c>
      <c r="D2645" s="105">
        <v>1867.36</v>
      </c>
      <c r="E2645" s="65">
        <v>42062</v>
      </c>
      <c r="F2645" s="106">
        <v>1867.6</v>
      </c>
      <c r="G2645" s="31">
        <f t="shared" si="41"/>
        <v>-0.24000000000000909</v>
      </c>
      <c r="H2645" s="39" t="s">
        <v>17</v>
      </c>
      <c r="I2645" s="3"/>
      <c r="J2645" s="42"/>
      <c r="K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</row>
    <row r="2646" spans="1:22" x14ac:dyDescent="0.25">
      <c r="A2646" s="20">
        <v>42062</v>
      </c>
      <c r="B2646" s="21">
        <v>13343</v>
      </c>
      <c r="C2646" s="14" t="s">
        <v>130</v>
      </c>
      <c r="D2646" s="105">
        <v>928.2</v>
      </c>
      <c r="E2646" s="65">
        <v>42063</v>
      </c>
      <c r="F2646" s="106">
        <v>928.2</v>
      </c>
      <c r="G2646" s="31">
        <f t="shared" si="41"/>
        <v>0</v>
      </c>
      <c r="H2646" s="39" t="s">
        <v>17</v>
      </c>
      <c r="I2646" s="3"/>
      <c r="J2646" s="42"/>
      <c r="K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</row>
    <row r="2647" spans="1:22" x14ac:dyDescent="0.25">
      <c r="A2647" s="20">
        <v>42062</v>
      </c>
      <c r="B2647" s="21">
        <v>13344</v>
      </c>
      <c r="C2647" s="14" t="s">
        <v>131</v>
      </c>
      <c r="D2647" s="105">
        <v>2788.8</v>
      </c>
      <c r="E2647" s="65">
        <v>42062</v>
      </c>
      <c r="F2647" s="106">
        <v>2788.8</v>
      </c>
      <c r="G2647" s="31">
        <f t="shared" si="41"/>
        <v>0</v>
      </c>
      <c r="H2647" s="39" t="s">
        <v>17</v>
      </c>
      <c r="I2647" s="3"/>
      <c r="J2647" s="42"/>
      <c r="K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</row>
    <row r="2648" spans="1:22" x14ac:dyDescent="0.25">
      <c r="A2648" s="20">
        <v>42062</v>
      </c>
      <c r="B2648" s="21">
        <v>13345</v>
      </c>
      <c r="C2648" s="14" t="s">
        <v>133</v>
      </c>
      <c r="D2648" s="105">
        <v>1757.6</v>
      </c>
      <c r="E2648" s="65">
        <v>42062</v>
      </c>
      <c r="F2648" s="106">
        <v>1757.6</v>
      </c>
      <c r="G2648" s="31">
        <f t="shared" si="41"/>
        <v>0</v>
      </c>
      <c r="H2648" s="39" t="s">
        <v>9</v>
      </c>
      <c r="I2648" s="3"/>
      <c r="J2648" s="42"/>
      <c r="K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</row>
    <row r="2649" spans="1:22" x14ac:dyDescent="0.25">
      <c r="A2649" s="20">
        <v>42062</v>
      </c>
      <c r="B2649" s="21">
        <v>13346</v>
      </c>
      <c r="C2649" s="14" t="s">
        <v>84</v>
      </c>
      <c r="D2649" s="105">
        <v>42569.2</v>
      </c>
      <c r="E2649" s="74" t="s">
        <v>756</v>
      </c>
      <c r="F2649" s="144">
        <v>42569.2</v>
      </c>
      <c r="G2649" s="31">
        <f t="shared" si="41"/>
        <v>0</v>
      </c>
      <c r="H2649" s="39" t="s">
        <v>62</v>
      </c>
      <c r="I2649" s="3"/>
      <c r="J2649" s="42"/>
      <c r="K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</row>
    <row r="2650" spans="1:22" x14ac:dyDescent="0.25">
      <c r="A2650" s="20">
        <v>42062</v>
      </c>
      <c r="B2650" s="21">
        <v>13347</v>
      </c>
      <c r="C2650" s="14" t="s">
        <v>173</v>
      </c>
      <c r="D2650" s="105">
        <v>24184.799999999999</v>
      </c>
      <c r="E2650" s="74" t="s">
        <v>765</v>
      </c>
      <c r="F2650" s="144">
        <v>24184.799999999999</v>
      </c>
      <c r="G2650" s="31">
        <f t="shared" si="41"/>
        <v>0</v>
      </c>
      <c r="H2650" s="39" t="s">
        <v>62</v>
      </c>
      <c r="I2650" s="3"/>
      <c r="J2650" s="42"/>
      <c r="K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</row>
    <row r="2651" spans="1:22" x14ac:dyDescent="0.25">
      <c r="A2651" s="20">
        <v>42062</v>
      </c>
      <c r="B2651" s="21">
        <v>13348</v>
      </c>
      <c r="C2651" s="14" t="s">
        <v>176</v>
      </c>
      <c r="D2651" s="105">
        <v>8458.7000000000007</v>
      </c>
      <c r="E2651" s="74" t="s">
        <v>757</v>
      </c>
      <c r="F2651" s="144">
        <v>8458.7000000000007</v>
      </c>
      <c r="G2651" s="31">
        <f t="shared" si="41"/>
        <v>0</v>
      </c>
      <c r="H2651" s="39" t="s">
        <v>62</v>
      </c>
      <c r="I2651" s="3"/>
      <c r="J2651" s="42"/>
      <c r="K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</row>
    <row r="2652" spans="1:22" x14ac:dyDescent="0.25">
      <c r="A2652" s="20">
        <v>42062</v>
      </c>
      <c r="B2652" s="21">
        <v>13349</v>
      </c>
      <c r="C2652" s="14" t="s">
        <v>115</v>
      </c>
      <c r="D2652" s="105">
        <v>1167.2</v>
      </c>
      <c r="E2652" s="65">
        <v>42062</v>
      </c>
      <c r="F2652" s="106">
        <v>1167.2</v>
      </c>
      <c r="G2652" s="31">
        <f t="shared" si="41"/>
        <v>0</v>
      </c>
      <c r="H2652" s="39" t="s">
        <v>9</v>
      </c>
      <c r="I2652" s="3"/>
      <c r="J2652" s="42"/>
      <c r="K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</row>
    <row r="2653" spans="1:22" x14ac:dyDescent="0.25">
      <c r="A2653" s="20">
        <v>42062</v>
      </c>
      <c r="B2653" s="21">
        <v>13350</v>
      </c>
      <c r="C2653" s="14" t="s">
        <v>140</v>
      </c>
      <c r="D2653" s="105">
        <v>6156</v>
      </c>
      <c r="E2653" s="65">
        <v>42062</v>
      </c>
      <c r="F2653" s="106">
        <v>6156</v>
      </c>
      <c r="G2653" s="31">
        <f t="shared" si="41"/>
        <v>0</v>
      </c>
      <c r="H2653" s="39" t="s">
        <v>9</v>
      </c>
      <c r="I2653" s="3"/>
      <c r="J2653" s="42"/>
      <c r="K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</row>
    <row r="2654" spans="1:22" x14ac:dyDescent="0.25">
      <c r="A2654" s="20">
        <v>42062</v>
      </c>
      <c r="B2654" s="21">
        <v>13351</v>
      </c>
      <c r="C2654" s="14" t="s">
        <v>112</v>
      </c>
      <c r="D2654" s="105">
        <v>1618.4</v>
      </c>
      <c r="E2654" s="65">
        <v>42062</v>
      </c>
      <c r="F2654" s="106">
        <v>1618.4</v>
      </c>
      <c r="G2654" s="31">
        <f t="shared" si="41"/>
        <v>0</v>
      </c>
      <c r="H2654" s="39" t="s">
        <v>9</v>
      </c>
      <c r="I2654" s="3"/>
      <c r="J2654" s="42"/>
      <c r="K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</row>
    <row r="2655" spans="1:22" x14ac:dyDescent="0.25">
      <c r="A2655" s="20">
        <v>42062</v>
      </c>
      <c r="B2655" s="21">
        <v>13352</v>
      </c>
      <c r="C2655" s="14" t="s">
        <v>571</v>
      </c>
      <c r="D2655" s="105">
        <v>27906.799999999999</v>
      </c>
      <c r="E2655" s="74">
        <v>42070</v>
      </c>
      <c r="F2655" s="144">
        <v>27906.799999999999</v>
      </c>
      <c r="G2655" s="31">
        <f t="shared" si="41"/>
        <v>0</v>
      </c>
      <c r="H2655" s="39" t="s">
        <v>17</v>
      </c>
      <c r="I2655" s="3"/>
      <c r="J2655" s="42"/>
      <c r="K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</row>
    <row r="2656" spans="1:22" x14ac:dyDescent="0.25">
      <c r="A2656" s="20">
        <v>42062</v>
      </c>
      <c r="B2656" s="21">
        <v>13353</v>
      </c>
      <c r="C2656" s="14" t="s">
        <v>72</v>
      </c>
      <c r="D2656" s="105">
        <v>18403.95</v>
      </c>
      <c r="E2656" s="74" t="s">
        <v>758</v>
      </c>
      <c r="F2656" s="144">
        <v>18403.95</v>
      </c>
      <c r="G2656" s="31">
        <f t="shared" si="41"/>
        <v>0</v>
      </c>
      <c r="H2656" s="39" t="s">
        <v>62</v>
      </c>
      <c r="I2656" s="3"/>
      <c r="J2656" s="42"/>
      <c r="K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</row>
    <row r="2657" spans="1:22" x14ac:dyDescent="0.25">
      <c r="A2657" s="20">
        <v>42062</v>
      </c>
      <c r="B2657" s="21">
        <v>13354</v>
      </c>
      <c r="C2657" s="14" t="s">
        <v>155</v>
      </c>
      <c r="D2657" s="105">
        <v>1845.2</v>
      </c>
      <c r="E2657" s="65">
        <v>42062</v>
      </c>
      <c r="F2657" s="106">
        <v>1845.2</v>
      </c>
      <c r="G2657" s="31">
        <f t="shared" si="41"/>
        <v>0</v>
      </c>
      <c r="H2657" s="39" t="s">
        <v>9</v>
      </c>
      <c r="I2657" s="3"/>
      <c r="J2657" s="42"/>
      <c r="K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</row>
    <row r="2658" spans="1:22" x14ac:dyDescent="0.25">
      <c r="A2658" s="20">
        <v>42062</v>
      </c>
      <c r="B2658" s="21">
        <v>13355</v>
      </c>
      <c r="C2658" s="14" t="s">
        <v>145</v>
      </c>
      <c r="D2658" s="105">
        <v>3060</v>
      </c>
      <c r="E2658" s="65">
        <v>42062</v>
      </c>
      <c r="F2658" s="106">
        <v>3060</v>
      </c>
      <c r="G2658" s="31">
        <f t="shared" si="41"/>
        <v>0</v>
      </c>
      <c r="H2658" s="39" t="s">
        <v>9</v>
      </c>
      <c r="I2658" s="3"/>
      <c r="J2658" s="42"/>
      <c r="K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</row>
    <row r="2659" spans="1:22" x14ac:dyDescent="0.25">
      <c r="A2659" s="20">
        <v>42062</v>
      </c>
      <c r="B2659" s="21">
        <v>13356</v>
      </c>
      <c r="C2659" s="14" t="s">
        <v>49</v>
      </c>
      <c r="D2659" s="105">
        <v>207</v>
      </c>
      <c r="E2659" s="65">
        <v>42062</v>
      </c>
      <c r="F2659" s="106">
        <v>207</v>
      </c>
      <c r="G2659" s="31">
        <f t="shared" si="41"/>
        <v>0</v>
      </c>
      <c r="H2659" s="39" t="s">
        <v>17</v>
      </c>
      <c r="I2659" s="3"/>
      <c r="J2659" s="42"/>
      <c r="K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</row>
    <row r="2660" spans="1:22" x14ac:dyDescent="0.25">
      <c r="A2660" s="20">
        <v>42062</v>
      </c>
      <c r="B2660" s="21">
        <v>13357</v>
      </c>
      <c r="C2660" s="14" t="s">
        <v>78</v>
      </c>
      <c r="D2660" s="105">
        <v>1603.6</v>
      </c>
      <c r="E2660" s="65">
        <v>42063</v>
      </c>
      <c r="F2660" s="106">
        <v>1603.6</v>
      </c>
      <c r="G2660" s="31">
        <f t="shared" si="41"/>
        <v>0</v>
      </c>
      <c r="H2660" s="39" t="s">
        <v>62</v>
      </c>
      <c r="I2660" s="3"/>
      <c r="J2660" s="42"/>
      <c r="K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</row>
    <row r="2661" spans="1:22" x14ac:dyDescent="0.25">
      <c r="A2661" s="20">
        <v>42062</v>
      </c>
      <c r="B2661" s="21">
        <v>13358</v>
      </c>
      <c r="C2661" s="14" t="s">
        <v>45</v>
      </c>
      <c r="D2661" s="105">
        <v>80548.7</v>
      </c>
      <c r="E2661" s="74">
        <v>42074</v>
      </c>
      <c r="F2661" s="144">
        <f>76193.716+4354.98</f>
        <v>80548.695999999996</v>
      </c>
      <c r="G2661" s="31">
        <f t="shared" si="41"/>
        <v>4.0000000008149073E-3</v>
      </c>
      <c r="H2661" s="39" t="s">
        <v>183</v>
      </c>
      <c r="I2661" s="3"/>
      <c r="J2661" s="42"/>
      <c r="K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</row>
    <row r="2662" spans="1:22" x14ac:dyDescent="0.25">
      <c r="A2662" s="20">
        <v>42062</v>
      </c>
      <c r="B2662" s="21">
        <v>13359</v>
      </c>
      <c r="C2662" s="14" t="s">
        <v>104</v>
      </c>
      <c r="D2662" s="105">
        <v>14610.4</v>
      </c>
      <c r="E2662" s="65">
        <v>42063</v>
      </c>
      <c r="F2662" s="106">
        <v>14610.4</v>
      </c>
      <c r="G2662" s="31">
        <f t="shared" si="41"/>
        <v>0</v>
      </c>
      <c r="H2662" s="39" t="s">
        <v>19</v>
      </c>
      <c r="I2662" s="3"/>
      <c r="J2662" s="42"/>
      <c r="K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</row>
    <row r="2663" spans="1:22" x14ac:dyDescent="0.25">
      <c r="A2663" s="20">
        <v>42062</v>
      </c>
      <c r="B2663" s="21">
        <v>13360</v>
      </c>
      <c r="C2663" s="26" t="s">
        <v>12</v>
      </c>
      <c r="D2663" s="108">
        <v>0</v>
      </c>
      <c r="E2663" s="65"/>
      <c r="F2663" s="106"/>
      <c r="G2663" s="31">
        <f t="shared" si="41"/>
        <v>0</v>
      </c>
      <c r="H2663" s="39" t="s">
        <v>13</v>
      </c>
      <c r="I2663" s="3"/>
      <c r="J2663" s="42"/>
      <c r="K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</row>
    <row r="2664" spans="1:22" x14ac:dyDescent="0.25">
      <c r="A2664" s="20">
        <v>42062</v>
      </c>
      <c r="B2664" s="21">
        <v>13361</v>
      </c>
      <c r="C2664" s="14" t="s">
        <v>252</v>
      </c>
      <c r="D2664" s="105">
        <v>2720</v>
      </c>
      <c r="E2664" s="65">
        <v>42062</v>
      </c>
      <c r="F2664" s="106">
        <v>2720</v>
      </c>
      <c r="G2664" s="31">
        <f t="shared" si="41"/>
        <v>0</v>
      </c>
      <c r="H2664" s="39" t="s">
        <v>9</v>
      </c>
      <c r="I2664" s="3"/>
      <c r="J2664" s="42"/>
      <c r="K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</row>
    <row r="2665" spans="1:22" x14ac:dyDescent="0.25">
      <c r="A2665" s="20">
        <v>42062</v>
      </c>
      <c r="B2665" s="21">
        <v>13362</v>
      </c>
      <c r="C2665" s="14" t="s">
        <v>268</v>
      </c>
      <c r="D2665" s="105">
        <v>5587</v>
      </c>
      <c r="E2665" s="65">
        <v>42063</v>
      </c>
      <c r="F2665" s="106">
        <v>5587</v>
      </c>
      <c r="G2665" s="31">
        <f t="shared" si="41"/>
        <v>0</v>
      </c>
      <c r="H2665" s="39" t="s">
        <v>62</v>
      </c>
      <c r="I2665" s="3"/>
      <c r="J2665" s="42"/>
      <c r="K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</row>
    <row r="2666" spans="1:22" x14ac:dyDescent="0.25">
      <c r="A2666" s="20">
        <v>42062</v>
      </c>
      <c r="B2666" s="21">
        <v>13363</v>
      </c>
      <c r="C2666" s="14" t="s">
        <v>74</v>
      </c>
      <c r="D2666" s="105">
        <v>572.70000000000005</v>
      </c>
      <c r="E2666" s="65">
        <v>42062</v>
      </c>
      <c r="F2666" s="106">
        <v>572.70000000000005</v>
      </c>
      <c r="G2666" s="31">
        <f t="shared" si="41"/>
        <v>0</v>
      </c>
      <c r="H2666" s="39" t="s">
        <v>9</v>
      </c>
      <c r="I2666" s="3"/>
      <c r="J2666" s="42"/>
      <c r="K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</row>
    <row r="2667" spans="1:22" x14ac:dyDescent="0.25">
      <c r="A2667" s="20">
        <v>42062</v>
      </c>
      <c r="B2667" s="21">
        <v>13364</v>
      </c>
      <c r="C2667" s="14" t="s">
        <v>95</v>
      </c>
      <c r="D2667" s="105">
        <v>3556.8</v>
      </c>
      <c r="E2667" s="65">
        <v>42063</v>
      </c>
      <c r="F2667" s="106">
        <v>3556.8</v>
      </c>
      <c r="G2667" s="31">
        <f t="shared" si="41"/>
        <v>0</v>
      </c>
      <c r="H2667" s="39" t="s">
        <v>19</v>
      </c>
      <c r="I2667" s="3"/>
      <c r="J2667" s="42"/>
      <c r="K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</row>
    <row r="2668" spans="1:22" x14ac:dyDescent="0.25">
      <c r="A2668" s="20">
        <v>42062</v>
      </c>
      <c r="B2668" s="21">
        <v>13365</v>
      </c>
      <c r="C2668" s="14" t="s">
        <v>93</v>
      </c>
      <c r="D2668" s="105">
        <v>1900.8</v>
      </c>
      <c r="E2668" s="65">
        <v>42063</v>
      </c>
      <c r="F2668" s="106">
        <v>1900.8</v>
      </c>
      <c r="G2668" s="31">
        <f t="shared" si="41"/>
        <v>0</v>
      </c>
      <c r="H2668" s="39" t="s">
        <v>19</v>
      </c>
      <c r="I2668" s="3"/>
      <c r="J2668" s="42"/>
      <c r="K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</row>
    <row r="2669" spans="1:22" x14ac:dyDescent="0.25">
      <c r="A2669" s="20">
        <v>42062</v>
      </c>
      <c r="B2669" s="21">
        <v>13366</v>
      </c>
      <c r="C2669" s="14" t="s">
        <v>98</v>
      </c>
      <c r="D2669" s="105">
        <v>3332.7</v>
      </c>
      <c r="E2669" s="65">
        <v>42063</v>
      </c>
      <c r="F2669" s="106">
        <v>3332.7</v>
      </c>
      <c r="G2669" s="31">
        <f t="shared" si="41"/>
        <v>0</v>
      </c>
      <c r="H2669" s="39" t="s">
        <v>19</v>
      </c>
      <c r="I2669" s="3"/>
      <c r="J2669" s="42"/>
      <c r="K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</row>
    <row r="2670" spans="1:22" x14ac:dyDescent="0.25">
      <c r="A2670" s="20">
        <v>42062</v>
      </c>
      <c r="B2670" s="21">
        <v>13367</v>
      </c>
      <c r="C2670" s="14" t="s">
        <v>61</v>
      </c>
      <c r="D2670" s="105">
        <v>8283.2000000000007</v>
      </c>
      <c r="E2670" s="65">
        <v>42063</v>
      </c>
      <c r="F2670" s="106">
        <v>8283.2000000000007</v>
      </c>
      <c r="G2670" s="31">
        <f t="shared" si="41"/>
        <v>0</v>
      </c>
      <c r="H2670" s="39" t="s">
        <v>62</v>
      </c>
      <c r="I2670" s="3"/>
      <c r="J2670" s="42"/>
      <c r="K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</row>
    <row r="2671" spans="1:22" x14ac:dyDescent="0.25">
      <c r="A2671" s="20">
        <v>42062</v>
      </c>
      <c r="B2671" s="21">
        <v>13368</v>
      </c>
      <c r="C2671" s="14" t="s">
        <v>135</v>
      </c>
      <c r="D2671" s="105">
        <v>5700.7</v>
      </c>
      <c r="E2671" s="65">
        <v>42062</v>
      </c>
      <c r="F2671" s="106">
        <v>5700.7</v>
      </c>
      <c r="G2671" s="31">
        <f t="shared" si="41"/>
        <v>0</v>
      </c>
      <c r="H2671" s="39" t="s">
        <v>9</v>
      </c>
      <c r="I2671" s="3"/>
      <c r="J2671" s="42"/>
      <c r="K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</row>
    <row r="2672" spans="1:22" x14ac:dyDescent="0.25">
      <c r="A2672" s="20">
        <v>42062</v>
      </c>
      <c r="B2672" s="21">
        <v>13369</v>
      </c>
      <c r="C2672" s="14" t="s">
        <v>229</v>
      </c>
      <c r="D2672" s="105">
        <v>1936.8</v>
      </c>
      <c r="E2672" s="65">
        <v>42063</v>
      </c>
      <c r="F2672" s="106">
        <v>1936.8</v>
      </c>
      <c r="G2672" s="31">
        <f t="shared" si="41"/>
        <v>0</v>
      </c>
      <c r="H2672" s="39" t="s">
        <v>19</v>
      </c>
      <c r="I2672" s="3"/>
      <c r="J2672" s="42"/>
      <c r="K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</row>
    <row r="2673" spans="1:22" x14ac:dyDescent="0.25">
      <c r="A2673" s="20">
        <v>42062</v>
      </c>
      <c r="B2673" s="21">
        <v>13370</v>
      </c>
      <c r="C2673" s="14" t="s">
        <v>137</v>
      </c>
      <c r="D2673" s="105">
        <v>115</v>
      </c>
      <c r="E2673" s="65">
        <v>42062</v>
      </c>
      <c r="F2673" s="106">
        <v>115</v>
      </c>
      <c r="G2673" s="31">
        <f t="shared" si="41"/>
        <v>0</v>
      </c>
      <c r="H2673" s="39" t="s">
        <v>9</v>
      </c>
      <c r="I2673" s="3"/>
      <c r="J2673" s="42"/>
      <c r="K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</row>
    <row r="2674" spans="1:22" x14ac:dyDescent="0.25">
      <c r="A2674" s="20">
        <v>42062</v>
      </c>
      <c r="B2674" s="21">
        <v>13371</v>
      </c>
      <c r="C2674" s="14" t="s">
        <v>301</v>
      </c>
      <c r="D2674" s="105">
        <v>722.2</v>
      </c>
      <c r="E2674" s="65">
        <v>42063</v>
      </c>
      <c r="F2674" s="106">
        <v>722.2</v>
      </c>
      <c r="G2674" s="31">
        <f t="shared" si="41"/>
        <v>0</v>
      </c>
      <c r="H2674" s="39" t="s">
        <v>19</v>
      </c>
      <c r="I2674" s="3"/>
      <c r="J2674" s="42"/>
      <c r="K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</row>
    <row r="2675" spans="1:22" x14ac:dyDescent="0.25">
      <c r="A2675" s="20">
        <v>42062</v>
      </c>
      <c r="B2675" s="21">
        <v>13372</v>
      </c>
      <c r="C2675" s="14" t="s">
        <v>579</v>
      </c>
      <c r="D2675" s="105">
        <v>844.8</v>
      </c>
      <c r="E2675" s="65">
        <v>42062</v>
      </c>
      <c r="F2675" s="106">
        <v>844.8</v>
      </c>
      <c r="G2675" s="31">
        <f t="shared" si="41"/>
        <v>0</v>
      </c>
      <c r="H2675" s="39" t="s">
        <v>9</v>
      </c>
      <c r="I2675" s="3"/>
      <c r="J2675" s="42"/>
      <c r="K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</row>
    <row r="2676" spans="1:22" x14ac:dyDescent="0.25">
      <c r="A2676" s="20">
        <v>42062</v>
      </c>
      <c r="B2676" s="21">
        <v>13373</v>
      </c>
      <c r="C2676" s="14" t="s">
        <v>110</v>
      </c>
      <c r="D2676" s="105">
        <v>7102</v>
      </c>
      <c r="E2676" s="74">
        <v>42077</v>
      </c>
      <c r="F2676" s="144">
        <v>7102</v>
      </c>
      <c r="G2676" s="31">
        <f t="shared" si="41"/>
        <v>0</v>
      </c>
      <c r="H2676" s="39" t="s">
        <v>9</v>
      </c>
      <c r="I2676" s="3"/>
      <c r="J2676" s="42"/>
      <c r="K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</row>
    <row r="2677" spans="1:22" x14ac:dyDescent="0.25">
      <c r="A2677" s="20">
        <v>42062</v>
      </c>
      <c r="B2677" s="21">
        <v>13374</v>
      </c>
      <c r="C2677" s="14" t="s">
        <v>658</v>
      </c>
      <c r="D2677" s="105">
        <v>2808</v>
      </c>
      <c r="E2677" s="65">
        <v>42062</v>
      </c>
      <c r="F2677" s="106">
        <v>2808</v>
      </c>
      <c r="G2677" s="31">
        <f t="shared" si="41"/>
        <v>0</v>
      </c>
      <c r="H2677" s="39" t="s">
        <v>9</v>
      </c>
      <c r="I2677" s="3"/>
      <c r="J2677" s="42"/>
      <c r="K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</row>
    <row r="2678" spans="1:22" x14ac:dyDescent="0.25">
      <c r="A2678" s="20">
        <v>42062</v>
      </c>
      <c r="B2678" s="21">
        <v>13375</v>
      </c>
      <c r="C2678" s="14" t="s">
        <v>285</v>
      </c>
      <c r="D2678" s="105">
        <v>210</v>
      </c>
      <c r="E2678" s="65">
        <v>42063</v>
      </c>
      <c r="F2678" s="106">
        <v>210</v>
      </c>
      <c r="G2678" s="31">
        <f t="shared" si="41"/>
        <v>0</v>
      </c>
      <c r="H2678" s="39" t="s">
        <v>19</v>
      </c>
      <c r="I2678" s="3"/>
      <c r="J2678" s="42"/>
      <c r="K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</row>
    <row r="2679" spans="1:22" x14ac:dyDescent="0.25">
      <c r="A2679" s="20">
        <v>42062</v>
      </c>
      <c r="B2679" s="21">
        <v>13376</v>
      </c>
      <c r="C2679" s="14" t="s">
        <v>269</v>
      </c>
      <c r="D2679" s="105">
        <v>3519.2</v>
      </c>
      <c r="E2679" s="65">
        <v>42062</v>
      </c>
      <c r="F2679" s="106">
        <v>3519.2</v>
      </c>
      <c r="G2679" s="31">
        <f t="shared" si="41"/>
        <v>0</v>
      </c>
      <c r="H2679" s="39" t="s">
        <v>9</v>
      </c>
      <c r="I2679" s="3"/>
      <c r="J2679" s="42"/>
      <c r="K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</row>
    <row r="2680" spans="1:22" x14ac:dyDescent="0.25">
      <c r="A2680" s="20">
        <v>42062</v>
      </c>
      <c r="B2680" s="21">
        <v>13377</v>
      </c>
      <c r="C2680" s="14" t="s">
        <v>138</v>
      </c>
      <c r="D2680" s="105">
        <v>2917.2</v>
      </c>
      <c r="E2680" s="65">
        <v>42063</v>
      </c>
      <c r="F2680" s="106">
        <v>2917.2</v>
      </c>
      <c r="G2680" s="31">
        <f t="shared" si="41"/>
        <v>0</v>
      </c>
      <c r="H2680" s="39" t="s">
        <v>19</v>
      </c>
      <c r="I2680" s="3"/>
      <c r="J2680" s="42"/>
      <c r="K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</row>
    <row r="2681" spans="1:22" x14ac:dyDescent="0.25">
      <c r="A2681" s="20">
        <v>42062</v>
      </c>
      <c r="B2681" s="21">
        <v>13378</v>
      </c>
      <c r="C2681" s="14" t="s">
        <v>110</v>
      </c>
      <c r="D2681" s="105">
        <v>49134.6</v>
      </c>
      <c r="E2681" s="74">
        <v>42077</v>
      </c>
      <c r="F2681" s="144">
        <v>49134.6</v>
      </c>
      <c r="G2681" s="31">
        <f t="shared" si="41"/>
        <v>0</v>
      </c>
      <c r="H2681" s="39" t="s">
        <v>46</v>
      </c>
      <c r="I2681" s="3"/>
      <c r="J2681" s="42"/>
      <c r="K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</row>
    <row r="2682" spans="1:22" x14ac:dyDescent="0.25">
      <c r="A2682" s="20">
        <v>42062</v>
      </c>
      <c r="B2682" s="21">
        <v>13379</v>
      </c>
      <c r="C2682" s="14" t="s">
        <v>89</v>
      </c>
      <c r="D2682" s="105">
        <v>5247.9</v>
      </c>
      <c r="E2682" s="65">
        <v>42062</v>
      </c>
      <c r="F2682" s="106">
        <v>5247.9</v>
      </c>
      <c r="G2682" s="31">
        <f t="shared" si="41"/>
        <v>0</v>
      </c>
      <c r="H2682" s="39" t="s">
        <v>9</v>
      </c>
      <c r="I2682" s="3"/>
      <c r="J2682" s="42"/>
      <c r="K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</row>
    <row r="2683" spans="1:22" x14ac:dyDescent="0.25">
      <c r="A2683" s="20">
        <v>42062</v>
      </c>
      <c r="B2683" s="21">
        <v>13380</v>
      </c>
      <c r="C2683" s="14" t="s">
        <v>87</v>
      </c>
      <c r="D2683" s="105">
        <v>840</v>
      </c>
      <c r="E2683" s="65">
        <v>42062</v>
      </c>
      <c r="F2683" s="106">
        <v>840</v>
      </c>
      <c r="G2683" s="31">
        <f t="shared" si="41"/>
        <v>0</v>
      </c>
      <c r="H2683" s="39" t="s">
        <v>62</v>
      </c>
      <c r="I2683" s="3"/>
      <c r="J2683" s="42"/>
      <c r="K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</row>
    <row r="2684" spans="1:22" x14ac:dyDescent="0.25">
      <c r="A2684" s="20">
        <v>42062</v>
      </c>
      <c r="B2684" s="21">
        <v>13381</v>
      </c>
      <c r="C2684" s="14" t="s">
        <v>159</v>
      </c>
      <c r="D2684" s="105">
        <v>5542.4</v>
      </c>
      <c r="E2684" s="65">
        <v>42062</v>
      </c>
      <c r="F2684" s="106">
        <v>5542.4</v>
      </c>
      <c r="G2684" s="31">
        <f t="shared" si="41"/>
        <v>0</v>
      </c>
      <c r="H2684" s="39" t="s">
        <v>9</v>
      </c>
      <c r="I2684" s="3"/>
      <c r="J2684" s="42"/>
      <c r="K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</row>
    <row r="2685" spans="1:22" x14ac:dyDescent="0.25">
      <c r="A2685" s="20">
        <v>42062</v>
      </c>
      <c r="B2685" s="21">
        <v>13382</v>
      </c>
      <c r="C2685" s="14" t="s">
        <v>367</v>
      </c>
      <c r="D2685" s="105">
        <v>1482</v>
      </c>
      <c r="E2685" s="65">
        <v>42062</v>
      </c>
      <c r="F2685" s="106">
        <v>1482</v>
      </c>
      <c r="G2685" s="31">
        <f t="shared" si="41"/>
        <v>0</v>
      </c>
      <c r="H2685" s="39" t="s">
        <v>9</v>
      </c>
      <c r="I2685" s="3"/>
      <c r="J2685" s="42"/>
      <c r="K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</row>
    <row r="2686" spans="1:22" x14ac:dyDescent="0.25">
      <c r="A2686" s="20">
        <v>42062</v>
      </c>
      <c r="B2686" s="21">
        <v>13383</v>
      </c>
      <c r="C2686" s="14" t="s">
        <v>66</v>
      </c>
      <c r="D2686" s="105">
        <v>344</v>
      </c>
      <c r="E2686" s="65">
        <v>42062</v>
      </c>
      <c r="F2686" s="106">
        <v>344</v>
      </c>
      <c r="G2686" s="31">
        <f t="shared" si="41"/>
        <v>0</v>
      </c>
      <c r="H2686" s="39" t="s">
        <v>9</v>
      </c>
      <c r="I2686" s="3"/>
      <c r="J2686" s="42"/>
      <c r="K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</row>
    <row r="2687" spans="1:22" x14ac:dyDescent="0.25">
      <c r="A2687" s="20">
        <v>42062</v>
      </c>
      <c r="B2687" s="21">
        <v>13384</v>
      </c>
      <c r="C2687" s="14" t="s">
        <v>107</v>
      </c>
      <c r="D2687" s="105">
        <v>3014</v>
      </c>
      <c r="E2687" s="65">
        <v>42062</v>
      </c>
      <c r="F2687" s="106">
        <v>3014</v>
      </c>
      <c r="G2687" s="31">
        <f t="shared" si="41"/>
        <v>0</v>
      </c>
      <c r="H2687" s="39" t="s">
        <v>9</v>
      </c>
      <c r="I2687" s="3"/>
      <c r="J2687" s="42"/>
      <c r="K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</row>
    <row r="2688" spans="1:22" x14ac:dyDescent="0.25">
      <c r="A2688" s="20">
        <v>42062</v>
      </c>
      <c r="B2688" s="21">
        <v>13385</v>
      </c>
      <c r="C2688" s="14" t="s">
        <v>71</v>
      </c>
      <c r="D2688" s="105">
        <v>1634</v>
      </c>
      <c r="E2688" s="65">
        <v>42062</v>
      </c>
      <c r="F2688" s="106">
        <v>1634</v>
      </c>
      <c r="G2688" s="31">
        <f t="shared" si="41"/>
        <v>0</v>
      </c>
      <c r="H2688" s="39" t="s">
        <v>9</v>
      </c>
      <c r="I2688" s="3"/>
      <c r="J2688" s="42"/>
      <c r="K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</row>
    <row r="2689" spans="1:22" x14ac:dyDescent="0.25">
      <c r="A2689" s="20">
        <v>42062</v>
      </c>
      <c r="B2689" s="21">
        <v>13386</v>
      </c>
      <c r="C2689" s="14" t="s">
        <v>102</v>
      </c>
      <c r="D2689" s="105">
        <v>2644.8</v>
      </c>
      <c r="E2689" s="65">
        <v>42062</v>
      </c>
      <c r="F2689" s="106">
        <v>2644.8</v>
      </c>
      <c r="G2689" s="31">
        <f t="shared" si="41"/>
        <v>0</v>
      </c>
      <c r="H2689" s="39" t="s">
        <v>9</v>
      </c>
      <c r="I2689" s="3"/>
      <c r="J2689" s="42"/>
      <c r="K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</row>
    <row r="2690" spans="1:22" x14ac:dyDescent="0.25">
      <c r="A2690" s="20">
        <v>42062</v>
      </c>
      <c r="B2690" s="21">
        <v>13387</v>
      </c>
      <c r="C2690" s="14" t="s">
        <v>736</v>
      </c>
      <c r="D2690" s="105">
        <v>1377.6</v>
      </c>
      <c r="E2690" s="65">
        <v>42062</v>
      </c>
      <c r="F2690" s="106">
        <v>1377.6</v>
      </c>
      <c r="G2690" s="31">
        <f t="shared" si="41"/>
        <v>0</v>
      </c>
      <c r="H2690" s="39" t="s">
        <v>9</v>
      </c>
      <c r="I2690" s="3"/>
      <c r="J2690" s="42"/>
      <c r="K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</row>
    <row r="2691" spans="1:22" x14ac:dyDescent="0.25">
      <c r="A2691" s="20">
        <v>42062</v>
      </c>
      <c r="B2691" s="21">
        <v>13388</v>
      </c>
      <c r="C2691" s="14" t="s">
        <v>110</v>
      </c>
      <c r="D2691" s="105">
        <v>25798.9</v>
      </c>
      <c r="E2691" s="74">
        <v>42077</v>
      </c>
      <c r="F2691" s="144">
        <v>25798.9</v>
      </c>
      <c r="G2691" s="31">
        <f t="shared" ref="G2691:G2754" si="42">D2691-F2691</f>
        <v>0</v>
      </c>
      <c r="H2691" s="39" t="s">
        <v>183</v>
      </c>
      <c r="I2691" s="3"/>
      <c r="J2691" s="42"/>
      <c r="K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</row>
    <row r="2692" spans="1:22" x14ac:dyDescent="0.25">
      <c r="A2692" s="20">
        <v>42062</v>
      </c>
      <c r="B2692" s="21">
        <v>13389</v>
      </c>
      <c r="C2692" s="14" t="s">
        <v>375</v>
      </c>
      <c r="D2692" s="105">
        <v>110</v>
      </c>
      <c r="E2692" s="65">
        <v>42062</v>
      </c>
      <c r="F2692" s="106">
        <v>110</v>
      </c>
      <c r="G2692" s="31">
        <f t="shared" si="42"/>
        <v>0</v>
      </c>
      <c r="H2692" s="39" t="s">
        <v>9</v>
      </c>
      <c r="I2692" s="3"/>
      <c r="J2692" s="42"/>
      <c r="K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</row>
    <row r="2693" spans="1:22" x14ac:dyDescent="0.25">
      <c r="A2693" s="20">
        <v>42062</v>
      </c>
      <c r="B2693" s="21">
        <v>13390</v>
      </c>
      <c r="C2693" s="14" t="s">
        <v>112</v>
      </c>
      <c r="D2693" s="105">
        <v>25369.1</v>
      </c>
      <c r="E2693" s="67" t="s">
        <v>740</v>
      </c>
      <c r="F2693" s="144">
        <f>18450+6919.1</f>
        <v>25369.1</v>
      </c>
      <c r="G2693" s="31">
        <f t="shared" si="42"/>
        <v>0</v>
      </c>
      <c r="H2693" s="39" t="s">
        <v>9</v>
      </c>
      <c r="I2693" s="3"/>
      <c r="J2693" s="42"/>
      <c r="K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</row>
    <row r="2694" spans="1:22" x14ac:dyDescent="0.25">
      <c r="A2694" s="20">
        <v>42062</v>
      </c>
      <c r="B2694" s="21">
        <v>13391</v>
      </c>
      <c r="C2694" s="14" t="s">
        <v>90</v>
      </c>
      <c r="D2694" s="105">
        <v>2109.6</v>
      </c>
      <c r="E2694" s="65">
        <v>42062</v>
      </c>
      <c r="F2694" s="106">
        <v>2109.6</v>
      </c>
      <c r="G2694" s="31">
        <f t="shared" si="42"/>
        <v>0</v>
      </c>
      <c r="H2694" s="39" t="s">
        <v>9</v>
      </c>
      <c r="I2694" s="3"/>
      <c r="J2694" s="42"/>
      <c r="K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</row>
    <row r="2695" spans="1:22" x14ac:dyDescent="0.25">
      <c r="A2695" s="20">
        <v>42062</v>
      </c>
      <c r="B2695" s="21">
        <v>13392</v>
      </c>
      <c r="C2695" s="14" t="s">
        <v>24</v>
      </c>
      <c r="D2695" s="105">
        <v>395169.25</v>
      </c>
      <c r="E2695" s="74">
        <v>42081</v>
      </c>
      <c r="F2695" s="144">
        <v>395169.25</v>
      </c>
      <c r="G2695" s="31">
        <f t="shared" si="42"/>
        <v>0</v>
      </c>
      <c r="H2695" s="39" t="s">
        <v>9</v>
      </c>
      <c r="I2695" s="3"/>
      <c r="J2695" s="42"/>
      <c r="K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</row>
    <row r="2696" spans="1:22" x14ac:dyDescent="0.25">
      <c r="A2696" s="20">
        <v>42062</v>
      </c>
      <c r="B2696" s="21">
        <v>13393</v>
      </c>
      <c r="C2696" s="14" t="s">
        <v>118</v>
      </c>
      <c r="D2696" s="105">
        <v>12176</v>
      </c>
      <c r="E2696" s="74">
        <v>42069</v>
      </c>
      <c r="F2696" s="144">
        <v>12176</v>
      </c>
      <c r="G2696" s="31">
        <f t="shared" si="42"/>
        <v>0</v>
      </c>
      <c r="H2696" s="39" t="s">
        <v>17</v>
      </c>
      <c r="I2696" s="3"/>
      <c r="J2696" s="42"/>
      <c r="K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</row>
    <row r="2697" spans="1:22" x14ac:dyDescent="0.25">
      <c r="A2697" s="20">
        <v>42062</v>
      </c>
      <c r="B2697" s="21">
        <v>13394</v>
      </c>
      <c r="C2697" s="14" t="s">
        <v>35</v>
      </c>
      <c r="D2697" s="105">
        <v>185</v>
      </c>
      <c r="E2697" s="65">
        <v>42062</v>
      </c>
      <c r="F2697" s="106">
        <v>185</v>
      </c>
      <c r="G2697" s="31">
        <f t="shared" si="42"/>
        <v>0</v>
      </c>
      <c r="H2697" s="39" t="s">
        <v>9</v>
      </c>
      <c r="I2697" s="3"/>
      <c r="J2697" s="42"/>
      <c r="K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</row>
    <row r="2698" spans="1:22" x14ac:dyDescent="0.25">
      <c r="A2698" s="20">
        <v>42062</v>
      </c>
      <c r="B2698" s="21">
        <v>13395</v>
      </c>
      <c r="C2698" s="14" t="s">
        <v>267</v>
      </c>
      <c r="D2698" s="105">
        <v>4644</v>
      </c>
      <c r="E2698" s="65">
        <v>42063</v>
      </c>
      <c r="F2698" s="106">
        <v>4644</v>
      </c>
      <c r="G2698" s="31">
        <f t="shared" si="42"/>
        <v>0</v>
      </c>
      <c r="H2698" s="39" t="s">
        <v>59</v>
      </c>
      <c r="I2698" s="3"/>
      <c r="J2698" s="42"/>
      <c r="K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</row>
    <row r="2699" spans="1:22" x14ac:dyDescent="0.25">
      <c r="A2699" s="20">
        <v>42062</v>
      </c>
      <c r="B2699" s="21">
        <v>13396</v>
      </c>
      <c r="C2699" s="14" t="s">
        <v>213</v>
      </c>
      <c r="D2699" s="105">
        <v>32132.799999999999</v>
      </c>
      <c r="E2699" s="74">
        <v>42153</v>
      </c>
      <c r="F2699" s="144">
        <v>32132.799999999999</v>
      </c>
      <c r="G2699" s="31">
        <f t="shared" si="42"/>
        <v>0</v>
      </c>
      <c r="H2699" s="39" t="s">
        <v>94</v>
      </c>
      <c r="I2699" s="3"/>
      <c r="J2699" s="42"/>
      <c r="K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</row>
    <row r="2700" spans="1:22" x14ac:dyDescent="0.25">
      <c r="A2700" s="20">
        <v>42062</v>
      </c>
      <c r="B2700" s="21">
        <v>13397</v>
      </c>
      <c r="C2700" s="14" t="s">
        <v>589</v>
      </c>
      <c r="D2700" s="105">
        <v>24861.599999999999</v>
      </c>
      <c r="E2700" s="65">
        <v>42063</v>
      </c>
      <c r="F2700" s="106">
        <v>24861.599999999999</v>
      </c>
      <c r="G2700" s="31">
        <f t="shared" si="42"/>
        <v>0</v>
      </c>
      <c r="H2700" s="39" t="s">
        <v>59</v>
      </c>
      <c r="I2700" s="3"/>
      <c r="J2700" s="42"/>
      <c r="K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</row>
    <row r="2701" spans="1:22" x14ac:dyDescent="0.25">
      <c r="A2701" s="20">
        <v>42062</v>
      </c>
      <c r="B2701" s="21">
        <v>13398</v>
      </c>
      <c r="C2701" s="14" t="s">
        <v>367</v>
      </c>
      <c r="D2701" s="105">
        <v>280558</v>
      </c>
      <c r="E2701" s="74">
        <v>42065</v>
      </c>
      <c r="F2701" s="144">
        <v>280558</v>
      </c>
      <c r="G2701" s="31">
        <f t="shared" si="42"/>
        <v>0</v>
      </c>
      <c r="H2701" s="39" t="s">
        <v>9</v>
      </c>
      <c r="I2701" s="3"/>
      <c r="J2701" s="42"/>
      <c r="K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</row>
    <row r="2702" spans="1:22" x14ac:dyDescent="0.25">
      <c r="A2702" s="20">
        <v>42062</v>
      </c>
      <c r="B2702" s="21">
        <v>13399</v>
      </c>
      <c r="C2702" s="14" t="s">
        <v>80</v>
      </c>
      <c r="D2702" s="105">
        <v>7426.8</v>
      </c>
      <c r="E2702" s="65">
        <v>42062</v>
      </c>
      <c r="F2702" s="106">
        <v>7426.8</v>
      </c>
      <c r="G2702" s="31">
        <f t="shared" si="42"/>
        <v>0</v>
      </c>
      <c r="H2702" s="39" t="s">
        <v>9</v>
      </c>
      <c r="I2702" s="3"/>
      <c r="J2702" s="42"/>
      <c r="K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</row>
    <row r="2703" spans="1:22" x14ac:dyDescent="0.25">
      <c r="A2703" s="20">
        <v>42062</v>
      </c>
      <c r="B2703" s="21">
        <v>13400</v>
      </c>
      <c r="C2703" s="14" t="s">
        <v>105</v>
      </c>
      <c r="D2703" s="105">
        <v>364</v>
      </c>
      <c r="E2703" s="65">
        <v>42062</v>
      </c>
      <c r="F2703" s="106">
        <v>364</v>
      </c>
      <c r="G2703" s="31">
        <f t="shared" si="42"/>
        <v>0</v>
      </c>
      <c r="H2703" s="39" t="s">
        <v>9</v>
      </c>
      <c r="I2703" s="3"/>
      <c r="J2703" s="42"/>
      <c r="K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</row>
    <row r="2704" spans="1:22" x14ac:dyDescent="0.25">
      <c r="A2704" s="20">
        <v>42062</v>
      </c>
      <c r="B2704" s="21">
        <v>13401</v>
      </c>
      <c r="C2704" s="14" t="s">
        <v>367</v>
      </c>
      <c r="D2704" s="105">
        <v>229822</v>
      </c>
      <c r="E2704" s="126"/>
      <c r="F2704" s="111"/>
      <c r="G2704" s="31">
        <f t="shared" si="42"/>
        <v>229822</v>
      </c>
      <c r="H2704" s="39" t="s">
        <v>9</v>
      </c>
      <c r="I2704" s="3"/>
      <c r="J2704" s="42"/>
      <c r="K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</row>
    <row r="2705" spans="1:22" x14ac:dyDescent="0.25">
      <c r="A2705" s="20">
        <v>42062</v>
      </c>
      <c r="B2705" s="21">
        <v>13402</v>
      </c>
      <c r="C2705" s="14" t="s">
        <v>234</v>
      </c>
      <c r="D2705" s="105">
        <v>224</v>
      </c>
      <c r="E2705" s="65">
        <v>42062</v>
      </c>
      <c r="F2705" s="106">
        <v>224</v>
      </c>
      <c r="G2705" s="31">
        <f t="shared" si="42"/>
        <v>0</v>
      </c>
      <c r="H2705" s="39" t="s">
        <v>9</v>
      </c>
      <c r="I2705" s="3"/>
      <c r="J2705" s="42"/>
      <c r="K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</row>
    <row r="2706" spans="1:22" x14ac:dyDescent="0.25">
      <c r="A2706" s="20">
        <v>42063</v>
      </c>
      <c r="B2706" s="21">
        <v>13403</v>
      </c>
      <c r="C2706" s="14" t="s">
        <v>555</v>
      </c>
      <c r="D2706" s="105">
        <v>47711.6</v>
      </c>
      <c r="E2706" s="74">
        <v>42067</v>
      </c>
      <c r="F2706" s="144">
        <v>47711.6</v>
      </c>
      <c r="G2706" s="31">
        <f t="shared" si="42"/>
        <v>0</v>
      </c>
      <c r="H2706" s="39" t="s">
        <v>9</v>
      </c>
      <c r="I2706" s="3"/>
      <c r="J2706" s="42"/>
      <c r="K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</row>
    <row r="2707" spans="1:22" x14ac:dyDescent="0.25">
      <c r="A2707" s="20">
        <v>42063</v>
      </c>
      <c r="B2707" s="21">
        <v>13404</v>
      </c>
      <c r="C2707" s="14" t="s">
        <v>14</v>
      </c>
      <c r="D2707" s="105">
        <v>27118.35</v>
      </c>
      <c r="E2707" s="74">
        <v>42047</v>
      </c>
      <c r="F2707" s="144">
        <v>27118.35</v>
      </c>
      <c r="G2707" s="31">
        <f t="shared" si="42"/>
        <v>0</v>
      </c>
      <c r="H2707" s="39" t="s">
        <v>9</v>
      </c>
      <c r="I2707" s="3"/>
      <c r="J2707" s="42"/>
      <c r="K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</row>
    <row r="2708" spans="1:22" x14ac:dyDescent="0.25">
      <c r="A2708" s="20">
        <v>42063</v>
      </c>
      <c r="B2708" s="21">
        <v>13405</v>
      </c>
      <c r="C2708" s="14" t="s">
        <v>464</v>
      </c>
      <c r="D2708" s="105">
        <v>1011.6</v>
      </c>
      <c r="E2708" s="65">
        <v>42063</v>
      </c>
      <c r="F2708" s="106">
        <v>1011.6</v>
      </c>
      <c r="G2708" s="31">
        <f t="shared" si="42"/>
        <v>0</v>
      </c>
      <c r="H2708" s="39" t="s">
        <v>9</v>
      </c>
      <c r="I2708" s="3"/>
      <c r="J2708" s="42"/>
      <c r="K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</row>
    <row r="2709" spans="1:22" x14ac:dyDescent="0.25">
      <c r="A2709" s="20">
        <v>42063</v>
      </c>
      <c r="B2709" s="21">
        <v>13406</v>
      </c>
      <c r="C2709" s="14" t="s">
        <v>215</v>
      </c>
      <c r="D2709" s="105">
        <v>38881.800000000003</v>
      </c>
      <c r="E2709" s="65">
        <v>42063</v>
      </c>
      <c r="F2709" s="106">
        <v>38881.800000000003</v>
      </c>
      <c r="G2709" s="31">
        <f t="shared" si="42"/>
        <v>0</v>
      </c>
      <c r="H2709" s="39" t="s">
        <v>19</v>
      </c>
      <c r="I2709" s="3"/>
      <c r="J2709" s="42"/>
      <c r="K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</row>
    <row r="2710" spans="1:22" x14ac:dyDescent="0.25">
      <c r="A2710" s="20">
        <v>42063</v>
      </c>
      <c r="B2710" s="21">
        <v>13407</v>
      </c>
      <c r="C2710" s="14" t="s">
        <v>20</v>
      </c>
      <c r="D2710" s="105">
        <v>19671.75</v>
      </c>
      <c r="E2710" s="74">
        <v>42064</v>
      </c>
      <c r="F2710" s="144">
        <v>19671.75</v>
      </c>
      <c r="G2710" s="31">
        <f t="shared" si="42"/>
        <v>0</v>
      </c>
      <c r="H2710" s="39" t="s">
        <v>94</v>
      </c>
      <c r="I2710" s="3"/>
      <c r="J2710" s="42"/>
      <c r="K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</row>
    <row r="2711" spans="1:22" x14ac:dyDescent="0.25">
      <c r="A2711" s="20">
        <v>42063</v>
      </c>
      <c r="B2711" s="21">
        <v>13408</v>
      </c>
      <c r="C2711" s="14" t="s">
        <v>20</v>
      </c>
      <c r="D2711" s="105">
        <v>1002.4</v>
      </c>
      <c r="E2711" s="74">
        <v>42064</v>
      </c>
      <c r="F2711" s="144">
        <v>1002.4</v>
      </c>
      <c r="G2711" s="31">
        <f t="shared" si="42"/>
        <v>0</v>
      </c>
      <c r="H2711" s="39" t="s">
        <v>94</v>
      </c>
      <c r="I2711" s="3"/>
      <c r="J2711" s="42"/>
      <c r="K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</row>
    <row r="2712" spans="1:22" x14ac:dyDescent="0.25">
      <c r="A2712" s="20">
        <v>42063</v>
      </c>
      <c r="B2712" s="21">
        <v>13409</v>
      </c>
      <c r="C2712" s="14" t="s">
        <v>16</v>
      </c>
      <c r="D2712" s="105">
        <v>10880.8</v>
      </c>
      <c r="E2712" s="65">
        <v>42063</v>
      </c>
      <c r="F2712" s="106">
        <v>10880.8</v>
      </c>
      <c r="G2712" s="31">
        <f t="shared" si="42"/>
        <v>0</v>
      </c>
      <c r="H2712" s="39" t="s">
        <v>17</v>
      </c>
      <c r="I2712" s="3"/>
      <c r="J2712" s="42"/>
      <c r="K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</row>
    <row r="2713" spans="1:22" x14ac:dyDescent="0.25">
      <c r="A2713" s="20">
        <v>42063</v>
      </c>
      <c r="B2713" s="21">
        <v>13410</v>
      </c>
      <c r="C2713" s="14" t="s">
        <v>48</v>
      </c>
      <c r="D2713" s="105">
        <v>4170.3999999999996</v>
      </c>
      <c r="E2713" s="65">
        <v>42063</v>
      </c>
      <c r="F2713" s="106">
        <v>4170.3999999999996</v>
      </c>
      <c r="G2713" s="31">
        <f t="shared" si="42"/>
        <v>0</v>
      </c>
      <c r="H2713" s="39" t="s">
        <v>94</v>
      </c>
      <c r="I2713" s="3"/>
      <c r="J2713" s="42"/>
      <c r="K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</row>
    <row r="2714" spans="1:22" x14ac:dyDescent="0.25">
      <c r="A2714" s="20">
        <v>42063</v>
      </c>
      <c r="B2714" s="21">
        <v>13411</v>
      </c>
      <c r="C2714" s="14" t="s">
        <v>136</v>
      </c>
      <c r="D2714" s="105">
        <v>540</v>
      </c>
      <c r="E2714" s="65">
        <v>42063</v>
      </c>
      <c r="F2714" s="106">
        <v>540</v>
      </c>
      <c r="G2714" s="31">
        <f t="shared" si="42"/>
        <v>0</v>
      </c>
      <c r="H2714" s="39" t="s">
        <v>9</v>
      </c>
      <c r="I2714" s="3"/>
      <c r="J2714" s="42"/>
      <c r="K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</row>
    <row r="2715" spans="1:22" x14ac:dyDescent="0.25">
      <c r="A2715" s="20">
        <v>42063</v>
      </c>
      <c r="B2715" s="21">
        <v>13412</v>
      </c>
      <c r="C2715" s="14" t="s">
        <v>21</v>
      </c>
      <c r="D2715" s="105">
        <v>8465</v>
      </c>
      <c r="E2715" s="65">
        <v>42063</v>
      </c>
      <c r="F2715" s="106">
        <v>8465</v>
      </c>
      <c r="G2715" s="31">
        <f t="shared" si="42"/>
        <v>0</v>
      </c>
      <c r="H2715" s="39" t="s">
        <v>9</v>
      </c>
      <c r="I2715" s="3"/>
      <c r="J2715" s="42"/>
      <c r="K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</row>
    <row r="2716" spans="1:22" x14ac:dyDescent="0.25">
      <c r="A2716" s="20">
        <v>42063</v>
      </c>
      <c r="B2716" s="21">
        <v>13413</v>
      </c>
      <c r="C2716" s="14" t="s">
        <v>100</v>
      </c>
      <c r="D2716" s="105">
        <v>7473.25</v>
      </c>
      <c r="E2716" s="65">
        <v>42063</v>
      </c>
      <c r="F2716" s="106">
        <v>7473.25</v>
      </c>
      <c r="G2716" s="31">
        <f t="shared" si="42"/>
        <v>0</v>
      </c>
      <c r="H2716" s="39" t="s">
        <v>9</v>
      </c>
      <c r="I2716" s="3"/>
      <c r="J2716" s="42"/>
      <c r="K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</row>
    <row r="2717" spans="1:22" x14ac:dyDescent="0.25">
      <c r="A2717" s="20">
        <v>42063</v>
      </c>
      <c r="B2717" s="21">
        <v>13414</v>
      </c>
      <c r="C2717" s="14" t="s">
        <v>375</v>
      </c>
      <c r="D2717" s="105">
        <v>2907.3</v>
      </c>
      <c r="E2717" s="65">
        <v>42063</v>
      </c>
      <c r="F2717" s="106">
        <v>2907.3</v>
      </c>
      <c r="G2717" s="31">
        <f t="shared" si="42"/>
        <v>0</v>
      </c>
      <c r="H2717" s="39" t="s">
        <v>9</v>
      </c>
      <c r="I2717" s="3"/>
      <c r="J2717" s="42"/>
      <c r="K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</row>
    <row r="2718" spans="1:22" x14ac:dyDescent="0.25">
      <c r="A2718" s="20">
        <v>42063</v>
      </c>
      <c r="B2718" s="21">
        <v>13415</v>
      </c>
      <c r="C2718" s="14" t="s">
        <v>161</v>
      </c>
      <c r="D2718" s="105">
        <v>320</v>
      </c>
      <c r="E2718" s="65">
        <v>42063</v>
      </c>
      <c r="F2718" s="106">
        <v>320</v>
      </c>
      <c r="G2718" s="31">
        <f t="shared" si="42"/>
        <v>0</v>
      </c>
      <c r="H2718" s="39" t="s">
        <v>9</v>
      </c>
      <c r="I2718" s="3"/>
      <c r="J2718" s="42"/>
      <c r="K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</row>
    <row r="2719" spans="1:22" x14ac:dyDescent="0.25">
      <c r="A2719" s="20">
        <v>42063</v>
      </c>
      <c r="B2719" s="21">
        <v>13416</v>
      </c>
      <c r="C2719" s="14" t="s">
        <v>658</v>
      </c>
      <c r="D2719" s="105">
        <v>1458</v>
      </c>
      <c r="E2719" s="65">
        <v>42063</v>
      </c>
      <c r="F2719" s="106">
        <v>1458</v>
      </c>
      <c r="G2719" s="31">
        <f t="shared" si="42"/>
        <v>0</v>
      </c>
      <c r="H2719" s="39" t="s">
        <v>9</v>
      </c>
      <c r="I2719" s="3"/>
      <c r="J2719" s="42"/>
      <c r="K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</row>
    <row r="2720" spans="1:22" x14ac:dyDescent="0.25">
      <c r="A2720" s="20">
        <v>42063</v>
      </c>
      <c r="B2720" s="21">
        <v>13417</v>
      </c>
      <c r="C2720" s="14" t="s">
        <v>291</v>
      </c>
      <c r="D2720" s="105">
        <v>33325.440000000002</v>
      </c>
      <c r="E2720" s="65">
        <v>42063</v>
      </c>
      <c r="F2720" s="106">
        <v>33325.440000000002</v>
      </c>
      <c r="G2720" s="31">
        <f t="shared" si="42"/>
        <v>0</v>
      </c>
      <c r="H2720" s="39" t="s">
        <v>9</v>
      </c>
      <c r="I2720" s="3"/>
      <c r="J2720" s="42"/>
      <c r="K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</row>
    <row r="2721" spans="1:22" x14ac:dyDescent="0.25">
      <c r="A2721" s="20">
        <v>42063</v>
      </c>
      <c r="B2721" s="21">
        <v>13418</v>
      </c>
      <c r="C2721" s="14" t="s">
        <v>20</v>
      </c>
      <c r="D2721" s="105">
        <v>5128.2</v>
      </c>
      <c r="E2721" s="74">
        <v>42064</v>
      </c>
      <c r="F2721" s="144">
        <v>5128</v>
      </c>
      <c r="G2721" s="31">
        <f t="shared" si="42"/>
        <v>0.1999999999998181</v>
      </c>
      <c r="H2721" s="39" t="s">
        <v>9</v>
      </c>
      <c r="I2721" s="3"/>
      <c r="J2721" s="42"/>
      <c r="K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</row>
    <row r="2722" spans="1:22" x14ac:dyDescent="0.25">
      <c r="A2722" s="20">
        <v>42063</v>
      </c>
      <c r="B2722" s="21">
        <v>13419</v>
      </c>
      <c r="C2722" s="14" t="s">
        <v>141</v>
      </c>
      <c r="D2722" s="105">
        <v>22281.65</v>
      </c>
      <c r="E2722" s="74">
        <v>42079</v>
      </c>
      <c r="F2722" s="144">
        <v>22281.65</v>
      </c>
      <c r="G2722" s="31">
        <f t="shared" si="42"/>
        <v>0</v>
      </c>
      <c r="H2722" s="39" t="s">
        <v>15</v>
      </c>
      <c r="I2722" s="3"/>
      <c r="J2722" s="42"/>
      <c r="K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</row>
    <row r="2723" spans="1:22" x14ac:dyDescent="0.25">
      <c r="A2723" s="20">
        <v>42063</v>
      </c>
      <c r="B2723" s="21">
        <v>13420</v>
      </c>
      <c r="C2723" s="14" t="s">
        <v>604</v>
      </c>
      <c r="D2723" s="105">
        <v>2690.1</v>
      </c>
      <c r="E2723" s="65">
        <v>42063</v>
      </c>
      <c r="F2723" s="106">
        <v>2690.1</v>
      </c>
      <c r="G2723" s="31">
        <f t="shared" si="42"/>
        <v>0</v>
      </c>
      <c r="H2723" s="39" t="s">
        <v>9</v>
      </c>
      <c r="I2723" s="3"/>
      <c r="J2723" s="42"/>
      <c r="K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</row>
    <row r="2724" spans="1:22" x14ac:dyDescent="0.25">
      <c r="A2724" s="20">
        <v>42063</v>
      </c>
      <c r="B2724" s="21">
        <v>13421</v>
      </c>
      <c r="C2724" s="14" t="s">
        <v>125</v>
      </c>
      <c r="D2724" s="105">
        <v>16510.599999999999</v>
      </c>
      <c r="E2724" s="74">
        <v>42070</v>
      </c>
      <c r="F2724" s="144">
        <v>16510.599999999999</v>
      </c>
      <c r="G2724" s="31">
        <f t="shared" si="42"/>
        <v>0</v>
      </c>
      <c r="H2724" s="39" t="s">
        <v>9</v>
      </c>
      <c r="I2724" s="3"/>
      <c r="J2724" s="42"/>
      <c r="K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</row>
    <row r="2725" spans="1:22" x14ac:dyDescent="0.25">
      <c r="A2725" s="20">
        <v>42063</v>
      </c>
      <c r="B2725" s="21">
        <v>13422</v>
      </c>
      <c r="C2725" s="14" t="s">
        <v>116</v>
      </c>
      <c r="D2725" s="105">
        <v>12388.4</v>
      </c>
      <c r="E2725" s="65">
        <v>42063</v>
      </c>
      <c r="F2725" s="106">
        <v>12388.4</v>
      </c>
      <c r="G2725" s="31">
        <f t="shared" si="42"/>
        <v>0</v>
      </c>
      <c r="H2725" s="39" t="s">
        <v>9</v>
      </c>
      <c r="I2725" s="3"/>
      <c r="J2725" s="42"/>
      <c r="K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</row>
    <row r="2726" spans="1:22" x14ac:dyDescent="0.25">
      <c r="A2726" s="20">
        <v>42063</v>
      </c>
      <c r="B2726" s="21">
        <v>13423</v>
      </c>
      <c r="C2726" s="14" t="s">
        <v>214</v>
      </c>
      <c r="D2726" s="105">
        <v>3330</v>
      </c>
      <c r="E2726" s="74">
        <v>42064</v>
      </c>
      <c r="F2726" s="144">
        <v>3330</v>
      </c>
      <c r="G2726" s="31">
        <f t="shared" si="42"/>
        <v>0</v>
      </c>
      <c r="H2726" s="39" t="s">
        <v>59</v>
      </c>
      <c r="I2726" s="3"/>
      <c r="J2726" s="42"/>
      <c r="K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</row>
    <row r="2727" spans="1:22" x14ac:dyDescent="0.25">
      <c r="A2727" s="20">
        <v>42063</v>
      </c>
      <c r="B2727" s="21">
        <v>13424</v>
      </c>
      <c r="C2727" s="14" t="s">
        <v>57</v>
      </c>
      <c r="D2727" s="105">
        <v>1480</v>
      </c>
      <c r="E2727" s="74">
        <v>42064</v>
      </c>
      <c r="F2727" s="144">
        <v>1480</v>
      </c>
      <c r="G2727" s="31">
        <f t="shared" si="42"/>
        <v>0</v>
      </c>
      <c r="H2727" s="39" t="s">
        <v>59</v>
      </c>
      <c r="I2727" s="3"/>
      <c r="J2727" s="42"/>
      <c r="K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</row>
    <row r="2728" spans="1:22" x14ac:dyDescent="0.25">
      <c r="A2728" s="20">
        <v>42063</v>
      </c>
      <c r="B2728" s="21">
        <v>13425</v>
      </c>
      <c r="C2728" s="14" t="s">
        <v>125</v>
      </c>
      <c r="D2728" s="105">
        <v>8534.4</v>
      </c>
      <c r="E2728" s="74">
        <v>42065</v>
      </c>
      <c r="F2728" s="144">
        <v>8534.4</v>
      </c>
      <c r="G2728" s="31">
        <f t="shared" si="42"/>
        <v>0</v>
      </c>
      <c r="H2728" s="39" t="s">
        <v>9</v>
      </c>
      <c r="I2728" s="3"/>
      <c r="J2728" s="42"/>
      <c r="K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</row>
    <row r="2729" spans="1:22" x14ac:dyDescent="0.25">
      <c r="A2729" s="20">
        <v>42063</v>
      </c>
      <c r="B2729" s="21">
        <v>13426</v>
      </c>
      <c r="C2729" s="14" t="s">
        <v>91</v>
      </c>
      <c r="D2729" s="105">
        <v>2983.64</v>
      </c>
      <c r="E2729" s="74">
        <v>42064</v>
      </c>
      <c r="F2729" s="144">
        <v>2983.64</v>
      </c>
      <c r="G2729" s="31">
        <f t="shared" si="42"/>
        <v>0</v>
      </c>
      <c r="H2729" s="39" t="s">
        <v>59</v>
      </c>
      <c r="I2729" s="3"/>
      <c r="J2729" s="42"/>
      <c r="K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</row>
    <row r="2730" spans="1:22" x14ac:dyDescent="0.25">
      <c r="A2730" s="20">
        <v>42063</v>
      </c>
      <c r="B2730" s="21">
        <v>13427</v>
      </c>
      <c r="C2730" s="14" t="s">
        <v>140</v>
      </c>
      <c r="D2730" s="105">
        <v>1315.2</v>
      </c>
      <c r="E2730" s="65">
        <v>42063</v>
      </c>
      <c r="F2730" s="106">
        <v>1315.2</v>
      </c>
      <c r="G2730" s="31">
        <f t="shared" si="42"/>
        <v>0</v>
      </c>
      <c r="H2730" s="39" t="s">
        <v>9</v>
      </c>
      <c r="I2730" s="3"/>
      <c r="J2730" s="42"/>
      <c r="K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</row>
    <row r="2731" spans="1:22" x14ac:dyDescent="0.25">
      <c r="A2731" s="20">
        <v>42063</v>
      </c>
      <c r="B2731" s="21">
        <v>13428</v>
      </c>
      <c r="C2731" s="110">
        <v>105</v>
      </c>
      <c r="D2731" s="105">
        <v>1295</v>
      </c>
      <c r="E2731" s="74">
        <v>42064</v>
      </c>
      <c r="F2731" s="144">
        <v>1295</v>
      </c>
      <c r="G2731" s="31">
        <f t="shared" si="42"/>
        <v>0</v>
      </c>
      <c r="H2731" s="39" t="s">
        <v>59</v>
      </c>
      <c r="I2731" s="3"/>
      <c r="J2731" s="42"/>
      <c r="K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</row>
    <row r="2732" spans="1:22" x14ac:dyDescent="0.25">
      <c r="A2732" s="20">
        <v>42063</v>
      </c>
      <c r="B2732" s="21">
        <v>13429</v>
      </c>
      <c r="C2732" s="14" t="s">
        <v>291</v>
      </c>
      <c r="D2732" s="105">
        <v>6615</v>
      </c>
      <c r="E2732" s="65">
        <v>42063</v>
      </c>
      <c r="F2732" s="106">
        <v>6615</v>
      </c>
      <c r="G2732" s="31">
        <f t="shared" si="42"/>
        <v>0</v>
      </c>
      <c r="H2732" s="39" t="s">
        <v>9</v>
      </c>
      <c r="I2732" s="3"/>
      <c r="J2732" s="42"/>
      <c r="K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</row>
    <row r="2733" spans="1:22" x14ac:dyDescent="0.25">
      <c r="A2733" s="20">
        <v>42063</v>
      </c>
      <c r="B2733" s="21">
        <v>13430</v>
      </c>
      <c r="C2733" s="14" t="s">
        <v>140</v>
      </c>
      <c r="D2733" s="105">
        <v>608</v>
      </c>
      <c r="E2733" s="65">
        <v>42063</v>
      </c>
      <c r="F2733" s="106">
        <v>608</v>
      </c>
      <c r="G2733" s="31">
        <f t="shared" si="42"/>
        <v>0</v>
      </c>
      <c r="H2733" s="39" t="s">
        <v>9</v>
      </c>
      <c r="I2733" s="3"/>
      <c r="J2733" s="42"/>
      <c r="K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</row>
    <row r="2734" spans="1:22" x14ac:dyDescent="0.25">
      <c r="A2734" s="20">
        <v>42063</v>
      </c>
      <c r="B2734" s="21">
        <v>13431</v>
      </c>
      <c r="C2734" s="14" t="s">
        <v>167</v>
      </c>
      <c r="D2734" s="105">
        <v>452.4</v>
      </c>
      <c r="E2734" s="74">
        <v>42064</v>
      </c>
      <c r="F2734" s="144">
        <v>452.4</v>
      </c>
      <c r="G2734" s="31">
        <f t="shared" si="42"/>
        <v>0</v>
      </c>
      <c r="H2734" s="39" t="s">
        <v>59</v>
      </c>
      <c r="I2734" s="3"/>
      <c r="J2734" s="42"/>
      <c r="K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</row>
    <row r="2735" spans="1:22" x14ac:dyDescent="0.25">
      <c r="A2735" s="20">
        <v>42063</v>
      </c>
      <c r="B2735" s="21">
        <v>13432</v>
      </c>
      <c r="C2735" s="14" t="s">
        <v>720</v>
      </c>
      <c r="D2735" s="105">
        <v>9742.4</v>
      </c>
      <c r="E2735" s="65">
        <v>42063</v>
      </c>
      <c r="F2735" s="106">
        <v>9742.4</v>
      </c>
      <c r="G2735" s="31">
        <f t="shared" si="42"/>
        <v>0</v>
      </c>
      <c r="H2735" s="39" t="s">
        <v>9</v>
      </c>
      <c r="I2735" s="3"/>
      <c r="J2735" s="42"/>
      <c r="K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</row>
    <row r="2736" spans="1:22" x14ac:dyDescent="0.25">
      <c r="A2736" s="20">
        <v>42063</v>
      </c>
      <c r="B2736" s="21">
        <v>13433</v>
      </c>
      <c r="C2736" s="14" t="s">
        <v>168</v>
      </c>
      <c r="D2736" s="105">
        <v>514.08000000000004</v>
      </c>
      <c r="E2736" s="74">
        <v>42064</v>
      </c>
      <c r="F2736" s="144">
        <v>514.08000000000004</v>
      </c>
      <c r="G2736" s="31">
        <f t="shared" si="42"/>
        <v>0</v>
      </c>
      <c r="H2736" s="39" t="s">
        <v>59</v>
      </c>
      <c r="I2736" s="3"/>
      <c r="J2736" s="42"/>
      <c r="K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</row>
    <row r="2737" spans="1:22" x14ac:dyDescent="0.25">
      <c r="A2737" s="20">
        <v>42063</v>
      </c>
      <c r="B2737" s="21">
        <v>13434</v>
      </c>
      <c r="C2737" s="14" t="s">
        <v>26</v>
      </c>
      <c r="D2737" s="105">
        <v>1656</v>
      </c>
      <c r="E2737" s="65">
        <v>42063</v>
      </c>
      <c r="F2737" s="106">
        <v>1656</v>
      </c>
      <c r="G2737" s="31">
        <f t="shared" si="42"/>
        <v>0</v>
      </c>
      <c r="H2737" s="39" t="s">
        <v>27</v>
      </c>
      <c r="I2737" s="3"/>
      <c r="J2737" s="42"/>
      <c r="K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</row>
    <row r="2738" spans="1:22" x14ac:dyDescent="0.25">
      <c r="A2738" s="20">
        <v>42063</v>
      </c>
      <c r="B2738" s="21">
        <v>13435</v>
      </c>
      <c r="C2738" s="14" t="s">
        <v>83</v>
      </c>
      <c r="D2738" s="105">
        <v>8542.4</v>
      </c>
      <c r="E2738" s="74">
        <v>42064</v>
      </c>
      <c r="F2738" s="144">
        <v>8542.4</v>
      </c>
      <c r="G2738" s="31">
        <f t="shared" si="42"/>
        <v>0</v>
      </c>
      <c r="H2738" s="39" t="s">
        <v>59</v>
      </c>
      <c r="I2738" s="3"/>
      <c r="J2738" s="42"/>
      <c r="K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</row>
    <row r="2739" spans="1:22" x14ac:dyDescent="0.25">
      <c r="A2739" s="20">
        <v>42063</v>
      </c>
      <c r="B2739" s="21">
        <v>13436</v>
      </c>
      <c r="C2739" s="14" t="s">
        <v>375</v>
      </c>
      <c r="D2739" s="105">
        <v>4553.6000000000004</v>
      </c>
      <c r="E2739" s="65">
        <v>42063</v>
      </c>
      <c r="F2739" s="106">
        <v>4553.6000000000004</v>
      </c>
      <c r="G2739" s="31">
        <f t="shared" si="42"/>
        <v>0</v>
      </c>
      <c r="H2739" s="39" t="s">
        <v>9</v>
      </c>
      <c r="I2739" s="3"/>
      <c r="J2739" s="42"/>
      <c r="K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</row>
    <row r="2740" spans="1:22" x14ac:dyDescent="0.25">
      <c r="A2740" s="20">
        <v>42063</v>
      </c>
      <c r="B2740" s="21">
        <v>13437</v>
      </c>
      <c r="C2740" s="14" t="s">
        <v>81</v>
      </c>
      <c r="D2740" s="105">
        <v>2618.1999999999998</v>
      </c>
      <c r="E2740" s="74">
        <v>42064</v>
      </c>
      <c r="F2740" s="144">
        <v>2618.1999999999998</v>
      </c>
      <c r="G2740" s="31">
        <f t="shared" si="42"/>
        <v>0</v>
      </c>
      <c r="H2740" s="39" t="s">
        <v>59</v>
      </c>
      <c r="I2740" s="3"/>
      <c r="J2740" s="42"/>
      <c r="K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</row>
    <row r="2741" spans="1:22" x14ac:dyDescent="0.25">
      <c r="A2741" s="20">
        <v>42063</v>
      </c>
      <c r="B2741" s="21">
        <v>13438</v>
      </c>
      <c r="C2741" s="14" t="s">
        <v>292</v>
      </c>
      <c r="D2741" s="105">
        <v>2968.4</v>
      </c>
      <c r="E2741" s="74">
        <v>42064</v>
      </c>
      <c r="F2741" s="144">
        <v>2968.4</v>
      </c>
      <c r="G2741" s="31">
        <f t="shared" si="42"/>
        <v>0</v>
      </c>
      <c r="H2741" s="39" t="s">
        <v>59</v>
      </c>
      <c r="I2741" s="3"/>
      <c r="J2741" s="42"/>
      <c r="K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</row>
    <row r="2742" spans="1:22" x14ac:dyDescent="0.25">
      <c r="A2742" s="20">
        <v>42063</v>
      </c>
      <c r="B2742" s="21">
        <v>13439</v>
      </c>
      <c r="C2742" s="14" t="s">
        <v>88</v>
      </c>
      <c r="D2742" s="105">
        <v>1476.9</v>
      </c>
      <c r="E2742" s="65">
        <v>42063</v>
      </c>
      <c r="F2742" s="106">
        <v>1476.9</v>
      </c>
      <c r="G2742" s="31">
        <f t="shared" si="42"/>
        <v>0</v>
      </c>
      <c r="H2742" s="39" t="s">
        <v>9</v>
      </c>
      <c r="I2742" s="3"/>
      <c r="J2742" s="42"/>
      <c r="K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</row>
    <row r="2743" spans="1:22" x14ac:dyDescent="0.25">
      <c r="A2743" s="20">
        <v>42063</v>
      </c>
      <c r="B2743" s="21">
        <v>13440</v>
      </c>
      <c r="C2743" s="14" t="s">
        <v>82</v>
      </c>
      <c r="D2743" s="105">
        <v>2287.8000000000002</v>
      </c>
      <c r="E2743" s="74">
        <v>42064</v>
      </c>
      <c r="F2743" s="144">
        <v>2287.8000000000002</v>
      </c>
      <c r="G2743" s="31">
        <f t="shared" si="42"/>
        <v>0</v>
      </c>
      <c r="H2743" s="39" t="s">
        <v>59</v>
      </c>
      <c r="I2743" s="3"/>
      <c r="J2743" s="42"/>
      <c r="K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</row>
    <row r="2744" spans="1:22" x14ac:dyDescent="0.25">
      <c r="A2744" s="20">
        <v>42063</v>
      </c>
      <c r="B2744" s="21">
        <v>13441</v>
      </c>
      <c r="C2744" s="26" t="s">
        <v>12</v>
      </c>
      <c r="D2744" s="108">
        <v>0</v>
      </c>
      <c r="E2744" s="65"/>
      <c r="F2744" s="106"/>
      <c r="G2744" s="31">
        <f t="shared" si="42"/>
        <v>0</v>
      </c>
      <c r="H2744" s="39" t="s">
        <v>13</v>
      </c>
      <c r="I2744" s="3"/>
      <c r="J2744" s="42"/>
      <c r="K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</row>
    <row r="2745" spans="1:22" x14ac:dyDescent="0.25">
      <c r="A2745" s="20">
        <v>42063</v>
      </c>
      <c r="B2745" s="21">
        <v>13442</v>
      </c>
      <c r="C2745" s="14" t="s">
        <v>296</v>
      </c>
      <c r="D2745" s="105">
        <v>1290.8</v>
      </c>
      <c r="E2745" s="65">
        <v>42063</v>
      </c>
      <c r="F2745" s="106">
        <v>1290.8</v>
      </c>
      <c r="G2745" s="31">
        <f t="shared" si="42"/>
        <v>0</v>
      </c>
      <c r="H2745" s="39" t="s">
        <v>9</v>
      </c>
      <c r="I2745" s="3"/>
      <c r="J2745" s="42"/>
      <c r="K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</row>
    <row r="2746" spans="1:22" x14ac:dyDescent="0.25">
      <c r="A2746" s="20">
        <v>42063</v>
      </c>
      <c r="B2746" s="21">
        <v>13443</v>
      </c>
      <c r="C2746" s="14" t="s">
        <v>47</v>
      </c>
      <c r="D2746" s="105">
        <v>21990.799999999999</v>
      </c>
      <c r="E2746" s="65">
        <v>42063</v>
      </c>
      <c r="F2746" s="106">
        <v>21990.799999999999</v>
      </c>
      <c r="G2746" s="31">
        <f t="shared" si="42"/>
        <v>0</v>
      </c>
      <c r="H2746" s="39" t="s">
        <v>36</v>
      </c>
      <c r="I2746" s="3"/>
      <c r="J2746" s="42"/>
      <c r="K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</row>
    <row r="2747" spans="1:22" x14ac:dyDescent="0.25">
      <c r="A2747" s="20">
        <v>42063</v>
      </c>
      <c r="B2747" s="21">
        <v>13444</v>
      </c>
      <c r="C2747" s="14" t="s">
        <v>58</v>
      </c>
      <c r="D2747" s="105">
        <v>555</v>
      </c>
      <c r="E2747" s="74">
        <v>42064</v>
      </c>
      <c r="F2747" s="144">
        <v>555</v>
      </c>
      <c r="G2747" s="31">
        <f t="shared" si="42"/>
        <v>0</v>
      </c>
      <c r="H2747" s="39" t="s">
        <v>59</v>
      </c>
      <c r="I2747" s="3"/>
      <c r="J2747" s="42"/>
      <c r="K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</row>
    <row r="2748" spans="1:22" x14ac:dyDescent="0.25">
      <c r="A2748" s="20">
        <v>42063</v>
      </c>
      <c r="B2748" s="21">
        <v>13445</v>
      </c>
      <c r="C2748" s="14" t="s">
        <v>256</v>
      </c>
      <c r="D2748" s="105">
        <v>8517.6</v>
      </c>
      <c r="E2748" s="65">
        <v>42063</v>
      </c>
      <c r="F2748" s="106">
        <v>8517.6</v>
      </c>
      <c r="G2748" s="31">
        <f t="shared" si="42"/>
        <v>0</v>
      </c>
      <c r="H2748" s="39" t="s">
        <v>36</v>
      </c>
      <c r="I2748" s="3"/>
      <c r="J2748" s="42"/>
      <c r="K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</row>
    <row r="2749" spans="1:22" x14ac:dyDescent="0.25">
      <c r="A2749" s="20">
        <v>42063</v>
      </c>
      <c r="B2749" s="21">
        <v>13446</v>
      </c>
      <c r="C2749" s="14" t="s">
        <v>162</v>
      </c>
      <c r="D2749" s="105">
        <v>1213.5999999999999</v>
      </c>
      <c r="E2749" s="65">
        <v>42063</v>
      </c>
      <c r="F2749" s="106">
        <v>1213.5999999999999</v>
      </c>
      <c r="G2749" s="31">
        <f t="shared" si="42"/>
        <v>0</v>
      </c>
      <c r="H2749" s="39" t="s">
        <v>36</v>
      </c>
      <c r="I2749" s="3"/>
      <c r="J2749" s="42"/>
      <c r="K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</row>
    <row r="2750" spans="1:22" x14ac:dyDescent="0.25">
      <c r="A2750" s="20">
        <v>42063</v>
      </c>
      <c r="B2750" s="21">
        <v>13447</v>
      </c>
      <c r="C2750" s="14" t="s">
        <v>35</v>
      </c>
      <c r="D2750" s="105">
        <v>24494.400000000001</v>
      </c>
      <c r="E2750" s="65">
        <v>42063</v>
      </c>
      <c r="F2750" s="106">
        <v>24494.400000000001</v>
      </c>
      <c r="G2750" s="31">
        <f t="shared" si="42"/>
        <v>0</v>
      </c>
      <c r="H2750" s="39" t="s">
        <v>36</v>
      </c>
      <c r="I2750" s="3"/>
      <c r="J2750" s="42"/>
      <c r="K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</row>
    <row r="2751" spans="1:22" x14ac:dyDescent="0.25">
      <c r="A2751" s="20">
        <v>42063</v>
      </c>
      <c r="B2751" s="21">
        <v>13448</v>
      </c>
      <c r="C2751" s="14" t="s">
        <v>34</v>
      </c>
      <c r="D2751" s="105">
        <v>1850</v>
      </c>
      <c r="E2751" s="65">
        <v>42063</v>
      </c>
      <c r="F2751" s="106">
        <v>1850</v>
      </c>
      <c r="G2751" s="31">
        <f t="shared" si="42"/>
        <v>0</v>
      </c>
      <c r="H2751" s="39" t="s">
        <v>9</v>
      </c>
      <c r="I2751" s="3"/>
      <c r="J2751" s="42"/>
      <c r="K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</row>
    <row r="2752" spans="1:22" x14ac:dyDescent="0.25">
      <c r="A2752" s="20">
        <v>42063</v>
      </c>
      <c r="B2752" s="21">
        <v>13449</v>
      </c>
      <c r="C2752" s="14" t="s">
        <v>24</v>
      </c>
      <c r="D2752" s="105">
        <v>4626</v>
      </c>
      <c r="E2752" s="74">
        <v>42081</v>
      </c>
      <c r="F2752" s="144">
        <v>4626</v>
      </c>
      <c r="G2752" s="31">
        <f t="shared" si="42"/>
        <v>0</v>
      </c>
      <c r="H2752" s="39" t="s">
        <v>183</v>
      </c>
      <c r="I2752" s="3"/>
      <c r="J2752" s="42"/>
      <c r="K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</row>
    <row r="2753" spans="1:22" x14ac:dyDescent="0.25">
      <c r="A2753" s="20">
        <v>42063</v>
      </c>
      <c r="B2753" s="21">
        <v>13450</v>
      </c>
      <c r="C2753" s="14" t="s">
        <v>482</v>
      </c>
      <c r="D2753" s="105">
        <v>490.8</v>
      </c>
      <c r="E2753" s="65">
        <v>42063</v>
      </c>
      <c r="F2753" s="106">
        <v>490.8</v>
      </c>
      <c r="G2753" s="31">
        <f t="shared" si="42"/>
        <v>0</v>
      </c>
      <c r="H2753" s="39" t="s">
        <v>9</v>
      </c>
      <c r="I2753" s="3"/>
      <c r="J2753" s="42"/>
      <c r="K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</row>
    <row r="2754" spans="1:22" x14ac:dyDescent="0.25">
      <c r="A2754" s="20">
        <v>42063</v>
      </c>
      <c r="B2754" s="21">
        <v>13451</v>
      </c>
      <c r="C2754" s="14" t="s">
        <v>56</v>
      </c>
      <c r="D2754" s="105">
        <v>15359.6</v>
      </c>
      <c r="E2754" s="65">
        <v>42063</v>
      </c>
      <c r="F2754" s="106">
        <v>15359.6</v>
      </c>
      <c r="G2754" s="31">
        <f t="shared" si="42"/>
        <v>0</v>
      </c>
      <c r="H2754" s="39" t="s">
        <v>36</v>
      </c>
      <c r="I2754" s="3"/>
      <c r="J2754" s="42"/>
      <c r="K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</row>
    <row r="2755" spans="1:22" x14ac:dyDescent="0.25">
      <c r="A2755" s="20">
        <v>42063</v>
      </c>
      <c r="B2755" s="21">
        <v>13452</v>
      </c>
      <c r="C2755" s="14" t="s">
        <v>37</v>
      </c>
      <c r="D2755" s="105">
        <v>24175.8</v>
      </c>
      <c r="E2755" s="65">
        <v>42068</v>
      </c>
      <c r="F2755" s="106">
        <v>24175.8</v>
      </c>
      <c r="G2755" s="31">
        <f t="shared" ref="G2755:G2818" si="43">D2755-F2755</f>
        <v>0</v>
      </c>
      <c r="H2755" s="39" t="s">
        <v>36</v>
      </c>
      <c r="I2755" s="3"/>
      <c r="J2755" s="42"/>
      <c r="K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</row>
    <row r="2756" spans="1:22" x14ac:dyDescent="0.25">
      <c r="A2756" s="20">
        <v>42063</v>
      </c>
      <c r="B2756" s="21">
        <v>13453</v>
      </c>
      <c r="C2756" s="14" t="s">
        <v>100</v>
      </c>
      <c r="D2756" s="105">
        <v>2756</v>
      </c>
      <c r="E2756" s="65">
        <v>42063</v>
      </c>
      <c r="F2756" s="106">
        <v>2756</v>
      </c>
      <c r="G2756" s="31">
        <f t="shared" si="43"/>
        <v>0</v>
      </c>
      <c r="H2756" s="39" t="s">
        <v>9</v>
      </c>
      <c r="I2756" s="3"/>
      <c r="J2756" s="42"/>
      <c r="K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</row>
    <row r="2757" spans="1:22" x14ac:dyDescent="0.25">
      <c r="A2757" s="20">
        <v>42063</v>
      </c>
      <c r="B2757" s="21">
        <v>13454</v>
      </c>
      <c r="C2757" s="14" t="s">
        <v>718</v>
      </c>
      <c r="D2757" s="105">
        <v>10481.799999999999</v>
      </c>
      <c r="E2757" s="65">
        <v>42063</v>
      </c>
      <c r="F2757" s="106">
        <v>10481.799999999999</v>
      </c>
      <c r="G2757" s="31">
        <f t="shared" si="43"/>
        <v>0</v>
      </c>
      <c r="H2757" s="39" t="s">
        <v>17</v>
      </c>
      <c r="I2757" s="3"/>
      <c r="J2757" s="42"/>
      <c r="K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</row>
    <row r="2758" spans="1:22" x14ac:dyDescent="0.25">
      <c r="A2758" s="20">
        <v>42063</v>
      </c>
      <c r="B2758" s="21">
        <v>13455</v>
      </c>
      <c r="C2758" s="14" t="s">
        <v>718</v>
      </c>
      <c r="D2758" s="105">
        <v>1880</v>
      </c>
      <c r="E2758" s="65">
        <v>42063</v>
      </c>
      <c r="F2758" s="106">
        <v>1880</v>
      </c>
      <c r="G2758" s="31">
        <f t="shared" si="43"/>
        <v>0</v>
      </c>
      <c r="H2758" s="39" t="s">
        <v>17</v>
      </c>
      <c r="I2758" s="3"/>
      <c r="J2758" s="42"/>
      <c r="K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</row>
    <row r="2759" spans="1:22" x14ac:dyDescent="0.25">
      <c r="A2759" s="20">
        <v>42063</v>
      </c>
      <c r="B2759" s="21">
        <v>13456</v>
      </c>
      <c r="C2759" s="14" t="s">
        <v>151</v>
      </c>
      <c r="D2759" s="105">
        <v>6704.2</v>
      </c>
      <c r="E2759" s="74">
        <v>42064</v>
      </c>
      <c r="F2759" s="144">
        <v>6704.2</v>
      </c>
      <c r="G2759" s="31">
        <f t="shared" si="43"/>
        <v>0</v>
      </c>
      <c r="H2759" s="39" t="s">
        <v>9</v>
      </c>
      <c r="I2759" s="3"/>
      <c r="J2759" s="42"/>
      <c r="K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</row>
    <row r="2760" spans="1:22" x14ac:dyDescent="0.25">
      <c r="A2760" s="20">
        <v>42063</v>
      </c>
      <c r="B2760" s="21">
        <v>13457</v>
      </c>
      <c r="C2760" s="14" t="s">
        <v>236</v>
      </c>
      <c r="D2760" s="105">
        <v>38752.400000000001</v>
      </c>
      <c r="E2760" s="67" t="s">
        <v>767</v>
      </c>
      <c r="F2760" s="144">
        <f>15044.66+20000+3707.74</f>
        <v>38752.400000000001</v>
      </c>
      <c r="G2760" s="31">
        <f t="shared" si="43"/>
        <v>0</v>
      </c>
      <c r="H2760" s="39" t="s">
        <v>19</v>
      </c>
      <c r="I2760" s="3"/>
      <c r="J2760" s="42"/>
      <c r="K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</row>
    <row r="2761" spans="1:22" x14ac:dyDescent="0.25">
      <c r="A2761" s="20">
        <v>42063</v>
      </c>
      <c r="B2761" s="21">
        <v>13458</v>
      </c>
      <c r="C2761" s="14" t="s">
        <v>737</v>
      </c>
      <c r="D2761" s="105">
        <v>612</v>
      </c>
      <c r="E2761" s="65">
        <v>42063</v>
      </c>
      <c r="F2761" s="106">
        <v>612</v>
      </c>
      <c r="G2761" s="31">
        <f t="shared" si="43"/>
        <v>0</v>
      </c>
      <c r="H2761" s="39" t="s">
        <v>9</v>
      </c>
      <c r="I2761" s="3"/>
      <c r="J2761" s="42"/>
      <c r="K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</row>
    <row r="2762" spans="1:22" x14ac:dyDescent="0.25">
      <c r="A2762" s="20">
        <v>42063</v>
      </c>
      <c r="B2762" s="21">
        <v>13459</v>
      </c>
      <c r="C2762" s="14" t="s">
        <v>130</v>
      </c>
      <c r="D2762" s="105">
        <v>5773.3</v>
      </c>
      <c r="E2762" s="74">
        <v>42064</v>
      </c>
      <c r="F2762" s="144">
        <v>5773.3</v>
      </c>
      <c r="G2762" s="31">
        <f t="shared" si="43"/>
        <v>0</v>
      </c>
      <c r="H2762" s="39" t="s">
        <v>17</v>
      </c>
      <c r="I2762" s="3"/>
      <c r="J2762" s="42"/>
      <c r="K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</row>
    <row r="2763" spans="1:22" x14ac:dyDescent="0.25">
      <c r="A2763" s="20">
        <v>42063</v>
      </c>
      <c r="B2763" s="21">
        <v>13460</v>
      </c>
      <c r="C2763" s="14" t="s">
        <v>675</v>
      </c>
      <c r="D2763" s="105">
        <v>740</v>
      </c>
      <c r="E2763" s="65">
        <v>42063</v>
      </c>
      <c r="F2763" s="106">
        <v>740</v>
      </c>
      <c r="G2763" s="31">
        <f t="shared" si="43"/>
        <v>0</v>
      </c>
      <c r="H2763" s="39" t="s">
        <v>9</v>
      </c>
      <c r="I2763" s="3"/>
      <c r="J2763" s="42"/>
      <c r="K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</row>
    <row r="2764" spans="1:22" x14ac:dyDescent="0.25">
      <c r="A2764" s="20">
        <v>42063</v>
      </c>
      <c r="B2764" s="21">
        <v>13461</v>
      </c>
      <c r="C2764" s="14" t="s">
        <v>165</v>
      </c>
      <c r="D2764" s="105">
        <v>2554.5</v>
      </c>
      <c r="E2764" s="65">
        <v>42063</v>
      </c>
      <c r="F2764" s="106">
        <v>2554.5</v>
      </c>
      <c r="G2764" s="31">
        <f t="shared" si="43"/>
        <v>0</v>
      </c>
      <c r="H2764" s="39" t="s">
        <v>17</v>
      </c>
      <c r="I2764" s="3"/>
      <c r="J2764" s="42"/>
      <c r="K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</row>
    <row r="2765" spans="1:22" x14ac:dyDescent="0.25">
      <c r="A2765" s="20">
        <v>42063</v>
      </c>
      <c r="B2765" s="21">
        <v>13462</v>
      </c>
      <c r="C2765" s="14" t="s">
        <v>50</v>
      </c>
      <c r="D2765" s="105">
        <v>565.6</v>
      </c>
      <c r="E2765" s="65">
        <v>42063</v>
      </c>
      <c r="F2765" s="106">
        <v>565.6</v>
      </c>
      <c r="G2765" s="31">
        <f t="shared" si="43"/>
        <v>0</v>
      </c>
      <c r="H2765" s="39" t="s">
        <v>17</v>
      </c>
      <c r="I2765" s="3"/>
      <c r="J2765" s="42"/>
      <c r="K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</row>
    <row r="2766" spans="1:22" x14ac:dyDescent="0.25">
      <c r="A2766" s="20">
        <v>42063</v>
      </c>
      <c r="B2766" s="21">
        <v>13463</v>
      </c>
      <c r="C2766" s="14" t="s">
        <v>32</v>
      </c>
      <c r="D2766" s="105">
        <v>133608</v>
      </c>
      <c r="E2766" s="74">
        <v>42089</v>
      </c>
      <c r="F2766" s="144">
        <v>133608</v>
      </c>
      <c r="G2766" s="31">
        <f t="shared" si="43"/>
        <v>0</v>
      </c>
      <c r="H2766" s="39" t="s">
        <v>9</v>
      </c>
      <c r="I2766" s="3"/>
      <c r="J2766" s="42"/>
      <c r="K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</row>
    <row r="2767" spans="1:22" x14ac:dyDescent="0.25">
      <c r="A2767" s="20">
        <v>42063</v>
      </c>
      <c r="B2767" s="21">
        <v>13464</v>
      </c>
      <c r="C2767" s="14" t="s">
        <v>128</v>
      </c>
      <c r="D2767" s="105">
        <v>11918.4</v>
      </c>
      <c r="E2767" s="65">
        <v>42063</v>
      </c>
      <c r="F2767" s="106">
        <v>11918.4</v>
      </c>
      <c r="G2767" s="31">
        <f t="shared" si="43"/>
        <v>0</v>
      </c>
      <c r="H2767" s="39" t="s">
        <v>17</v>
      </c>
      <c r="I2767" s="3"/>
      <c r="J2767" s="42"/>
      <c r="K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</row>
    <row r="2768" spans="1:22" x14ac:dyDescent="0.25">
      <c r="A2768" s="20">
        <v>42063</v>
      </c>
      <c r="B2768" s="21">
        <v>13465</v>
      </c>
      <c r="C2768" s="14" t="s">
        <v>130</v>
      </c>
      <c r="D2768" s="105">
        <v>907.2</v>
      </c>
      <c r="E2768" s="67" t="s">
        <v>741</v>
      </c>
      <c r="F2768" s="144">
        <f>507.2+400</f>
        <v>907.2</v>
      </c>
      <c r="G2768" s="31">
        <f t="shared" si="43"/>
        <v>0</v>
      </c>
      <c r="H2768" s="39" t="s">
        <v>17</v>
      </c>
      <c r="I2768" s="3"/>
      <c r="J2768" s="42"/>
      <c r="K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</row>
    <row r="2769" spans="1:22" x14ac:dyDescent="0.25">
      <c r="A2769" s="20">
        <v>42063</v>
      </c>
      <c r="B2769" s="21">
        <v>13466</v>
      </c>
      <c r="C2769" s="14" t="s">
        <v>137</v>
      </c>
      <c r="D2769" s="105">
        <v>3069.2</v>
      </c>
      <c r="E2769" s="65">
        <v>42063</v>
      </c>
      <c r="F2769" s="106">
        <v>3069.2</v>
      </c>
      <c r="G2769" s="31">
        <f t="shared" si="43"/>
        <v>0</v>
      </c>
      <c r="H2769" s="39" t="s">
        <v>9</v>
      </c>
      <c r="I2769" s="3"/>
      <c r="J2769" s="42"/>
      <c r="K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</row>
    <row r="2770" spans="1:22" x14ac:dyDescent="0.25">
      <c r="A2770" s="20">
        <v>42063</v>
      </c>
      <c r="B2770" s="21">
        <v>13467</v>
      </c>
      <c r="C2770" s="14" t="s">
        <v>24</v>
      </c>
      <c r="D2770" s="105">
        <v>278.39999999999998</v>
      </c>
      <c r="E2770" s="74">
        <v>42074</v>
      </c>
      <c r="F2770" s="144">
        <v>278.39999999999998</v>
      </c>
      <c r="G2770" s="31">
        <f t="shared" si="43"/>
        <v>0</v>
      </c>
      <c r="H2770" s="39" t="s">
        <v>9</v>
      </c>
      <c r="I2770" s="3"/>
      <c r="J2770" s="42"/>
      <c r="K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</row>
    <row r="2771" spans="1:22" x14ac:dyDescent="0.25">
      <c r="A2771" s="20">
        <v>42063</v>
      </c>
      <c r="B2771" s="21">
        <v>13468</v>
      </c>
      <c r="C2771" s="14" t="s">
        <v>131</v>
      </c>
      <c r="D2771" s="105">
        <v>11657.1</v>
      </c>
      <c r="E2771" s="74">
        <v>42065</v>
      </c>
      <c r="F2771" s="144">
        <v>11657.1</v>
      </c>
      <c r="G2771" s="31">
        <f t="shared" si="43"/>
        <v>0</v>
      </c>
      <c r="H2771" s="39" t="s">
        <v>17</v>
      </c>
      <c r="I2771" s="3"/>
      <c r="J2771" s="42"/>
      <c r="K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</row>
    <row r="2772" spans="1:22" x14ac:dyDescent="0.25">
      <c r="A2772" s="20">
        <v>42063</v>
      </c>
      <c r="B2772" s="21">
        <v>13469</v>
      </c>
      <c r="C2772" s="14" t="s">
        <v>86</v>
      </c>
      <c r="D2772" s="105">
        <v>41.8</v>
      </c>
      <c r="E2772" s="65">
        <v>42063</v>
      </c>
      <c r="F2772" s="106">
        <v>41.8</v>
      </c>
      <c r="G2772" s="31">
        <f t="shared" si="43"/>
        <v>0</v>
      </c>
      <c r="H2772" s="39" t="s">
        <v>9</v>
      </c>
      <c r="I2772" s="3"/>
      <c r="J2772" s="42"/>
      <c r="K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</row>
    <row r="2773" spans="1:22" x14ac:dyDescent="0.25">
      <c r="A2773" s="20">
        <v>42063</v>
      </c>
      <c r="B2773" s="21">
        <v>13470</v>
      </c>
      <c r="C2773" s="14" t="s">
        <v>102</v>
      </c>
      <c r="D2773" s="105">
        <v>4804.8</v>
      </c>
      <c r="E2773" s="65">
        <v>42063</v>
      </c>
      <c r="F2773" s="106">
        <v>4804.8</v>
      </c>
      <c r="G2773" s="31">
        <f t="shared" si="43"/>
        <v>0</v>
      </c>
      <c r="H2773" s="39" t="s">
        <v>9</v>
      </c>
      <c r="I2773" s="3"/>
      <c r="J2773" s="42"/>
      <c r="K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</row>
    <row r="2774" spans="1:22" x14ac:dyDescent="0.25">
      <c r="A2774" s="20">
        <v>42063</v>
      </c>
      <c r="B2774" s="21">
        <v>13471</v>
      </c>
      <c r="C2774" s="14" t="s">
        <v>285</v>
      </c>
      <c r="D2774" s="105">
        <v>540.4</v>
      </c>
      <c r="E2774" s="74">
        <v>42065</v>
      </c>
      <c r="F2774" s="144">
        <v>540.4</v>
      </c>
      <c r="G2774" s="31">
        <f t="shared" si="43"/>
        <v>0</v>
      </c>
      <c r="H2774" s="39" t="s">
        <v>312</v>
      </c>
      <c r="I2774" s="3"/>
      <c r="J2774" s="42"/>
      <c r="K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</row>
    <row r="2775" spans="1:22" x14ac:dyDescent="0.25">
      <c r="A2775" s="20">
        <v>42063</v>
      </c>
      <c r="B2775" s="21">
        <v>13472</v>
      </c>
      <c r="C2775" s="14" t="s">
        <v>100</v>
      </c>
      <c r="D2775" s="105">
        <v>5694.6</v>
      </c>
      <c r="E2775" s="65">
        <v>42063</v>
      </c>
      <c r="F2775" s="106">
        <v>5694.6</v>
      </c>
      <c r="G2775" s="31">
        <f t="shared" si="43"/>
        <v>0</v>
      </c>
      <c r="H2775" s="39" t="s">
        <v>9</v>
      </c>
      <c r="I2775" s="3"/>
      <c r="J2775" s="42"/>
      <c r="K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</row>
    <row r="2776" spans="1:22" x14ac:dyDescent="0.25">
      <c r="A2776" s="20">
        <v>42063</v>
      </c>
      <c r="B2776" s="21">
        <v>13473</v>
      </c>
      <c r="C2776" s="14" t="s">
        <v>267</v>
      </c>
      <c r="D2776" s="105">
        <v>2758.4</v>
      </c>
      <c r="E2776" s="74">
        <v>42065</v>
      </c>
      <c r="F2776" s="144">
        <v>2758.4</v>
      </c>
      <c r="G2776" s="31">
        <f t="shared" si="43"/>
        <v>0</v>
      </c>
      <c r="H2776" s="39" t="s">
        <v>312</v>
      </c>
      <c r="I2776" s="3"/>
      <c r="J2776" s="42"/>
      <c r="K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</row>
    <row r="2777" spans="1:22" x14ac:dyDescent="0.25">
      <c r="A2777" s="20">
        <v>42063</v>
      </c>
      <c r="B2777" s="21">
        <v>13474</v>
      </c>
      <c r="C2777" s="14" t="s">
        <v>332</v>
      </c>
      <c r="D2777" s="105">
        <v>2755.3</v>
      </c>
      <c r="E2777" s="65">
        <v>42063</v>
      </c>
      <c r="F2777" s="106">
        <v>2755.3</v>
      </c>
      <c r="G2777" s="31">
        <f t="shared" si="43"/>
        <v>0</v>
      </c>
      <c r="H2777" s="39" t="s">
        <v>9</v>
      </c>
      <c r="I2777" s="3"/>
      <c r="J2777" s="42"/>
      <c r="K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</row>
    <row r="2778" spans="1:22" x14ac:dyDescent="0.25">
      <c r="A2778" s="20">
        <v>42063</v>
      </c>
      <c r="B2778" s="21">
        <v>13475</v>
      </c>
      <c r="C2778" s="26" t="s">
        <v>12</v>
      </c>
      <c r="D2778" s="108">
        <v>0</v>
      </c>
      <c r="E2778" s="65"/>
      <c r="F2778" s="106"/>
      <c r="G2778" s="31">
        <f t="shared" si="43"/>
        <v>0</v>
      </c>
      <c r="H2778" s="39" t="s">
        <v>13</v>
      </c>
      <c r="I2778" s="3"/>
      <c r="J2778" s="42"/>
      <c r="K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</row>
    <row r="2779" spans="1:22" x14ac:dyDescent="0.25">
      <c r="A2779" s="20">
        <v>42063</v>
      </c>
      <c r="B2779" s="21">
        <v>13476</v>
      </c>
      <c r="C2779" s="14" t="s">
        <v>135</v>
      </c>
      <c r="D2779" s="105">
        <v>14030.3</v>
      </c>
      <c r="E2779" s="65">
        <v>42063</v>
      </c>
      <c r="F2779" s="106">
        <v>14030.3</v>
      </c>
      <c r="G2779" s="31">
        <f t="shared" si="43"/>
        <v>0</v>
      </c>
      <c r="H2779" s="39" t="s">
        <v>9</v>
      </c>
      <c r="I2779" s="3"/>
      <c r="J2779" s="42"/>
      <c r="K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</row>
    <row r="2780" spans="1:22" x14ac:dyDescent="0.25">
      <c r="A2780" s="20">
        <v>42063</v>
      </c>
      <c r="B2780" s="21">
        <v>13477</v>
      </c>
      <c r="C2780" s="14" t="s">
        <v>38</v>
      </c>
      <c r="D2780" s="105">
        <v>34993</v>
      </c>
      <c r="E2780" s="74">
        <v>42082</v>
      </c>
      <c r="F2780" s="144">
        <v>34993</v>
      </c>
      <c r="G2780" s="31">
        <f t="shared" si="43"/>
        <v>0</v>
      </c>
      <c r="H2780" s="39" t="s">
        <v>94</v>
      </c>
      <c r="I2780" s="3"/>
      <c r="J2780" s="42"/>
      <c r="K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</row>
    <row r="2781" spans="1:22" x14ac:dyDescent="0.25">
      <c r="A2781" s="20">
        <v>42063</v>
      </c>
      <c r="B2781" s="21">
        <v>13478</v>
      </c>
      <c r="C2781" s="14" t="s">
        <v>191</v>
      </c>
      <c r="D2781" s="105">
        <v>14650.6</v>
      </c>
      <c r="E2781" s="65">
        <v>42063</v>
      </c>
      <c r="F2781" s="106">
        <v>14650.6</v>
      </c>
      <c r="G2781" s="31">
        <f t="shared" si="43"/>
        <v>0</v>
      </c>
      <c r="H2781" s="39" t="s">
        <v>9</v>
      </c>
      <c r="I2781" s="3"/>
      <c r="J2781" s="42"/>
      <c r="K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</row>
    <row r="2782" spans="1:22" x14ac:dyDescent="0.25">
      <c r="A2782" s="20">
        <v>42063</v>
      </c>
      <c r="B2782" s="21">
        <v>13479</v>
      </c>
      <c r="C2782" s="14" t="s">
        <v>228</v>
      </c>
      <c r="D2782" s="105">
        <v>3039.75</v>
      </c>
      <c r="E2782" s="65">
        <v>42063</v>
      </c>
      <c r="F2782" s="106">
        <v>3039.75</v>
      </c>
      <c r="G2782" s="31">
        <f t="shared" si="43"/>
        <v>0</v>
      </c>
      <c r="H2782" s="39" t="s">
        <v>9</v>
      </c>
      <c r="I2782" s="3"/>
      <c r="J2782" s="42"/>
      <c r="K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</row>
    <row r="2783" spans="1:22" x14ac:dyDescent="0.25">
      <c r="A2783" s="20">
        <v>42063</v>
      </c>
      <c r="B2783" s="21">
        <v>13480</v>
      </c>
      <c r="C2783" s="14" t="s">
        <v>89</v>
      </c>
      <c r="D2783" s="105">
        <v>3255</v>
      </c>
      <c r="E2783" s="65">
        <v>42063</v>
      </c>
      <c r="F2783" s="106">
        <v>3255</v>
      </c>
      <c r="G2783" s="31">
        <f t="shared" si="43"/>
        <v>0</v>
      </c>
      <c r="H2783" s="39" t="s">
        <v>9</v>
      </c>
      <c r="I2783" s="3"/>
      <c r="J2783" s="42"/>
      <c r="K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</row>
    <row r="2784" spans="1:22" x14ac:dyDescent="0.25">
      <c r="A2784" s="20">
        <v>42063</v>
      </c>
      <c r="B2784" s="21">
        <v>13481</v>
      </c>
      <c r="C2784" s="14" t="s">
        <v>111</v>
      </c>
      <c r="D2784" s="105">
        <v>154722</v>
      </c>
      <c r="E2784" s="74">
        <v>42066</v>
      </c>
      <c r="F2784" s="144">
        <v>154722</v>
      </c>
      <c r="G2784" s="31">
        <f t="shared" si="43"/>
        <v>0</v>
      </c>
      <c r="H2784" s="39" t="s">
        <v>62</v>
      </c>
      <c r="I2784" s="3"/>
      <c r="J2784" s="42"/>
      <c r="K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</row>
    <row r="2785" spans="1:22" x14ac:dyDescent="0.25">
      <c r="A2785" s="20">
        <v>42063</v>
      </c>
      <c r="B2785" s="21">
        <v>13482</v>
      </c>
      <c r="C2785" s="26" t="s">
        <v>12</v>
      </c>
      <c r="D2785" s="108">
        <v>0</v>
      </c>
      <c r="E2785" s="65"/>
      <c r="F2785" s="106"/>
      <c r="G2785" s="31">
        <f t="shared" si="43"/>
        <v>0</v>
      </c>
      <c r="H2785" s="39" t="s">
        <v>13</v>
      </c>
      <c r="I2785" s="3"/>
      <c r="J2785" s="42"/>
      <c r="K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</row>
    <row r="2786" spans="1:22" x14ac:dyDescent="0.25">
      <c r="A2786" s="20">
        <v>42063</v>
      </c>
      <c r="B2786" s="21">
        <v>13483</v>
      </c>
      <c r="C2786" s="14" t="s">
        <v>336</v>
      </c>
      <c r="D2786" s="105">
        <v>3346</v>
      </c>
      <c r="E2786" s="65">
        <v>42063</v>
      </c>
      <c r="F2786" s="106">
        <v>3346</v>
      </c>
      <c r="G2786" s="31">
        <f t="shared" si="43"/>
        <v>0</v>
      </c>
      <c r="H2786" s="39" t="s">
        <v>9</v>
      </c>
      <c r="I2786" s="3"/>
      <c r="J2786" s="42"/>
      <c r="K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</row>
    <row r="2787" spans="1:22" x14ac:dyDescent="0.25">
      <c r="A2787" s="20">
        <v>42063</v>
      </c>
      <c r="B2787" s="21">
        <v>13484</v>
      </c>
      <c r="C2787" s="14" t="s">
        <v>701</v>
      </c>
      <c r="D2787" s="105">
        <v>484.4</v>
      </c>
      <c r="E2787" s="65">
        <v>42063</v>
      </c>
      <c r="F2787" s="106">
        <v>484.4</v>
      </c>
      <c r="G2787" s="31">
        <f t="shared" si="43"/>
        <v>0</v>
      </c>
      <c r="H2787" s="39" t="s">
        <v>9</v>
      </c>
      <c r="I2787" s="3"/>
      <c r="J2787" s="42"/>
      <c r="K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</row>
    <row r="2788" spans="1:22" x14ac:dyDescent="0.25">
      <c r="A2788" s="20">
        <v>42063</v>
      </c>
      <c r="B2788" s="21">
        <v>13485</v>
      </c>
      <c r="C2788" s="14" t="s">
        <v>98</v>
      </c>
      <c r="D2788" s="105">
        <v>1464</v>
      </c>
      <c r="E2788" s="74">
        <v>42066</v>
      </c>
      <c r="F2788" s="144">
        <v>1464</v>
      </c>
      <c r="G2788" s="31">
        <f t="shared" si="43"/>
        <v>0</v>
      </c>
      <c r="H2788" s="39" t="s">
        <v>19</v>
      </c>
      <c r="I2788" s="3"/>
      <c r="J2788" s="42"/>
      <c r="K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</row>
    <row r="2789" spans="1:22" x14ac:dyDescent="0.25">
      <c r="A2789" s="20">
        <v>42063</v>
      </c>
      <c r="B2789" s="21">
        <v>13486</v>
      </c>
      <c r="C2789" s="14" t="s">
        <v>106</v>
      </c>
      <c r="D2789" s="105">
        <v>7452</v>
      </c>
      <c r="E2789" s="74">
        <v>42066</v>
      </c>
      <c r="F2789" s="144">
        <v>7452</v>
      </c>
      <c r="G2789" s="31">
        <f t="shared" si="43"/>
        <v>0</v>
      </c>
      <c r="H2789" s="39" t="s">
        <v>19</v>
      </c>
      <c r="I2789" s="3"/>
      <c r="J2789" s="42"/>
      <c r="K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</row>
    <row r="2790" spans="1:22" x14ac:dyDescent="0.25">
      <c r="A2790" s="20">
        <v>42063</v>
      </c>
      <c r="B2790" s="21">
        <v>13487</v>
      </c>
      <c r="C2790" s="14" t="s">
        <v>93</v>
      </c>
      <c r="D2790" s="105">
        <v>2934</v>
      </c>
      <c r="E2790" s="74">
        <v>42066</v>
      </c>
      <c r="F2790" s="144">
        <v>2934</v>
      </c>
      <c r="G2790" s="31">
        <f t="shared" si="43"/>
        <v>0</v>
      </c>
      <c r="H2790" s="39" t="s">
        <v>19</v>
      </c>
      <c r="I2790" s="3"/>
      <c r="J2790" s="42"/>
      <c r="K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</row>
    <row r="2791" spans="1:22" x14ac:dyDescent="0.25">
      <c r="A2791" s="20">
        <v>42063</v>
      </c>
      <c r="B2791" s="21">
        <v>13488</v>
      </c>
      <c r="C2791" s="14" t="s">
        <v>95</v>
      </c>
      <c r="D2791" s="105">
        <v>5410.8</v>
      </c>
      <c r="E2791" s="74">
        <v>42066</v>
      </c>
      <c r="F2791" s="144">
        <v>5410.8</v>
      </c>
      <c r="G2791" s="31">
        <f t="shared" si="43"/>
        <v>0</v>
      </c>
      <c r="H2791" s="39" t="s">
        <v>19</v>
      </c>
      <c r="I2791" s="3"/>
      <c r="J2791" s="42"/>
      <c r="K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</row>
    <row r="2792" spans="1:22" x14ac:dyDescent="0.25">
      <c r="A2792" s="20">
        <v>42063</v>
      </c>
      <c r="B2792" s="21">
        <v>13489</v>
      </c>
      <c r="C2792" s="14" t="s">
        <v>461</v>
      </c>
      <c r="D2792" s="105">
        <v>1560</v>
      </c>
      <c r="E2792" s="65">
        <v>42063</v>
      </c>
      <c r="F2792" s="106">
        <v>1560</v>
      </c>
      <c r="G2792" s="31">
        <f t="shared" si="43"/>
        <v>0</v>
      </c>
      <c r="H2792" s="39" t="s">
        <v>9</v>
      </c>
      <c r="I2792" s="3"/>
      <c r="J2792" s="42"/>
      <c r="K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</row>
    <row r="2793" spans="1:22" x14ac:dyDescent="0.25">
      <c r="A2793" s="20">
        <v>42063</v>
      </c>
      <c r="B2793" s="21">
        <v>13490</v>
      </c>
      <c r="C2793" s="14" t="s">
        <v>136</v>
      </c>
      <c r="D2793" s="105">
        <v>19022.8</v>
      </c>
      <c r="E2793" s="65">
        <v>42063</v>
      </c>
      <c r="F2793" s="106">
        <v>19022.8</v>
      </c>
      <c r="G2793" s="31">
        <f t="shared" si="43"/>
        <v>0</v>
      </c>
      <c r="H2793" s="39" t="s">
        <v>9</v>
      </c>
      <c r="I2793" s="3"/>
      <c r="J2793" s="42"/>
      <c r="K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</row>
    <row r="2794" spans="1:22" x14ac:dyDescent="0.25">
      <c r="A2794" s="20">
        <v>42063</v>
      </c>
      <c r="B2794" s="21">
        <v>13491</v>
      </c>
      <c r="C2794" s="14" t="s">
        <v>96</v>
      </c>
      <c r="D2794" s="105">
        <v>4186</v>
      </c>
      <c r="E2794" s="74">
        <v>42066</v>
      </c>
      <c r="F2794" s="144">
        <v>4186</v>
      </c>
      <c r="G2794" s="31">
        <f t="shared" si="43"/>
        <v>0</v>
      </c>
      <c r="H2794" s="39" t="s">
        <v>19</v>
      </c>
      <c r="I2794" s="3"/>
      <c r="J2794" s="42"/>
      <c r="K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</row>
    <row r="2795" spans="1:22" x14ac:dyDescent="0.25">
      <c r="A2795" s="20">
        <v>42063</v>
      </c>
      <c r="B2795" s="21">
        <v>13492</v>
      </c>
      <c r="C2795" s="14" t="s">
        <v>438</v>
      </c>
      <c r="D2795" s="105">
        <v>18951</v>
      </c>
      <c r="E2795" s="74">
        <v>42070</v>
      </c>
      <c r="F2795" s="144">
        <v>18951</v>
      </c>
      <c r="G2795" s="31">
        <f t="shared" si="43"/>
        <v>0</v>
      </c>
      <c r="H2795" s="39" t="s">
        <v>9</v>
      </c>
      <c r="I2795" s="3"/>
      <c r="J2795" s="42"/>
      <c r="K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</row>
    <row r="2796" spans="1:22" x14ac:dyDescent="0.25">
      <c r="A2796" s="20">
        <v>42063</v>
      </c>
      <c r="B2796" s="21">
        <v>13493</v>
      </c>
      <c r="C2796" s="14" t="s">
        <v>438</v>
      </c>
      <c r="D2796" s="105">
        <v>648.70000000000005</v>
      </c>
      <c r="E2796" s="74">
        <v>42070</v>
      </c>
      <c r="F2796" s="144">
        <v>648.70000000000005</v>
      </c>
      <c r="G2796" s="31">
        <f t="shared" si="43"/>
        <v>0</v>
      </c>
      <c r="H2796" s="39" t="s">
        <v>9</v>
      </c>
      <c r="I2796" s="3"/>
      <c r="J2796" s="42"/>
      <c r="K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</row>
    <row r="2797" spans="1:22" x14ac:dyDescent="0.25">
      <c r="A2797" s="20">
        <v>42063</v>
      </c>
      <c r="B2797" s="21">
        <v>13494</v>
      </c>
      <c r="C2797" s="14" t="s">
        <v>136</v>
      </c>
      <c r="D2797" s="105">
        <v>624</v>
      </c>
      <c r="E2797" s="65">
        <v>42063</v>
      </c>
      <c r="F2797" s="106">
        <v>624</v>
      </c>
      <c r="G2797" s="31">
        <f t="shared" si="43"/>
        <v>0</v>
      </c>
      <c r="H2797" s="39" t="s">
        <v>9</v>
      </c>
      <c r="I2797" s="3"/>
      <c r="J2797" s="42"/>
      <c r="K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</row>
    <row r="2798" spans="1:22" x14ac:dyDescent="0.25">
      <c r="A2798" s="20">
        <v>42063</v>
      </c>
      <c r="B2798" s="21">
        <v>13495</v>
      </c>
      <c r="C2798" s="26" t="s">
        <v>12</v>
      </c>
      <c r="D2798" s="108">
        <v>0</v>
      </c>
      <c r="E2798" s="65"/>
      <c r="F2798" s="106"/>
      <c r="G2798" s="31">
        <f t="shared" si="43"/>
        <v>0</v>
      </c>
      <c r="H2798" s="39" t="s">
        <v>13</v>
      </c>
      <c r="I2798" s="3"/>
      <c r="J2798" s="42"/>
      <c r="K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</row>
    <row r="2799" spans="1:22" x14ac:dyDescent="0.25">
      <c r="A2799" s="20">
        <v>42063</v>
      </c>
      <c r="B2799" s="21">
        <v>13496</v>
      </c>
      <c r="C2799" s="14" t="s">
        <v>286</v>
      </c>
      <c r="D2799" s="105">
        <v>104</v>
      </c>
      <c r="E2799" s="65">
        <v>42063</v>
      </c>
      <c r="F2799" s="106">
        <v>104</v>
      </c>
      <c r="G2799" s="31">
        <f t="shared" si="43"/>
        <v>0</v>
      </c>
      <c r="H2799" s="39" t="s">
        <v>9</v>
      </c>
      <c r="I2799" s="3"/>
      <c r="J2799" s="42"/>
      <c r="K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</row>
    <row r="2800" spans="1:22" x14ac:dyDescent="0.25">
      <c r="A2800" s="20">
        <v>42063</v>
      </c>
      <c r="B2800" s="21">
        <v>13497</v>
      </c>
      <c r="C2800" s="14" t="s">
        <v>234</v>
      </c>
      <c r="D2800" s="105">
        <v>113.85</v>
      </c>
      <c r="E2800" s="65">
        <v>42063</v>
      </c>
      <c r="F2800" s="106">
        <v>113.85</v>
      </c>
      <c r="G2800" s="31">
        <f t="shared" si="43"/>
        <v>0</v>
      </c>
      <c r="H2800" s="39" t="s">
        <v>9</v>
      </c>
      <c r="I2800" s="3"/>
      <c r="J2800" s="42"/>
      <c r="K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</row>
    <row r="2801" spans="1:22" x14ac:dyDescent="0.25">
      <c r="A2801" s="20">
        <v>42063</v>
      </c>
      <c r="B2801" s="21">
        <v>13498</v>
      </c>
      <c r="C2801" s="14" t="s">
        <v>74</v>
      </c>
      <c r="D2801" s="105">
        <v>2005.6</v>
      </c>
      <c r="E2801" s="23">
        <v>42063</v>
      </c>
      <c r="F2801" s="106">
        <v>2005.6</v>
      </c>
      <c r="G2801" s="31">
        <f t="shared" si="43"/>
        <v>0</v>
      </c>
      <c r="H2801" s="39" t="s">
        <v>9</v>
      </c>
      <c r="I2801" s="3"/>
      <c r="J2801" s="42"/>
      <c r="K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</row>
    <row r="2802" spans="1:22" x14ac:dyDescent="0.25">
      <c r="A2802" s="20">
        <v>42063</v>
      </c>
      <c r="B2802" s="21">
        <v>13499</v>
      </c>
      <c r="C2802" s="14" t="s">
        <v>18</v>
      </c>
      <c r="D2802" s="105">
        <v>148809.15</v>
      </c>
      <c r="E2802" s="30">
        <v>42078</v>
      </c>
      <c r="F2802" s="144">
        <v>148809.15</v>
      </c>
      <c r="G2802" s="31">
        <f t="shared" si="43"/>
        <v>0</v>
      </c>
      <c r="H2802" s="39" t="s">
        <v>149</v>
      </c>
      <c r="I2802" s="3"/>
      <c r="J2802" s="42"/>
      <c r="K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</row>
    <row r="2803" spans="1:22" x14ac:dyDescent="0.25">
      <c r="A2803" s="20">
        <v>42063</v>
      </c>
      <c r="B2803" s="21">
        <v>13500</v>
      </c>
      <c r="C2803" s="14" t="s">
        <v>411</v>
      </c>
      <c r="D2803" s="103">
        <v>2297.6999999999998</v>
      </c>
      <c r="E2803" s="23">
        <v>42063</v>
      </c>
      <c r="F2803" s="106">
        <v>2297.6999999999998</v>
      </c>
      <c r="G2803" s="31">
        <f t="shared" si="43"/>
        <v>0</v>
      </c>
      <c r="H2803" s="132" t="s">
        <v>9</v>
      </c>
      <c r="I2803" s="3"/>
      <c r="J2803" s="42"/>
      <c r="K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</row>
    <row r="2804" spans="1:22" ht="18.75" x14ac:dyDescent="0.3">
      <c r="A2804" s="20">
        <v>42063</v>
      </c>
      <c r="B2804" s="21">
        <v>13501</v>
      </c>
      <c r="C2804" s="14" t="s">
        <v>111</v>
      </c>
      <c r="D2804" s="103">
        <v>346290</v>
      </c>
      <c r="E2804" s="30">
        <v>42066</v>
      </c>
      <c r="F2804" s="144">
        <v>346290</v>
      </c>
      <c r="G2804" s="31">
        <f t="shared" si="43"/>
        <v>0</v>
      </c>
      <c r="H2804" s="132" t="s">
        <v>9</v>
      </c>
      <c r="I2804" s="3"/>
      <c r="J2804" s="42"/>
      <c r="K2804" s="3"/>
      <c r="M2804" s="220" t="s">
        <v>534</v>
      </c>
      <c r="N2804" s="220"/>
      <c r="O2804" s="220"/>
      <c r="P2804" s="220"/>
      <c r="Q2804" s="220"/>
      <c r="R2804" s="220"/>
      <c r="S2804" s="220"/>
      <c r="T2804" s="3"/>
      <c r="U2804" s="3"/>
      <c r="V2804" s="3"/>
    </row>
    <row r="2805" spans="1:22" ht="35.25" thickBot="1" x14ac:dyDescent="0.35">
      <c r="A2805" s="20">
        <v>42063</v>
      </c>
      <c r="B2805" s="21">
        <v>13502</v>
      </c>
      <c r="C2805" s="14" t="s">
        <v>738</v>
      </c>
      <c r="D2805" s="103">
        <v>35584.400000000001</v>
      </c>
      <c r="E2805" s="30">
        <v>42065</v>
      </c>
      <c r="F2805" s="144">
        <v>35584.400000000001</v>
      </c>
      <c r="G2805" s="31">
        <f t="shared" si="43"/>
        <v>0</v>
      </c>
      <c r="H2805" s="132" t="s">
        <v>94</v>
      </c>
      <c r="I2805" s="3"/>
      <c r="J2805" s="42"/>
      <c r="K2805" s="171"/>
      <c r="M2805" s="5" t="s">
        <v>1</v>
      </c>
      <c r="N2805" s="6" t="s">
        <v>2</v>
      </c>
      <c r="O2805" s="7" t="s">
        <v>3</v>
      </c>
      <c r="P2805" s="101" t="s">
        <v>4</v>
      </c>
      <c r="Q2805" s="165" t="s">
        <v>5</v>
      </c>
      <c r="R2805" s="166" t="s">
        <v>6</v>
      </c>
      <c r="S2805" s="11" t="s">
        <v>7</v>
      </c>
      <c r="T2805" s="3"/>
      <c r="U2805" s="3"/>
      <c r="V2805" s="3"/>
    </row>
    <row r="2806" spans="1:22" ht="15.75" thickTop="1" x14ac:dyDescent="0.25">
      <c r="A2806" s="20">
        <v>42063</v>
      </c>
      <c r="B2806" s="21">
        <v>13503</v>
      </c>
      <c r="C2806" s="14" t="s">
        <v>14</v>
      </c>
      <c r="D2806" s="103">
        <v>188189.98</v>
      </c>
      <c r="E2806" s="30">
        <v>42047</v>
      </c>
      <c r="F2806" s="144">
        <v>188189.98</v>
      </c>
      <c r="G2806" s="31">
        <f t="shared" si="43"/>
        <v>0</v>
      </c>
      <c r="H2806" s="132" t="s">
        <v>183</v>
      </c>
      <c r="I2806" s="3"/>
      <c r="J2806" s="42"/>
      <c r="K2806" s="171"/>
      <c r="M2806" s="12">
        <v>42037</v>
      </c>
      <c r="N2806" s="21">
        <v>10852</v>
      </c>
      <c r="O2806" s="40" t="s">
        <v>165</v>
      </c>
      <c r="P2806" s="105">
        <v>2968</v>
      </c>
      <c r="Q2806" s="167"/>
      <c r="R2806" s="168"/>
      <c r="S2806" s="25">
        <f t="shared" ref="S2806:S2825" si="44">P2806-R2806</f>
        <v>2968</v>
      </c>
      <c r="T2806" s="41" t="s">
        <v>17</v>
      </c>
      <c r="U2806" s="3"/>
      <c r="V2806" s="3"/>
    </row>
    <row r="2807" spans="1:22" x14ac:dyDescent="0.25">
      <c r="A2807" s="20">
        <v>42063</v>
      </c>
      <c r="B2807" s="21">
        <v>13504</v>
      </c>
      <c r="C2807" s="14" t="s">
        <v>64</v>
      </c>
      <c r="D2807" s="103">
        <v>1952</v>
      </c>
      <c r="E2807" s="23">
        <v>42063</v>
      </c>
      <c r="F2807" s="106">
        <v>1952</v>
      </c>
      <c r="G2807" s="31">
        <f t="shared" si="43"/>
        <v>0</v>
      </c>
      <c r="H2807" s="132" t="s">
        <v>9</v>
      </c>
      <c r="I2807" s="3"/>
      <c r="J2807" s="42"/>
      <c r="K2807" s="171"/>
      <c r="M2807" s="20">
        <v>42041</v>
      </c>
      <c r="N2807" s="21">
        <v>11209</v>
      </c>
      <c r="O2807" s="14" t="s">
        <v>375</v>
      </c>
      <c r="P2807" s="105">
        <v>2982</v>
      </c>
      <c r="Q2807" s="167"/>
      <c r="R2807" s="168"/>
      <c r="S2807" s="31">
        <f t="shared" si="44"/>
        <v>2982</v>
      </c>
      <c r="T2807" s="39" t="s">
        <v>9</v>
      </c>
      <c r="U2807" s="3"/>
      <c r="V2807" s="3"/>
    </row>
    <row r="2808" spans="1:22" x14ac:dyDescent="0.25">
      <c r="A2808" s="20">
        <v>42063</v>
      </c>
      <c r="B2808" s="21">
        <v>13505</v>
      </c>
      <c r="C2808" s="14" t="s">
        <v>102</v>
      </c>
      <c r="D2808" s="103">
        <v>2103.1999999999998</v>
      </c>
      <c r="E2808" s="23">
        <v>42063</v>
      </c>
      <c r="F2808" s="106">
        <v>2103.1999999999998</v>
      </c>
      <c r="G2808" s="31">
        <f t="shared" si="43"/>
        <v>0</v>
      </c>
      <c r="H2808" s="132" t="s">
        <v>9</v>
      </c>
      <c r="I2808" s="3"/>
      <c r="J2808" s="42"/>
      <c r="K2808" s="171"/>
      <c r="M2808" s="20">
        <v>42041</v>
      </c>
      <c r="N2808" s="21">
        <v>11229</v>
      </c>
      <c r="O2808" s="14" t="s">
        <v>60</v>
      </c>
      <c r="P2808" s="105">
        <v>5569.2</v>
      </c>
      <c r="Q2808" s="167"/>
      <c r="R2808" s="168"/>
      <c r="S2808" s="31">
        <f t="shared" si="44"/>
        <v>5569.2</v>
      </c>
      <c r="T2808" s="39" t="s">
        <v>36</v>
      </c>
      <c r="U2808" s="3"/>
      <c r="V2808" s="3"/>
    </row>
    <row r="2809" spans="1:22" x14ac:dyDescent="0.25">
      <c r="A2809" s="20">
        <v>42063</v>
      </c>
      <c r="B2809" s="21">
        <v>13506</v>
      </c>
      <c r="C2809" s="14" t="s">
        <v>265</v>
      </c>
      <c r="D2809" s="103">
        <v>588</v>
      </c>
      <c r="E2809" s="23">
        <v>42063</v>
      </c>
      <c r="F2809" s="106">
        <v>588</v>
      </c>
      <c r="G2809" s="31">
        <f t="shared" si="43"/>
        <v>0</v>
      </c>
      <c r="H2809" s="132" t="s">
        <v>9</v>
      </c>
      <c r="I2809" s="3"/>
      <c r="J2809" s="42"/>
      <c r="K2809" s="171"/>
      <c r="M2809" s="20">
        <v>42045</v>
      </c>
      <c r="N2809" s="21">
        <v>11642</v>
      </c>
      <c r="O2809" s="14" t="s">
        <v>130</v>
      </c>
      <c r="P2809" s="105">
        <v>5273.6</v>
      </c>
      <c r="Q2809" s="167">
        <v>42048</v>
      </c>
      <c r="R2809" s="168">
        <v>2327.4499999999998</v>
      </c>
      <c r="S2809" s="55">
        <f t="shared" si="44"/>
        <v>2946.1500000000005</v>
      </c>
      <c r="T2809" s="19" t="s">
        <v>17</v>
      </c>
      <c r="U2809" s="3"/>
      <c r="V2809" s="3"/>
    </row>
    <row r="2810" spans="1:22" x14ac:dyDescent="0.25">
      <c r="A2810" s="20">
        <v>42063</v>
      </c>
      <c r="B2810" s="21">
        <v>13507</v>
      </c>
      <c r="C2810" s="14" t="s">
        <v>110</v>
      </c>
      <c r="D2810" s="103">
        <v>69503.48</v>
      </c>
      <c r="E2810" s="30">
        <v>42077</v>
      </c>
      <c r="F2810" s="144">
        <v>69503.48</v>
      </c>
      <c r="G2810" s="31">
        <f t="shared" si="43"/>
        <v>0</v>
      </c>
      <c r="H2810" s="132" t="s">
        <v>183</v>
      </c>
      <c r="I2810" s="3"/>
      <c r="J2810" s="42"/>
      <c r="K2810" s="171"/>
      <c r="M2810" s="20">
        <v>42047</v>
      </c>
      <c r="N2810" s="21">
        <v>11850</v>
      </c>
      <c r="O2810" s="14" t="s">
        <v>20</v>
      </c>
      <c r="P2810" s="105">
        <v>20567.25</v>
      </c>
      <c r="Q2810" s="167"/>
      <c r="R2810" s="168"/>
      <c r="S2810" s="31">
        <f t="shared" si="44"/>
        <v>20567.25</v>
      </c>
      <c r="T2810" s="19" t="s">
        <v>62</v>
      </c>
      <c r="U2810" s="3"/>
      <c r="V2810" s="3"/>
    </row>
    <row r="2811" spans="1:22" x14ac:dyDescent="0.25">
      <c r="A2811" s="20">
        <v>42063</v>
      </c>
      <c r="B2811" s="21">
        <v>13508</v>
      </c>
      <c r="C2811" s="14" t="s">
        <v>24</v>
      </c>
      <c r="D2811" s="103">
        <v>266603.94</v>
      </c>
      <c r="E2811" s="30">
        <v>42081</v>
      </c>
      <c r="F2811" s="144">
        <v>266603.94</v>
      </c>
      <c r="G2811" s="31">
        <f t="shared" si="43"/>
        <v>0</v>
      </c>
      <c r="H2811" s="132" t="s">
        <v>46</v>
      </c>
      <c r="I2811" s="3"/>
      <c r="J2811" s="42"/>
      <c r="K2811" s="171"/>
      <c r="M2811" s="20">
        <v>42048</v>
      </c>
      <c r="N2811" s="21">
        <v>11921</v>
      </c>
      <c r="O2811" s="14" t="s">
        <v>43</v>
      </c>
      <c r="P2811" s="105">
        <v>3211.8</v>
      </c>
      <c r="Q2811" s="167"/>
      <c r="R2811" s="168"/>
      <c r="S2811" s="31">
        <f t="shared" si="44"/>
        <v>3211.8</v>
      </c>
      <c r="T2811" s="19" t="s">
        <v>9</v>
      </c>
      <c r="U2811" s="3"/>
      <c r="V2811" s="3"/>
    </row>
    <row r="2812" spans="1:22" x14ac:dyDescent="0.25">
      <c r="A2812" s="20">
        <v>42063</v>
      </c>
      <c r="B2812" s="21">
        <v>13509</v>
      </c>
      <c r="C2812" s="14" t="s">
        <v>718</v>
      </c>
      <c r="D2812" s="103">
        <v>5411.2</v>
      </c>
      <c r="E2812" s="30">
        <v>42065</v>
      </c>
      <c r="F2812" s="144">
        <v>5411.2</v>
      </c>
      <c r="G2812" s="31">
        <f t="shared" si="43"/>
        <v>0</v>
      </c>
      <c r="H2812" s="132" t="s">
        <v>17</v>
      </c>
      <c r="I2812" s="3"/>
      <c r="J2812" s="42"/>
      <c r="K2812" s="171"/>
      <c r="M2812" s="20">
        <v>42051</v>
      </c>
      <c r="N2812" s="21">
        <v>12240</v>
      </c>
      <c r="O2812" s="14" t="s">
        <v>213</v>
      </c>
      <c r="P2812" s="105">
        <v>41822.800000000003</v>
      </c>
      <c r="Q2812" s="198">
        <v>42153</v>
      </c>
      <c r="R2812" s="199">
        <v>41822.800000000003</v>
      </c>
      <c r="S2812" s="31">
        <f t="shared" si="44"/>
        <v>0</v>
      </c>
      <c r="T2812" s="39" t="s">
        <v>94</v>
      </c>
      <c r="U2812" s="3"/>
      <c r="V2812" s="3"/>
    </row>
    <row r="2813" spans="1:22" x14ac:dyDescent="0.25">
      <c r="A2813" s="20">
        <v>42063</v>
      </c>
      <c r="B2813" s="21">
        <v>13510</v>
      </c>
      <c r="C2813" s="14" t="s">
        <v>24</v>
      </c>
      <c r="D2813" s="103">
        <v>41837</v>
      </c>
      <c r="E2813" s="30">
        <v>42081</v>
      </c>
      <c r="F2813" s="144">
        <v>41837</v>
      </c>
      <c r="G2813" s="31">
        <f t="shared" si="43"/>
        <v>0</v>
      </c>
      <c r="H2813" s="132" t="s">
        <v>19</v>
      </c>
      <c r="I2813" s="3"/>
      <c r="J2813" s="42"/>
      <c r="K2813" s="171"/>
      <c r="M2813" s="20">
        <v>42052</v>
      </c>
      <c r="N2813" s="21">
        <v>12294</v>
      </c>
      <c r="O2813" s="14" t="s">
        <v>148</v>
      </c>
      <c r="P2813" s="105">
        <v>4897</v>
      </c>
      <c r="Q2813" s="167"/>
      <c r="R2813" s="168"/>
      <c r="S2813" s="31">
        <f t="shared" si="44"/>
        <v>4897</v>
      </c>
      <c r="T2813" s="39" t="s">
        <v>9</v>
      </c>
      <c r="U2813" s="3"/>
      <c r="V2813" s="3"/>
    </row>
    <row r="2814" spans="1:22" x14ac:dyDescent="0.25">
      <c r="A2814" s="20">
        <v>42063</v>
      </c>
      <c r="B2814" s="21">
        <v>13511</v>
      </c>
      <c r="C2814" s="14" t="s">
        <v>267</v>
      </c>
      <c r="D2814" s="103">
        <v>4651.3599999999997</v>
      </c>
      <c r="E2814" s="30">
        <v>42065</v>
      </c>
      <c r="F2814" s="144">
        <v>4651.3599999999997</v>
      </c>
      <c r="G2814" s="31">
        <f t="shared" si="43"/>
        <v>0</v>
      </c>
      <c r="H2814" s="132" t="s">
        <v>17</v>
      </c>
      <c r="I2814" s="3"/>
      <c r="J2814" s="42"/>
      <c r="K2814" s="171"/>
      <c r="M2814" s="20">
        <v>42052</v>
      </c>
      <c r="N2814" s="21">
        <v>12317</v>
      </c>
      <c r="O2814" s="14" t="s">
        <v>102</v>
      </c>
      <c r="P2814" s="105">
        <v>1914.6</v>
      </c>
      <c r="Q2814" s="167"/>
      <c r="R2814" s="168"/>
      <c r="S2814" s="31">
        <f t="shared" si="44"/>
        <v>1914.6</v>
      </c>
      <c r="T2814" s="39" t="s">
        <v>62</v>
      </c>
      <c r="U2814" s="3"/>
      <c r="V2814" s="3"/>
    </row>
    <row r="2815" spans="1:22" x14ac:dyDescent="0.25">
      <c r="A2815" s="20">
        <v>42063</v>
      </c>
      <c r="B2815" s="21">
        <v>13512</v>
      </c>
      <c r="C2815" s="14" t="s">
        <v>110</v>
      </c>
      <c r="D2815" s="103">
        <v>3864</v>
      </c>
      <c r="E2815" s="30">
        <v>42077</v>
      </c>
      <c r="F2815" s="144">
        <v>3864</v>
      </c>
      <c r="G2815" s="31">
        <f t="shared" si="43"/>
        <v>0</v>
      </c>
      <c r="H2815" s="132" t="s">
        <v>183</v>
      </c>
      <c r="I2815" s="3"/>
      <c r="J2815" s="42"/>
      <c r="K2815" s="171"/>
      <c r="M2815" s="20">
        <v>42052</v>
      </c>
      <c r="N2815" s="21">
        <v>12351</v>
      </c>
      <c r="O2815" s="14" t="s">
        <v>213</v>
      </c>
      <c r="P2815" s="105">
        <v>31832.6</v>
      </c>
      <c r="Q2815" s="198">
        <v>42153</v>
      </c>
      <c r="R2815" s="199">
        <v>31832.6</v>
      </c>
      <c r="S2815" s="31">
        <f t="shared" si="44"/>
        <v>0</v>
      </c>
      <c r="T2815" s="39" t="s">
        <v>187</v>
      </c>
      <c r="U2815" s="3"/>
      <c r="V2815" s="3"/>
    </row>
    <row r="2816" spans="1:22" x14ac:dyDescent="0.25">
      <c r="A2816" s="20"/>
      <c r="B2816" s="21"/>
      <c r="C2816" s="14"/>
      <c r="D2816" s="103"/>
      <c r="E2816" s="23"/>
      <c r="F2816" s="106"/>
      <c r="G2816" s="31">
        <f t="shared" si="43"/>
        <v>0</v>
      </c>
      <c r="H2816" s="132"/>
      <c r="I2816" s="3"/>
      <c r="J2816" s="42"/>
      <c r="K2816" s="171"/>
      <c r="M2816" s="20">
        <v>42054</v>
      </c>
      <c r="N2816" s="21">
        <v>12513</v>
      </c>
      <c r="O2816" s="14" t="s">
        <v>229</v>
      </c>
      <c r="P2816" s="105">
        <v>8691.64</v>
      </c>
      <c r="Q2816" s="167">
        <v>42054</v>
      </c>
      <c r="R2816" s="134">
        <v>6691.64</v>
      </c>
      <c r="S2816" s="125">
        <f t="shared" si="44"/>
        <v>1999.9999999999991</v>
      </c>
      <c r="T2816" s="161" t="s">
        <v>9</v>
      </c>
      <c r="U2816" s="3"/>
      <c r="V2816" s="3"/>
    </row>
    <row r="2817" spans="1:22" x14ac:dyDescent="0.25">
      <c r="A2817" s="20"/>
      <c r="B2817" s="21"/>
      <c r="C2817" s="14"/>
      <c r="D2817" s="103"/>
      <c r="E2817" s="23"/>
      <c r="F2817" s="106"/>
      <c r="G2817" s="31">
        <f t="shared" si="43"/>
        <v>0</v>
      </c>
      <c r="H2817" s="132"/>
      <c r="I2817" s="3"/>
      <c r="J2817" s="42"/>
      <c r="K2817" s="171"/>
      <c r="M2817" s="20">
        <v>42058</v>
      </c>
      <c r="N2817" s="21">
        <v>12886</v>
      </c>
      <c r="O2817" s="15" t="s">
        <v>148</v>
      </c>
      <c r="P2817" s="122">
        <v>2607.6</v>
      </c>
      <c r="Q2817" s="181" t="s">
        <v>1208</v>
      </c>
      <c r="R2817" s="170">
        <f>500+500+500+500+607.6</f>
        <v>2607.6</v>
      </c>
      <c r="S2817" s="31">
        <f t="shared" si="44"/>
        <v>0</v>
      </c>
      <c r="T2817" s="68" t="s">
        <v>59</v>
      </c>
      <c r="U2817" s="3"/>
      <c r="V2817" s="3"/>
    </row>
    <row r="2818" spans="1:22" x14ac:dyDescent="0.25">
      <c r="A2818" s="20"/>
      <c r="B2818" s="21"/>
      <c r="C2818" s="56" t="s">
        <v>485</v>
      </c>
      <c r="D2818" s="133"/>
      <c r="E2818" s="65"/>
      <c r="F2818" s="118"/>
      <c r="G2818" s="31">
        <f t="shared" si="43"/>
        <v>0</v>
      </c>
      <c r="H2818" s="4"/>
      <c r="I2818" s="3"/>
      <c r="J2818" s="42"/>
      <c r="K2818" s="171"/>
      <c r="M2818" s="20">
        <v>42059</v>
      </c>
      <c r="N2818" s="21">
        <v>13055</v>
      </c>
      <c r="O2818" s="14" t="s">
        <v>38</v>
      </c>
      <c r="P2818" s="105">
        <v>35297.5</v>
      </c>
      <c r="Q2818" s="172" t="s">
        <v>991</v>
      </c>
      <c r="R2818" s="168">
        <f>33362.1+1935.4</f>
        <v>35297.5</v>
      </c>
      <c r="S2818" s="31">
        <f t="shared" si="44"/>
        <v>0</v>
      </c>
      <c r="T2818" s="39" t="s">
        <v>9</v>
      </c>
      <c r="U2818" s="3"/>
      <c r="V2818" s="3"/>
    </row>
    <row r="2819" spans="1:22" ht="15.75" x14ac:dyDescent="0.25">
      <c r="A2819" s="20"/>
      <c r="B2819" s="77"/>
      <c r="C2819" s="79" t="s">
        <v>485</v>
      </c>
      <c r="D2819" s="133"/>
      <c r="E2819" s="81"/>
      <c r="F2819" s="134"/>
      <c r="G2819" s="25">
        <f t="shared" ref="G2819:G2820" si="45">D2819-F2819</f>
        <v>0</v>
      </c>
      <c r="I2819" s="3"/>
      <c r="J2819" s="42"/>
      <c r="K2819" s="171"/>
      <c r="M2819" s="20">
        <v>42061</v>
      </c>
      <c r="N2819" s="21">
        <v>13167</v>
      </c>
      <c r="O2819" s="14" t="s">
        <v>571</v>
      </c>
      <c r="P2819" s="105">
        <v>10482.56</v>
      </c>
      <c r="Q2819" s="200">
        <v>42153</v>
      </c>
      <c r="R2819" s="199">
        <v>10482.56</v>
      </c>
      <c r="S2819" s="31">
        <f t="shared" si="44"/>
        <v>0</v>
      </c>
      <c r="T2819" s="39" t="s">
        <v>15</v>
      </c>
      <c r="U2819" s="3"/>
      <c r="V2819" s="3"/>
    </row>
    <row r="2820" spans="1:22" ht="16.5" thickBot="1" x14ac:dyDescent="0.3">
      <c r="A2820" s="20"/>
      <c r="B2820" s="77"/>
      <c r="C2820" s="79" t="s">
        <v>485</v>
      </c>
      <c r="D2820" s="133"/>
      <c r="E2820" s="81"/>
      <c r="F2820" s="134"/>
      <c r="G2820" s="25">
        <f t="shared" si="45"/>
        <v>0</v>
      </c>
      <c r="I2820" s="3"/>
      <c r="J2820" s="42"/>
      <c r="K2820" s="171"/>
      <c r="M2820" s="20">
        <v>42061</v>
      </c>
      <c r="N2820" s="21">
        <v>13245</v>
      </c>
      <c r="O2820" s="14" t="s">
        <v>213</v>
      </c>
      <c r="P2820" s="105">
        <v>39224</v>
      </c>
      <c r="Q2820" s="200">
        <v>42153</v>
      </c>
      <c r="R2820" s="199">
        <v>39224</v>
      </c>
      <c r="S2820" s="31">
        <f t="shared" si="44"/>
        <v>0</v>
      </c>
      <c r="T2820" s="39" t="s">
        <v>94</v>
      </c>
      <c r="U2820" s="3"/>
      <c r="V2820" s="3"/>
    </row>
    <row r="2821" spans="1:22" x14ac:dyDescent="0.25">
      <c r="A2821" s="82"/>
      <c r="B2821" s="83"/>
      <c r="C2821" s="84"/>
      <c r="D2821" s="135">
        <f>SUM(D4:D2820)</f>
        <v>42866228.742000028</v>
      </c>
      <c r="E2821" s="86"/>
      <c r="F2821" s="136">
        <f>SUM(F4:F2820)</f>
        <v>42547490.926000014</v>
      </c>
      <c r="G2821" s="87"/>
      <c r="I2821" s="3"/>
      <c r="J2821" s="42"/>
      <c r="K2821" s="171"/>
      <c r="M2821" s="20">
        <v>42061</v>
      </c>
      <c r="N2821" s="21">
        <v>13247</v>
      </c>
      <c r="O2821" s="14" t="s">
        <v>213</v>
      </c>
      <c r="P2821" s="105">
        <v>62416.2</v>
      </c>
      <c r="Q2821" s="200"/>
      <c r="R2821" s="199"/>
      <c r="S2821" s="31">
        <f t="shared" si="44"/>
        <v>62416.2</v>
      </c>
      <c r="T2821" s="39" t="s">
        <v>94</v>
      </c>
      <c r="U2821" s="3"/>
      <c r="V2821" s="3"/>
    </row>
    <row r="2822" spans="1:22" ht="15.75" thickBot="1" x14ac:dyDescent="0.3">
      <c r="A2822" s="82"/>
      <c r="B2822" s="83"/>
      <c r="C2822" s="84"/>
      <c r="D2822" s="137"/>
      <c r="E2822" s="86"/>
      <c r="F2822" s="138"/>
      <c r="G2822" s="87"/>
      <c r="I2822" s="3"/>
      <c r="J2822" s="42"/>
      <c r="K2822" s="171"/>
      <c r="M2822" s="20">
        <v>42062</v>
      </c>
      <c r="N2822" s="21">
        <v>13396</v>
      </c>
      <c r="O2822" s="14" t="s">
        <v>213</v>
      </c>
      <c r="P2822" s="105">
        <v>32132.799999999999</v>
      </c>
      <c r="Q2822" s="200">
        <v>42153</v>
      </c>
      <c r="R2822" s="199">
        <v>32132.799999999999</v>
      </c>
      <c r="S2822" s="31">
        <f t="shared" si="44"/>
        <v>0</v>
      </c>
      <c r="T2822" s="39" t="s">
        <v>94</v>
      </c>
      <c r="U2822" s="3"/>
      <c r="V2822" s="3"/>
    </row>
    <row r="2823" spans="1:22" x14ac:dyDescent="0.25">
      <c r="A2823" s="82"/>
      <c r="B2823" s="83"/>
      <c r="C2823" s="84"/>
      <c r="D2823" s="139"/>
      <c r="E2823" s="86"/>
      <c r="F2823" s="140"/>
      <c r="G2823" s="87"/>
      <c r="I2823" s="3"/>
      <c r="J2823" s="42"/>
      <c r="K2823" s="171"/>
      <c r="M2823" s="20">
        <v>42062</v>
      </c>
      <c r="N2823" s="21">
        <v>13401</v>
      </c>
      <c r="O2823" s="14" t="s">
        <v>367</v>
      </c>
      <c r="P2823" s="105">
        <v>229822</v>
      </c>
      <c r="Q2823" s="200"/>
      <c r="R2823" s="199"/>
      <c r="S2823" s="31">
        <f t="shared" si="44"/>
        <v>229822</v>
      </c>
      <c r="T2823" s="39" t="s">
        <v>9</v>
      </c>
      <c r="U2823" s="3"/>
      <c r="V2823" s="3"/>
    </row>
    <row r="2824" spans="1:22" ht="31.5" x14ac:dyDescent="0.25">
      <c r="A2824" s="82"/>
      <c r="B2824" s="83"/>
      <c r="C2824" s="4"/>
      <c r="D2824" s="141" t="s">
        <v>486</v>
      </c>
      <c r="E2824" s="86"/>
      <c r="F2824" s="142" t="s">
        <v>487</v>
      </c>
      <c r="G2824" s="87"/>
      <c r="I2824" s="3"/>
      <c r="J2824" s="42"/>
      <c r="K2824" s="171"/>
      <c r="M2824" s="20"/>
      <c r="N2824" s="77"/>
      <c r="O2824" s="79" t="s">
        <v>485</v>
      </c>
      <c r="P2824" s="133"/>
      <c r="Q2824" s="81"/>
      <c r="R2824" s="134"/>
      <c r="S2824" s="25">
        <f t="shared" si="44"/>
        <v>0</v>
      </c>
      <c r="T2824" s="3"/>
      <c r="U2824" s="3"/>
      <c r="V2824" s="3"/>
    </row>
    <row r="2825" spans="1:22" ht="16.5" thickBot="1" x14ac:dyDescent="0.3">
      <c r="A2825" s="82"/>
      <c r="B2825" s="83"/>
      <c r="C2825" s="84"/>
      <c r="D2825" s="139"/>
      <c r="E2825" s="86"/>
      <c r="F2825" s="140"/>
      <c r="G2825" s="87"/>
      <c r="I2825" s="3"/>
      <c r="J2825" s="42"/>
      <c r="K2825" s="171"/>
      <c r="M2825" s="20"/>
      <c r="N2825" s="77"/>
      <c r="O2825" s="79" t="s">
        <v>485</v>
      </c>
      <c r="P2825" s="133"/>
      <c r="Q2825" s="81"/>
      <c r="R2825" s="134"/>
      <c r="S2825" s="25">
        <f t="shared" si="44"/>
        <v>0</v>
      </c>
      <c r="T2825" s="3"/>
      <c r="U2825" s="3"/>
      <c r="V2825" s="3"/>
    </row>
    <row r="2826" spans="1:22" x14ac:dyDescent="0.25">
      <c r="A2826" s="82"/>
      <c r="B2826" s="83"/>
      <c r="C2826" s="84"/>
      <c r="D2826" s="139"/>
      <c r="E2826" s="86"/>
      <c r="F2826" s="140"/>
      <c r="G2826" s="87"/>
      <c r="I2826" s="3"/>
      <c r="J2826" s="42"/>
      <c r="K2826" s="3"/>
      <c r="M2826" s="82"/>
      <c r="N2826" s="83"/>
      <c r="O2826" s="84"/>
      <c r="P2826" s="135">
        <f>SUM(P2806:P2825)</f>
        <v>541713.14999999991</v>
      </c>
      <c r="Q2826" s="86"/>
      <c r="R2826" s="136">
        <f>SUM(R2806:R2825)</f>
        <v>202418.95</v>
      </c>
      <c r="S2826" s="87"/>
      <c r="T2826" s="3"/>
      <c r="U2826" s="3"/>
      <c r="V2826" s="3"/>
    </row>
    <row r="2827" spans="1:22" ht="15.75" thickBot="1" x14ac:dyDescent="0.3">
      <c r="A2827" s="82"/>
      <c r="B2827" s="83"/>
      <c r="C2827" s="84"/>
      <c r="D2827" s="139"/>
      <c r="E2827" s="86"/>
      <c r="F2827" s="140"/>
      <c r="G2827" s="87"/>
      <c r="I2827" s="3"/>
      <c r="J2827" s="42"/>
      <c r="K2827" s="3"/>
      <c r="M2827" s="82"/>
      <c r="N2827" s="83"/>
      <c r="O2827" s="84"/>
      <c r="P2827" s="137"/>
      <c r="Q2827" s="86"/>
      <c r="R2827" s="138"/>
      <c r="S2827" s="87"/>
      <c r="T2827" s="3"/>
      <c r="U2827" s="3"/>
      <c r="V2827" s="3"/>
    </row>
    <row r="2828" spans="1:22" ht="21" x14ac:dyDescent="0.35">
      <c r="A2828" s="82"/>
      <c r="B2828" s="83"/>
      <c r="C2828" s="84"/>
      <c r="D2828" s="217">
        <f>D2821-F2821</f>
        <v>318737.81600001454</v>
      </c>
      <c r="E2828" s="218"/>
      <c r="F2828" s="218"/>
      <c r="G2828" s="87"/>
      <c r="I2828" s="3"/>
      <c r="J2828" s="42"/>
      <c r="K2828" s="3"/>
      <c r="M2828" s="82"/>
      <c r="N2828" s="83"/>
      <c r="O2828" s="84"/>
      <c r="P2828" s="139"/>
      <c r="Q2828" s="86"/>
      <c r="R2828" s="140"/>
      <c r="S2828" s="87"/>
      <c r="T2828" s="3"/>
      <c r="U2828" s="3"/>
      <c r="V2828" s="3"/>
    </row>
    <row r="2829" spans="1:22" ht="31.5" x14ac:dyDescent="0.25">
      <c r="A2829" s="82"/>
      <c r="B2829" s="83"/>
      <c r="C2829" s="84"/>
      <c r="D2829" s="139"/>
      <c r="E2829" s="86"/>
      <c r="F2829" s="140"/>
      <c r="G2829" s="87"/>
      <c r="I2829" s="3"/>
      <c r="J2829" s="42"/>
      <c r="K2829" s="3"/>
      <c r="M2829" s="82"/>
      <c r="N2829" s="83"/>
      <c r="O2829" s="4"/>
      <c r="P2829" s="141" t="s">
        <v>486</v>
      </c>
      <c r="Q2829" s="86"/>
      <c r="R2829" s="142" t="s">
        <v>487</v>
      </c>
      <c r="S2829" s="87"/>
      <c r="T2829" s="3"/>
      <c r="U2829" s="3"/>
      <c r="V2829" s="3"/>
    </row>
    <row r="2830" spans="1:22" ht="18.75" x14ac:dyDescent="0.3">
      <c r="A2830" s="82"/>
      <c r="B2830" s="83"/>
      <c r="C2830" s="84"/>
      <c r="D2830" s="219" t="s">
        <v>488</v>
      </c>
      <c r="E2830" s="219"/>
      <c r="F2830" s="219"/>
      <c r="G2830" s="87"/>
      <c r="I2830" s="3"/>
      <c r="J2830" s="42"/>
      <c r="K2830" s="3"/>
      <c r="M2830" s="82"/>
      <c r="N2830" s="83"/>
      <c r="O2830" s="84"/>
      <c r="P2830" s="139"/>
      <c r="Q2830" s="86"/>
      <c r="R2830" s="140"/>
      <c r="S2830" s="87"/>
      <c r="T2830" s="3"/>
      <c r="U2830" s="3"/>
      <c r="V2830" s="3"/>
    </row>
    <row r="2831" spans="1:22" x14ac:dyDescent="0.25">
      <c r="A2831" s="82"/>
      <c r="B2831" s="83"/>
      <c r="C2831" s="84"/>
      <c r="D2831" s="139"/>
      <c r="E2831" s="86"/>
      <c r="F2831" s="140"/>
      <c r="G2831" s="87"/>
      <c r="I2831" s="3"/>
      <c r="J2831" s="42"/>
      <c r="K2831" s="3"/>
      <c r="M2831" s="82"/>
      <c r="N2831" s="83"/>
      <c r="O2831" s="84"/>
      <c r="P2831" s="139"/>
      <c r="Q2831" s="86"/>
      <c r="R2831" s="140"/>
      <c r="S2831" s="87"/>
      <c r="T2831" s="3"/>
      <c r="U2831" s="3"/>
      <c r="V2831" s="3"/>
    </row>
    <row r="2832" spans="1:22" x14ac:dyDescent="0.25">
      <c r="A2832" s="82"/>
      <c r="B2832" s="83"/>
      <c r="C2832" s="84"/>
      <c r="D2832" s="139"/>
      <c r="E2832" s="86"/>
      <c r="F2832" s="140"/>
      <c r="G2832" s="87"/>
      <c r="I2832" s="3"/>
      <c r="J2832" s="42"/>
      <c r="K2832" s="3"/>
      <c r="M2832" s="82"/>
      <c r="N2832" s="83"/>
      <c r="O2832" s="84"/>
      <c r="P2832" s="139"/>
      <c r="Q2832" s="86"/>
      <c r="R2832" s="140"/>
      <c r="S2832" s="87"/>
      <c r="T2832" s="3"/>
      <c r="U2832" s="3"/>
      <c r="V2832" s="3"/>
    </row>
    <row r="2833" spans="1:22" ht="21" x14ac:dyDescent="0.35">
      <c r="A2833" s="82"/>
      <c r="B2833" s="83"/>
      <c r="C2833" s="84"/>
      <c r="D2833" s="139"/>
      <c r="E2833" s="86"/>
      <c r="F2833" s="140"/>
      <c r="G2833" s="87"/>
      <c r="I2833" s="3"/>
      <c r="J2833" s="42"/>
      <c r="K2833" s="3"/>
      <c r="M2833" s="82"/>
      <c r="N2833" s="83"/>
      <c r="O2833" s="84"/>
      <c r="P2833" s="217">
        <f>P2826-R2826</f>
        <v>339294.1999999999</v>
      </c>
      <c r="Q2833" s="218"/>
      <c r="R2833" s="218"/>
      <c r="S2833" s="87"/>
      <c r="T2833" s="3"/>
      <c r="U2833" s="3"/>
      <c r="V2833" s="3"/>
    </row>
    <row r="2834" spans="1:22" x14ac:dyDescent="0.25">
      <c r="M2834" s="82"/>
      <c r="N2834" s="83"/>
      <c r="O2834" s="84"/>
      <c r="P2834" s="139"/>
      <c r="Q2834" s="86"/>
      <c r="R2834" s="140"/>
      <c r="S2834" s="87"/>
      <c r="T2834" s="3"/>
    </row>
    <row r="2835" spans="1:22" ht="18.75" x14ac:dyDescent="0.3">
      <c r="M2835" s="82"/>
      <c r="N2835" s="83"/>
      <c r="O2835" s="84"/>
      <c r="P2835" s="219" t="s">
        <v>488</v>
      </c>
      <c r="Q2835" s="219"/>
      <c r="R2835" s="219"/>
      <c r="S2835" s="87"/>
      <c r="T2835" s="3"/>
    </row>
    <row r="2836" spans="1:22" x14ac:dyDescent="0.25">
      <c r="M2836" s="82"/>
      <c r="N2836" s="83"/>
      <c r="O2836" s="84"/>
      <c r="P2836" s="139"/>
      <c r="Q2836" s="86"/>
      <c r="R2836" s="140"/>
      <c r="S2836" s="87"/>
      <c r="T2836" s="3"/>
    </row>
  </sheetData>
  <mergeCells count="6">
    <mergeCell ref="P2833:R2833"/>
    <mergeCell ref="P2835:R2835"/>
    <mergeCell ref="M2804:S2804"/>
    <mergeCell ref="A1:E1"/>
    <mergeCell ref="D2828:F2828"/>
    <mergeCell ref="D2830:F2830"/>
  </mergeCells>
  <pageMargins left="0.70866141732283472" right="0.70866141732283472" top="0.74803149606299213" bottom="0.74803149606299213" header="0.31496062992125984" footer="0.31496062992125984"/>
  <pageSetup scale="80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X3044"/>
  <sheetViews>
    <sheetView topLeftCell="A3002" workbookViewId="0">
      <selection activeCell="M3032" sqref="M3032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3" width="11.42578125" style="3"/>
    <col min="14" max="18" width="15.42578125" style="3" customWidth="1"/>
    <col min="19" max="19" width="15.42578125" style="3" hidden="1" customWidth="1"/>
    <col min="20" max="16384" width="11.42578125" style="3"/>
  </cols>
  <sheetData>
    <row r="1" spans="1:10" s="3" customFormat="1" ht="18.75" x14ac:dyDescent="0.3">
      <c r="A1" s="216" t="s">
        <v>771</v>
      </c>
      <c r="B1" s="216"/>
      <c r="C1" s="216"/>
      <c r="D1" s="216"/>
      <c r="E1" s="216"/>
      <c r="F1" s="100"/>
      <c r="G1" s="2"/>
      <c r="I1" s="4"/>
      <c r="J1" s="43"/>
    </row>
    <row r="2" spans="1:10" s="3" customFormat="1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I2" s="4"/>
      <c r="J2" s="43"/>
    </row>
    <row r="3" spans="1:10" s="3" customFormat="1" ht="15.75" thickTop="1" x14ac:dyDescent="0.25">
      <c r="A3" s="12">
        <v>42064</v>
      </c>
      <c r="B3" s="13">
        <v>13513</v>
      </c>
      <c r="C3" s="14" t="s">
        <v>720</v>
      </c>
      <c r="D3" s="103">
        <v>8669.25</v>
      </c>
      <c r="E3" s="16">
        <v>42064</v>
      </c>
      <c r="F3" s="104">
        <v>8669.25</v>
      </c>
      <c r="G3" s="18">
        <f t="shared" ref="G3:G66" si="0">D3-F3</f>
        <v>0</v>
      </c>
      <c r="H3" s="19" t="s">
        <v>9</v>
      </c>
      <c r="I3" s="4"/>
      <c r="J3" s="43"/>
    </row>
    <row r="4" spans="1:10" s="3" customFormat="1" x14ac:dyDescent="0.25">
      <c r="A4" s="20">
        <v>42064</v>
      </c>
      <c r="B4" s="21">
        <v>13514</v>
      </c>
      <c r="C4" s="14" t="s">
        <v>16</v>
      </c>
      <c r="D4" s="105">
        <v>7500.4</v>
      </c>
      <c r="E4" s="23">
        <v>42064</v>
      </c>
      <c r="F4" s="106">
        <v>7500.4</v>
      </c>
      <c r="G4" s="25">
        <f t="shared" si="0"/>
        <v>0</v>
      </c>
      <c r="H4" s="19" t="s">
        <v>17</v>
      </c>
      <c r="I4" s="4"/>
      <c r="J4" s="43"/>
    </row>
    <row r="5" spans="1:10" s="3" customFormat="1" x14ac:dyDescent="0.25">
      <c r="A5" s="12">
        <v>42064</v>
      </c>
      <c r="B5" s="21">
        <v>13515</v>
      </c>
      <c r="C5" s="14" t="s">
        <v>18</v>
      </c>
      <c r="D5" s="105">
        <v>48151.65</v>
      </c>
      <c r="E5" s="23">
        <v>42074</v>
      </c>
      <c r="F5" s="106">
        <v>48151.65</v>
      </c>
      <c r="G5" s="25">
        <f t="shared" si="0"/>
        <v>0</v>
      </c>
      <c r="H5" s="19" t="s">
        <v>9</v>
      </c>
      <c r="I5" s="4"/>
      <c r="J5" s="43"/>
    </row>
    <row r="6" spans="1:10" s="3" customFormat="1" x14ac:dyDescent="0.25">
      <c r="A6" s="20">
        <v>42064</v>
      </c>
      <c r="B6" s="21">
        <v>13516</v>
      </c>
      <c r="C6" s="26" t="s">
        <v>12</v>
      </c>
      <c r="D6" s="108">
        <v>0</v>
      </c>
      <c r="E6" s="23"/>
      <c r="F6" s="106"/>
      <c r="G6" s="25">
        <f t="shared" si="0"/>
        <v>0</v>
      </c>
      <c r="H6" s="19" t="s">
        <v>13</v>
      </c>
      <c r="I6" s="4"/>
      <c r="J6" s="43"/>
    </row>
    <row r="7" spans="1:10" s="3" customFormat="1" x14ac:dyDescent="0.25">
      <c r="A7" s="12">
        <v>42064</v>
      </c>
      <c r="B7" s="21">
        <v>13517</v>
      </c>
      <c r="C7" s="14" t="s">
        <v>24</v>
      </c>
      <c r="D7" s="105">
        <v>332</v>
      </c>
      <c r="E7" s="23">
        <v>42074</v>
      </c>
      <c r="F7" s="106">
        <v>332</v>
      </c>
      <c r="G7" s="25">
        <f t="shared" si="0"/>
        <v>0</v>
      </c>
      <c r="H7" s="19" t="s">
        <v>772</v>
      </c>
      <c r="I7" s="4"/>
      <c r="J7" s="43"/>
    </row>
    <row r="8" spans="1:10" s="3" customFormat="1" x14ac:dyDescent="0.25">
      <c r="A8" s="20">
        <v>42064</v>
      </c>
      <c r="B8" s="21">
        <v>13518</v>
      </c>
      <c r="C8" s="14" t="s">
        <v>114</v>
      </c>
      <c r="D8" s="105">
        <v>2356</v>
      </c>
      <c r="E8" s="23">
        <v>42064</v>
      </c>
      <c r="F8" s="106">
        <v>2356</v>
      </c>
      <c r="G8" s="25">
        <f t="shared" si="0"/>
        <v>0</v>
      </c>
      <c r="H8" s="19" t="s">
        <v>9</v>
      </c>
      <c r="I8" s="4"/>
      <c r="J8" s="43"/>
    </row>
    <row r="9" spans="1:10" s="3" customFormat="1" x14ac:dyDescent="0.25">
      <c r="A9" s="12">
        <v>42064</v>
      </c>
      <c r="B9" s="21">
        <v>13519</v>
      </c>
      <c r="C9" s="14" t="s">
        <v>21</v>
      </c>
      <c r="D9" s="105">
        <v>5868.6</v>
      </c>
      <c r="E9" s="23">
        <v>42064</v>
      </c>
      <c r="F9" s="106">
        <v>5868.6</v>
      </c>
      <c r="G9" s="25">
        <f t="shared" si="0"/>
        <v>0</v>
      </c>
      <c r="H9" s="19" t="s">
        <v>9</v>
      </c>
      <c r="I9" s="4"/>
      <c r="J9" s="43"/>
    </row>
    <row r="10" spans="1:10" s="3" customFormat="1" x14ac:dyDescent="0.25">
      <c r="A10" s="20">
        <v>42064</v>
      </c>
      <c r="B10" s="21">
        <v>13520</v>
      </c>
      <c r="C10" s="14" t="s">
        <v>35</v>
      </c>
      <c r="D10" s="105">
        <v>24311.7</v>
      </c>
      <c r="E10" s="23">
        <v>42064</v>
      </c>
      <c r="F10" s="106">
        <v>24311.7</v>
      </c>
      <c r="G10" s="25">
        <f t="shared" si="0"/>
        <v>0</v>
      </c>
      <c r="H10" s="19" t="s">
        <v>773</v>
      </c>
      <c r="I10" s="4"/>
      <c r="J10" s="43"/>
    </row>
    <row r="11" spans="1:10" s="3" customFormat="1" x14ac:dyDescent="0.25">
      <c r="A11" s="12">
        <v>42064</v>
      </c>
      <c r="B11" s="21">
        <v>13521</v>
      </c>
      <c r="C11" s="14" t="s">
        <v>256</v>
      </c>
      <c r="D11" s="105">
        <v>6415.2</v>
      </c>
      <c r="E11" s="23">
        <v>42064</v>
      </c>
      <c r="F11" s="106">
        <v>6415.2</v>
      </c>
      <c r="G11" s="25">
        <f t="shared" si="0"/>
        <v>0</v>
      </c>
      <c r="H11" s="19" t="s">
        <v>773</v>
      </c>
      <c r="I11" s="4"/>
      <c r="J11" s="43"/>
    </row>
    <row r="12" spans="1:10" s="3" customFormat="1" x14ac:dyDescent="0.25">
      <c r="A12" s="20">
        <v>42064</v>
      </c>
      <c r="B12" s="21">
        <v>13522</v>
      </c>
      <c r="C12" s="14" t="s">
        <v>55</v>
      </c>
      <c r="D12" s="105">
        <v>24944.400000000001</v>
      </c>
      <c r="E12" s="23">
        <v>42064</v>
      </c>
      <c r="F12" s="106">
        <v>24944.400000000001</v>
      </c>
      <c r="G12" s="25">
        <f t="shared" si="0"/>
        <v>0</v>
      </c>
      <c r="H12" s="19" t="s">
        <v>773</v>
      </c>
      <c r="I12" s="4"/>
      <c r="J12" s="43"/>
    </row>
    <row r="13" spans="1:10" s="3" customFormat="1" x14ac:dyDescent="0.25">
      <c r="A13" s="12">
        <v>42064</v>
      </c>
      <c r="B13" s="21">
        <v>13523</v>
      </c>
      <c r="C13" s="14" t="s">
        <v>26</v>
      </c>
      <c r="D13" s="105">
        <v>1380</v>
      </c>
      <c r="E13" s="23">
        <v>42064</v>
      </c>
      <c r="F13" s="106">
        <v>1380</v>
      </c>
      <c r="G13" s="25">
        <f t="shared" si="0"/>
        <v>0</v>
      </c>
      <c r="H13" s="19" t="s">
        <v>62</v>
      </c>
      <c r="I13" s="4"/>
      <c r="J13" s="107"/>
    </row>
    <row r="14" spans="1:10" s="3" customFormat="1" x14ac:dyDescent="0.25">
      <c r="A14" s="20">
        <v>42064</v>
      </c>
      <c r="B14" s="21">
        <v>13524</v>
      </c>
      <c r="C14" s="14" t="s">
        <v>658</v>
      </c>
      <c r="D14" s="105">
        <v>1311.3</v>
      </c>
      <c r="E14" s="23">
        <v>42064</v>
      </c>
      <c r="F14" s="106">
        <v>1311.3</v>
      </c>
      <c r="G14" s="25">
        <f t="shared" si="0"/>
        <v>0</v>
      </c>
      <c r="H14" s="19" t="s">
        <v>9</v>
      </c>
      <c r="I14" s="4"/>
      <c r="J14" s="43"/>
    </row>
    <row r="15" spans="1:10" s="3" customFormat="1" x14ac:dyDescent="0.25">
      <c r="A15" s="12">
        <v>42064</v>
      </c>
      <c r="B15" s="21">
        <v>13525</v>
      </c>
      <c r="C15" s="14" t="s">
        <v>60</v>
      </c>
      <c r="D15" s="105">
        <v>9581.6</v>
      </c>
      <c r="E15" s="23">
        <v>42064</v>
      </c>
      <c r="F15" s="106">
        <v>9581.6</v>
      </c>
      <c r="G15" s="25">
        <f t="shared" si="0"/>
        <v>0</v>
      </c>
      <c r="H15" s="19" t="s">
        <v>773</v>
      </c>
      <c r="I15" s="4"/>
      <c r="J15" s="43"/>
    </row>
    <row r="16" spans="1:10" s="3" customFormat="1" x14ac:dyDescent="0.25">
      <c r="A16" s="20">
        <v>42064</v>
      </c>
      <c r="B16" s="21">
        <v>13526</v>
      </c>
      <c r="C16" s="14" t="s">
        <v>134</v>
      </c>
      <c r="D16" s="105">
        <v>476.2</v>
      </c>
      <c r="E16" s="23">
        <v>42064</v>
      </c>
      <c r="F16" s="106">
        <v>476.2</v>
      </c>
      <c r="G16" s="25">
        <f t="shared" si="0"/>
        <v>0</v>
      </c>
      <c r="H16" s="19" t="s">
        <v>773</v>
      </c>
      <c r="I16" s="4"/>
      <c r="J16" s="43"/>
    </row>
    <row r="17" spans="1:10" s="3" customFormat="1" x14ac:dyDescent="0.25">
      <c r="A17" s="12">
        <v>42064</v>
      </c>
      <c r="B17" s="21">
        <v>13527</v>
      </c>
      <c r="C17" s="14" t="s">
        <v>151</v>
      </c>
      <c r="D17" s="105">
        <v>7578</v>
      </c>
      <c r="E17" s="23">
        <v>42065</v>
      </c>
      <c r="F17" s="106">
        <v>7578</v>
      </c>
      <c r="G17" s="25">
        <f t="shared" si="0"/>
        <v>0</v>
      </c>
      <c r="H17" s="19" t="s">
        <v>9</v>
      </c>
      <c r="I17" s="4"/>
      <c r="J17" s="43"/>
    </row>
    <row r="18" spans="1:10" s="3" customFormat="1" x14ac:dyDescent="0.25">
      <c r="A18" s="20">
        <v>42064</v>
      </c>
      <c r="B18" s="21">
        <v>13528</v>
      </c>
      <c r="C18" s="14" t="s">
        <v>161</v>
      </c>
      <c r="D18" s="105">
        <v>1215.5</v>
      </c>
      <c r="E18" s="23">
        <v>42064</v>
      </c>
      <c r="F18" s="106">
        <v>1215.5</v>
      </c>
      <c r="G18" s="25">
        <f t="shared" si="0"/>
        <v>0</v>
      </c>
      <c r="H18" s="19" t="s">
        <v>9</v>
      </c>
      <c r="I18" s="4"/>
      <c r="J18" s="43"/>
    </row>
    <row r="19" spans="1:10" s="3" customFormat="1" x14ac:dyDescent="0.25">
      <c r="A19" s="12">
        <v>42064</v>
      </c>
      <c r="B19" s="21">
        <v>13529</v>
      </c>
      <c r="C19" s="14" t="s">
        <v>20</v>
      </c>
      <c r="D19" s="105">
        <v>12690.9</v>
      </c>
      <c r="E19" s="23">
        <v>42064</v>
      </c>
      <c r="F19" s="106">
        <v>12690.9</v>
      </c>
      <c r="G19" s="25">
        <f t="shared" si="0"/>
        <v>0</v>
      </c>
      <c r="H19" s="19" t="s">
        <v>187</v>
      </c>
      <c r="I19" s="4"/>
      <c r="J19" s="43"/>
    </row>
    <row r="20" spans="1:10" s="3" customFormat="1" x14ac:dyDescent="0.25">
      <c r="A20" s="20">
        <v>42064</v>
      </c>
      <c r="B20" s="21">
        <v>13530</v>
      </c>
      <c r="C20" s="14" t="s">
        <v>50</v>
      </c>
      <c r="D20" s="105">
        <v>2106.8000000000002</v>
      </c>
      <c r="E20" s="23">
        <v>42064</v>
      </c>
      <c r="F20" s="106">
        <v>2106.8000000000002</v>
      </c>
      <c r="G20" s="25">
        <f t="shared" si="0"/>
        <v>0</v>
      </c>
      <c r="H20" s="19" t="s">
        <v>62</v>
      </c>
      <c r="I20" s="4"/>
      <c r="J20" s="43"/>
    </row>
    <row r="21" spans="1:10" s="3" customFormat="1" x14ac:dyDescent="0.25">
      <c r="A21" s="12">
        <v>42064</v>
      </c>
      <c r="B21" s="21">
        <v>13531</v>
      </c>
      <c r="C21" s="26" t="s">
        <v>12</v>
      </c>
      <c r="D21" s="108">
        <v>0</v>
      </c>
      <c r="E21" s="23"/>
      <c r="F21" s="106"/>
      <c r="G21" s="25">
        <f t="shared" si="0"/>
        <v>0</v>
      </c>
      <c r="H21" s="19" t="s">
        <v>13</v>
      </c>
      <c r="I21" s="4"/>
      <c r="J21" s="43"/>
    </row>
    <row r="22" spans="1:10" s="3" customFormat="1" x14ac:dyDescent="0.25">
      <c r="A22" s="20">
        <v>42064</v>
      </c>
      <c r="B22" s="21">
        <v>13532</v>
      </c>
      <c r="C22" s="14" t="s">
        <v>675</v>
      </c>
      <c r="D22" s="105">
        <v>925</v>
      </c>
      <c r="E22" s="23">
        <v>42064</v>
      </c>
      <c r="F22" s="106">
        <v>925</v>
      </c>
      <c r="G22" s="25">
        <f t="shared" si="0"/>
        <v>0</v>
      </c>
      <c r="H22" s="19" t="s">
        <v>9</v>
      </c>
      <c r="I22" s="4"/>
      <c r="J22" s="43"/>
    </row>
    <row r="23" spans="1:10" s="3" customFormat="1" x14ac:dyDescent="0.25">
      <c r="A23" s="12">
        <v>42064</v>
      </c>
      <c r="B23" s="21">
        <v>13533</v>
      </c>
      <c r="C23" s="14" t="s">
        <v>54</v>
      </c>
      <c r="D23" s="105">
        <v>2590</v>
      </c>
      <c r="E23" s="23">
        <v>42064</v>
      </c>
      <c r="F23" s="106">
        <v>2590</v>
      </c>
      <c r="G23" s="25">
        <f t="shared" si="0"/>
        <v>0</v>
      </c>
      <c r="H23" s="19" t="s">
        <v>59</v>
      </c>
      <c r="I23" s="4"/>
      <c r="J23" s="43"/>
    </row>
    <row r="24" spans="1:10" s="3" customFormat="1" x14ac:dyDescent="0.25">
      <c r="A24" s="20">
        <v>42064</v>
      </c>
      <c r="B24" s="21">
        <v>13534</v>
      </c>
      <c r="C24" s="14" t="s">
        <v>110</v>
      </c>
      <c r="D24" s="105">
        <v>30688.799999999999</v>
      </c>
      <c r="E24" s="23">
        <v>42077</v>
      </c>
      <c r="F24" s="106">
        <v>30688.799999999999</v>
      </c>
      <c r="G24" s="25">
        <f t="shared" si="0"/>
        <v>0</v>
      </c>
      <c r="H24" s="19" t="s">
        <v>62</v>
      </c>
      <c r="I24" s="4"/>
      <c r="J24" s="43"/>
    </row>
    <row r="25" spans="1:10" s="3" customFormat="1" x14ac:dyDescent="0.25">
      <c r="A25" s="12">
        <v>42064</v>
      </c>
      <c r="B25" s="21">
        <v>13535</v>
      </c>
      <c r="C25" s="14" t="s">
        <v>605</v>
      </c>
      <c r="D25" s="105">
        <v>10425.35</v>
      </c>
      <c r="E25" s="23">
        <v>42064</v>
      </c>
      <c r="F25" s="106">
        <v>10425.35</v>
      </c>
      <c r="G25" s="25">
        <f t="shared" si="0"/>
        <v>0</v>
      </c>
      <c r="H25" s="19" t="s">
        <v>59</v>
      </c>
      <c r="I25" s="4"/>
      <c r="J25" s="43"/>
    </row>
    <row r="26" spans="1:10" s="3" customFormat="1" x14ac:dyDescent="0.25">
      <c r="A26" s="20">
        <v>42064</v>
      </c>
      <c r="B26" s="21">
        <v>13536</v>
      </c>
      <c r="C26" s="14" t="s">
        <v>82</v>
      </c>
      <c r="D26" s="105">
        <v>722</v>
      </c>
      <c r="E26" s="23">
        <v>42064</v>
      </c>
      <c r="F26" s="106">
        <v>722</v>
      </c>
      <c r="G26" s="25">
        <f t="shared" si="0"/>
        <v>0</v>
      </c>
      <c r="H26" s="19" t="s">
        <v>59</v>
      </c>
      <c r="I26" s="4"/>
      <c r="J26" s="43"/>
    </row>
    <row r="27" spans="1:10" s="3" customFormat="1" x14ac:dyDescent="0.25">
      <c r="A27" s="12">
        <v>42064</v>
      </c>
      <c r="B27" s="21">
        <v>13537</v>
      </c>
      <c r="C27" s="14" t="s">
        <v>167</v>
      </c>
      <c r="D27" s="105">
        <v>319.8</v>
      </c>
      <c r="E27" s="23">
        <v>42064</v>
      </c>
      <c r="F27" s="106">
        <v>319.8</v>
      </c>
      <c r="G27" s="25">
        <f t="shared" si="0"/>
        <v>0</v>
      </c>
      <c r="H27" s="19" t="s">
        <v>59</v>
      </c>
      <c r="I27" s="4"/>
      <c r="J27" s="43"/>
    </row>
    <row r="28" spans="1:10" s="3" customFormat="1" x14ac:dyDescent="0.25">
      <c r="A28" s="20">
        <v>42064</v>
      </c>
      <c r="B28" s="21">
        <v>13538</v>
      </c>
      <c r="C28" s="14" t="s">
        <v>126</v>
      </c>
      <c r="D28" s="105">
        <v>3020</v>
      </c>
      <c r="E28" s="23">
        <v>42064</v>
      </c>
      <c r="F28" s="106">
        <v>3020</v>
      </c>
      <c r="G28" s="25">
        <f t="shared" si="0"/>
        <v>0</v>
      </c>
      <c r="H28" s="19" t="s">
        <v>59</v>
      </c>
      <c r="I28" s="4"/>
      <c r="J28" s="43"/>
    </row>
    <row r="29" spans="1:10" s="3" customFormat="1" x14ac:dyDescent="0.25">
      <c r="A29" s="12">
        <v>42064</v>
      </c>
      <c r="B29" s="21">
        <v>13539</v>
      </c>
      <c r="C29" s="14" t="s">
        <v>53</v>
      </c>
      <c r="D29" s="105">
        <v>2102.4</v>
      </c>
      <c r="E29" s="23">
        <v>42064</v>
      </c>
      <c r="F29" s="106">
        <v>2102.4</v>
      </c>
      <c r="G29" s="25">
        <f t="shared" si="0"/>
        <v>0</v>
      </c>
      <c r="H29" s="19" t="s">
        <v>59</v>
      </c>
      <c r="I29" s="4"/>
      <c r="J29" s="43"/>
    </row>
    <row r="30" spans="1:10" s="3" customFormat="1" x14ac:dyDescent="0.25">
      <c r="A30" s="20">
        <v>42064</v>
      </c>
      <c r="B30" s="21">
        <v>13540</v>
      </c>
      <c r="C30" s="14" t="s">
        <v>292</v>
      </c>
      <c r="D30" s="105">
        <v>3025.8</v>
      </c>
      <c r="E30" s="23">
        <v>42064</v>
      </c>
      <c r="F30" s="106">
        <v>3025.8</v>
      </c>
      <c r="G30" s="25">
        <f t="shared" si="0"/>
        <v>0</v>
      </c>
      <c r="H30" s="19" t="s">
        <v>59</v>
      </c>
      <c r="I30" s="4"/>
      <c r="J30" s="43"/>
    </row>
    <row r="31" spans="1:10" s="3" customFormat="1" x14ac:dyDescent="0.25">
      <c r="A31" s="12">
        <v>42064</v>
      </c>
      <c r="B31" s="21">
        <v>13541</v>
      </c>
      <c r="C31" s="14" t="s">
        <v>20</v>
      </c>
      <c r="D31" s="105">
        <v>1566</v>
      </c>
      <c r="E31" s="23">
        <v>42064</v>
      </c>
      <c r="F31" s="106">
        <v>1566</v>
      </c>
      <c r="G31" s="25">
        <f t="shared" si="0"/>
        <v>0</v>
      </c>
      <c r="H31" s="19" t="s">
        <v>62</v>
      </c>
      <c r="I31" s="4"/>
      <c r="J31" s="107"/>
    </row>
    <row r="32" spans="1:10" s="3" customFormat="1" x14ac:dyDescent="0.25">
      <c r="A32" s="20">
        <v>42064</v>
      </c>
      <c r="B32" s="21">
        <v>13542</v>
      </c>
      <c r="C32" s="110">
        <v>105</v>
      </c>
      <c r="D32" s="105">
        <v>1702</v>
      </c>
      <c r="E32" s="23">
        <v>42064</v>
      </c>
      <c r="F32" s="106">
        <v>1702</v>
      </c>
      <c r="G32" s="25">
        <f t="shared" si="0"/>
        <v>0</v>
      </c>
      <c r="H32" s="19" t="s">
        <v>59</v>
      </c>
      <c r="I32" s="4"/>
      <c r="J32" s="43"/>
    </row>
    <row r="33" spans="1:10" s="3" customFormat="1" x14ac:dyDescent="0.25">
      <c r="A33" s="12">
        <v>42064</v>
      </c>
      <c r="B33" s="21">
        <v>13543</v>
      </c>
      <c r="C33" s="14" t="s">
        <v>58</v>
      </c>
      <c r="D33" s="105">
        <v>370</v>
      </c>
      <c r="E33" s="23">
        <v>42064</v>
      </c>
      <c r="F33" s="106">
        <v>370</v>
      </c>
      <c r="G33" s="25">
        <f t="shared" si="0"/>
        <v>0</v>
      </c>
      <c r="H33" s="19" t="s">
        <v>59</v>
      </c>
      <c r="I33" s="4"/>
      <c r="J33" s="43"/>
    </row>
    <row r="34" spans="1:10" s="3" customFormat="1" x14ac:dyDescent="0.25">
      <c r="A34" s="20">
        <v>42064</v>
      </c>
      <c r="B34" s="21">
        <v>13544</v>
      </c>
      <c r="C34" s="14" t="s">
        <v>124</v>
      </c>
      <c r="D34" s="105">
        <v>2152.8000000000002</v>
      </c>
      <c r="E34" s="23">
        <v>42064</v>
      </c>
      <c r="F34" s="106">
        <v>2152.8000000000002</v>
      </c>
      <c r="G34" s="25">
        <f t="shared" si="0"/>
        <v>0</v>
      </c>
      <c r="H34" s="19" t="s">
        <v>9</v>
      </c>
      <c r="I34" s="4"/>
      <c r="J34" s="43"/>
    </row>
    <row r="35" spans="1:10" s="3" customFormat="1" x14ac:dyDescent="0.25">
      <c r="A35" s="12">
        <v>42064</v>
      </c>
      <c r="B35" s="21">
        <v>13545</v>
      </c>
      <c r="C35" s="14" t="s">
        <v>71</v>
      </c>
      <c r="D35" s="105">
        <v>627</v>
      </c>
      <c r="E35" s="23">
        <v>42064</v>
      </c>
      <c r="F35" s="106">
        <v>627</v>
      </c>
      <c r="G35" s="25">
        <f t="shared" si="0"/>
        <v>0</v>
      </c>
      <c r="H35" s="19" t="s">
        <v>9</v>
      </c>
      <c r="I35" s="4"/>
      <c r="J35" s="43"/>
    </row>
    <row r="36" spans="1:10" s="3" customFormat="1" x14ac:dyDescent="0.25">
      <c r="A36" s="20">
        <v>42064</v>
      </c>
      <c r="B36" s="21">
        <v>13546</v>
      </c>
      <c r="C36" s="14" t="s">
        <v>71</v>
      </c>
      <c r="D36" s="105">
        <v>6049.6</v>
      </c>
      <c r="E36" s="23">
        <v>42064</v>
      </c>
      <c r="F36" s="106">
        <v>6049.6</v>
      </c>
      <c r="G36" s="25">
        <f t="shared" si="0"/>
        <v>0</v>
      </c>
      <c r="H36" s="19" t="s">
        <v>9</v>
      </c>
      <c r="I36" s="4"/>
      <c r="J36" s="43"/>
    </row>
    <row r="37" spans="1:10" s="3" customFormat="1" x14ac:dyDescent="0.25">
      <c r="A37" s="12">
        <v>42064</v>
      </c>
      <c r="B37" s="21">
        <v>13547</v>
      </c>
      <c r="C37" s="14" t="s">
        <v>158</v>
      </c>
      <c r="D37" s="105">
        <v>6892.8</v>
      </c>
      <c r="E37" s="23">
        <v>42064</v>
      </c>
      <c r="F37" s="106">
        <v>6892.8</v>
      </c>
      <c r="G37" s="25">
        <f t="shared" si="0"/>
        <v>0</v>
      </c>
      <c r="H37" s="19" t="s">
        <v>9</v>
      </c>
      <c r="I37" s="4"/>
      <c r="J37" s="43"/>
    </row>
    <row r="38" spans="1:10" s="3" customFormat="1" x14ac:dyDescent="0.25">
      <c r="A38" s="20">
        <v>42064</v>
      </c>
      <c r="B38" s="21">
        <v>13548</v>
      </c>
      <c r="C38" s="14" t="s">
        <v>215</v>
      </c>
      <c r="D38" s="105">
        <v>11745</v>
      </c>
      <c r="E38" s="23">
        <v>42064</v>
      </c>
      <c r="F38" s="106">
        <v>11745</v>
      </c>
      <c r="G38" s="25">
        <f t="shared" si="0"/>
        <v>0</v>
      </c>
      <c r="H38" s="19" t="s">
        <v>17</v>
      </c>
      <c r="I38" s="4"/>
      <c r="J38" s="107"/>
    </row>
    <row r="39" spans="1:10" s="3" customFormat="1" x14ac:dyDescent="0.25">
      <c r="A39" s="12">
        <v>42064</v>
      </c>
      <c r="B39" s="21">
        <v>13549</v>
      </c>
      <c r="C39" s="14" t="s">
        <v>131</v>
      </c>
      <c r="D39" s="105">
        <v>6499.4</v>
      </c>
      <c r="E39" s="23">
        <v>42065</v>
      </c>
      <c r="F39" s="106">
        <v>6499.4</v>
      </c>
      <c r="G39" s="25">
        <f t="shared" si="0"/>
        <v>0</v>
      </c>
      <c r="H39" s="19" t="s">
        <v>17</v>
      </c>
      <c r="I39" s="4"/>
      <c r="J39" s="43"/>
    </row>
    <row r="40" spans="1:10" s="3" customFormat="1" x14ac:dyDescent="0.25">
      <c r="A40" s="20">
        <v>42064</v>
      </c>
      <c r="B40" s="21">
        <v>13550</v>
      </c>
      <c r="C40" s="14" t="s">
        <v>125</v>
      </c>
      <c r="D40" s="105">
        <v>16783.400000000001</v>
      </c>
      <c r="E40" s="29" t="s">
        <v>774</v>
      </c>
      <c r="F40" s="106">
        <f>5000+8000+3783.4</f>
        <v>16783.400000000001</v>
      </c>
      <c r="G40" s="25">
        <f t="shared" si="0"/>
        <v>0</v>
      </c>
      <c r="H40" s="19" t="s">
        <v>9</v>
      </c>
      <c r="I40" s="4"/>
      <c r="J40" s="43"/>
    </row>
    <row r="41" spans="1:10" s="3" customFormat="1" x14ac:dyDescent="0.25">
      <c r="A41" s="12">
        <v>42064</v>
      </c>
      <c r="B41" s="21">
        <v>13551</v>
      </c>
      <c r="C41" s="14" t="s">
        <v>66</v>
      </c>
      <c r="D41" s="105">
        <v>1295.3</v>
      </c>
      <c r="E41" s="23">
        <v>42064</v>
      </c>
      <c r="F41" s="106">
        <v>1295.3</v>
      </c>
      <c r="G41" s="25">
        <f t="shared" si="0"/>
        <v>0</v>
      </c>
      <c r="H41" s="19" t="s">
        <v>9</v>
      </c>
      <c r="I41" s="4"/>
      <c r="J41" s="43"/>
    </row>
    <row r="42" spans="1:10" s="3" customFormat="1" x14ac:dyDescent="0.25">
      <c r="A42" s="20">
        <v>42064</v>
      </c>
      <c r="B42" s="21">
        <v>13552</v>
      </c>
      <c r="C42" s="14" t="s">
        <v>130</v>
      </c>
      <c r="D42" s="105">
        <v>8310.6</v>
      </c>
      <c r="E42" s="29" t="s">
        <v>775</v>
      </c>
      <c r="F42" s="106">
        <f>8027.6+283</f>
        <v>8310.6</v>
      </c>
      <c r="G42" s="25">
        <f t="shared" si="0"/>
        <v>0</v>
      </c>
      <c r="H42" s="19" t="s">
        <v>17</v>
      </c>
      <c r="I42" s="4"/>
      <c r="J42" s="43"/>
    </row>
    <row r="43" spans="1:10" s="3" customFormat="1" x14ac:dyDescent="0.25">
      <c r="A43" s="12">
        <v>42064</v>
      </c>
      <c r="B43" s="21">
        <v>13553</v>
      </c>
      <c r="C43" s="14" t="s">
        <v>165</v>
      </c>
      <c r="D43" s="105">
        <v>2281.5</v>
      </c>
      <c r="E43" s="23">
        <v>42064</v>
      </c>
      <c r="F43" s="106">
        <v>2281.5</v>
      </c>
      <c r="G43" s="25">
        <f t="shared" si="0"/>
        <v>0</v>
      </c>
      <c r="H43" s="19" t="s">
        <v>17</v>
      </c>
      <c r="I43" s="4"/>
      <c r="J43" s="43"/>
    </row>
    <row r="44" spans="1:10" s="3" customFormat="1" x14ac:dyDescent="0.25">
      <c r="A44" s="20">
        <v>42064</v>
      </c>
      <c r="B44" s="21">
        <v>13554</v>
      </c>
      <c r="C44" s="14" t="s">
        <v>34</v>
      </c>
      <c r="D44" s="105">
        <v>7880.3</v>
      </c>
      <c r="E44" s="23">
        <v>42064</v>
      </c>
      <c r="F44" s="106">
        <v>7880.3</v>
      </c>
      <c r="G44" s="25">
        <f t="shared" si="0"/>
        <v>0</v>
      </c>
      <c r="H44" s="19" t="s">
        <v>9</v>
      </c>
      <c r="I44" s="4"/>
      <c r="J44" s="43"/>
    </row>
    <row r="45" spans="1:10" s="3" customFormat="1" x14ac:dyDescent="0.25">
      <c r="A45" s="12">
        <v>42064</v>
      </c>
      <c r="B45" s="21">
        <v>13555</v>
      </c>
      <c r="C45" s="14" t="s">
        <v>135</v>
      </c>
      <c r="D45" s="105">
        <v>1186.8</v>
      </c>
      <c r="E45" s="23">
        <v>42064</v>
      </c>
      <c r="F45" s="106">
        <v>1186.8</v>
      </c>
      <c r="G45" s="25">
        <f t="shared" si="0"/>
        <v>0</v>
      </c>
      <c r="H45" s="19" t="s">
        <v>9</v>
      </c>
      <c r="I45" s="4"/>
      <c r="J45" s="43"/>
    </row>
    <row r="46" spans="1:10" s="3" customFormat="1" x14ac:dyDescent="0.25">
      <c r="A46" s="20">
        <v>42064</v>
      </c>
      <c r="B46" s="21">
        <v>13556</v>
      </c>
      <c r="C46" s="14" t="s">
        <v>32</v>
      </c>
      <c r="D46" s="105">
        <v>3890.6</v>
      </c>
      <c r="E46" s="23">
        <v>42089</v>
      </c>
      <c r="F46" s="106">
        <v>3890.6</v>
      </c>
      <c r="G46" s="25">
        <f t="shared" si="0"/>
        <v>0</v>
      </c>
      <c r="H46" s="19" t="s">
        <v>9</v>
      </c>
      <c r="I46" s="4"/>
      <c r="J46" s="43"/>
    </row>
    <row r="47" spans="1:10" s="3" customFormat="1" x14ac:dyDescent="0.25">
      <c r="A47" s="12">
        <v>42064</v>
      </c>
      <c r="B47" s="21">
        <v>13557</v>
      </c>
      <c r="C47" s="14" t="s">
        <v>137</v>
      </c>
      <c r="D47" s="105">
        <v>234.6</v>
      </c>
      <c r="E47" s="23">
        <v>42064</v>
      </c>
      <c r="F47" s="106">
        <v>234.6</v>
      </c>
      <c r="G47" s="25">
        <f t="shared" si="0"/>
        <v>0</v>
      </c>
      <c r="H47" s="19" t="s">
        <v>9</v>
      </c>
      <c r="I47" s="4"/>
      <c r="J47" s="43"/>
    </row>
    <row r="48" spans="1:10" s="3" customFormat="1" x14ac:dyDescent="0.25">
      <c r="A48" s="20">
        <v>42064</v>
      </c>
      <c r="B48" s="21">
        <v>13558</v>
      </c>
      <c r="C48" s="14" t="s">
        <v>776</v>
      </c>
      <c r="D48" s="105">
        <v>307.8</v>
      </c>
      <c r="E48" s="23">
        <v>42064</v>
      </c>
      <c r="F48" s="106">
        <v>307.8</v>
      </c>
      <c r="G48" s="25">
        <f t="shared" si="0"/>
        <v>0</v>
      </c>
      <c r="H48" s="19" t="s">
        <v>9</v>
      </c>
      <c r="I48" s="4"/>
      <c r="J48" s="43"/>
    </row>
    <row r="49" spans="1:10" s="3" customFormat="1" x14ac:dyDescent="0.25">
      <c r="A49" s="12">
        <v>42064</v>
      </c>
      <c r="B49" s="21">
        <v>13559</v>
      </c>
      <c r="C49" s="14" t="s">
        <v>305</v>
      </c>
      <c r="D49" s="105">
        <v>3065</v>
      </c>
      <c r="E49" s="23">
        <v>42064</v>
      </c>
      <c r="F49" s="106">
        <v>3065</v>
      </c>
      <c r="G49" s="25">
        <f t="shared" si="0"/>
        <v>0</v>
      </c>
      <c r="H49" s="19" t="s">
        <v>9</v>
      </c>
      <c r="J49" s="42"/>
    </row>
    <row r="50" spans="1:10" s="3" customFormat="1" x14ac:dyDescent="0.25">
      <c r="A50" s="20">
        <v>42064</v>
      </c>
      <c r="B50" s="21">
        <v>13560</v>
      </c>
      <c r="C50" s="14" t="s">
        <v>229</v>
      </c>
      <c r="D50" s="105">
        <v>5779.2</v>
      </c>
      <c r="E50" s="23">
        <v>42064</v>
      </c>
      <c r="F50" s="106">
        <v>5779.2</v>
      </c>
      <c r="G50" s="25">
        <f t="shared" si="0"/>
        <v>0</v>
      </c>
      <c r="H50" s="19" t="s">
        <v>9</v>
      </c>
      <c r="J50" s="42"/>
    </row>
    <row r="51" spans="1:10" s="3" customFormat="1" x14ac:dyDescent="0.25">
      <c r="A51" s="12">
        <v>42064</v>
      </c>
      <c r="B51" s="21">
        <v>13561</v>
      </c>
      <c r="C51" s="14" t="s">
        <v>136</v>
      </c>
      <c r="D51" s="105">
        <v>18662.8</v>
      </c>
      <c r="E51" s="23">
        <v>42068</v>
      </c>
      <c r="F51" s="106">
        <v>18662.8</v>
      </c>
      <c r="G51" s="25">
        <f t="shared" si="0"/>
        <v>0</v>
      </c>
      <c r="H51" s="19" t="s">
        <v>9</v>
      </c>
      <c r="J51" s="42"/>
    </row>
    <row r="52" spans="1:10" s="3" customFormat="1" x14ac:dyDescent="0.25">
      <c r="A52" s="20">
        <v>42064</v>
      </c>
      <c r="B52" s="21">
        <v>13562</v>
      </c>
      <c r="C52" s="14" t="s">
        <v>279</v>
      </c>
      <c r="D52" s="105">
        <v>130</v>
      </c>
      <c r="E52" s="23">
        <v>42064</v>
      </c>
      <c r="F52" s="106">
        <v>130</v>
      </c>
      <c r="G52" s="25">
        <f t="shared" si="0"/>
        <v>0</v>
      </c>
      <c r="H52" s="19" t="s">
        <v>9</v>
      </c>
      <c r="J52" s="42"/>
    </row>
    <row r="53" spans="1:10" s="3" customFormat="1" x14ac:dyDescent="0.25">
      <c r="A53" s="12">
        <v>42064</v>
      </c>
      <c r="B53" s="21">
        <v>13563</v>
      </c>
      <c r="C53" s="14" t="s">
        <v>20</v>
      </c>
      <c r="D53" s="105">
        <v>2513.6999999999998</v>
      </c>
      <c r="E53" s="23">
        <v>42064</v>
      </c>
      <c r="F53" s="106">
        <v>2513.6999999999998</v>
      </c>
      <c r="G53" s="25">
        <f t="shared" si="0"/>
        <v>0</v>
      </c>
      <c r="H53" s="19" t="s">
        <v>9</v>
      </c>
      <c r="J53" s="42"/>
    </row>
    <row r="54" spans="1:10" s="3" customFormat="1" x14ac:dyDescent="0.25">
      <c r="A54" s="20">
        <v>42064</v>
      </c>
      <c r="B54" s="21">
        <v>13564</v>
      </c>
      <c r="C54" s="14" t="s">
        <v>102</v>
      </c>
      <c r="D54" s="105">
        <v>1582.8</v>
      </c>
      <c r="E54" s="23">
        <v>42064</v>
      </c>
      <c r="F54" s="106">
        <v>1582.8</v>
      </c>
      <c r="G54" s="25">
        <f t="shared" si="0"/>
        <v>0</v>
      </c>
      <c r="H54" s="19" t="s">
        <v>9</v>
      </c>
      <c r="J54" s="42"/>
    </row>
    <row r="55" spans="1:10" s="3" customFormat="1" x14ac:dyDescent="0.25">
      <c r="A55" s="12">
        <v>42064</v>
      </c>
      <c r="B55" s="21">
        <v>13565</v>
      </c>
      <c r="C55" s="14" t="s">
        <v>32</v>
      </c>
      <c r="D55" s="105">
        <v>2352</v>
      </c>
      <c r="E55" s="23">
        <v>42089</v>
      </c>
      <c r="F55" s="106">
        <v>2352</v>
      </c>
      <c r="G55" s="25">
        <f t="shared" si="0"/>
        <v>0</v>
      </c>
      <c r="H55" s="19" t="s">
        <v>9</v>
      </c>
      <c r="J55" s="42"/>
    </row>
    <row r="56" spans="1:10" s="3" customFormat="1" x14ac:dyDescent="0.25">
      <c r="A56" s="20">
        <v>42064</v>
      </c>
      <c r="B56" s="21">
        <v>13566</v>
      </c>
      <c r="C56" s="14" t="s">
        <v>64</v>
      </c>
      <c r="D56" s="105">
        <v>1808.3</v>
      </c>
      <c r="E56" s="23">
        <v>42064</v>
      </c>
      <c r="F56" s="106">
        <v>1808.3</v>
      </c>
      <c r="G56" s="25">
        <f t="shared" si="0"/>
        <v>0</v>
      </c>
      <c r="H56" s="19" t="s">
        <v>9</v>
      </c>
      <c r="J56" s="42"/>
    </row>
    <row r="57" spans="1:10" s="3" customFormat="1" x14ac:dyDescent="0.25">
      <c r="A57" s="12">
        <v>42064</v>
      </c>
      <c r="B57" s="21">
        <v>13567</v>
      </c>
      <c r="C57" s="14" t="s">
        <v>158</v>
      </c>
      <c r="D57" s="105">
        <v>3408.4</v>
      </c>
      <c r="E57" s="23">
        <v>42064</v>
      </c>
      <c r="F57" s="106">
        <v>3408.4</v>
      </c>
      <c r="G57" s="25">
        <f t="shared" si="0"/>
        <v>0</v>
      </c>
      <c r="H57" s="19" t="s">
        <v>9</v>
      </c>
      <c r="J57" s="42"/>
    </row>
    <row r="58" spans="1:10" s="3" customFormat="1" x14ac:dyDescent="0.25">
      <c r="A58" s="20">
        <v>42064</v>
      </c>
      <c r="B58" s="21">
        <v>13568</v>
      </c>
      <c r="C58" s="14" t="s">
        <v>473</v>
      </c>
      <c r="D58" s="105">
        <v>295</v>
      </c>
      <c r="E58" s="23">
        <v>42064</v>
      </c>
      <c r="F58" s="106">
        <v>295</v>
      </c>
      <c r="G58" s="25">
        <f t="shared" si="0"/>
        <v>0</v>
      </c>
      <c r="H58" s="19" t="s">
        <v>9</v>
      </c>
      <c r="J58" s="42"/>
    </row>
    <row r="59" spans="1:10" s="3" customFormat="1" x14ac:dyDescent="0.25">
      <c r="A59" s="12">
        <v>42064</v>
      </c>
      <c r="B59" s="21">
        <v>13569</v>
      </c>
      <c r="C59" s="14" t="s">
        <v>235</v>
      </c>
      <c r="D59" s="105">
        <v>2124</v>
      </c>
      <c r="E59" s="23">
        <v>42064</v>
      </c>
      <c r="F59" s="106">
        <v>2124</v>
      </c>
      <c r="G59" s="25">
        <f t="shared" si="0"/>
        <v>0</v>
      </c>
      <c r="H59" s="19" t="s">
        <v>17</v>
      </c>
      <c r="J59" s="42"/>
    </row>
    <row r="60" spans="1:10" s="3" customFormat="1" x14ac:dyDescent="0.25">
      <c r="A60" s="20">
        <v>42064</v>
      </c>
      <c r="B60" s="21">
        <v>13570</v>
      </c>
      <c r="C60" s="14" t="s">
        <v>136</v>
      </c>
      <c r="D60" s="105">
        <v>624</v>
      </c>
      <c r="E60" s="23">
        <v>42064</v>
      </c>
      <c r="F60" s="106">
        <v>624</v>
      </c>
      <c r="G60" s="25">
        <f t="shared" si="0"/>
        <v>0</v>
      </c>
      <c r="H60" s="19" t="s">
        <v>9</v>
      </c>
      <c r="J60" s="42"/>
    </row>
    <row r="61" spans="1:10" s="3" customFormat="1" x14ac:dyDescent="0.25">
      <c r="A61" s="12">
        <v>42064</v>
      </c>
      <c r="B61" s="21">
        <v>13571</v>
      </c>
      <c r="C61" s="14" t="s">
        <v>30</v>
      </c>
      <c r="D61" s="105">
        <v>1468</v>
      </c>
      <c r="E61" s="23">
        <v>42064</v>
      </c>
      <c r="F61" s="106">
        <v>1468</v>
      </c>
      <c r="G61" s="25">
        <f t="shared" si="0"/>
        <v>0</v>
      </c>
      <c r="H61" s="19" t="s">
        <v>9</v>
      </c>
      <c r="J61" s="42"/>
    </row>
    <row r="62" spans="1:10" s="3" customFormat="1" x14ac:dyDescent="0.25">
      <c r="A62" s="20">
        <v>42064</v>
      </c>
      <c r="B62" s="21">
        <v>13572</v>
      </c>
      <c r="C62" s="14" t="s">
        <v>24</v>
      </c>
      <c r="D62" s="105">
        <v>69655.7</v>
      </c>
      <c r="E62" s="23">
        <v>42081</v>
      </c>
      <c r="F62" s="106">
        <v>69655.7</v>
      </c>
      <c r="G62" s="25">
        <f t="shared" si="0"/>
        <v>0</v>
      </c>
      <c r="H62" s="19" t="s">
        <v>773</v>
      </c>
      <c r="J62" s="42"/>
    </row>
    <row r="63" spans="1:10" s="3" customFormat="1" x14ac:dyDescent="0.25">
      <c r="A63" s="12">
        <v>42065</v>
      </c>
      <c r="B63" s="21">
        <v>13573</v>
      </c>
      <c r="C63" s="14" t="s">
        <v>103</v>
      </c>
      <c r="D63" s="105">
        <v>7466</v>
      </c>
      <c r="E63" s="23">
        <v>42067</v>
      </c>
      <c r="F63" s="106">
        <v>7466</v>
      </c>
      <c r="G63" s="25">
        <f t="shared" si="0"/>
        <v>0</v>
      </c>
      <c r="H63" s="19" t="s">
        <v>9</v>
      </c>
      <c r="J63" s="42"/>
    </row>
    <row r="64" spans="1:10" s="3" customFormat="1" x14ac:dyDescent="0.25">
      <c r="A64" s="20">
        <v>42065</v>
      </c>
      <c r="B64" s="21">
        <v>13574</v>
      </c>
      <c r="C64" s="14" t="s">
        <v>16</v>
      </c>
      <c r="D64" s="105">
        <v>7741.8</v>
      </c>
      <c r="E64" s="23">
        <v>42065</v>
      </c>
      <c r="F64" s="106">
        <v>7741.8</v>
      </c>
      <c r="G64" s="25">
        <f t="shared" si="0"/>
        <v>0</v>
      </c>
      <c r="H64" s="19" t="s">
        <v>17</v>
      </c>
      <c r="J64" s="42"/>
    </row>
    <row r="65" spans="1:10" s="3" customFormat="1" x14ac:dyDescent="0.25">
      <c r="A65" s="12">
        <v>42065</v>
      </c>
      <c r="B65" s="21">
        <v>13575</v>
      </c>
      <c r="C65" s="14" t="s">
        <v>267</v>
      </c>
      <c r="D65" s="105">
        <v>1070</v>
      </c>
      <c r="E65" s="23">
        <v>42065</v>
      </c>
      <c r="F65" s="106">
        <v>1070</v>
      </c>
      <c r="G65" s="25">
        <f t="shared" si="0"/>
        <v>0</v>
      </c>
      <c r="H65" s="19" t="s">
        <v>17</v>
      </c>
      <c r="I65" s="4"/>
      <c r="J65" s="43"/>
    </row>
    <row r="66" spans="1:10" s="3" customFormat="1" x14ac:dyDescent="0.25">
      <c r="A66" s="20">
        <v>42065</v>
      </c>
      <c r="B66" s="21">
        <v>13576</v>
      </c>
      <c r="C66" s="14" t="s">
        <v>14</v>
      </c>
      <c r="D66" s="105">
        <v>25919.1</v>
      </c>
      <c r="E66" s="23">
        <v>42075</v>
      </c>
      <c r="F66" s="106">
        <v>25919.1</v>
      </c>
      <c r="G66" s="25">
        <f t="shared" si="0"/>
        <v>0</v>
      </c>
      <c r="H66" s="19" t="s">
        <v>187</v>
      </c>
      <c r="I66" s="4"/>
      <c r="J66" s="107"/>
    </row>
    <row r="67" spans="1:10" s="3" customFormat="1" x14ac:dyDescent="0.25">
      <c r="A67" s="12">
        <v>42065</v>
      </c>
      <c r="B67" s="21">
        <v>13577</v>
      </c>
      <c r="C67" s="14" t="s">
        <v>20</v>
      </c>
      <c r="D67" s="105">
        <v>13103.7</v>
      </c>
      <c r="E67" s="23">
        <v>42065</v>
      </c>
      <c r="F67" s="106">
        <v>13103.7</v>
      </c>
      <c r="G67" s="31">
        <f t="shared" ref="G67:G130" si="1">D67-F67</f>
        <v>0</v>
      </c>
      <c r="H67" s="19" t="s">
        <v>94</v>
      </c>
      <c r="I67" s="4"/>
      <c r="J67" s="43"/>
    </row>
    <row r="68" spans="1:10" s="3" customFormat="1" x14ac:dyDescent="0.25">
      <c r="A68" s="20">
        <v>42065</v>
      </c>
      <c r="B68" s="21">
        <v>13578</v>
      </c>
      <c r="C68" s="14" t="s">
        <v>121</v>
      </c>
      <c r="D68" s="105">
        <v>2802.5</v>
      </c>
      <c r="E68" s="23">
        <v>42065</v>
      </c>
      <c r="F68" s="106">
        <v>2802.5</v>
      </c>
      <c r="G68" s="25">
        <f t="shared" si="1"/>
        <v>0</v>
      </c>
      <c r="H68" s="19" t="s">
        <v>9</v>
      </c>
      <c r="I68" s="4"/>
      <c r="J68" s="43"/>
    </row>
    <row r="69" spans="1:10" s="3" customFormat="1" x14ac:dyDescent="0.25">
      <c r="A69" s="12">
        <v>42065</v>
      </c>
      <c r="B69" s="21">
        <v>13579</v>
      </c>
      <c r="C69" s="14" t="s">
        <v>256</v>
      </c>
      <c r="D69" s="105">
        <v>3655.8</v>
      </c>
      <c r="E69" s="23">
        <v>42066</v>
      </c>
      <c r="F69" s="106">
        <v>3655.8</v>
      </c>
      <c r="G69" s="32">
        <f t="shared" si="1"/>
        <v>0</v>
      </c>
      <c r="H69" s="19" t="s">
        <v>773</v>
      </c>
      <c r="I69" s="4"/>
      <c r="J69" s="43"/>
    </row>
    <row r="70" spans="1:10" s="3" customFormat="1" x14ac:dyDescent="0.25">
      <c r="A70" s="20">
        <v>42065</v>
      </c>
      <c r="B70" s="21">
        <v>13580</v>
      </c>
      <c r="C70" s="14" t="s">
        <v>37</v>
      </c>
      <c r="D70" s="105">
        <v>9880</v>
      </c>
      <c r="E70" s="23">
        <v>42075</v>
      </c>
      <c r="F70" s="106">
        <v>9880</v>
      </c>
      <c r="G70" s="25">
        <f t="shared" si="1"/>
        <v>0</v>
      </c>
      <c r="H70" s="19" t="s">
        <v>773</v>
      </c>
      <c r="I70" s="4"/>
      <c r="J70" s="43"/>
    </row>
    <row r="71" spans="1:10" s="3" customFormat="1" x14ac:dyDescent="0.25">
      <c r="A71" s="12">
        <v>42065</v>
      </c>
      <c r="B71" s="21">
        <v>13581</v>
      </c>
      <c r="C71" s="14" t="s">
        <v>720</v>
      </c>
      <c r="D71" s="105">
        <v>14890.4</v>
      </c>
      <c r="E71" s="23">
        <v>42065</v>
      </c>
      <c r="F71" s="106">
        <v>14890.4</v>
      </c>
      <c r="G71" s="25">
        <f t="shared" si="1"/>
        <v>0</v>
      </c>
      <c r="H71" s="19" t="s">
        <v>9</v>
      </c>
      <c r="I71" s="4"/>
      <c r="J71" s="43"/>
    </row>
    <row r="72" spans="1:10" s="3" customFormat="1" x14ac:dyDescent="0.25">
      <c r="A72" s="20">
        <v>42065</v>
      </c>
      <c r="B72" s="21">
        <v>13582</v>
      </c>
      <c r="C72" s="14" t="s">
        <v>35</v>
      </c>
      <c r="D72" s="105">
        <v>24584.45</v>
      </c>
      <c r="E72" s="23">
        <v>42066</v>
      </c>
      <c r="F72" s="106">
        <v>24584.45</v>
      </c>
      <c r="G72" s="25">
        <f t="shared" si="1"/>
        <v>0</v>
      </c>
      <c r="H72" s="19" t="s">
        <v>773</v>
      </c>
      <c r="I72" s="4"/>
      <c r="J72" s="43"/>
    </row>
    <row r="73" spans="1:10" s="3" customFormat="1" x14ac:dyDescent="0.25">
      <c r="A73" s="12">
        <v>42065</v>
      </c>
      <c r="B73" s="21">
        <v>13583</v>
      </c>
      <c r="C73" s="26" t="s">
        <v>12</v>
      </c>
      <c r="D73" s="108">
        <v>0</v>
      </c>
      <c r="E73" s="23"/>
      <c r="F73" s="106"/>
      <c r="G73" s="25">
        <f t="shared" si="1"/>
        <v>0</v>
      </c>
      <c r="H73" s="19" t="s">
        <v>13</v>
      </c>
      <c r="I73" s="4"/>
      <c r="J73" s="43"/>
    </row>
    <row r="74" spans="1:10" s="3" customFormat="1" x14ac:dyDescent="0.25">
      <c r="A74" s="20">
        <v>42065</v>
      </c>
      <c r="B74" s="21">
        <v>13584</v>
      </c>
      <c r="C74" s="14" t="s">
        <v>48</v>
      </c>
      <c r="D74" s="105">
        <v>2284</v>
      </c>
      <c r="E74" s="23">
        <v>42065</v>
      </c>
      <c r="F74" s="106">
        <v>2284</v>
      </c>
      <c r="G74" s="25">
        <f t="shared" si="1"/>
        <v>0</v>
      </c>
      <c r="H74" s="19" t="s">
        <v>94</v>
      </c>
      <c r="I74" s="4"/>
      <c r="J74" s="43"/>
    </row>
    <row r="75" spans="1:10" s="3" customFormat="1" x14ac:dyDescent="0.25">
      <c r="A75" s="12">
        <v>42065</v>
      </c>
      <c r="B75" s="21">
        <v>13585</v>
      </c>
      <c r="C75" s="14" t="s">
        <v>114</v>
      </c>
      <c r="D75" s="105">
        <v>2286</v>
      </c>
      <c r="E75" s="23">
        <v>42065</v>
      </c>
      <c r="F75" s="106">
        <v>2286</v>
      </c>
      <c r="G75" s="25">
        <f t="shared" si="1"/>
        <v>0</v>
      </c>
      <c r="H75" s="19" t="s">
        <v>9</v>
      </c>
      <c r="I75" s="4"/>
      <c r="J75" s="43"/>
    </row>
    <row r="76" spans="1:10" s="3" customFormat="1" x14ac:dyDescent="0.25">
      <c r="A76" s="20">
        <v>42065</v>
      </c>
      <c r="B76" s="21">
        <v>13586</v>
      </c>
      <c r="C76" s="14" t="s">
        <v>190</v>
      </c>
      <c r="D76" s="105">
        <v>9834.9</v>
      </c>
      <c r="E76" s="23">
        <v>42065</v>
      </c>
      <c r="F76" s="106">
        <v>9834.9</v>
      </c>
      <c r="G76" s="25">
        <f t="shared" si="1"/>
        <v>0</v>
      </c>
      <c r="H76" s="19" t="s">
        <v>9</v>
      </c>
      <c r="I76" s="4"/>
      <c r="J76" s="43"/>
    </row>
    <row r="77" spans="1:10" s="3" customFormat="1" x14ac:dyDescent="0.25">
      <c r="A77" s="12">
        <v>42065</v>
      </c>
      <c r="B77" s="21">
        <v>13587</v>
      </c>
      <c r="C77" s="14" t="s">
        <v>91</v>
      </c>
      <c r="D77" s="105">
        <v>24023.55</v>
      </c>
      <c r="E77" s="23">
        <v>42066</v>
      </c>
      <c r="F77" s="106">
        <v>24023.55</v>
      </c>
      <c r="G77" s="25">
        <f t="shared" si="1"/>
        <v>0</v>
      </c>
      <c r="H77" s="19" t="s">
        <v>59</v>
      </c>
      <c r="I77" s="4"/>
      <c r="J77" s="43"/>
    </row>
    <row r="78" spans="1:10" s="3" customFormat="1" x14ac:dyDescent="0.25">
      <c r="A78" s="20">
        <v>42065</v>
      </c>
      <c r="B78" s="21">
        <v>13588</v>
      </c>
      <c r="C78" s="14" t="s">
        <v>56</v>
      </c>
      <c r="D78" s="105">
        <v>11551.6</v>
      </c>
      <c r="E78" s="23">
        <v>42066</v>
      </c>
      <c r="F78" s="106">
        <v>11551.6</v>
      </c>
      <c r="G78" s="25">
        <f t="shared" si="1"/>
        <v>0</v>
      </c>
      <c r="H78" s="19" t="s">
        <v>773</v>
      </c>
      <c r="I78" s="4"/>
      <c r="J78" s="43"/>
    </row>
    <row r="79" spans="1:10" s="3" customFormat="1" x14ac:dyDescent="0.25">
      <c r="A79" s="12">
        <v>42065</v>
      </c>
      <c r="B79" s="21">
        <v>13589</v>
      </c>
      <c r="C79" s="14" t="s">
        <v>100</v>
      </c>
      <c r="D79" s="105">
        <v>4665.25</v>
      </c>
      <c r="E79" s="23">
        <v>42065</v>
      </c>
      <c r="F79" s="106">
        <v>4665.25</v>
      </c>
      <c r="G79" s="25">
        <f t="shared" si="1"/>
        <v>0</v>
      </c>
      <c r="H79" s="19" t="s">
        <v>9</v>
      </c>
      <c r="I79" s="4"/>
      <c r="J79" s="43"/>
    </row>
    <row r="80" spans="1:10" s="3" customFormat="1" x14ac:dyDescent="0.25">
      <c r="A80" s="20">
        <v>42065</v>
      </c>
      <c r="B80" s="21">
        <v>13590</v>
      </c>
      <c r="C80" s="14" t="s">
        <v>35</v>
      </c>
      <c r="D80" s="105">
        <v>5254.2</v>
      </c>
      <c r="E80" s="23">
        <v>42066</v>
      </c>
      <c r="F80" s="106">
        <v>5254.2</v>
      </c>
      <c r="G80" s="25">
        <f t="shared" si="1"/>
        <v>0</v>
      </c>
      <c r="H80" s="19" t="s">
        <v>773</v>
      </c>
      <c r="I80" s="4"/>
      <c r="J80" s="43"/>
    </row>
    <row r="81" spans="1:10" s="3" customFormat="1" x14ac:dyDescent="0.25">
      <c r="A81" s="12">
        <v>42065</v>
      </c>
      <c r="B81" s="21">
        <v>13591</v>
      </c>
      <c r="C81" s="14" t="s">
        <v>55</v>
      </c>
      <c r="D81" s="105">
        <v>2548.1999999999998</v>
      </c>
      <c r="E81" s="23">
        <v>42066</v>
      </c>
      <c r="F81" s="106">
        <v>2548.1999999999998</v>
      </c>
      <c r="G81" s="25">
        <f t="shared" si="1"/>
        <v>0</v>
      </c>
      <c r="H81" s="19" t="s">
        <v>773</v>
      </c>
      <c r="I81" s="4"/>
      <c r="J81" s="43"/>
    </row>
    <row r="82" spans="1:10" s="3" customFormat="1" x14ac:dyDescent="0.25">
      <c r="A82" s="20">
        <v>42065</v>
      </c>
      <c r="B82" s="21">
        <v>13592</v>
      </c>
      <c r="C82" s="34" t="s">
        <v>151</v>
      </c>
      <c r="D82" s="37">
        <v>3359.75</v>
      </c>
      <c r="E82" s="23">
        <v>42066</v>
      </c>
      <c r="F82" s="109">
        <v>3359.75</v>
      </c>
      <c r="G82" s="25">
        <f t="shared" si="1"/>
        <v>0</v>
      </c>
      <c r="H82" s="19" t="s">
        <v>9</v>
      </c>
      <c r="I82" s="4"/>
      <c r="J82" s="43"/>
    </row>
    <row r="83" spans="1:10" s="3" customFormat="1" x14ac:dyDescent="0.25">
      <c r="A83" s="12">
        <v>42065</v>
      </c>
      <c r="B83" s="21">
        <v>13593</v>
      </c>
      <c r="C83" s="34" t="s">
        <v>658</v>
      </c>
      <c r="D83" s="37">
        <v>2755.4</v>
      </c>
      <c r="E83" s="23">
        <v>42065</v>
      </c>
      <c r="F83" s="109">
        <v>2755.4</v>
      </c>
      <c r="G83" s="25">
        <f t="shared" si="1"/>
        <v>0</v>
      </c>
      <c r="H83" s="19" t="s">
        <v>9</v>
      </c>
      <c r="I83" s="4"/>
      <c r="J83" s="43"/>
    </row>
    <row r="84" spans="1:10" s="3" customFormat="1" x14ac:dyDescent="0.25">
      <c r="A84" s="20">
        <v>42065</v>
      </c>
      <c r="B84" s="21">
        <v>13594</v>
      </c>
      <c r="C84" s="14" t="s">
        <v>49</v>
      </c>
      <c r="D84" s="105">
        <v>1425.6</v>
      </c>
      <c r="E84" s="23">
        <v>42065</v>
      </c>
      <c r="F84" s="106">
        <v>1425.6</v>
      </c>
      <c r="G84" s="25">
        <f t="shared" si="1"/>
        <v>0</v>
      </c>
      <c r="H84" s="39" t="s">
        <v>94</v>
      </c>
      <c r="I84" s="4"/>
      <c r="J84" s="43"/>
    </row>
    <row r="85" spans="1:10" s="3" customFormat="1" x14ac:dyDescent="0.25">
      <c r="A85" s="12">
        <v>42065</v>
      </c>
      <c r="B85" s="21">
        <v>13595</v>
      </c>
      <c r="C85" s="14" t="s">
        <v>701</v>
      </c>
      <c r="D85" s="105">
        <v>360</v>
      </c>
      <c r="E85" s="23">
        <v>42066</v>
      </c>
      <c r="F85" s="106">
        <v>360</v>
      </c>
      <c r="G85" s="25">
        <f t="shared" si="1"/>
        <v>0</v>
      </c>
      <c r="H85" s="39" t="s">
        <v>9</v>
      </c>
      <c r="I85" s="4"/>
      <c r="J85" s="43"/>
    </row>
    <row r="86" spans="1:10" s="3" customFormat="1" x14ac:dyDescent="0.25">
      <c r="A86" s="20">
        <v>42065</v>
      </c>
      <c r="B86" s="21">
        <v>13596</v>
      </c>
      <c r="C86" s="14" t="s">
        <v>168</v>
      </c>
      <c r="D86" s="105">
        <v>10498.2</v>
      </c>
      <c r="E86" s="23">
        <v>42066</v>
      </c>
      <c r="F86" s="106">
        <v>10498.2</v>
      </c>
      <c r="G86" s="25">
        <f t="shared" si="1"/>
        <v>0</v>
      </c>
      <c r="H86" s="39" t="s">
        <v>59</v>
      </c>
      <c r="I86" s="4"/>
      <c r="J86" s="43"/>
    </row>
    <row r="87" spans="1:10" s="3" customFormat="1" x14ac:dyDescent="0.25">
      <c r="A87" s="12">
        <v>42065</v>
      </c>
      <c r="B87" s="21">
        <v>13597</v>
      </c>
      <c r="C87" s="14" t="s">
        <v>292</v>
      </c>
      <c r="D87" s="105">
        <v>1752</v>
      </c>
      <c r="E87" s="23">
        <v>42066</v>
      </c>
      <c r="F87" s="106">
        <v>1752</v>
      </c>
      <c r="G87" s="25">
        <f t="shared" si="1"/>
        <v>0</v>
      </c>
      <c r="H87" s="39" t="s">
        <v>59</v>
      </c>
      <c r="I87" s="4"/>
      <c r="J87" s="43"/>
    </row>
    <row r="88" spans="1:10" s="3" customFormat="1" x14ac:dyDescent="0.25">
      <c r="A88" s="20">
        <v>42065</v>
      </c>
      <c r="B88" s="21">
        <v>13598</v>
      </c>
      <c r="C88" s="14" t="s">
        <v>168</v>
      </c>
      <c r="D88" s="105">
        <v>1092</v>
      </c>
      <c r="E88" s="23">
        <v>42066</v>
      </c>
      <c r="F88" s="106">
        <v>1092</v>
      </c>
      <c r="G88" s="25">
        <f t="shared" si="1"/>
        <v>0</v>
      </c>
      <c r="H88" s="39" t="s">
        <v>59</v>
      </c>
      <c r="I88" s="4"/>
      <c r="J88" s="43"/>
    </row>
    <row r="89" spans="1:10" s="3" customFormat="1" x14ac:dyDescent="0.25">
      <c r="A89" s="12">
        <v>42065</v>
      </c>
      <c r="B89" s="21">
        <v>13599</v>
      </c>
      <c r="C89" s="14" t="s">
        <v>32</v>
      </c>
      <c r="D89" s="105">
        <v>71647.199999999997</v>
      </c>
      <c r="E89" s="23">
        <v>42089</v>
      </c>
      <c r="F89" s="106">
        <v>71647.199999999997</v>
      </c>
      <c r="G89" s="25">
        <f t="shared" si="1"/>
        <v>0</v>
      </c>
      <c r="H89" s="39" t="s">
        <v>149</v>
      </c>
      <c r="I89" s="4"/>
      <c r="J89" s="107"/>
    </row>
    <row r="90" spans="1:10" s="3" customFormat="1" x14ac:dyDescent="0.25">
      <c r="A90" s="20">
        <v>42065</v>
      </c>
      <c r="B90" s="21">
        <v>13600</v>
      </c>
      <c r="C90" s="14" t="s">
        <v>135</v>
      </c>
      <c r="D90" s="105">
        <v>18745</v>
      </c>
      <c r="E90" s="23">
        <v>42065</v>
      </c>
      <c r="F90" s="106">
        <v>18745</v>
      </c>
      <c r="G90" s="25">
        <f t="shared" si="1"/>
        <v>0</v>
      </c>
      <c r="H90" s="39" t="s">
        <v>9</v>
      </c>
      <c r="I90" s="4"/>
      <c r="J90" s="43"/>
    </row>
    <row r="91" spans="1:10" s="3" customFormat="1" x14ac:dyDescent="0.25">
      <c r="A91" s="12">
        <v>42065</v>
      </c>
      <c r="B91" s="21">
        <v>13601</v>
      </c>
      <c r="C91" s="14" t="s">
        <v>14</v>
      </c>
      <c r="D91" s="105">
        <v>4032</v>
      </c>
      <c r="E91" s="23">
        <v>42075</v>
      </c>
      <c r="F91" s="106">
        <v>4032</v>
      </c>
      <c r="G91" s="25">
        <f t="shared" si="1"/>
        <v>0</v>
      </c>
      <c r="H91" s="39" t="s">
        <v>15</v>
      </c>
      <c r="I91" s="4"/>
      <c r="J91" s="43"/>
    </row>
    <row r="92" spans="1:10" s="3" customFormat="1" x14ac:dyDescent="0.25">
      <c r="A92" s="20">
        <v>42065</v>
      </c>
      <c r="B92" s="21">
        <v>13602</v>
      </c>
      <c r="C92" s="14" t="s">
        <v>53</v>
      </c>
      <c r="D92" s="105">
        <v>1025.5</v>
      </c>
      <c r="E92" s="23">
        <v>42066</v>
      </c>
      <c r="F92" s="106">
        <v>1025.5</v>
      </c>
      <c r="G92" s="25">
        <f t="shared" si="1"/>
        <v>0</v>
      </c>
      <c r="H92" s="39" t="s">
        <v>59</v>
      </c>
      <c r="I92" s="4"/>
      <c r="J92" s="43"/>
    </row>
    <row r="93" spans="1:10" s="3" customFormat="1" x14ac:dyDescent="0.25">
      <c r="A93" s="12">
        <v>42065</v>
      </c>
      <c r="B93" s="21">
        <v>13603</v>
      </c>
      <c r="C93" s="14" t="s">
        <v>83</v>
      </c>
      <c r="D93" s="105">
        <v>371</v>
      </c>
      <c r="E93" s="23">
        <v>42066</v>
      </c>
      <c r="F93" s="106">
        <v>371</v>
      </c>
      <c r="G93" s="25">
        <f t="shared" si="1"/>
        <v>0</v>
      </c>
      <c r="H93" s="39" t="s">
        <v>59</v>
      </c>
      <c r="I93" s="4"/>
      <c r="J93" s="43"/>
    </row>
    <row r="94" spans="1:10" s="3" customFormat="1" x14ac:dyDescent="0.25">
      <c r="A94" s="20">
        <v>42065</v>
      </c>
      <c r="B94" s="21">
        <v>13604</v>
      </c>
      <c r="C94" s="14" t="s">
        <v>238</v>
      </c>
      <c r="D94" s="105">
        <v>1365</v>
      </c>
      <c r="E94" s="23">
        <v>42066</v>
      </c>
      <c r="F94" s="106">
        <v>1365</v>
      </c>
      <c r="G94" s="25">
        <f t="shared" si="1"/>
        <v>0</v>
      </c>
      <c r="H94" s="39" t="s">
        <v>59</v>
      </c>
      <c r="I94" s="4"/>
      <c r="J94" s="43"/>
    </row>
    <row r="95" spans="1:10" s="3" customFormat="1" x14ac:dyDescent="0.25">
      <c r="A95" s="12">
        <v>42065</v>
      </c>
      <c r="B95" s="21">
        <v>13605</v>
      </c>
      <c r="C95" s="14" t="s">
        <v>81</v>
      </c>
      <c r="D95" s="105">
        <v>1713.4</v>
      </c>
      <c r="E95" s="23">
        <v>42066</v>
      </c>
      <c r="F95" s="106">
        <v>1713.4</v>
      </c>
      <c r="G95" s="25">
        <f t="shared" si="1"/>
        <v>0</v>
      </c>
      <c r="H95" s="39" t="s">
        <v>59</v>
      </c>
      <c r="I95" s="4"/>
      <c r="J95" s="43"/>
    </row>
    <row r="96" spans="1:10" s="3" customFormat="1" x14ac:dyDescent="0.25">
      <c r="A96" s="20">
        <v>42065</v>
      </c>
      <c r="B96" s="21">
        <v>13606</v>
      </c>
      <c r="C96" s="14" t="s">
        <v>426</v>
      </c>
      <c r="D96" s="105">
        <v>4264</v>
      </c>
      <c r="E96" s="23">
        <v>42066</v>
      </c>
      <c r="F96" s="106">
        <v>4264</v>
      </c>
      <c r="G96" s="25">
        <f t="shared" si="1"/>
        <v>0</v>
      </c>
      <c r="H96" s="39" t="s">
        <v>62</v>
      </c>
      <c r="I96" s="4"/>
      <c r="J96" s="43"/>
    </row>
    <row r="97" spans="1:10" s="3" customFormat="1" x14ac:dyDescent="0.25">
      <c r="A97" s="12">
        <v>42065</v>
      </c>
      <c r="B97" s="21">
        <v>13607</v>
      </c>
      <c r="C97" s="14" t="s">
        <v>90</v>
      </c>
      <c r="D97" s="105">
        <v>904.2</v>
      </c>
      <c r="E97" s="23">
        <v>42065</v>
      </c>
      <c r="F97" s="106">
        <v>904.2</v>
      </c>
      <c r="G97" s="25">
        <f t="shared" si="1"/>
        <v>0</v>
      </c>
      <c r="H97" s="39" t="s">
        <v>9</v>
      </c>
      <c r="I97" s="4"/>
      <c r="J97" s="43"/>
    </row>
    <row r="98" spans="1:10" s="3" customFormat="1" x14ac:dyDescent="0.25">
      <c r="A98" s="20">
        <v>42065</v>
      </c>
      <c r="B98" s="21">
        <v>13608</v>
      </c>
      <c r="C98" s="14" t="s">
        <v>78</v>
      </c>
      <c r="D98" s="105">
        <v>6837.2</v>
      </c>
      <c r="E98" s="23">
        <v>42066</v>
      </c>
      <c r="F98" s="106">
        <v>6837.2</v>
      </c>
      <c r="G98" s="25">
        <f t="shared" si="1"/>
        <v>0</v>
      </c>
      <c r="H98" s="39" t="s">
        <v>777</v>
      </c>
      <c r="J98" s="42"/>
    </row>
    <row r="99" spans="1:10" s="3" customFormat="1" x14ac:dyDescent="0.25">
      <c r="A99" s="12">
        <v>42065</v>
      </c>
      <c r="B99" s="21">
        <v>13609</v>
      </c>
      <c r="C99" s="14" t="s">
        <v>226</v>
      </c>
      <c r="D99" s="105">
        <v>1482.8</v>
      </c>
      <c r="E99" s="23">
        <v>42065</v>
      </c>
      <c r="F99" s="106">
        <v>1482.8</v>
      </c>
      <c r="G99" s="25">
        <f t="shared" si="1"/>
        <v>0</v>
      </c>
      <c r="H99" s="39" t="s">
        <v>15</v>
      </c>
      <c r="J99" s="42"/>
    </row>
    <row r="100" spans="1:10" s="3" customFormat="1" x14ac:dyDescent="0.25">
      <c r="A100" s="20">
        <v>42065</v>
      </c>
      <c r="B100" s="21">
        <v>13610</v>
      </c>
      <c r="C100" s="14" t="s">
        <v>170</v>
      </c>
      <c r="D100" s="105">
        <v>3876</v>
      </c>
      <c r="E100" s="23">
        <v>42066</v>
      </c>
      <c r="F100" s="106">
        <v>3876</v>
      </c>
      <c r="G100" s="25">
        <f t="shared" si="1"/>
        <v>0</v>
      </c>
      <c r="H100" s="39" t="s">
        <v>62</v>
      </c>
      <c r="J100" s="42"/>
    </row>
    <row r="101" spans="1:10" s="3" customFormat="1" x14ac:dyDescent="0.25">
      <c r="A101" s="12">
        <v>42065</v>
      </c>
      <c r="B101" s="21">
        <v>13611</v>
      </c>
      <c r="C101" s="14" t="s">
        <v>82</v>
      </c>
      <c r="D101" s="105">
        <v>7409.6</v>
      </c>
      <c r="E101" s="23">
        <v>42066</v>
      </c>
      <c r="F101" s="106">
        <v>7409.6</v>
      </c>
      <c r="G101" s="25">
        <f t="shared" si="1"/>
        <v>0</v>
      </c>
      <c r="H101" s="39" t="s">
        <v>59</v>
      </c>
      <c r="J101" s="42"/>
    </row>
    <row r="102" spans="1:10" s="3" customFormat="1" x14ac:dyDescent="0.25">
      <c r="A102" s="20">
        <v>42065</v>
      </c>
      <c r="B102" s="21">
        <v>13612</v>
      </c>
      <c r="C102" s="14" t="s">
        <v>778</v>
      </c>
      <c r="D102" s="105">
        <v>944.4</v>
      </c>
      <c r="E102" s="23">
        <v>42065</v>
      </c>
      <c r="F102" s="106">
        <v>944.4</v>
      </c>
      <c r="G102" s="25">
        <f t="shared" si="1"/>
        <v>0</v>
      </c>
      <c r="H102" s="39" t="s">
        <v>15</v>
      </c>
      <c r="J102" s="42"/>
    </row>
    <row r="103" spans="1:10" s="3" customFormat="1" x14ac:dyDescent="0.25">
      <c r="A103" s="12">
        <v>42065</v>
      </c>
      <c r="B103" s="21">
        <v>13613</v>
      </c>
      <c r="C103" s="14" t="s">
        <v>675</v>
      </c>
      <c r="D103" s="105">
        <v>900</v>
      </c>
      <c r="E103" s="23">
        <v>42065</v>
      </c>
      <c r="F103" s="106">
        <v>900</v>
      </c>
      <c r="G103" s="25">
        <f t="shared" si="1"/>
        <v>0</v>
      </c>
      <c r="H103" s="39" t="s">
        <v>9</v>
      </c>
      <c r="J103" s="42"/>
    </row>
    <row r="104" spans="1:10" s="3" customFormat="1" x14ac:dyDescent="0.25">
      <c r="A104" s="20">
        <v>42065</v>
      </c>
      <c r="B104" s="21">
        <v>13614</v>
      </c>
      <c r="C104" s="14" t="s">
        <v>75</v>
      </c>
      <c r="D104" s="105">
        <v>23396.6</v>
      </c>
      <c r="E104" s="23">
        <v>42066</v>
      </c>
      <c r="F104" s="106">
        <v>23396.6</v>
      </c>
      <c r="G104" s="25">
        <f t="shared" si="1"/>
        <v>0</v>
      </c>
      <c r="H104" s="39" t="s">
        <v>62</v>
      </c>
      <c r="J104" s="42"/>
    </row>
    <row r="105" spans="1:10" s="3" customFormat="1" x14ac:dyDescent="0.25">
      <c r="A105" s="12">
        <v>42065</v>
      </c>
      <c r="B105" s="21">
        <v>13615</v>
      </c>
      <c r="C105" s="14" t="s">
        <v>179</v>
      </c>
      <c r="D105" s="105">
        <v>2737.3</v>
      </c>
      <c r="E105" s="23">
        <v>42065</v>
      </c>
      <c r="F105" s="106">
        <v>2737.3</v>
      </c>
      <c r="G105" s="25">
        <f t="shared" si="1"/>
        <v>0</v>
      </c>
      <c r="H105" s="39" t="s">
        <v>15</v>
      </c>
      <c r="J105" s="42"/>
    </row>
    <row r="106" spans="1:10" s="3" customFormat="1" x14ac:dyDescent="0.25">
      <c r="A106" s="20">
        <v>42065</v>
      </c>
      <c r="B106" s="21">
        <v>13616</v>
      </c>
      <c r="C106" s="14" t="s">
        <v>120</v>
      </c>
      <c r="D106" s="105">
        <v>1726.4</v>
      </c>
      <c r="E106" s="23">
        <v>42066</v>
      </c>
      <c r="F106" s="106">
        <v>1726.4</v>
      </c>
      <c r="G106" s="25">
        <f t="shared" si="1"/>
        <v>0</v>
      </c>
      <c r="H106" s="39" t="s">
        <v>59</v>
      </c>
      <c r="J106" s="42"/>
    </row>
    <row r="107" spans="1:10" s="3" customFormat="1" x14ac:dyDescent="0.25">
      <c r="A107" s="12">
        <v>42065</v>
      </c>
      <c r="B107" s="21">
        <v>13617</v>
      </c>
      <c r="C107" s="14" t="s">
        <v>664</v>
      </c>
      <c r="D107" s="105">
        <v>1720.4</v>
      </c>
      <c r="E107" s="23">
        <v>42066</v>
      </c>
      <c r="F107" s="106">
        <v>1720.4</v>
      </c>
      <c r="G107" s="25">
        <f t="shared" si="1"/>
        <v>0</v>
      </c>
      <c r="H107" s="39" t="s">
        <v>59</v>
      </c>
      <c r="J107" s="42"/>
    </row>
    <row r="108" spans="1:10" s="3" customFormat="1" x14ac:dyDescent="0.25">
      <c r="A108" s="20">
        <v>42065</v>
      </c>
      <c r="B108" s="21">
        <v>13618</v>
      </c>
      <c r="C108" s="14" t="s">
        <v>54</v>
      </c>
      <c r="D108" s="105">
        <v>1800</v>
      </c>
      <c r="E108" s="23">
        <v>42066</v>
      </c>
      <c r="F108" s="106">
        <v>1800</v>
      </c>
      <c r="G108" s="25">
        <f t="shared" si="1"/>
        <v>0</v>
      </c>
      <c r="H108" s="39" t="s">
        <v>59</v>
      </c>
      <c r="J108" s="42"/>
    </row>
    <row r="109" spans="1:10" s="3" customFormat="1" x14ac:dyDescent="0.25">
      <c r="A109" s="12">
        <v>42065</v>
      </c>
      <c r="B109" s="21">
        <v>13619</v>
      </c>
      <c r="C109" s="14" t="s">
        <v>58</v>
      </c>
      <c r="D109" s="105">
        <v>360</v>
      </c>
      <c r="E109" s="23">
        <v>42066</v>
      </c>
      <c r="F109" s="106">
        <v>360</v>
      </c>
      <c r="G109" s="25">
        <f t="shared" si="1"/>
        <v>0</v>
      </c>
      <c r="H109" s="39" t="s">
        <v>59</v>
      </c>
      <c r="J109" s="42"/>
    </row>
    <row r="110" spans="1:10" s="3" customFormat="1" x14ac:dyDescent="0.25">
      <c r="A110" s="20">
        <v>42065</v>
      </c>
      <c r="B110" s="21">
        <v>13620</v>
      </c>
      <c r="C110" s="14" t="s">
        <v>137</v>
      </c>
      <c r="D110" s="105">
        <v>3555.5</v>
      </c>
      <c r="E110" s="23">
        <v>42065</v>
      </c>
      <c r="F110" s="106">
        <v>3555.5</v>
      </c>
      <c r="G110" s="25">
        <f t="shared" si="1"/>
        <v>0</v>
      </c>
      <c r="H110" s="39" t="s">
        <v>9</v>
      </c>
      <c r="J110" s="42"/>
    </row>
    <row r="111" spans="1:10" s="3" customFormat="1" x14ac:dyDescent="0.25">
      <c r="A111" s="12">
        <v>42065</v>
      </c>
      <c r="B111" s="21">
        <v>13621</v>
      </c>
      <c r="C111" s="14" t="s">
        <v>694</v>
      </c>
      <c r="D111" s="105">
        <v>1389.3</v>
      </c>
      <c r="E111" s="23">
        <v>42065</v>
      </c>
      <c r="F111" s="106">
        <v>1389.3</v>
      </c>
      <c r="G111" s="25">
        <f t="shared" si="1"/>
        <v>0</v>
      </c>
      <c r="H111" s="39" t="s">
        <v>9</v>
      </c>
      <c r="J111" s="42"/>
    </row>
    <row r="112" spans="1:10" s="3" customFormat="1" x14ac:dyDescent="0.25">
      <c r="A112" s="20">
        <v>42065</v>
      </c>
      <c r="B112" s="21">
        <v>13622</v>
      </c>
      <c r="C112" s="14" t="s">
        <v>173</v>
      </c>
      <c r="D112" s="105">
        <v>24124</v>
      </c>
      <c r="E112" s="23">
        <v>42077</v>
      </c>
      <c r="F112" s="106">
        <v>24124</v>
      </c>
      <c r="G112" s="25">
        <f t="shared" si="1"/>
        <v>0</v>
      </c>
      <c r="H112" s="39" t="s">
        <v>62</v>
      </c>
      <c r="J112" s="42"/>
    </row>
    <row r="113" spans="1:10" s="3" customFormat="1" x14ac:dyDescent="0.25">
      <c r="A113" s="12">
        <v>42065</v>
      </c>
      <c r="B113" s="21">
        <v>13623</v>
      </c>
      <c r="C113" s="14" t="s">
        <v>125</v>
      </c>
      <c r="D113" s="105">
        <v>12535.5</v>
      </c>
      <c r="E113" s="29" t="s">
        <v>779</v>
      </c>
      <c r="F113" s="106">
        <f>5000+7535.5</f>
        <v>12535.5</v>
      </c>
      <c r="G113" s="25">
        <f t="shared" si="1"/>
        <v>0</v>
      </c>
      <c r="H113" s="39" t="s">
        <v>9</v>
      </c>
      <c r="J113" s="42"/>
    </row>
    <row r="114" spans="1:10" s="3" customFormat="1" x14ac:dyDescent="0.25">
      <c r="A114" s="20">
        <v>42065</v>
      </c>
      <c r="B114" s="21">
        <v>13624</v>
      </c>
      <c r="C114" s="14" t="s">
        <v>125</v>
      </c>
      <c r="D114" s="105">
        <v>228.8</v>
      </c>
      <c r="E114" s="23">
        <v>42070</v>
      </c>
      <c r="F114" s="106">
        <v>228.8</v>
      </c>
      <c r="G114" s="25">
        <f t="shared" si="1"/>
        <v>0</v>
      </c>
      <c r="H114" s="39" t="s">
        <v>9</v>
      </c>
      <c r="J114" s="42"/>
    </row>
    <row r="115" spans="1:10" s="3" customFormat="1" x14ac:dyDescent="0.25">
      <c r="A115" s="12">
        <v>42065</v>
      </c>
      <c r="B115" s="21">
        <v>13625</v>
      </c>
      <c r="C115" s="14" t="s">
        <v>84</v>
      </c>
      <c r="D115" s="105">
        <v>46097.35</v>
      </c>
      <c r="E115" s="23">
        <v>42077</v>
      </c>
      <c r="F115" s="106">
        <v>46097.35</v>
      </c>
      <c r="G115" s="25">
        <f t="shared" si="1"/>
        <v>0</v>
      </c>
      <c r="H115" s="39" t="s">
        <v>62</v>
      </c>
      <c r="J115" s="42"/>
    </row>
    <row r="116" spans="1:10" s="3" customFormat="1" x14ac:dyDescent="0.25">
      <c r="A116" s="20">
        <v>42065</v>
      </c>
      <c r="B116" s="21">
        <v>13626</v>
      </c>
      <c r="C116" s="110" t="s">
        <v>72</v>
      </c>
      <c r="D116" s="105">
        <v>12217.15</v>
      </c>
      <c r="E116" s="23">
        <v>42077</v>
      </c>
      <c r="F116" s="106">
        <v>12217.15</v>
      </c>
      <c r="G116" s="25">
        <f t="shared" si="1"/>
        <v>0</v>
      </c>
      <c r="H116" s="39" t="s">
        <v>62</v>
      </c>
      <c r="J116" s="42"/>
    </row>
    <row r="117" spans="1:10" s="3" customFormat="1" x14ac:dyDescent="0.25">
      <c r="A117" s="12">
        <v>42065</v>
      </c>
      <c r="B117" s="21">
        <v>13627</v>
      </c>
      <c r="C117" s="14" t="s">
        <v>26</v>
      </c>
      <c r="D117" s="105">
        <v>1644</v>
      </c>
      <c r="E117" s="23">
        <v>42065</v>
      </c>
      <c r="F117" s="106">
        <v>1644</v>
      </c>
      <c r="G117" s="25">
        <f t="shared" si="1"/>
        <v>0</v>
      </c>
      <c r="H117" s="39" t="s">
        <v>27</v>
      </c>
      <c r="J117" s="42"/>
    </row>
    <row r="118" spans="1:10" s="3" customFormat="1" x14ac:dyDescent="0.25">
      <c r="A118" s="20">
        <v>42065</v>
      </c>
      <c r="B118" s="21">
        <v>13628</v>
      </c>
      <c r="C118" s="14" t="s">
        <v>178</v>
      </c>
      <c r="D118" s="105">
        <v>4440</v>
      </c>
      <c r="E118" s="23">
        <v>42066</v>
      </c>
      <c r="F118" s="106">
        <v>4440</v>
      </c>
      <c r="G118" s="25">
        <f t="shared" si="1"/>
        <v>0</v>
      </c>
      <c r="H118" s="39" t="s">
        <v>62</v>
      </c>
      <c r="J118" s="42"/>
    </row>
    <row r="119" spans="1:10" s="3" customFormat="1" x14ac:dyDescent="0.25">
      <c r="A119" s="12">
        <v>42065</v>
      </c>
      <c r="B119" s="21">
        <v>13629</v>
      </c>
      <c r="C119" s="14" t="s">
        <v>176</v>
      </c>
      <c r="D119" s="105">
        <v>7765.65</v>
      </c>
      <c r="E119" s="23">
        <v>42077</v>
      </c>
      <c r="F119" s="106">
        <v>7765.65</v>
      </c>
      <c r="G119" s="25">
        <f t="shared" si="1"/>
        <v>0</v>
      </c>
      <c r="H119" s="39" t="s">
        <v>62</v>
      </c>
      <c r="J119" s="42"/>
    </row>
    <row r="120" spans="1:10" s="3" customFormat="1" x14ac:dyDescent="0.25">
      <c r="A120" s="20">
        <v>42065</v>
      </c>
      <c r="B120" s="21">
        <v>13630</v>
      </c>
      <c r="C120" s="14" t="s">
        <v>110</v>
      </c>
      <c r="D120" s="105">
        <v>12705</v>
      </c>
      <c r="E120" s="23">
        <v>42077</v>
      </c>
      <c r="F120" s="106">
        <v>12705</v>
      </c>
      <c r="G120" s="25">
        <f t="shared" si="1"/>
        <v>0</v>
      </c>
      <c r="H120" s="39" t="s">
        <v>19</v>
      </c>
      <c r="J120" s="42"/>
    </row>
    <row r="121" spans="1:10" s="3" customFormat="1" x14ac:dyDescent="0.25">
      <c r="A121" s="12">
        <v>42065</v>
      </c>
      <c r="B121" s="21">
        <v>13631</v>
      </c>
      <c r="C121" s="14" t="s">
        <v>45</v>
      </c>
      <c r="D121" s="105">
        <v>55692.55</v>
      </c>
      <c r="E121" s="23">
        <v>42074</v>
      </c>
      <c r="F121" s="106">
        <v>55692.55</v>
      </c>
      <c r="G121" s="25">
        <f t="shared" si="1"/>
        <v>0</v>
      </c>
      <c r="H121" s="39" t="s">
        <v>183</v>
      </c>
      <c r="J121" s="42"/>
    </row>
    <row r="122" spans="1:10" s="3" customFormat="1" x14ac:dyDescent="0.25">
      <c r="A122" s="20">
        <v>42065</v>
      </c>
      <c r="B122" s="21">
        <v>13632</v>
      </c>
      <c r="C122" s="14" t="s">
        <v>67</v>
      </c>
      <c r="D122" s="105">
        <v>3226</v>
      </c>
      <c r="E122" s="23">
        <v>42066</v>
      </c>
      <c r="F122" s="106">
        <v>3226</v>
      </c>
      <c r="G122" s="25">
        <f t="shared" si="1"/>
        <v>0</v>
      </c>
      <c r="H122" s="39" t="s">
        <v>62</v>
      </c>
      <c r="J122" s="42"/>
    </row>
    <row r="123" spans="1:10" s="3" customFormat="1" x14ac:dyDescent="0.25">
      <c r="A123" s="12">
        <v>42065</v>
      </c>
      <c r="B123" s="21">
        <v>13633</v>
      </c>
      <c r="C123" s="40" t="s">
        <v>243</v>
      </c>
      <c r="D123" s="105">
        <v>1253.04</v>
      </c>
      <c r="E123" s="23">
        <v>42066</v>
      </c>
      <c r="F123" s="106">
        <v>1253.04</v>
      </c>
      <c r="G123" s="25">
        <f t="shared" si="1"/>
        <v>0</v>
      </c>
      <c r="H123" s="41" t="s">
        <v>62</v>
      </c>
      <c r="J123" s="42"/>
    </row>
    <row r="124" spans="1:10" s="3" customFormat="1" x14ac:dyDescent="0.25">
      <c r="A124" s="20">
        <v>42065</v>
      </c>
      <c r="B124" s="21">
        <v>13634</v>
      </c>
      <c r="C124" s="40" t="s">
        <v>239</v>
      </c>
      <c r="D124" s="105">
        <v>1337.5</v>
      </c>
      <c r="E124" s="29" t="s">
        <v>780</v>
      </c>
      <c r="F124" s="106">
        <f>500+837.5</f>
        <v>1337.5</v>
      </c>
      <c r="G124" s="25">
        <f t="shared" si="1"/>
        <v>0</v>
      </c>
      <c r="H124" s="41" t="s">
        <v>9</v>
      </c>
      <c r="J124" s="42"/>
    </row>
    <row r="125" spans="1:10" s="3" customFormat="1" x14ac:dyDescent="0.25">
      <c r="A125" s="12">
        <v>42065</v>
      </c>
      <c r="B125" s="21">
        <v>13635</v>
      </c>
      <c r="C125" s="40" t="s">
        <v>435</v>
      </c>
      <c r="D125" s="105">
        <v>762</v>
      </c>
      <c r="E125" s="23">
        <v>42065</v>
      </c>
      <c r="F125" s="106">
        <v>762</v>
      </c>
      <c r="G125" s="25">
        <f t="shared" si="1"/>
        <v>0</v>
      </c>
      <c r="H125" s="41" t="s">
        <v>9</v>
      </c>
      <c r="J125" s="42"/>
    </row>
    <row r="126" spans="1:10" s="3" customFormat="1" x14ac:dyDescent="0.25">
      <c r="A126" s="20">
        <v>42065</v>
      </c>
      <c r="B126" s="21">
        <v>13636</v>
      </c>
      <c r="C126" s="40" t="s">
        <v>165</v>
      </c>
      <c r="D126" s="105">
        <v>3082.4</v>
      </c>
      <c r="E126" s="23">
        <v>42065</v>
      </c>
      <c r="F126" s="106">
        <v>3082.4</v>
      </c>
      <c r="G126" s="25">
        <f t="shared" si="1"/>
        <v>0</v>
      </c>
      <c r="H126" s="41" t="s">
        <v>17</v>
      </c>
      <c r="J126" s="42"/>
    </row>
    <row r="127" spans="1:10" s="3" customFormat="1" x14ac:dyDescent="0.25">
      <c r="A127" s="12">
        <v>42065</v>
      </c>
      <c r="B127" s="21">
        <v>13637</v>
      </c>
      <c r="C127" s="40" t="s">
        <v>130</v>
      </c>
      <c r="D127" s="105">
        <v>6785.7</v>
      </c>
      <c r="E127" s="29" t="s">
        <v>781</v>
      </c>
      <c r="F127" s="106">
        <f>1500+5285.7</f>
        <v>6785.7</v>
      </c>
      <c r="G127" s="25">
        <f t="shared" si="1"/>
        <v>0</v>
      </c>
      <c r="H127" s="41" t="s">
        <v>17</v>
      </c>
      <c r="J127" s="42"/>
    </row>
    <row r="128" spans="1:10" s="3" customFormat="1" x14ac:dyDescent="0.25">
      <c r="A128" s="20">
        <v>42065</v>
      </c>
      <c r="B128" s="21">
        <v>13638</v>
      </c>
      <c r="C128" s="40" t="s">
        <v>776</v>
      </c>
      <c r="D128" s="105">
        <v>342</v>
      </c>
      <c r="E128" s="23">
        <v>42065</v>
      </c>
      <c r="F128" s="106">
        <v>342</v>
      </c>
      <c r="G128" s="25">
        <f t="shared" si="1"/>
        <v>0</v>
      </c>
      <c r="H128" s="41" t="s">
        <v>9</v>
      </c>
      <c r="J128" s="42"/>
    </row>
    <row r="129" spans="1:10" s="3" customFormat="1" x14ac:dyDescent="0.25">
      <c r="A129" s="12">
        <v>42065</v>
      </c>
      <c r="B129" s="21">
        <v>13639</v>
      </c>
      <c r="C129" s="40" t="s">
        <v>131</v>
      </c>
      <c r="D129" s="105">
        <v>11909.8</v>
      </c>
      <c r="E129" s="23">
        <v>42068</v>
      </c>
      <c r="F129" s="106">
        <v>11909.8</v>
      </c>
      <c r="G129" s="25">
        <f t="shared" si="1"/>
        <v>0</v>
      </c>
      <c r="H129" s="41" t="s">
        <v>17</v>
      </c>
      <c r="J129" s="42"/>
    </row>
    <row r="130" spans="1:10" s="3" customFormat="1" x14ac:dyDescent="0.25">
      <c r="A130" s="20">
        <v>42065</v>
      </c>
      <c r="B130" s="21">
        <v>13640</v>
      </c>
      <c r="C130" s="40" t="s">
        <v>128</v>
      </c>
      <c r="D130" s="105">
        <v>6980</v>
      </c>
      <c r="E130" s="23">
        <v>42065</v>
      </c>
      <c r="F130" s="106">
        <v>6980</v>
      </c>
      <c r="G130" s="25">
        <f t="shared" si="1"/>
        <v>0</v>
      </c>
      <c r="H130" s="41" t="s">
        <v>17</v>
      </c>
      <c r="I130" s="4"/>
      <c r="J130" s="43"/>
    </row>
    <row r="131" spans="1:10" s="3" customFormat="1" x14ac:dyDescent="0.25">
      <c r="A131" s="12">
        <v>42065</v>
      </c>
      <c r="B131" s="21">
        <v>13641</v>
      </c>
      <c r="C131" s="40" t="s">
        <v>34</v>
      </c>
      <c r="D131" s="105">
        <v>4411</v>
      </c>
      <c r="E131" s="23">
        <v>42065</v>
      </c>
      <c r="F131" s="106">
        <v>4411</v>
      </c>
      <c r="G131" s="25">
        <f t="shared" ref="G131:G194" si="2">D131-F131</f>
        <v>0</v>
      </c>
      <c r="H131" s="41" t="s">
        <v>9</v>
      </c>
      <c r="I131" s="4"/>
      <c r="J131" s="107"/>
    </row>
    <row r="132" spans="1:10" s="3" customFormat="1" x14ac:dyDescent="0.25">
      <c r="A132" s="20">
        <v>42065</v>
      </c>
      <c r="B132" s="21">
        <v>13642</v>
      </c>
      <c r="C132" s="40" t="s">
        <v>61</v>
      </c>
      <c r="D132" s="105">
        <v>9972.7999999999993</v>
      </c>
      <c r="E132" s="23">
        <v>42066</v>
      </c>
      <c r="F132" s="106">
        <v>9972.7999999999993</v>
      </c>
      <c r="G132" s="25">
        <f t="shared" si="2"/>
        <v>0</v>
      </c>
      <c r="H132" s="41" t="s">
        <v>62</v>
      </c>
      <c r="I132" s="4"/>
      <c r="J132" s="107"/>
    </row>
    <row r="133" spans="1:10" s="3" customFormat="1" x14ac:dyDescent="0.25">
      <c r="A133" s="12">
        <v>42065</v>
      </c>
      <c r="B133" s="21">
        <v>13643</v>
      </c>
      <c r="C133" s="40" t="s">
        <v>172</v>
      </c>
      <c r="D133" s="105">
        <v>6027</v>
      </c>
      <c r="E133" s="23">
        <v>42066</v>
      </c>
      <c r="F133" s="106">
        <v>6027</v>
      </c>
      <c r="G133" s="32">
        <f t="shared" si="2"/>
        <v>0</v>
      </c>
      <c r="H133" s="41" t="s">
        <v>62</v>
      </c>
      <c r="I133" s="4"/>
      <c r="J133" s="43"/>
    </row>
    <row r="134" spans="1:10" s="3" customFormat="1" x14ac:dyDescent="0.25">
      <c r="A134" s="20">
        <v>42065</v>
      </c>
      <c r="B134" s="21">
        <v>13644</v>
      </c>
      <c r="C134" s="40" t="s">
        <v>127</v>
      </c>
      <c r="D134" s="105">
        <v>8541.2999999999993</v>
      </c>
      <c r="E134" s="23">
        <v>42065</v>
      </c>
      <c r="F134" s="106">
        <v>8541.2999999999993</v>
      </c>
      <c r="G134" s="25">
        <f t="shared" si="2"/>
        <v>0</v>
      </c>
      <c r="H134" s="41" t="s">
        <v>9</v>
      </c>
      <c r="I134" s="4"/>
      <c r="J134" s="43"/>
    </row>
    <row r="135" spans="1:10" s="3" customFormat="1" x14ac:dyDescent="0.25">
      <c r="A135" s="12">
        <v>42065</v>
      </c>
      <c r="B135" s="21">
        <v>13645</v>
      </c>
      <c r="C135" s="40" t="s">
        <v>112</v>
      </c>
      <c r="D135" s="105">
        <v>11633.1</v>
      </c>
      <c r="E135" s="23">
        <v>42065</v>
      </c>
      <c r="F135" s="106">
        <v>11633.1</v>
      </c>
      <c r="G135" s="25">
        <f t="shared" si="2"/>
        <v>0</v>
      </c>
      <c r="H135" s="41" t="s">
        <v>9</v>
      </c>
      <c r="I135" s="4"/>
      <c r="J135" s="43"/>
    </row>
    <row r="136" spans="1:10" s="3" customFormat="1" x14ac:dyDescent="0.25">
      <c r="A136" s="20">
        <v>42065</v>
      </c>
      <c r="B136" s="21">
        <v>13646</v>
      </c>
      <c r="C136" s="40" t="s">
        <v>104</v>
      </c>
      <c r="D136" s="105">
        <v>11608.8</v>
      </c>
      <c r="E136" s="23">
        <v>42066</v>
      </c>
      <c r="F136" s="106">
        <v>11608.8</v>
      </c>
      <c r="G136" s="25">
        <f t="shared" si="2"/>
        <v>0</v>
      </c>
      <c r="H136" s="41" t="s">
        <v>19</v>
      </c>
      <c r="I136" s="4"/>
      <c r="J136" s="43"/>
    </row>
    <row r="137" spans="1:10" s="3" customFormat="1" x14ac:dyDescent="0.25">
      <c r="A137" s="12">
        <v>42065</v>
      </c>
      <c r="B137" s="21">
        <v>13647</v>
      </c>
      <c r="C137" s="40" t="s">
        <v>679</v>
      </c>
      <c r="D137" s="105">
        <v>9941.6</v>
      </c>
      <c r="E137" s="23">
        <v>42065</v>
      </c>
      <c r="F137" s="106">
        <v>9941.6</v>
      </c>
      <c r="G137" s="25">
        <f t="shared" si="2"/>
        <v>0</v>
      </c>
      <c r="H137" s="41" t="s">
        <v>94</v>
      </c>
      <c r="I137" s="4"/>
      <c r="J137" s="43"/>
    </row>
    <row r="138" spans="1:10" s="3" customFormat="1" x14ac:dyDescent="0.25">
      <c r="A138" s="20">
        <v>42065</v>
      </c>
      <c r="B138" s="21">
        <v>13648</v>
      </c>
      <c r="C138" s="40" t="s">
        <v>98</v>
      </c>
      <c r="D138" s="105">
        <v>979.2</v>
      </c>
      <c r="E138" s="23">
        <v>42066</v>
      </c>
      <c r="F138" s="106">
        <v>979.2</v>
      </c>
      <c r="G138" s="25">
        <f t="shared" si="2"/>
        <v>0</v>
      </c>
      <c r="H138" s="41" t="s">
        <v>19</v>
      </c>
      <c r="I138" s="4"/>
      <c r="J138" s="43"/>
    </row>
    <row r="139" spans="1:10" s="3" customFormat="1" x14ac:dyDescent="0.25">
      <c r="A139" s="12">
        <v>42065</v>
      </c>
      <c r="B139" s="21">
        <v>13649</v>
      </c>
      <c r="C139" s="40" t="s">
        <v>65</v>
      </c>
      <c r="D139" s="105">
        <v>16106.8</v>
      </c>
      <c r="E139" s="23">
        <v>42066</v>
      </c>
      <c r="F139" s="106">
        <v>16106.8</v>
      </c>
      <c r="G139" s="25">
        <f t="shared" si="2"/>
        <v>0</v>
      </c>
      <c r="H139" s="41" t="s">
        <v>62</v>
      </c>
      <c r="I139" s="4"/>
      <c r="J139" s="43"/>
    </row>
    <row r="140" spans="1:10" s="3" customFormat="1" x14ac:dyDescent="0.25">
      <c r="A140" s="20">
        <v>42065</v>
      </c>
      <c r="B140" s="21">
        <v>13650</v>
      </c>
      <c r="C140" s="40" t="s">
        <v>95</v>
      </c>
      <c r="D140" s="105">
        <v>2863</v>
      </c>
      <c r="E140" s="23">
        <v>42066</v>
      </c>
      <c r="F140" s="106">
        <v>2863</v>
      </c>
      <c r="G140" s="25">
        <f t="shared" si="2"/>
        <v>0</v>
      </c>
      <c r="H140" s="41" t="s">
        <v>19</v>
      </c>
      <c r="I140" s="4"/>
      <c r="J140" s="43"/>
    </row>
    <row r="141" spans="1:10" s="3" customFormat="1" x14ac:dyDescent="0.25">
      <c r="A141" s="12">
        <v>42065</v>
      </c>
      <c r="B141" s="21">
        <v>13651</v>
      </c>
      <c r="C141" s="40" t="s">
        <v>24</v>
      </c>
      <c r="D141" s="105">
        <v>183511.84</v>
      </c>
      <c r="E141" s="23">
        <v>42081</v>
      </c>
      <c r="F141" s="106">
        <v>183511.84</v>
      </c>
      <c r="G141" s="25">
        <f t="shared" si="2"/>
        <v>0</v>
      </c>
      <c r="H141" s="41" t="s">
        <v>46</v>
      </c>
      <c r="I141" s="4"/>
      <c r="J141" s="43"/>
    </row>
    <row r="142" spans="1:10" s="3" customFormat="1" x14ac:dyDescent="0.25">
      <c r="A142" s="20">
        <v>42065</v>
      </c>
      <c r="B142" s="21">
        <v>13652</v>
      </c>
      <c r="C142" s="40" t="s">
        <v>87</v>
      </c>
      <c r="D142" s="105">
        <v>2440.1999999999998</v>
      </c>
      <c r="E142" s="23">
        <v>42066</v>
      </c>
      <c r="F142" s="106">
        <v>2440.1999999999998</v>
      </c>
      <c r="G142" s="25">
        <f t="shared" si="2"/>
        <v>0</v>
      </c>
      <c r="H142" s="41" t="s">
        <v>19</v>
      </c>
      <c r="I142" s="4"/>
      <c r="J142" s="43"/>
    </row>
    <row r="143" spans="1:10" s="3" customFormat="1" x14ac:dyDescent="0.25">
      <c r="A143" s="12">
        <v>42065</v>
      </c>
      <c r="B143" s="21">
        <v>13653</v>
      </c>
      <c r="C143" s="40" t="s">
        <v>89</v>
      </c>
      <c r="D143" s="105">
        <v>3334</v>
      </c>
      <c r="E143" s="23">
        <v>42065</v>
      </c>
      <c r="F143" s="106">
        <v>3334</v>
      </c>
      <c r="G143" s="25">
        <f t="shared" si="2"/>
        <v>0</v>
      </c>
      <c r="H143" s="41" t="s">
        <v>9</v>
      </c>
      <c r="I143" s="4"/>
      <c r="J143" s="43"/>
    </row>
    <row r="144" spans="1:10" s="3" customFormat="1" x14ac:dyDescent="0.25">
      <c r="A144" s="20">
        <v>42065</v>
      </c>
      <c r="B144" s="21">
        <v>13654</v>
      </c>
      <c r="C144" s="40" t="s">
        <v>554</v>
      </c>
      <c r="D144" s="105">
        <v>3025.1</v>
      </c>
      <c r="E144" s="23">
        <v>42066</v>
      </c>
      <c r="F144" s="106">
        <v>3025.1</v>
      </c>
      <c r="G144" s="25">
        <f t="shared" si="2"/>
        <v>0</v>
      </c>
      <c r="H144" s="41" t="s">
        <v>19</v>
      </c>
      <c r="I144" s="4"/>
      <c r="J144" s="43"/>
    </row>
    <row r="145" spans="1:11" x14ac:dyDescent="0.25">
      <c r="A145" s="12">
        <v>42065</v>
      </c>
      <c r="B145" s="21">
        <v>13655</v>
      </c>
      <c r="C145" s="40" t="s">
        <v>651</v>
      </c>
      <c r="D145" s="105">
        <v>11262.4</v>
      </c>
      <c r="E145" s="23">
        <v>42065</v>
      </c>
      <c r="F145" s="106">
        <v>11262.4</v>
      </c>
      <c r="G145" s="25">
        <f t="shared" si="2"/>
        <v>0</v>
      </c>
      <c r="H145" s="41" t="s">
        <v>94</v>
      </c>
    </row>
    <row r="146" spans="1:11" x14ac:dyDescent="0.25">
      <c r="A146" s="20">
        <v>42065</v>
      </c>
      <c r="B146" s="21">
        <v>13656</v>
      </c>
      <c r="C146" s="40" t="s">
        <v>180</v>
      </c>
      <c r="D146" s="105">
        <v>5461.7</v>
      </c>
      <c r="E146" s="23">
        <v>42065</v>
      </c>
      <c r="F146" s="106">
        <v>5461.7</v>
      </c>
      <c r="G146" s="25">
        <f t="shared" si="2"/>
        <v>0</v>
      </c>
      <c r="H146" s="41" t="s">
        <v>9</v>
      </c>
    </row>
    <row r="147" spans="1:11" x14ac:dyDescent="0.25">
      <c r="A147" s="12">
        <v>42065</v>
      </c>
      <c r="B147" s="21">
        <v>13657</v>
      </c>
      <c r="C147" s="40" t="s">
        <v>136</v>
      </c>
      <c r="D147" s="105">
        <v>19018</v>
      </c>
      <c r="E147" s="23">
        <v>42065</v>
      </c>
      <c r="F147" s="106">
        <v>19018</v>
      </c>
      <c r="G147" s="25">
        <f t="shared" si="2"/>
        <v>0</v>
      </c>
      <c r="H147" s="41" t="s">
        <v>9</v>
      </c>
    </row>
    <row r="148" spans="1:11" x14ac:dyDescent="0.25">
      <c r="A148" s="20">
        <v>42065</v>
      </c>
      <c r="B148" s="21">
        <v>13658</v>
      </c>
      <c r="C148" s="40" t="s">
        <v>689</v>
      </c>
      <c r="D148" s="105">
        <v>9420.2000000000007</v>
      </c>
      <c r="E148" s="23">
        <v>42066</v>
      </c>
      <c r="F148" s="106">
        <v>9420.2000000000007</v>
      </c>
      <c r="G148" s="25">
        <f t="shared" si="2"/>
        <v>0</v>
      </c>
      <c r="H148" s="41" t="s">
        <v>19</v>
      </c>
    </row>
    <row r="149" spans="1:11" x14ac:dyDescent="0.25">
      <c r="A149" s="12">
        <v>42065</v>
      </c>
      <c r="B149" s="21">
        <v>13659</v>
      </c>
      <c r="C149" s="44" t="s">
        <v>12</v>
      </c>
      <c r="D149" s="108">
        <v>0</v>
      </c>
      <c r="E149" s="23"/>
      <c r="F149" s="106"/>
      <c r="G149" s="25">
        <f t="shared" si="2"/>
        <v>0</v>
      </c>
      <c r="H149" s="41" t="s">
        <v>13</v>
      </c>
    </row>
    <row r="150" spans="1:11" x14ac:dyDescent="0.25">
      <c r="A150" s="20">
        <v>42065</v>
      </c>
      <c r="B150" s="21">
        <v>13660</v>
      </c>
      <c r="C150" s="40" t="s">
        <v>375</v>
      </c>
      <c r="D150" s="105">
        <v>206.4</v>
      </c>
      <c r="E150" s="23">
        <v>42065</v>
      </c>
      <c r="F150" s="106">
        <v>206.4</v>
      </c>
      <c r="G150" s="25">
        <f t="shared" si="2"/>
        <v>0</v>
      </c>
      <c r="H150" s="41" t="s">
        <v>9</v>
      </c>
    </row>
    <row r="151" spans="1:11" x14ac:dyDescent="0.25">
      <c r="A151" s="12">
        <v>42065</v>
      </c>
      <c r="B151" s="21">
        <v>13661</v>
      </c>
      <c r="C151" s="40" t="s">
        <v>66</v>
      </c>
      <c r="D151" s="105">
        <v>1244.0999999999999</v>
      </c>
      <c r="E151" s="23">
        <v>42065</v>
      </c>
      <c r="F151" s="106">
        <v>1244.0999999999999</v>
      </c>
      <c r="G151" s="25">
        <f t="shared" si="2"/>
        <v>0</v>
      </c>
      <c r="H151" s="41" t="s">
        <v>9</v>
      </c>
    </row>
    <row r="152" spans="1:11" x14ac:dyDescent="0.25">
      <c r="A152" s="20">
        <v>42065</v>
      </c>
      <c r="B152" s="21">
        <v>13662</v>
      </c>
      <c r="C152" s="40" t="s">
        <v>112</v>
      </c>
      <c r="D152" s="105">
        <v>5554.2</v>
      </c>
      <c r="E152" s="29" t="s">
        <v>782</v>
      </c>
      <c r="F152" s="106">
        <f>1400+4154.2</f>
        <v>5554.2</v>
      </c>
      <c r="G152" s="25">
        <f t="shared" si="2"/>
        <v>0</v>
      </c>
      <c r="H152" s="41" t="s">
        <v>9</v>
      </c>
    </row>
    <row r="153" spans="1:11" x14ac:dyDescent="0.25">
      <c r="A153" s="12">
        <v>42065</v>
      </c>
      <c r="B153" s="21">
        <v>13663</v>
      </c>
      <c r="C153" s="40" t="s">
        <v>472</v>
      </c>
      <c r="D153" s="105">
        <v>44166.2</v>
      </c>
      <c r="E153" s="23">
        <v>42077</v>
      </c>
      <c r="F153" s="106">
        <v>44166.2</v>
      </c>
      <c r="G153" s="25">
        <f t="shared" si="2"/>
        <v>0</v>
      </c>
      <c r="H153" s="41" t="s">
        <v>183</v>
      </c>
    </row>
    <row r="154" spans="1:11" x14ac:dyDescent="0.25">
      <c r="A154" s="20">
        <v>42065</v>
      </c>
      <c r="B154" s="21">
        <v>13664</v>
      </c>
      <c r="C154" s="40" t="s">
        <v>305</v>
      </c>
      <c r="D154" s="105">
        <v>2080</v>
      </c>
      <c r="E154" s="23">
        <v>42065</v>
      </c>
      <c r="F154" s="106">
        <v>2080</v>
      </c>
      <c r="G154" s="25">
        <f t="shared" si="2"/>
        <v>0</v>
      </c>
      <c r="H154" s="41" t="s">
        <v>9</v>
      </c>
    </row>
    <row r="155" spans="1:11" x14ac:dyDescent="0.25">
      <c r="A155" s="12">
        <v>42065</v>
      </c>
      <c r="B155" s="21">
        <v>13665</v>
      </c>
      <c r="C155" s="40" t="s">
        <v>108</v>
      </c>
      <c r="D155" s="105">
        <v>14074.2</v>
      </c>
      <c r="E155" s="23">
        <v>42066</v>
      </c>
      <c r="F155" s="106">
        <f>499.8+13574.4</f>
        <v>14074.199999999999</v>
      </c>
      <c r="G155" s="25">
        <f t="shared" si="2"/>
        <v>0</v>
      </c>
      <c r="H155" s="41" t="s">
        <v>17</v>
      </c>
    </row>
    <row r="156" spans="1:11" x14ac:dyDescent="0.25">
      <c r="A156" s="20">
        <v>42065</v>
      </c>
      <c r="B156" s="21">
        <v>13666</v>
      </c>
      <c r="C156" s="40" t="s">
        <v>131</v>
      </c>
      <c r="D156" s="105">
        <v>371.8</v>
      </c>
      <c r="E156" s="23">
        <v>42065</v>
      </c>
      <c r="F156" s="106">
        <v>371.8</v>
      </c>
      <c r="G156" s="25">
        <f t="shared" si="2"/>
        <v>0</v>
      </c>
      <c r="H156" s="41" t="s">
        <v>17</v>
      </c>
    </row>
    <row r="157" spans="1:11" s="4" customFormat="1" x14ac:dyDescent="0.25">
      <c r="A157" s="12">
        <v>42065</v>
      </c>
      <c r="B157" s="21">
        <v>13667</v>
      </c>
      <c r="C157" s="40" t="s">
        <v>143</v>
      </c>
      <c r="D157" s="105">
        <v>9608</v>
      </c>
      <c r="E157" s="23">
        <v>42070</v>
      </c>
      <c r="F157" s="106">
        <v>9608</v>
      </c>
      <c r="G157" s="25">
        <f t="shared" si="2"/>
        <v>0</v>
      </c>
      <c r="H157" s="41" t="s">
        <v>17</v>
      </c>
      <c r="J157" s="43"/>
      <c r="K157" s="43"/>
    </row>
    <row r="158" spans="1:11" s="4" customFormat="1" x14ac:dyDescent="0.25">
      <c r="A158" s="20">
        <v>42065</v>
      </c>
      <c r="B158" s="21">
        <v>13668</v>
      </c>
      <c r="C158" s="40" t="s">
        <v>252</v>
      </c>
      <c r="D158" s="105">
        <v>9179.2000000000007</v>
      </c>
      <c r="E158" s="23">
        <v>42065</v>
      </c>
      <c r="F158" s="106">
        <v>9179.2000000000007</v>
      </c>
      <c r="G158" s="25">
        <f t="shared" si="2"/>
        <v>0</v>
      </c>
      <c r="H158" s="41" t="s">
        <v>9</v>
      </c>
      <c r="J158" s="107"/>
      <c r="K158" s="43"/>
    </row>
    <row r="159" spans="1:11" s="4" customFormat="1" x14ac:dyDescent="0.25">
      <c r="A159" s="12">
        <v>42065</v>
      </c>
      <c r="B159" s="21">
        <v>13669</v>
      </c>
      <c r="C159" s="40" t="s">
        <v>102</v>
      </c>
      <c r="D159" s="105">
        <v>1485</v>
      </c>
      <c r="E159" s="23">
        <v>42065</v>
      </c>
      <c r="F159" s="106">
        <v>1485</v>
      </c>
      <c r="G159" s="25">
        <f t="shared" si="2"/>
        <v>0</v>
      </c>
      <c r="H159" s="41" t="s">
        <v>9</v>
      </c>
      <c r="J159" s="43"/>
      <c r="K159" s="43"/>
    </row>
    <row r="160" spans="1:11" s="4" customFormat="1" x14ac:dyDescent="0.25">
      <c r="A160" s="20">
        <v>42065</v>
      </c>
      <c r="B160" s="21">
        <v>13670</v>
      </c>
      <c r="C160" s="40" t="s">
        <v>440</v>
      </c>
      <c r="D160" s="105">
        <v>6105</v>
      </c>
      <c r="E160" s="23">
        <v>42065</v>
      </c>
      <c r="F160" s="106">
        <v>6105</v>
      </c>
      <c r="G160" s="25">
        <f t="shared" si="2"/>
        <v>0</v>
      </c>
      <c r="H160" s="41" t="s">
        <v>9</v>
      </c>
      <c r="J160" s="43"/>
      <c r="K160" s="43"/>
    </row>
    <row r="161" spans="1:11" s="4" customFormat="1" x14ac:dyDescent="0.25">
      <c r="A161" s="12">
        <v>42065</v>
      </c>
      <c r="B161" s="21">
        <v>13671</v>
      </c>
      <c r="C161" s="40" t="s">
        <v>207</v>
      </c>
      <c r="D161" s="105">
        <v>31484.799999999999</v>
      </c>
      <c r="E161" s="23">
        <v>42070</v>
      </c>
      <c r="F161" s="106">
        <v>31484.799999999999</v>
      </c>
      <c r="G161" s="25">
        <f t="shared" si="2"/>
        <v>0</v>
      </c>
      <c r="H161" s="41" t="s">
        <v>149</v>
      </c>
      <c r="J161" s="107"/>
      <c r="K161" s="43"/>
    </row>
    <row r="162" spans="1:11" s="4" customFormat="1" x14ac:dyDescent="0.25">
      <c r="A162" s="20">
        <v>42065</v>
      </c>
      <c r="B162" s="21">
        <v>13672</v>
      </c>
      <c r="C162" s="40" t="s">
        <v>64</v>
      </c>
      <c r="D162" s="105">
        <v>1404</v>
      </c>
      <c r="E162" s="23">
        <v>42065</v>
      </c>
      <c r="F162" s="106">
        <v>1404</v>
      </c>
      <c r="G162" s="25">
        <f t="shared" si="2"/>
        <v>0</v>
      </c>
      <c r="H162" s="41" t="s">
        <v>9</v>
      </c>
      <c r="J162" s="43"/>
      <c r="K162" s="43"/>
    </row>
    <row r="163" spans="1:11" s="4" customFormat="1" x14ac:dyDescent="0.25">
      <c r="A163" s="12">
        <v>42065</v>
      </c>
      <c r="B163" s="21">
        <v>13673</v>
      </c>
      <c r="C163" s="40" t="s">
        <v>617</v>
      </c>
      <c r="D163" s="105">
        <v>7682.8</v>
      </c>
      <c r="E163" s="23">
        <v>42070</v>
      </c>
      <c r="F163" s="106">
        <v>7682.8</v>
      </c>
      <c r="G163" s="25">
        <f t="shared" si="2"/>
        <v>0</v>
      </c>
      <c r="H163" s="41" t="s">
        <v>149</v>
      </c>
      <c r="J163" s="43"/>
      <c r="K163" s="43"/>
    </row>
    <row r="164" spans="1:11" s="4" customFormat="1" x14ac:dyDescent="0.25">
      <c r="A164" s="20">
        <v>42065</v>
      </c>
      <c r="B164" s="21">
        <v>13674</v>
      </c>
      <c r="C164" s="40" t="s">
        <v>199</v>
      </c>
      <c r="D164" s="105">
        <v>19312.8</v>
      </c>
      <c r="E164" s="23">
        <v>42067</v>
      </c>
      <c r="F164" s="106">
        <v>19312.8</v>
      </c>
      <c r="G164" s="25">
        <f t="shared" si="2"/>
        <v>0</v>
      </c>
      <c r="H164" s="41" t="s">
        <v>149</v>
      </c>
      <c r="J164" s="43"/>
      <c r="K164" s="43"/>
    </row>
    <row r="165" spans="1:11" s="4" customFormat="1" x14ac:dyDescent="0.25">
      <c r="A165" s="12">
        <v>42065</v>
      </c>
      <c r="B165" s="21">
        <v>13675</v>
      </c>
      <c r="C165" s="40" t="s">
        <v>136</v>
      </c>
      <c r="D165" s="105">
        <v>648</v>
      </c>
      <c r="E165" s="23">
        <v>42065</v>
      </c>
      <c r="F165" s="106">
        <v>648</v>
      </c>
      <c r="G165" s="25">
        <f t="shared" si="2"/>
        <v>0</v>
      </c>
      <c r="H165" s="41" t="s">
        <v>9</v>
      </c>
      <c r="J165" s="43"/>
      <c r="K165" s="43"/>
    </row>
    <row r="166" spans="1:11" s="4" customFormat="1" x14ac:dyDescent="0.25">
      <c r="A166" s="20">
        <v>42065</v>
      </c>
      <c r="B166" s="21">
        <v>13676</v>
      </c>
      <c r="C166" s="40" t="s">
        <v>68</v>
      </c>
      <c r="D166" s="105">
        <v>6314.8</v>
      </c>
      <c r="E166" s="23">
        <v>42067</v>
      </c>
      <c r="F166" s="106">
        <v>6314.8</v>
      </c>
      <c r="G166" s="25">
        <f t="shared" si="2"/>
        <v>0</v>
      </c>
      <c r="H166" s="41" t="s">
        <v>149</v>
      </c>
      <c r="J166" s="43"/>
      <c r="K166" s="43"/>
    </row>
    <row r="167" spans="1:11" s="4" customFormat="1" x14ac:dyDescent="0.25">
      <c r="A167" s="12">
        <v>42065</v>
      </c>
      <c r="B167" s="21">
        <v>13677</v>
      </c>
      <c r="C167" s="40" t="s">
        <v>195</v>
      </c>
      <c r="D167" s="105">
        <v>132843.59</v>
      </c>
      <c r="E167" s="30" t="s">
        <v>783</v>
      </c>
      <c r="F167" s="106">
        <v>132843.59</v>
      </c>
      <c r="G167" s="25">
        <f t="shared" si="2"/>
        <v>0</v>
      </c>
      <c r="H167" s="41" t="s">
        <v>149</v>
      </c>
      <c r="J167" s="43"/>
      <c r="K167" s="43"/>
    </row>
    <row r="168" spans="1:11" x14ac:dyDescent="0.25">
      <c r="A168" s="20">
        <v>42065</v>
      </c>
      <c r="B168" s="21">
        <v>13678</v>
      </c>
      <c r="C168" s="40" t="s">
        <v>234</v>
      </c>
      <c r="D168" s="105">
        <v>485.4</v>
      </c>
      <c r="E168" s="23">
        <v>42065</v>
      </c>
      <c r="F168" s="106">
        <v>485.4</v>
      </c>
      <c r="G168" s="25">
        <f t="shared" si="2"/>
        <v>0</v>
      </c>
      <c r="H168" s="41" t="s">
        <v>9</v>
      </c>
      <c r="I168" s="3"/>
      <c r="J168" s="42"/>
    </row>
    <row r="169" spans="1:11" x14ac:dyDescent="0.25">
      <c r="A169" s="12">
        <v>42065</v>
      </c>
      <c r="B169" s="21">
        <v>13679</v>
      </c>
      <c r="C169" s="40" t="s">
        <v>204</v>
      </c>
      <c r="D169" s="105">
        <v>8492</v>
      </c>
      <c r="E169" s="23">
        <v>42067</v>
      </c>
      <c r="F169" s="106">
        <v>8492</v>
      </c>
      <c r="G169" s="25">
        <f t="shared" si="2"/>
        <v>0</v>
      </c>
      <c r="H169" s="41" t="s">
        <v>149</v>
      </c>
      <c r="I169" s="3"/>
      <c r="J169" s="42"/>
    </row>
    <row r="170" spans="1:11" x14ac:dyDescent="0.25">
      <c r="A170" s="20">
        <v>42065</v>
      </c>
      <c r="B170" s="21">
        <v>13680</v>
      </c>
      <c r="C170" s="40" t="s">
        <v>195</v>
      </c>
      <c r="D170" s="105">
        <v>2876</v>
      </c>
      <c r="E170" s="30" t="s">
        <v>783</v>
      </c>
      <c r="F170" s="106">
        <v>2876</v>
      </c>
      <c r="G170" s="25">
        <f t="shared" si="2"/>
        <v>0</v>
      </c>
      <c r="H170" s="41" t="s">
        <v>149</v>
      </c>
      <c r="I170" s="3"/>
      <c r="J170" s="42"/>
    </row>
    <row r="171" spans="1:11" x14ac:dyDescent="0.25">
      <c r="A171" s="12">
        <v>42065</v>
      </c>
      <c r="B171" s="21">
        <v>13681</v>
      </c>
      <c r="C171" s="40" t="s">
        <v>208</v>
      </c>
      <c r="D171" s="105">
        <v>12045</v>
      </c>
      <c r="E171" s="23">
        <v>42067</v>
      </c>
      <c r="F171" s="106">
        <v>12045</v>
      </c>
      <c r="G171" s="25">
        <f t="shared" si="2"/>
        <v>0</v>
      </c>
      <c r="H171" s="41" t="s">
        <v>149</v>
      </c>
      <c r="I171" s="3"/>
      <c r="J171" s="42"/>
    </row>
    <row r="172" spans="1:11" x14ac:dyDescent="0.25">
      <c r="A172" s="20">
        <v>42065</v>
      </c>
      <c r="B172" s="21">
        <v>13682</v>
      </c>
      <c r="C172" s="40" t="s">
        <v>732</v>
      </c>
      <c r="D172" s="105">
        <v>29141.3</v>
      </c>
      <c r="E172" s="23">
        <v>42067</v>
      </c>
      <c r="F172" s="106">
        <v>29141.3</v>
      </c>
      <c r="G172" s="25">
        <f t="shared" si="2"/>
        <v>0</v>
      </c>
      <c r="H172" s="41" t="s">
        <v>149</v>
      </c>
      <c r="I172" s="3"/>
      <c r="J172" s="42"/>
    </row>
    <row r="173" spans="1:11" x14ac:dyDescent="0.25">
      <c r="A173" s="12">
        <v>42065</v>
      </c>
      <c r="B173" s="21">
        <v>13683</v>
      </c>
      <c r="C173" s="40" t="s">
        <v>552</v>
      </c>
      <c r="D173" s="105">
        <v>15183.4</v>
      </c>
      <c r="E173" s="23">
        <v>42067</v>
      </c>
      <c r="F173" s="106">
        <v>15183.4</v>
      </c>
      <c r="G173" s="25">
        <f t="shared" si="2"/>
        <v>0</v>
      </c>
      <c r="H173" s="41" t="s">
        <v>149</v>
      </c>
      <c r="I173" s="3"/>
      <c r="J173" s="42"/>
    </row>
    <row r="174" spans="1:11" x14ac:dyDescent="0.25">
      <c r="A174" s="20">
        <v>42065</v>
      </c>
      <c r="B174" s="21">
        <v>13684</v>
      </c>
      <c r="C174" s="40" t="s">
        <v>47</v>
      </c>
      <c r="D174" s="105">
        <v>6489</v>
      </c>
      <c r="E174" s="23">
        <v>42067</v>
      </c>
      <c r="F174" s="106">
        <v>6489</v>
      </c>
      <c r="G174" s="25">
        <f t="shared" si="2"/>
        <v>0</v>
      </c>
      <c r="H174" s="41" t="s">
        <v>9</v>
      </c>
      <c r="I174" s="3"/>
      <c r="J174" s="42"/>
    </row>
    <row r="175" spans="1:11" x14ac:dyDescent="0.25">
      <c r="A175" s="12">
        <v>42065</v>
      </c>
      <c r="B175" s="21">
        <v>13685</v>
      </c>
      <c r="C175" s="40" t="s">
        <v>262</v>
      </c>
      <c r="D175" s="105">
        <v>25234.5</v>
      </c>
      <c r="E175" s="23">
        <v>42081</v>
      </c>
      <c r="F175" s="106">
        <v>25234.5</v>
      </c>
      <c r="G175" s="25">
        <f t="shared" si="2"/>
        <v>0</v>
      </c>
      <c r="H175" s="41" t="s">
        <v>149</v>
      </c>
      <c r="I175" s="3"/>
      <c r="J175" s="42"/>
    </row>
    <row r="176" spans="1:11" x14ac:dyDescent="0.25">
      <c r="A176" s="20">
        <v>42065</v>
      </c>
      <c r="B176" s="21">
        <v>13686</v>
      </c>
      <c r="C176" s="40" t="s">
        <v>197</v>
      </c>
      <c r="D176" s="105">
        <v>7256.8</v>
      </c>
      <c r="E176" s="23">
        <v>42067</v>
      </c>
      <c r="F176" s="106">
        <v>7256.8</v>
      </c>
      <c r="G176" s="25">
        <f t="shared" si="2"/>
        <v>0</v>
      </c>
      <c r="H176" s="41" t="s">
        <v>149</v>
      </c>
      <c r="I176" s="3"/>
      <c r="J176" s="42"/>
    </row>
    <row r="177" spans="1:10" s="3" customFormat="1" x14ac:dyDescent="0.25">
      <c r="A177" s="12">
        <v>42065</v>
      </c>
      <c r="B177" s="21">
        <v>13687</v>
      </c>
      <c r="C177" s="40" t="s">
        <v>198</v>
      </c>
      <c r="D177" s="105">
        <v>10181.82</v>
      </c>
      <c r="E177" s="23">
        <v>42067</v>
      </c>
      <c r="F177" s="106">
        <v>10181.82</v>
      </c>
      <c r="G177" s="25">
        <f t="shared" si="2"/>
        <v>0</v>
      </c>
      <c r="H177" s="41" t="s">
        <v>149</v>
      </c>
      <c r="J177" s="42"/>
    </row>
    <row r="178" spans="1:10" s="3" customFormat="1" x14ac:dyDescent="0.25">
      <c r="A178" s="20">
        <v>42065</v>
      </c>
      <c r="B178" s="21">
        <v>13688</v>
      </c>
      <c r="C178" s="40" t="s">
        <v>203</v>
      </c>
      <c r="D178" s="105">
        <v>21884.720000000001</v>
      </c>
      <c r="E178" s="23">
        <v>42067</v>
      </c>
      <c r="F178" s="106">
        <v>21884.720000000001</v>
      </c>
      <c r="G178" s="25">
        <f t="shared" si="2"/>
        <v>0</v>
      </c>
      <c r="H178" s="41" t="s">
        <v>149</v>
      </c>
      <c r="J178" s="42"/>
    </row>
    <row r="179" spans="1:10" s="3" customFormat="1" x14ac:dyDescent="0.25">
      <c r="A179" s="12">
        <v>42065</v>
      </c>
      <c r="B179" s="21">
        <v>13689</v>
      </c>
      <c r="C179" s="40" t="s">
        <v>200</v>
      </c>
      <c r="D179" s="105">
        <v>1736.8</v>
      </c>
      <c r="E179" s="23">
        <v>42067</v>
      </c>
      <c r="F179" s="106">
        <v>1736.8</v>
      </c>
      <c r="G179" s="25">
        <f t="shared" si="2"/>
        <v>0</v>
      </c>
      <c r="H179" s="41" t="s">
        <v>149</v>
      </c>
      <c r="J179" s="42"/>
    </row>
    <row r="180" spans="1:10" s="3" customFormat="1" x14ac:dyDescent="0.25">
      <c r="A180" s="20">
        <v>42065</v>
      </c>
      <c r="B180" s="21">
        <v>13690</v>
      </c>
      <c r="C180" s="40" t="s">
        <v>193</v>
      </c>
      <c r="D180" s="105">
        <v>6988.96</v>
      </c>
      <c r="E180" s="30" t="s">
        <v>784</v>
      </c>
      <c r="F180" s="106">
        <v>6988.96</v>
      </c>
      <c r="G180" s="25">
        <f t="shared" si="2"/>
        <v>0</v>
      </c>
      <c r="H180" s="41" t="s">
        <v>9</v>
      </c>
      <c r="J180" s="42"/>
    </row>
    <row r="181" spans="1:10" s="3" customFormat="1" x14ac:dyDescent="0.25">
      <c r="A181" s="12">
        <v>42065</v>
      </c>
      <c r="B181" s="21">
        <v>13691</v>
      </c>
      <c r="C181" s="40" t="s">
        <v>80</v>
      </c>
      <c r="D181" s="105">
        <v>7354.8</v>
      </c>
      <c r="E181" s="23">
        <v>42065</v>
      </c>
      <c r="F181" s="106">
        <v>7354.8</v>
      </c>
      <c r="G181" s="25">
        <f t="shared" si="2"/>
        <v>0</v>
      </c>
      <c r="H181" s="41" t="s">
        <v>9</v>
      </c>
      <c r="J181" s="42"/>
    </row>
    <row r="182" spans="1:10" s="3" customFormat="1" x14ac:dyDescent="0.25">
      <c r="A182" s="20">
        <v>42065</v>
      </c>
      <c r="B182" s="21">
        <v>13692</v>
      </c>
      <c r="C182" s="40" t="s">
        <v>111</v>
      </c>
      <c r="D182" s="105">
        <v>131880</v>
      </c>
      <c r="E182" s="23">
        <v>42068</v>
      </c>
      <c r="F182" s="106">
        <v>131880</v>
      </c>
      <c r="G182" s="25">
        <f t="shared" si="2"/>
        <v>0</v>
      </c>
      <c r="H182" s="41" t="s">
        <v>9</v>
      </c>
      <c r="J182" s="42"/>
    </row>
    <row r="183" spans="1:10" s="3" customFormat="1" x14ac:dyDescent="0.25">
      <c r="A183" s="12">
        <v>42065</v>
      </c>
      <c r="B183" s="21">
        <v>13693</v>
      </c>
      <c r="C183" s="40" t="s">
        <v>454</v>
      </c>
      <c r="D183" s="105">
        <v>5398.2</v>
      </c>
      <c r="E183" s="23">
        <v>42066</v>
      </c>
      <c r="F183" s="106">
        <v>5398.2</v>
      </c>
      <c r="G183" s="25">
        <f t="shared" si="2"/>
        <v>0</v>
      </c>
      <c r="H183" s="41" t="s">
        <v>17</v>
      </c>
      <c r="J183" s="42"/>
    </row>
    <row r="184" spans="1:10" s="3" customFormat="1" x14ac:dyDescent="0.25">
      <c r="A184" s="20">
        <v>42065</v>
      </c>
      <c r="B184" s="21">
        <v>13694</v>
      </c>
      <c r="C184" s="14" t="s">
        <v>411</v>
      </c>
      <c r="D184" s="105">
        <v>1821.6</v>
      </c>
      <c r="E184" s="23">
        <v>42065</v>
      </c>
      <c r="F184" s="106">
        <v>1821.6</v>
      </c>
      <c r="G184" s="25">
        <f t="shared" si="2"/>
        <v>0</v>
      </c>
      <c r="H184" s="19" t="s">
        <v>9</v>
      </c>
      <c r="J184" s="42"/>
    </row>
    <row r="185" spans="1:10" s="3" customFormat="1" x14ac:dyDescent="0.25">
      <c r="A185" s="12">
        <v>42065</v>
      </c>
      <c r="B185" s="21">
        <v>13695</v>
      </c>
      <c r="C185" s="40" t="s">
        <v>318</v>
      </c>
      <c r="D185" s="105">
        <v>14408</v>
      </c>
      <c r="E185" s="23">
        <v>42065</v>
      </c>
      <c r="F185" s="106">
        <v>14408</v>
      </c>
      <c r="G185" s="25">
        <f t="shared" si="2"/>
        <v>0</v>
      </c>
      <c r="H185" s="41" t="s">
        <v>9</v>
      </c>
      <c r="J185" s="42"/>
    </row>
    <row r="186" spans="1:10" s="3" customFormat="1" x14ac:dyDescent="0.25">
      <c r="A186" s="20">
        <v>42065</v>
      </c>
      <c r="B186" s="21">
        <v>13696</v>
      </c>
      <c r="C186" s="40" t="s">
        <v>90</v>
      </c>
      <c r="D186" s="105">
        <v>1263.2</v>
      </c>
      <c r="E186" s="23">
        <v>42065</v>
      </c>
      <c r="F186" s="106">
        <v>1263.2</v>
      </c>
      <c r="G186" s="25">
        <f t="shared" si="2"/>
        <v>0</v>
      </c>
      <c r="H186" s="41" t="s">
        <v>9</v>
      </c>
      <c r="J186" s="42"/>
    </row>
    <row r="187" spans="1:10" s="3" customFormat="1" x14ac:dyDescent="0.25">
      <c r="A187" s="12">
        <v>42065</v>
      </c>
      <c r="B187" s="21">
        <v>13697</v>
      </c>
      <c r="C187" s="40" t="s">
        <v>24</v>
      </c>
      <c r="D187" s="105">
        <v>14261.7</v>
      </c>
      <c r="E187" s="23">
        <v>42081</v>
      </c>
      <c r="F187" s="106">
        <v>14261.7</v>
      </c>
      <c r="G187" s="25">
        <f t="shared" si="2"/>
        <v>0</v>
      </c>
      <c r="H187" s="41" t="s">
        <v>312</v>
      </c>
      <c r="J187" s="42"/>
    </row>
    <row r="188" spans="1:10" s="3" customFormat="1" x14ac:dyDescent="0.25">
      <c r="A188" s="20">
        <v>42065</v>
      </c>
      <c r="B188" s="21">
        <v>13698</v>
      </c>
      <c r="C188" s="40" t="s">
        <v>318</v>
      </c>
      <c r="D188" s="105">
        <v>345</v>
      </c>
      <c r="E188" s="23">
        <v>42065</v>
      </c>
      <c r="F188" s="106">
        <v>345</v>
      </c>
      <c r="G188" s="25">
        <f t="shared" si="2"/>
        <v>0</v>
      </c>
      <c r="H188" s="41" t="s">
        <v>9</v>
      </c>
      <c r="J188" s="42"/>
    </row>
    <row r="189" spans="1:10" s="3" customFormat="1" x14ac:dyDescent="0.25">
      <c r="A189" s="12">
        <v>42065</v>
      </c>
      <c r="B189" s="21">
        <v>13699</v>
      </c>
      <c r="C189" s="40" t="s">
        <v>206</v>
      </c>
      <c r="D189" s="105">
        <v>19904</v>
      </c>
      <c r="E189" s="30" t="s">
        <v>785</v>
      </c>
      <c r="F189" s="106">
        <v>19904</v>
      </c>
      <c r="G189" s="25">
        <f t="shared" si="2"/>
        <v>0</v>
      </c>
      <c r="H189" s="41" t="s">
        <v>149</v>
      </c>
      <c r="J189" s="42"/>
    </row>
    <row r="190" spans="1:10" s="3" customFormat="1" x14ac:dyDescent="0.25">
      <c r="A190" s="20">
        <v>42066</v>
      </c>
      <c r="B190" s="21">
        <v>13700</v>
      </c>
      <c r="C190" s="40" t="s">
        <v>16</v>
      </c>
      <c r="D190" s="105">
        <v>7345.8</v>
      </c>
      <c r="E190" s="23">
        <v>42066</v>
      </c>
      <c r="F190" s="106">
        <v>7345.8</v>
      </c>
      <c r="G190" s="25">
        <f t="shared" si="2"/>
        <v>0</v>
      </c>
      <c r="H190" s="41" t="s">
        <v>17</v>
      </c>
      <c r="J190" s="42"/>
    </row>
    <row r="191" spans="1:10" s="3" customFormat="1" x14ac:dyDescent="0.25">
      <c r="A191" s="12">
        <v>42066</v>
      </c>
      <c r="B191" s="21">
        <v>13701</v>
      </c>
      <c r="C191" s="40" t="s">
        <v>786</v>
      </c>
      <c r="D191" s="105">
        <v>63754.5</v>
      </c>
      <c r="E191" s="23">
        <v>42067</v>
      </c>
      <c r="F191" s="106">
        <v>63754.5</v>
      </c>
      <c r="G191" s="25">
        <f t="shared" si="2"/>
        <v>0</v>
      </c>
      <c r="H191" s="41" t="s">
        <v>9</v>
      </c>
      <c r="J191" s="42"/>
    </row>
    <row r="192" spans="1:10" s="3" customFormat="1" x14ac:dyDescent="0.25">
      <c r="A192" s="20">
        <v>42066</v>
      </c>
      <c r="B192" s="21">
        <v>13702</v>
      </c>
      <c r="C192" s="40" t="s">
        <v>14</v>
      </c>
      <c r="D192" s="105">
        <v>33043.800000000003</v>
      </c>
      <c r="E192" s="23">
        <v>42075</v>
      </c>
      <c r="F192" s="106">
        <v>33043.800000000003</v>
      </c>
      <c r="G192" s="25">
        <f t="shared" si="2"/>
        <v>0</v>
      </c>
      <c r="H192" s="41" t="s">
        <v>15</v>
      </c>
      <c r="J192" s="42"/>
    </row>
    <row r="193" spans="1:10" s="3" customFormat="1" x14ac:dyDescent="0.25">
      <c r="A193" s="12">
        <v>42066</v>
      </c>
      <c r="B193" s="21">
        <v>13703</v>
      </c>
      <c r="C193" s="40" t="s">
        <v>32</v>
      </c>
      <c r="D193" s="105">
        <v>25736.2</v>
      </c>
      <c r="E193" s="23">
        <v>42089</v>
      </c>
      <c r="F193" s="106">
        <v>25736.2</v>
      </c>
      <c r="G193" s="25">
        <f t="shared" si="2"/>
        <v>0</v>
      </c>
      <c r="H193" s="41" t="s">
        <v>19</v>
      </c>
      <c r="J193" s="42"/>
    </row>
    <row r="194" spans="1:10" s="3" customFormat="1" x14ac:dyDescent="0.25">
      <c r="A194" s="20">
        <v>42066</v>
      </c>
      <c r="B194" s="21">
        <v>13704</v>
      </c>
      <c r="C194" s="40" t="s">
        <v>267</v>
      </c>
      <c r="D194" s="105">
        <v>1247.8</v>
      </c>
      <c r="E194" s="23">
        <v>42066</v>
      </c>
      <c r="F194" s="106">
        <v>1247.8</v>
      </c>
      <c r="G194" s="25">
        <f t="shared" si="2"/>
        <v>0</v>
      </c>
      <c r="H194" s="41" t="s">
        <v>19</v>
      </c>
      <c r="J194" s="42"/>
    </row>
    <row r="195" spans="1:10" s="3" customFormat="1" x14ac:dyDescent="0.25">
      <c r="A195" s="12">
        <v>42066</v>
      </c>
      <c r="B195" s="21">
        <v>13705</v>
      </c>
      <c r="C195" s="40" t="s">
        <v>20</v>
      </c>
      <c r="D195" s="105">
        <v>10449.299999999999</v>
      </c>
      <c r="E195" s="23">
        <v>42066</v>
      </c>
      <c r="F195" s="106">
        <v>10449.299999999999</v>
      </c>
      <c r="G195" s="25">
        <f t="shared" ref="G195:G258" si="3">D195-F195</f>
        <v>0</v>
      </c>
      <c r="H195" s="41" t="s">
        <v>94</v>
      </c>
      <c r="J195" s="42"/>
    </row>
    <row r="196" spans="1:10" s="3" customFormat="1" x14ac:dyDescent="0.25">
      <c r="A196" s="20">
        <v>42066</v>
      </c>
      <c r="B196" s="21">
        <v>13706</v>
      </c>
      <c r="C196" s="40" t="s">
        <v>121</v>
      </c>
      <c r="D196" s="105">
        <v>3078.4</v>
      </c>
      <c r="E196" s="23">
        <v>42066</v>
      </c>
      <c r="F196" s="106">
        <v>3078.4</v>
      </c>
      <c r="G196" s="25">
        <f t="shared" si="3"/>
        <v>0</v>
      </c>
      <c r="H196" s="41" t="s">
        <v>9</v>
      </c>
      <c r="J196" s="42"/>
    </row>
    <row r="197" spans="1:10" s="3" customFormat="1" x14ac:dyDescent="0.25">
      <c r="A197" s="12">
        <v>42066</v>
      </c>
      <c r="B197" s="21">
        <v>13707</v>
      </c>
      <c r="C197" s="40" t="s">
        <v>787</v>
      </c>
      <c r="D197" s="105">
        <v>8717.6</v>
      </c>
      <c r="E197" s="23">
        <v>42066</v>
      </c>
      <c r="F197" s="106">
        <v>8717.6</v>
      </c>
      <c r="G197" s="25">
        <f t="shared" si="3"/>
        <v>0</v>
      </c>
      <c r="H197" s="41" t="s">
        <v>9</v>
      </c>
      <c r="J197" s="42"/>
    </row>
    <row r="198" spans="1:10" s="3" customFormat="1" x14ac:dyDescent="0.25">
      <c r="A198" s="20">
        <v>42066</v>
      </c>
      <c r="B198" s="21">
        <v>13708</v>
      </c>
      <c r="C198" s="40" t="s">
        <v>48</v>
      </c>
      <c r="D198" s="105">
        <v>3284</v>
      </c>
      <c r="E198" s="23">
        <v>42066</v>
      </c>
      <c r="F198" s="106">
        <v>3284</v>
      </c>
      <c r="G198" s="25">
        <f t="shared" si="3"/>
        <v>0</v>
      </c>
      <c r="H198" s="41" t="s">
        <v>94</v>
      </c>
      <c r="J198" s="42"/>
    </row>
    <row r="199" spans="1:10" s="3" customFormat="1" x14ac:dyDescent="0.25">
      <c r="A199" s="12">
        <v>42066</v>
      </c>
      <c r="B199" s="21">
        <v>13709</v>
      </c>
      <c r="C199" s="40" t="s">
        <v>151</v>
      </c>
      <c r="D199" s="105">
        <v>3394.7</v>
      </c>
      <c r="E199" s="23">
        <v>42067</v>
      </c>
      <c r="F199" s="106">
        <v>3394.7</v>
      </c>
      <c r="G199" s="25">
        <f t="shared" si="3"/>
        <v>0</v>
      </c>
      <c r="H199" s="41" t="s">
        <v>9</v>
      </c>
      <c r="J199" s="42"/>
    </row>
    <row r="200" spans="1:10" s="3" customFormat="1" x14ac:dyDescent="0.25">
      <c r="A200" s="20">
        <v>42066</v>
      </c>
      <c r="B200" s="21">
        <v>13710</v>
      </c>
      <c r="C200" s="40" t="s">
        <v>114</v>
      </c>
      <c r="D200" s="105">
        <v>3052.8</v>
      </c>
      <c r="E200" s="23">
        <v>42066</v>
      </c>
      <c r="F200" s="106">
        <v>3052.8</v>
      </c>
      <c r="G200" s="25">
        <f t="shared" si="3"/>
        <v>0</v>
      </c>
      <c r="H200" s="41" t="s">
        <v>9</v>
      </c>
      <c r="J200" s="42"/>
    </row>
    <row r="201" spans="1:10" s="3" customFormat="1" x14ac:dyDescent="0.25">
      <c r="A201" s="12">
        <v>42066</v>
      </c>
      <c r="B201" s="21">
        <v>13711</v>
      </c>
      <c r="C201" s="40" t="s">
        <v>604</v>
      </c>
      <c r="D201" s="105">
        <v>6066.9</v>
      </c>
      <c r="E201" s="23">
        <v>42066</v>
      </c>
      <c r="F201" s="106">
        <v>6066.9</v>
      </c>
      <c r="G201" s="25">
        <f t="shared" si="3"/>
        <v>0</v>
      </c>
      <c r="H201" s="41" t="s">
        <v>9</v>
      </c>
      <c r="J201" s="42"/>
    </row>
    <row r="202" spans="1:10" s="3" customFormat="1" x14ac:dyDescent="0.25">
      <c r="A202" s="20">
        <v>42066</v>
      </c>
      <c r="B202" s="21">
        <v>13712</v>
      </c>
      <c r="C202" s="40" t="s">
        <v>110</v>
      </c>
      <c r="D202" s="105">
        <v>8287</v>
      </c>
      <c r="E202" s="23">
        <v>42077</v>
      </c>
      <c r="F202" s="106">
        <v>8287</v>
      </c>
      <c r="G202" s="25">
        <f t="shared" si="3"/>
        <v>0</v>
      </c>
      <c r="H202" s="41" t="s">
        <v>94</v>
      </c>
      <c r="J202" s="42"/>
    </row>
    <row r="203" spans="1:10" s="3" customFormat="1" x14ac:dyDescent="0.25">
      <c r="A203" s="12">
        <v>42066</v>
      </c>
      <c r="B203" s="21">
        <v>13713</v>
      </c>
      <c r="C203" s="40" t="s">
        <v>21</v>
      </c>
      <c r="D203" s="105">
        <v>4982.3999999999996</v>
      </c>
      <c r="E203" s="23">
        <v>42066</v>
      </c>
      <c r="F203" s="106">
        <v>4982.3999999999996</v>
      </c>
      <c r="G203" s="25">
        <f t="shared" si="3"/>
        <v>0</v>
      </c>
      <c r="H203" s="41" t="s">
        <v>9</v>
      </c>
      <c r="J203" s="42"/>
    </row>
    <row r="204" spans="1:10" s="3" customFormat="1" x14ac:dyDescent="0.25">
      <c r="A204" s="20">
        <v>42066</v>
      </c>
      <c r="B204" s="21">
        <v>13714</v>
      </c>
      <c r="C204" s="40" t="s">
        <v>720</v>
      </c>
      <c r="D204" s="105">
        <v>1381.8</v>
      </c>
      <c r="E204" s="23">
        <v>42066</v>
      </c>
      <c r="F204" s="106">
        <v>1381.8</v>
      </c>
      <c r="G204" s="25">
        <f t="shared" si="3"/>
        <v>0</v>
      </c>
      <c r="H204" s="41" t="s">
        <v>94</v>
      </c>
      <c r="J204" s="42"/>
    </row>
    <row r="205" spans="1:10" s="3" customFormat="1" x14ac:dyDescent="0.25">
      <c r="A205" s="12">
        <v>42066</v>
      </c>
      <c r="B205" s="21">
        <v>13715</v>
      </c>
      <c r="C205" s="40" t="s">
        <v>658</v>
      </c>
      <c r="D205" s="105">
        <v>2883.8</v>
      </c>
      <c r="E205" s="23">
        <v>42066</v>
      </c>
      <c r="F205" s="106">
        <v>2883.8</v>
      </c>
      <c r="G205" s="25">
        <f t="shared" si="3"/>
        <v>0</v>
      </c>
      <c r="H205" s="41" t="s">
        <v>9</v>
      </c>
      <c r="J205" s="42"/>
    </row>
    <row r="206" spans="1:10" s="3" customFormat="1" x14ac:dyDescent="0.25">
      <c r="A206" s="20">
        <v>42066</v>
      </c>
      <c r="B206" s="21">
        <v>13716</v>
      </c>
      <c r="C206" s="40" t="s">
        <v>132</v>
      </c>
      <c r="D206" s="105">
        <v>2273.1</v>
      </c>
      <c r="E206" s="23">
        <v>42066</v>
      </c>
      <c r="F206" s="106">
        <v>2273.1</v>
      </c>
      <c r="G206" s="31">
        <f t="shared" si="3"/>
        <v>0</v>
      </c>
      <c r="H206" s="41" t="s">
        <v>9</v>
      </c>
      <c r="J206" s="42"/>
    </row>
    <row r="207" spans="1:10" s="3" customFormat="1" x14ac:dyDescent="0.25">
      <c r="A207" s="12">
        <v>42066</v>
      </c>
      <c r="B207" s="21">
        <v>13717</v>
      </c>
      <c r="C207" s="40" t="s">
        <v>270</v>
      </c>
      <c r="D207" s="105">
        <v>282.39999999999998</v>
      </c>
      <c r="E207" s="23">
        <v>42066</v>
      </c>
      <c r="F207" s="106">
        <v>282.39999999999998</v>
      </c>
      <c r="G207" s="31">
        <f t="shared" si="3"/>
        <v>0</v>
      </c>
      <c r="H207" s="41" t="s">
        <v>9</v>
      </c>
      <c r="J207" s="42"/>
    </row>
    <row r="208" spans="1:10" s="3" customFormat="1" x14ac:dyDescent="0.25">
      <c r="A208" s="20">
        <v>42066</v>
      </c>
      <c r="B208" s="21">
        <v>13718</v>
      </c>
      <c r="C208" s="40" t="s">
        <v>20</v>
      </c>
      <c r="D208" s="105">
        <v>15005.4</v>
      </c>
      <c r="E208" s="23">
        <v>42067</v>
      </c>
      <c r="F208" s="106">
        <v>15005.4</v>
      </c>
      <c r="G208" s="31">
        <f t="shared" si="3"/>
        <v>0</v>
      </c>
      <c r="H208" s="41" t="s">
        <v>9</v>
      </c>
      <c r="J208" s="42"/>
    </row>
    <row r="209" spans="1:10" s="3" customFormat="1" x14ac:dyDescent="0.25">
      <c r="A209" s="12">
        <v>42066</v>
      </c>
      <c r="B209" s="21">
        <v>13719</v>
      </c>
      <c r="C209" s="40" t="s">
        <v>132</v>
      </c>
      <c r="D209" s="105">
        <v>2233.35</v>
      </c>
      <c r="E209" s="23">
        <v>42066</v>
      </c>
      <c r="F209" s="106">
        <v>2233.35</v>
      </c>
      <c r="G209" s="31">
        <f t="shared" si="3"/>
        <v>0</v>
      </c>
      <c r="H209" s="41" t="s">
        <v>9</v>
      </c>
      <c r="J209" s="42"/>
    </row>
    <row r="210" spans="1:10" s="3" customFormat="1" x14ac:dyDescent="0.25">
      <c r="A210" s="20">
        <v>42066</v>
      </c>
      <c r="B210" s="21">
        <v>13720</v>
      </c>
      <c r="C210" s="40" t="s">
        <v>24</v>
      </c>
      <c r="D210" s="105">
        <v>54341.4</v>
      </c>
      <c r="E210" s="23">
        <v>42081</v>
      </c>
      <c r="F210" s="106">
        <v>54341.4</v>
      </c>
      <c r="G210" s="31">
        <f t="shared" si="3"/>
        <v>0</v>
      </c>
      <c r="H210" s="41" t="s">
        <v>9</v>
      </c>
      <c r="J210" s="42"/>
    </row>
    <row r="211" spans="1:10" s="3" customFormat="1" x14ac:dyDescent="0.25">
      <c r="A211" s="12">
        <v>42066</v>
      </c>
      <c r="B211" s="21">
        <v>13721</v>
      </c>
      <c r="C211" s="40" t="s">
        <v>100</v>
      </c>
      <c r="D211" s="105">
        <v>2538.8000000000002</v>
      </c>
      <c r="E211" s="23">
        <v>42066</v>
      </c>
      <c r="F211" s="106">
        <v>2538.8000000000002</v>
      </c>
      <c r="G211" s="31">
        <f t="shared" si="3"/>
        <v>0</v>
      </c>
      <c r="H211" s="41" t="s">
        <v>9</v>
      </c>
      <c r="J211" s="42"/>
    </row>
    <row r="212" spans="1:10" s="3" customFormat="1" x14ac:dyDescent="0.25">
      <c r="A212" s="20">
        <v>42066</v>
      </c>
      <c r="B212" s="21">
        <v>13722</v>
      </c>
      <c r="C212" s="40" t="s">
        <v>116</v>
      </c>
      <c r="D212" s="105">
        <v>5931.45</v>
      </c>
      <c r="E212" s="23">
        <v>42066</v>
      </c>
      <c r="F212" s="106">
        <v>5931.45</v>
      </c>
      <c r="G212" s="31">
        <f t="shared" si="3"/>
        <v>0</v>
      </c>
      <c r="H212" s="41" t="s">
        <v>59</v>
      </c>
      <c r="J212" s="42"/>
    </row>
    <row r="213" spans="1:10" s="3" customFormat="1" x14ac:dyDescent="0.25">
      <c r="A213" s="12">
        <v>42066</v>
      </c>
      <c r="B213" s="21">
        <v>13723</v>
      </c>
      <c r="C213" s="40" t="s">
        <v>167</v>
      </c>
      <c r="D213" s="105">
        <v>384.8</v>
      </c>
      <c r="E213" s="23">
        <v>42066</v>
      </c>
      <c r="F213" s="106">
        <v>384.8</v>
      </c>
      <c r="G213" s="31">
        <f t="shared" si="3"/>
        <v>0</v>
      </c>
      <c r="H213" s="41" t="s">
        <v>59</v>
      </c>
      <c r="J213" s="42"/>
    </row>
    <row r="214" spans="1:10" s="3" customFormat="1" x14ac:dyDescent="0.25">
      <c r="A214" s="20">
        <v>42066</v>
      </c>
      <c r="B214" s="21">
        <v>13724</v>
      </c>
      <c r="C214" s="40" t="s">
        <v>118</v>
      </c>
      <c r="D214" s="105">
        <v>9267.4</v>
      </c>
      <c r="E214" s="30" t="s">
        <v>788</v>
      </c>
      <c r="F214" s="106">
        <v>9267.4</v>
      </c>
      <c r="G214" s="31">
        <f t="shared" si="3"/>
        <v>0</v>
      </c>
      <c r="H214" s="41" t="s">
        <v>59</v>
      </c>
      <c r="J214" s="42"/>
    </row>
    <row r="215" spans="1:10" s="3" customFormat="1" x14ac:dyDescent="0.25">
      <c r="A215" s="12">
        <v>42066</v>
      </c>
      <c r="B215" s="21">
        <v>13725</v>
      </c>
      <c r="C215" s="40" t="s">
        <v>83</v>
      </c>
      <c r="D215" s="105">
        <v>3493</v>
      </c>
      <c r="E215" s="23">
        <v>42066</v>
      </c>
      <c r="F215" s="106">
        <v>3493</v>
      </c>
      <c r="G215" s="31">
        <f t="shared" si="3"/>
        <v>0</v>
      </c>
      <c r="H215" s="41" t="s">
        <v>59</v>
      </c>
      <c r="J215" s="42"/>
    </row>
    <row r="216" spans="1:10" s="3" customFormat="1" x14ac:dyDescent="0.25">
      <c r="A216" s="20">
        <v>42066</v>
      </c>
      <c r="B216" s="21">
        <v>13726</v>
      </c>
      <c r="C216" s="40" t="s">
        <v>53</v>
      </c>
      <c r="D216" s="105">
        <v>1085</v>
      </c>
      <c r="E216" s="23">
        <v>42066</v>
      </c>
      <c r="F216" s="106">
        <v>1085</v>
      </c>
      <c r="G216" s="31">
        <f t="shared" si="3"/>
        <v>0</v>
      </c>
      <c r="H216" s="41" t="s">
        <v>59</v>
      </c>
      <c r="J216" s="42"/>
    </row>
    <row r="217" spans="1:10" s="3" customFormat="1" x14ac:dyDescent="0.25">
      <c r="A217" s="12">
        <v>42066</v>
      </c>
      <c r="B217" s="21">
        <v>13727</v>
      </c>
      <c r="C217" s="40" t="s">
        <v>120</v>
      </c>
      <c r="D217" s="105">
        <v>1136</v>
      </c>
      <c r="E217" s="23">
        <v>42066</v>
      </c>
      <c r="F217" s="106">
        <v>1136</v>
      </c>
      <c r="G217" s="31">
        <f t="shared" si="3"/>
        <v>0</v>
      </c>
      <c r="H217" s="41" t="s">
        <v>59</v>
      </c>
      <c r="J217" s="42"/>
    </row>
    <row r="218" spans="1:10" s="3" customFormat="1" x14ac:dyDescent="0.25">
      <c r="A218" s="20">
        <v>42066</v>
      </c>
      <c r="B218" s="21">
        <v>13728</v>
      </c>
      <c r="C218" s="40" t="s">
        <v>82</v>
      </c>
      <c r="D218" s="105">
        <v>2028</v>
      </c>
      <c r="E218" s="23">
        <v>42066</v>
      </c>
      <c r="F218" s="106">
        <v>2028</v>
      </c>
      <c r="G218" s="31">
        <f t="shared" si="3"/>
        <v>0</v>
      </c>
      <c r="H218" s="41" t="s">
        <v>59</v>
      </c>
      <c r="J218" s="42"/>
    </row>
    <row r="219" spans="1:10" s="3" customFormat="1" x14ac:dyDescent="0.25">
      <c r="A219" s="12">
        <v>42066</v>
      </c>
      <c r="B219" s="21">
        <v>13729</v>
      </c>
      <c r="C219" s="40" t="s">
        <v>155</v>
      </c>
      <c r="D219" s="105">
        <v>862</v>
      </c>
      <c r="E219" s="23">
        <v>42066</v>
      </c>
      <c r="F219" s="106">
        <v>862</v>
      </c>
      <c r="G219" s="31">
        <f t="shared" si="3"/>
        <v>0</v>
      </c>
      <c r="H219" s="41" t="s">
        <v>59</v>
      </c>
      <c r="J219" s="42"/>
    </row>
    <row r="220" spans="1:10" s="3" customFormat="1" x14ac:dyDescent="0.25">
      <c r="A220" s="20">
        <v>42066</v>
      </c>
      <c r="B220" s="21">
        <v>13730</v>
      </c>
      <c r="C220" s="40" t="s">
        <v>168</v>
      </c>
      <c r="D220" s="105">
        <v>1873.2</v>
      </c>
      <c r="E220" s="23">
        <v>42066</v>
      </c>
      <c r="F220" s="106">
        <v>1873.2</v>
      </c>
      <c r="G220" s="31">
        <f t="shared" si="3"/>
        <v>0</v>
      </c>
      <c r="H220" s="41" t="s">
        <v>59</v>
      </c>
      <c r="J220" s="42"/>
    </row>
    <row r="221" spans="1:10" s="3" customFormat="1" x14ac:dyDescent="0.25">
      <c r="A221" s="12">
        <v>42066</v>
      </c>
      <c r="B221" s="21">
        <v>13731</v>
      </c>
      <c r="C221" s="40" t="s">
        <v>102</v>
      </c>
      <c r="D221" s="105">
        <v>1403.8</v>
      </c>
      <c r="E221" s="23">
        <v>42066</v>
      </c>
      <c r="F221" s="106">
        <v>1403.8</v>
      </c>
      <c r="G221" s="31">
        <f t="shared" si="3"/>
        <v>0</v>
      </c>
      <c r="H221" s="41" t="s">
        <v>9</v>
      </c>
      <c r="J221" s="42"/>
    </row>
    <row r="222" spans="1:10" s="3" customFormat="1" x14ac:dyDescent="0.25">
      <c r="A222" s="20">
        <v>42066</v>
      </c>
      <c r="B222" s="21">
        <v>13732</v>
      </c>
      <c r="C222" s="40" t="s">
        <v>57</v>
      </c>
      <c r="D222" s="105">
        <v>360</v>
      </c>
      <c r="E222" s="23">
        <v>42066</v>
      </c>
      <c r="F222" s="106">
        <v>360</v>
      </c>
      <c r="G222" s="31">
        <f t="shared" si="3"/>
        <v>0</v>
      </c>
      <c r="H222" s="41" t="s">
        <v>59</v>
      </c>
      <c r="J222" s="42"/>
    </row>
    <row r="223" spans="1:10" s="3" customFormat="1" x14ac:dyDescent="0.25">
      <c r="A223" s="12">
        <v>42066</v>
      </c>
      <c r="B223" s="21">
        <v>13733</v>
      </c>
      <c r="C223" s="40" t="s">
        <v>54</v>
      </c>
      <c r="D223" s="105">
        <v>540</v>
      </c>
      <c r="E223" s="23">
        <v>42066</v>
      </c>
      <c r="F223" s="106">
        <v>540</v>
      </c>
      <c r="G223" s="31">
        <f t="shared" si="3"/>
        <v>0</v>
      </c>
      <c r="H223" s="41" t="s">
        <v>59</v>
      </c>
      <c r="J223" s="42"/>
    </row>
    <row r="224" spans="1:10" s="3" customFormat="1" x14ac:dyDescent="0.25">
      <c r="A224" s="20">
        <v>42066</v>
      </c>
      <c r="B224" s="21">
        <v>13734</v>
      </c>
      <c r="C224" s="113">
        <v>105</v>
      </c>
      <c r="D224" s="105">
        <v>1008</v>
      </c>
      <c r="E224" s="23">
        <v>42066</v>
      </c>
      <c r="F224" s="106">
        <v>1008</v>
      </c>
      <c r="G224" s="31">
        <f t="shared" si="3"/>
        <v>0</v>
      </c>
      <c r="H224" s="41" t="s">
        <v>59</v>
      </c>
      <c r="J224" s="42"/>
    </row>
    <row r="225" spans="1:10" s="3" customFormat="1" x14ac:dyDescent="0.25">
      <c r="A225" s="12">
        <v>42066</v>
      </c>
      <c r="B225" s="21">
        <v>13735</v>
      </c>
      <c r="C225" s="40" t="s">
        <v>215</v>
      </c>
      <c r="D225" s="105">
        <v>14717</v>
      </c>
      <c r="E225" s="23">
        <v>42066</v>
      </c>
      <c r="F225" s="106">
        <v>14717</v>
      </c>
      <c r="G225" s="31">
        <f t="shared" si="3"/>
        <v>0</v>
      </c>
      <c r="H225" s="41" t="s">
        <v>9</v>
      </c>
      <c r="J225" s="42"/>
    </row>
    <row r="226" spans="1:10" s="3" customFormat="1" x14ac:dyDescent="0.25">
      <c r="A226" s="20">
        <v>42066</v>
      </c>
      <c r="B226" s="21">
        <v>13736</v>
      </c>
      <c r="C226" s="40" t="s">
        <v>125</v>
      </c>
      <c r="D226" s="105">
        <v>12987.35</v>
      </c>
      <c r="E226" s="23">
        <v>42083</v>
      </c>
      <c r="F226" s="106">
        <v>12987.35</v>
      </c>
      <c r="G226" s="31">
        <f t="shared" si="3"/>
        <v>0</v>
      </c>
      <c r="H226" s="41" t="s">
        <v>9</v>
      </c>
      <c r="I226" s="4"/>
      <c r="J226" s="43"/>
    </row>
    <row r="227" spans="1:10" s="3" customFormat="1" x14ac:dyDescent="0.25">
      <c r="A227" s="12">
        <v>42066</v>
      </c>
      <c r="B227" s="21">
        <v>13737</v>
      </c>
      <c r="C227" s="40" t="s">
        <v>128</v>
      </c>
      <c r="D227" s="105">
        <v>8000</v>
      </c>
      <c r="E227" s="23">
        <v>42066</v>
      </c>
      <c r="F227" s="106">
        <v>8000</v>
      </c>
      <c r="G227" s="31">
        <f t="shared" si="3"/>
        <v>0</v>
      </c>
      <c r="H227" s="41" t="s">
        <v>17</v>
      </c>
      <c r="I227" s="4"/>
      <c r="J227" s="43"/>
    </row>
    <row r="228" spans="1:10" s="3" customFormat="1" x14ac:dyDescent="0.25">
      <c r="A228" s="20">
        <v>42066</v>
      </c>
      <c r="B228" s="21">
        <v>13738</v>
      </c>
      <c r="C228" s="40" t="s">
        <v>225</v>
      </c>
      <c r="D228" s="105">
        <v>2848</v>
      </c>
      <c r="E228" s="23">
        <v>42066</v>
      </c>
      <c r="F228" s="106">
        <v>2848</v>
      </c>
      <c r="G228" s="31">
        <f t="shared" si="3"/>
        <v>0</v>
      </c>
      <c r="H228" s="41" t="s">
        <v>9</v>
      </c>
      <c r="I228" s="4"/>
      <c r="J228" s="43"/>
    </row>
    <row r="229" spans="1:10" s="3" customFormat="1" x14ac:dyDescent="0.25">
      <c r="A229" s="12">
        <v>42066</v>
      </c>
      <c r="B229" s="21">
        <v>13739</v>
      </c>
      <c r="C229" s="40" t="s">
        <v>221</v>
      </c>
      <c r="D229" s="105">
        <v>1513.6</v>
      </c>
      <c r="E229" s="23">
        <v>42066</v>
      </c>
      <c r="F229" s="106">
        <v>1513.6</v>
      </c>
      <c r="G229" s="31">
        <f t="shared" si="3"/>
        <v>0</v>
      </c>
      <c r="H229" s="41" t="s">
        <v>59</v>
      </c>
      <c r="I229" s="4"/>
      <c r="J229" s="43"/>
    </row>
    <row r="230" spans="1:10" s="3" customFormat="1" x14ac:dyDescent="0.25">
      <c r="A230" s="20">
        <v>42066</v>
      </c>
      <c r="B230" s="21">
        <v>13740</v>
      </c>
      <c r="C230" s="40" t="s">
        <v>34</v>
      </c>
      <c r="D230" s="105">
        <v>5348</v>
      </c>
      <c r="E230" s="23">
        <v>42066</v>
      </c>
      <c r="F230" s="106">
        <v>5348</v>
      </c>
      <c r="G230" s="31">
        <f t="shared" si="3"/>
        <v>0</v>
      </c>
      <c r="H230" s="41" t="s">
        <v>9</v>
      </c>
      <c r="I230" s="4"/>
      <c r="J230" s="107"/>
    </row>
    <row r="231" spans="1:10" s="3" customFormat="1" x14ac:dyDescent="0.25">
      <c r="A231" s="12">
        <v>42066</v>
      </c>
      <c r="B231" s="21">
        <v>13741</v>
      </c>
      <c r="C231" s="40" t="s">
        <v>130</v>
      </c>
      <c r="D231" s="105">
        <v>3925.75</v>
      </c>
      <c r="E231" s="23">
        <v>42068</v>
      </c>
      <c r="F231" s="106">
        <v>3925.75</v>
      </c>
      <c r="G231" s="31">
        <f t="shared" si="3"/>
        <v>0</v>
      </c>
      <c r="H231" s="41" t="s">
        <v>17</v>
      </c>
      <c r="I231" s="4"/>
      <c r="J231" s="43"/>
    </row>
    <row r="232" spans="1:10" s="3" customFormat="1" x14ac:dyDescent="0.25">
      <c r="A232" s="20">
        <v>42066</v>
      </c>
      <c r="B232" s="21">
        <v>13742</v>
      </c>
      <c r="C232" s="40" t="s">
        <v>131</v>
      </c>
      <c r="D232" s="105">
        <v>9161.2000000000007</v>
      </c>
      <c r="E232" s="23">
        <v>42066</v>
      </c>
      <c r="F232" s="106">
        <v>9161.2000000000007</v>
      </c>
      <c r="G232" s="31">
        <f t="shared" si="3"/>
        <v>0</v>
      </c>
      <c r="H232" s="41" t="s">
        <v>17</v>
      </c>
      <c r="I232" s="4"/>
      <c r="J232" s="43"/>
    </row>
    <row r="233" spans="1:10" s="3" customFormat="1" x14ac:dyDescent="0.25">
      <c r="A233" s="12">
        <v>42066</v>
      </c>
      <c r="B233" s="21">
        <v>13743</v>
      </c>
      <c r="C233" s="40" t="s">
        <v>165</v>
      </c>
      <c r="D233" s="105">
        <v>2879.1</v>
      </c>
      <c r="E233" s="23">
        <v>42067</v>
      </c>
      <c r="F233" s="106">
        <v>2879.1</v>
      </c>
      <c r="G233" s="31">
        <f t="shared" si="3"/>
        <v>0</v>
      </c>
      <c r="H233" s="41" t="s">
        <v>17</v>
      </c>
      <c r="I233" s="4"/>
      <c r="J233" s="43"/>
    </row>
    <row r="234" spans="1:10" s="3" customFormat="1" x14ac:dyDescent="0.25">
      <c r="A234" s="20">
        <v>42066</v>
      </c>
      <c r="B234" s="21">
        <v>13744</v>
      </c>
      <c r="C234" s="40" t="s">
        <v>99</v>
      </c>
      <c r="D234" s="105">
        <v>699.6</v>
      </c>
      <c r="E234" s="23">
        <v>42066</v>
      </c>
      <c r="F234" s="106">
        <v>699.6</v>
      </c>
      <c r="G234" s="31">
        <f t="shared" si="3"/>
        <v>0</v>
      </c>
      <c r="H234" s="41" t="s">
        <v>15</v>
      </c>
      <c r="I234" s="4"/>
      <c r="J234" s="43"/>
    </row>
    <row r="235" spans="1:10" s="3" customFormat="1" x14ac:dyDescent="0.25">
      <c r="A235" s="12">
        <v>42066</v>
      </c>
      <c r="B235" s="21">
        <v>13745</v>
      </c>
      <c r="C235" s="40" t="s">
        <v>14</v>
      </c>
      <c r="D235" s="105">
        <v>6134.4</v>
      </c>
      <c r="E235" s="23">
        <v>42075</v>
      </c>
      <c r="F235" s="106">
        <v>6134.4</v>
      </c>
      <c r="G235" s="31">
        <f t="shared" si="3"/>
        <v>0</v>
      </c>
      <c r="H235" s="41" t="s">
        <v>15</v>
      </c>
      <c r="I235" s="4"/>
      <c r="J235" s="43"/>
    </row>
    <row r="236" spans="1:10" s="3" customFormat="1" x14ac:dyDescent="0.25">
      <c r="A236" s="20">
        <v>42066</v>
      </c>
      <c r="B236" s="21">
        <v>13746</v>
      </c>
      <c r="C236" s="40" t="s">
        <v>26</v>
      </c>
      <c r="D236" s="105">
        <v>1644</v>
      </c>
      <c r="E236" s="23">
        <v>42066</v>
      </c>
      <c r="F236" s="106">
        <v>1644</v>
      </c>
      <c r="G236" s="31">
        <f t="shared" si="3"/>
        <v>0</v>
      </c>
      <c r="H236" s="41" t="s">
        <v>27</v>
      </c>
      <c r="I236" s="4"/>
      <c r="J236" s="43"/>
    </row>
    <row r="237" spans="1:10" s="3" customFormat="1" x14ac:dyDescent="0.25">
      <c r="A237" s="12">
        <v>42066</v>
      </c>
      <c r="B237" s="21">
        <v>13747</v>
      </c>
      <c r="C237" s="40" t="s">
        <v>100</v>
      </c>
      <c r="D237" s="105">
        <v>585.6</v>
      </c>
      <c r="E237" s="23">
        <v>42066</v>
      </c>
      <c r="F237" s="106">
        <v>585.6</v>
      </c>
      <c r="G237" s="31">
        <f t="shared" si="3"/>
        <v>0</v>
      </c>
      <c r="H237" s="41" t="s">
        <v>9</v>
      </c>
      <c r="I237" s="4"/>
      <c r="J237" s="43"/>
    </row>
    <row r="238" spans="1:10" s="3" customFormat="1" x14ac:dyDescent="0.25">
      <c r="A238" s="20">
        <v>42066</v>
      </c>
      <c r="B238" s="21">
        <v>13748</v>
      </c>
      <c r="C238" s="40" t="s">
        <v>136</v>
      </c>
      <c r="D238" s="105">
        <v>3032.4</v>
      </c>
      <c r="E238" s="23">
        <v>42066</v>
      </c>
      <c r="F238" s="106">
        <v>3032.4</v>
      </c>
      <c r="G238" s="31">
        <f t="shared" si="3"/>
        <v>0</v>
      </c>
      <c r="H238" s="41" t="s">
        <v>9</v>
      </c>
      <c r="I238" s="4"/>
      <c r="J238" s="43"/>
    </row>
    <row r="239" spans="1:10" s="3" customFormat="1" x14ac:dyDescent="0.25">
      <c r="A239" s="12">
        <v>42066</v>
      </c>
      <c r="B239" s="21">
        <v>13749</v>
      </c>
      <c r="C239" s="40" t="s">
        <v>110</v>
      </c>
      <c r="D239" s="105">
        <v>2812.12</v>
      </c>
      <c r="E239" s="23">
        <v>42077</v>
      </c>
      <c r="F239" s="106">
        <v>2812.12</v>
      </c>
      <c r="G239" s="31">
        <f t="shared" si="3"/>
        <v>0</v>
      </c>
      <c r="H239" s="41" t="s">
        <v>183</v>
      </c>
      <c r="I239" s="4"/>
      <c r="J239" s="43"/>
    </row>
    <row r="240" spans="1:10" s="3" customFormat="1" x14ac:dyDescent="0.25">
      <c r="A240" s="20">
        <v>42066</v>
      </c>
      <c r="B240" s="21">
        <v>13750</v>
      </c>
      <c r="C240" s="40" t="s">
        <v>14</v>
      </c>
      <c r="D240" s="105">
        <v>23868</v>
      </c>
      <c r="E240" s="23">
        <v>42075</v>
      </c>
      <c r="F240" s="106">
        <v>23868</v>
      </c>
      <c r="G240" s="31">
        <f t="shared" si="3"/>
        <v>0</v>
      </c>
      <c r="H240" s="41" t="s">
        <v>9</v>
      </c>
      <c r="I240" s="4"/>
      <c r="J240" s="43"/>
    </row>
    <row r="241" spans="1:10" s="3" customFormat="1" x14ac:dyDescent="0.25">
      <c r="A241" s="12">
        <v>42066</v>
      </c>
      <c r="B241" s="21">
        <v>13751</v>
      </c>
      <c r="C241" s="40" t="s">
        <v>136</v>
      </c>
      <c r="D241" s="105">
        <v>648</v>
      </c>
      <c r="E241" s="23">
        <v>42066</v>
      </c>
      <c r="F241" s="106">
        <v>648</v>
      </c>
      <c r="G241" s="31">
        <f t="shared" si="3"/>
        <v>0</v>
      </c>
      <c r="H241" s="41" t="s">
        <v>9</v>
      </c>
      <c r="I241" s="4"/>
      <c r="J241" s="43"/>
    </row>
    <row r="242" spans="1:10" s="3" customFormat="1" x14ac:dyDescent="0.25">
      <c r="A242" s="20">
        <v>42066</v>
      </c>
      <c r="B242" s="21">
        <v>13752</v>
      </c>
      <c r="C242" s="40" t="s">
        <v>154</v>
      </c>
      <c r="D242" s="105">
        <v>18324.7</v>
      </c>
      <c r="E242" s="23">
        <v>42066</v>
      </c>
      <c r="F242" s="106">
        <v>18324.7</v>
      </c>
      <c r="G242" s="31">
        <f t="shared" si="3"/>
        <v>0</v>
      </c>
      <c r="H242" s="41" t="s">
        <v>19</v>
      </c>
      <c r="J242" s="42"/>
    </row>
    <row r="243" spans="1:10" s="3" customFormat="1" x14ac:dyDescent="0.25">
      <c r="A243" s="12">
        <v>42066</v>
      </c>
      <c r="B243" s="21">
        <v>13753</v>
      </c>
      <c r="C243" s="40" t="s">
        <v>136</v>
      </c>
      <c r="D243" s="105">
        <v>13149.8</v>
      </c>
      <c r="E243" s="23">
        <v>42066</v>
      </c>
      <c r="F243" s="106">
        <v>13149.8</v>
      </c>
      <c r="G243" s="31">
        <f t="shared" si="3"/>
        <v>0</v>
      </c>
      <c r="H243" s="41" t="s">
        <v>9</v>
      </c>
      <c r="J243" s="42"/>
    </row>
    <row r="244" spans="1:10" s="3" customFormat="1" x14ac:dyDescent="0.25">
      <c r="A244" s="20">
        <v>42066</v>
      </c>
      <c r="B244" s="21">
        <v>13754</v>
      </c>
      <c r="C244" s="40" t="s">
        <v>60</v>
      </c>
      <c r="D244" s="105">
        <v>4820.75</v>
      </c>
      <c r="E244" s="23">
        <v>42066</v>
      </c>
      <c r="F244" s="106">
        <v>4820.75</v>
      </c>
      <c r="G244" s="31">
        <f t="shared" si="3"/>
        <v>0</v>
      </c>
      <c r="H244" s="41" t="s">
        <v>19</v>
      </c>
      <c r="J244" s="42"/>
    </row>
    <row r="245" spans="1:10" s="3" customFormat="1" x14ac:dyDescent="0.25">
      <c r="A245" s="12">
        <v>42066</v>
      </c>
      <c r="B245" s="21">
        <v>13755</v>
      </c>
      <c r="C245" s="40" t="s">
        <v>136</v>
      </c>
      <c r="D245" s="105">
        <v>557.6</v>
      </c>
      <c r="E245" s="23">
        <v>42066</v>
      </c>
      <c r="F245" s="106">
        <v>557.6</v>
      </c>
      <c r="G245" s="31">
        <f t="shared" si="3"/>
        <v>0</v>
      </c>
      <c r="H245" s="41" t="s">
        <v>9</v>
      </c>
      <c r="J245" s="42"/>
    </row>
    <row r="246" spans="1:10" s="3" customFormat="1" x14ac:dyDescent="0.25">
      <c r="A246" s="20">
        <v>42066</v>
      </c>
      <c r="B246" s="21">
        <v>13756</v>
      </c>
      <c r="C246" s="40" t="s">
        <v>162</v>
      </c>
      <c r="D246" s="105">
        <v>1091.2</v>
      </c>
      <c r="E246" s="23">
        <v>42066</v>
      </c>
      <c r="F246" s="106">
        <v>1091.2</v>
      </c>
      <c r="G246" s="31">
        <f t="shared" si="3"/>
        <v>0</v>
      </c>
      <c r="H246" s="41" t="s">
        <v>19</v>
      </c>
      <c r="J246" s="42"/>
    </row>
    <row r="247" spans="1:10" s="3" customFormat="1" x14ac:dyDescent="0.25">
      <c r="A247" s="12">
        <v>42066</v>
      </c>
      <c r="B247" s="21">
        <v>13757</v>
      </c>
      <c r="C247" s="40" t="s">
        <v>789</v>
      </c>
      <c r="D247" s="105">
        <v>3932.8</v>
      </c>
      <c r="E247" s="23">
        <v>42066</v>
      </c>
      <c r="F247" s="106">
        <v>3932.8</v>
      </c>
      <c r="G247" s="31">
        <f t="shared" si="3"/>
        <v>0</v>
      </c>
      <c r="H247" s="41" t="s">
        <v>9</v>
      </c>
      <c r="J247" s="42"/>
    </row>
    <row r="248" spans="1:10" s="3" customFormat="1" x14ac:dyDescent="0.25">
      <c r="A248" s="20">
        <v>42066</v>
      </c>
      <c r="B248" s="21">
        <v>13758</v>
      </c>
      <c r="C248" s="40" t="s">
        <v>335</v>
      </c>
      <c r="D248" s="105">
        <v>422.8</v>
      </c>
      <c r="E248" s="23">
        <v>42066</v>
      </c>
      <c r="F248" s="106">
        <v>422.8</v>
      </c>
      <c r="G248" s="31">
        <f t="shared" si="3"/>
        <v>0</v>
      </c>
      <c r="H248" s="41" t="s">
        <v>9</v>
      </c>
      <c r="J248" s="42"/>
    </row>
    <row r="249" spans="1:10" s="3" customFormat="1" x14ac:dyDescent="0.25">
      <c r="A249" s="12">
        <v>42066</v>
      </c>
      <c r="B249" s="21">
        <v>13759</v>
      </c>
      <c r="C249" s="40" t="s">
        <v>294</v>
      </c>
      <c r="D249" s="105">
        <v>1020.4</v>
      </c>
      <c r="E249" s="23">
        <v>42066</v>
      </c>
      <c r="F249" s="106">
        <v>1020.4</v>
      </c>
      <c r="G249" s="31">
        <f t="shared" si="3"/>
        <v>0</v>
      </c>
      <c r="H249" s="41" t="s">
        <v>9</v>
      </c>
      <c r="J249" s="42"/>
    </row>
    <row r="250" spans="1:10" s="3" customFormat="1" x14ac:dyDescent="0.25">
      <c r="A250" s="20">
        <v>42066</v>
      </c>
      <c r="B250" s="21">
        <v>13760</v>
      </c>
      <c r="C250" s="40" t="s">
        <v>294</v>
      </c>
      <c r="D250" s="105">
        <v>9902.7999999999993</v>
      </c>
      <c r="E250" s="23">
        <v>42066</v>
      </c>
      <c r="F250" s="106">
        <v>9902.7999999999993</v>
      </c>
      <c r="G250" s="31">
        <f t="shared" si="3"/>
        <v>0</v>
      </c>
      <c r="H250" s="41" t="s">
        <v>41</v>
      </c>
      <c r="J250" s="42"/>
    </row>
    <row r="251" spans="1:10" s="3" customFormat="1" x14ac:dyDescent="0.25">
      <c r="A251" s="12">
        <v>42066</v>
      </c>
      <c r="B251" s="21">
        <v>13761</v>
      </c>
      <c r="C251" s="40" t="s">
        <v>32</v>
      </c>
      <c r="D251" s="105">
        <v>1444</v>
      </c>
      <c r="E251" s="23">
        <v>42089</v>
      </c>
      <c r="F251" s="106">
        <v>1444</v>
      </c>
      <c r="G251" s="31">
        <f t="shared" si="3"/>
        <v>0</v>
      </c>
      <c r="H251" s="41" t="s">
        <v>9</v>
      </c>
      <c r="J251" s="42"/>
    </row>
    <row r="252" spans="1:10" s="3" customFormat="1" x14ac:dyDescent="0.25">
      <c r="A252" s="20">
        <v>42066</v>
      </c>
      <c r="B252" s="21">
        <v>13762</v>
      </c>
      <c r="C252" s="40" t="s">
        <v>229</v>
      </c>
      <c r="D252" s="105">
        <v>4373.1400000000003</v>
      </c>
      <c r="E252" s="23">
        <v>42066</v>
      </c>
      <c r="F252" s="106">
        <v>4373.1400000000003</v>
      </c>
      <c r="G252" s="31">
        <f t="shared" si="3"/>
        <v>0</v>
      </c>
      <c r="H252" s="41" t="s">
        <v>9</v>
      </c>
      <c r="J252" s="42"/>
    </row>
    <row r="253" spans="1:10" s="3" customFormat="1" x14ac:dyDescent="0.25">
      <c r="A253" s="12">
        <v>42066</v>
      </c>
      <c r="B253" s="21">
        <v>13763</v>
      </c>
      <c r="C253" s="40" t="s">
        <v>89</v>
      </c>
      <c r="D253" s="105">
        <v>4415.3999999999996</v>
      </c>
      <c r="E253" s="23">
        <v>42066</v>
      </c>
      <c r="F253" s="106">
        <v>4415.3999999999996</v>
      </c>
      <c r="G253" s="31">
        <f t="shared" si="3"/>
        <v>0</v>
      </c>
      <c r="H253" s="41" t="s">
        <v>9</v>
      </c>
      <c r="J253" s="42"/>
    </row>
    <row r="254" spans="1:10" s="3" customFormat="1" x14ac:dyDescent="0.25">
      <c r="A254" s="20">
        <v>42066</v>
      </c>
      <c r="B254" s="21">
        <v>13764</v>
      </c>
      <c r="C254" s="40" t="s">
        <v>111</v>
      </c>
      <c r="D254" s="105">
        <v>127876</v>
      </c>
      <c r="E254" s="23">
        <v>42068</v>
      </c>
      <c r="F254" s="106">
        <v>127876</v>
      </c>
      <c r="G254" s="31">
        <f t="shared" si="3"/>
        <v>0</v>
      </c>
      <c r="H254" s="41" t="s">
        <v>9</v>
      </c>
      <c r="J254" s="42"/>
    </row>
    <row r="255" spans="1:10" s="3" customFormat="1" x14ac:dyDescent="0.25">
      <c r="A255" s="12">
        <v>42066</v>
      </c>
      <c r="B255" s="21">
        <v>13765</v>
      </c>
      <c r="C255" s="40" t="s">
        <v>24</v>
      </c>
      <c r="D255" s="105">
        <v>40.28</v>
      </c>
      <c r="E255" s="23">
        <v>42081</v>
      </c>
      <c r="F255" s="106">
        <v>40.28</v>
      </c>
      <c r="G255" s="31">
        <f t="shared" si="3"/>
        <v>0</v>
      </c>
      <c r="H255" s="41" t="s">
        <v>9</v>
      </c>
      <c r="J255" s="42"/>
    </row>
    <row r="256" spans="1:10" s="3" customFormat="1" x14ac:dyDescent="0.25">
      <c r="A256" s="20">
        <v>42066</v>
      </c>
      <c r="B256" s="21">
        <v>13766</v>
      </c>
      <c r="C256" s="40" t="s">
        <v>95</v>
      </c>
      <c r="D256" s="105">
        <v>1760.5</v>
      </c>
      <c r="E256" s="23">
        <v>42067</v>
      </c>
      <c r="F256" s="106">
        <v>1760.5</v>
      </c>
      <c r="G256" s="31">
        <f t="shared" si="3"/>
        <v>0</v>
      </c>
      <c r="H256" s="41" t="s">
        <v>94</v>
      </c>
      <c r="J256" s="42"/>
    </row>
    <row r="257" spans="1:10" s="3" customFormat="1" x14ac:dyDescent="0.25">
      <c r="A257" s="12">
        <v>42066</v>
      </c>
      <c r="B257" s="21">
        <v>13767</v>
      </c>
      <c r="C257" s="40" t="s">
        <v>98</v>
      </c>
      <c r="D257" s="105">
        <v>2089.5</v>
      </c>
      <c r="E257" s="23">
        <v>42067</v>
      </c>
      <c r="F257" s="106">
        <v>2089.5</v>
      </c>
      <c r="G257" s="31">
        <f t="shared" si="3"/>
        <v>0</v>
      </c>
      <c r="H257" s="41" t="s">
        <v>94</v>
      </c>
      <c r="J257" s="42"/>
    </row>
    <row r="258" spans="1:10" s="3" customFormat="1" x14ac:dyDescent="0.25">
      <c r="A258" s="20">
        <v>42066</v>
      </c>
      <c r="B258" s="21">
        <v>13768</v>
      </c>
      <c r="C258" s="40" t="s">
        <v>250</v>
      </c>
      <c r="D258" s="105">
        <v>696</v>
      </c>
      <c r="E258" s="23">
        <v>42067</v>
      </c>
      <c r="F258" s="106">
        <v>696</v>
      </c>
      <c r="G258" s="31">
        <f t="shared" si="3"/>
        <v>0</v>
      </c>
      <c r="H258" s="41" t="s">
        <v>94</v>
      </c>
      <c r="J258" s="42"/>
    </row>
    <row r="259" spans="1:10" s="3" customFormat="1" x14ac:dyDescent="0.25">
      <c r="A259" s="12">
        <v>42066</v>
      </c>
      <c r="B259" s="21">
        <v>13769</v>
      </c>
      <c r="C259" s="40" t="s">
        <v>96</v>
      </c>
      <c r="D259" s="105">
        <v>4245</v>
      </c>
      <c r="E259" s="23">
        <v>42067</v>
      </c>
      <c r="F259" s="106">
        <v>4245</v>
      </c>
      <c r="G259" s="31">
        <f t="shared" ref="G259:G322" si="4">D259-F259</f>
        <v>0</v>
      </c>
      <c r="H259" s="41" t="s">
        <v>94</v>
      </c>
      <c r="J259" s="42"/>
    </row>
    <row r="260" spans="1:10" s="3" customFormat="1" x14ac:dyDescent="0.25">
      <c r="A260" s="20">
        <v>42066</v>
      </c>
      <c r="B260" s="21">
        <v>13770</v>
      </c>
      <c r="C260" s="146" t="s">
        <v>74</v>
      </c>
      <c r="D260" s="105">
        <v>2277</v>
      </c>
      <c r="E260" s="23">
        <v>42066</v>
      </c>
      <c r="F260" s="106">
        <v>2277</v>
      </c>
      <c r="G260" s="31">
        <f t="shared" si="4"/>
        <v>0</v>
      </c>
      <c r="H260" s="41" t="s">
        <v>9</v>
      </c>
      <c r="J260" s="42"/>
    </row>
    <row r="261" spans="1:10" s="3" customFormat="1" x14ac:dyDescent="0.25">
      <c r="A261" s="12">
        <v>42066</v>
      </c>
      <c r="B261" s="21">
        <v>13771</v>
      </c>
      <c r="C261" s="40" t="s">
        <v>790</v>
      </c>
      <c r="D261" s="105">
        <v>9069.5499999999993</v>
      </c>
      <c r="E261" s="23">
        <v>42067</v>
      </c>
      <c r="F261" s="106">
        <v>9069.5499999999993</v>
      </c>
      <c r="G261" s="31">
        <f t="shared" si="4"/>
        <v>0</v>
      </c>
      <c r="H261" s="41" t="s">
        <v>94</v>
      </c>
      <c r="J261" s="42"/>
    </row>
    <row r="262" spans="1:10" s="3" customFormat="1" x14ac:dyDescent="0.25">
      <c r="A262" s="20">
        <v>42066</v>
      </c>
      <c r="B262" s="21">
        <v>13772</v>
      </c>
      <c r="C262" s="40" t="s">
        <v>108</v>
      </c>
      <c r="D262" s="105">
        <v>8530.2000000000007</v>
      </c>
      <c r="E262" s="23">
        <v>42066</v>
      </c>
      <c r="F262" s="106">
        <v>8530.2000000000007</v>
      </c>
      <c r="G262" s="31">
        <f t="shared" si="4"/>
        <v>0</v>
      </c>
      <c r="H262" s="41" t="s">
        <v>17</v>
      </c>
      <c r="J262" s="42"/>
    </row>
    <row r="263" spans="1:10" s="3" customFormat="1" x14ac:dyDescent="0.25">
      <c r="A263" s="12">
        <v>42066</v>
      </c>
      <c r="B263" s="21">
        <v>13773</v>
      </c>
      <c r="C263" s="40" t="s">
        <v>110</v>
      </c>
      <c r="D263" s="105">
        <v>46640</v>
      </c>
      <c r="E263" s="23">
        <v>42075</v>
      </c>
      <c r="F263" s="106">
        <v>46640</v>
      </c>
      <c r="G263" s="31">
        <f t="shared" si="4"/>
        <v>0</v>
      </c>
      <c r="H263" s="41" t="s">
        <v>183</v>
      </c>
      <c r="J263" s="42"/>
    </row>
    <row r="264" spans="1:10" s="3" customFormat="1" x14ac:dyDescent="0.25">
      <c r="A264" s="20">
        <v>42066</v>
      </c>
      <c r="B264" s="21">
        <v>13774</v>
      </c>
      <c r="C264" s="40" t="s">
        <v>24</v>
      </c>
      <c r="D264" s="105">
        <v>161563.70000000001</v>
      </c>
      <c r="E264" s="23">
        <v>42081</v>
      </c>
      <c r="F264" s="106">
        <v>161563.70000000001</v>
      </c>
      <c r="G264" s="31">
        <f t="shared" si="4"/>
        <v>0</v>
      </c>
      <c r="H264" s="41" t="s">
        <v>46</v>
      </c>
      <c r="J264" s="42"/>
    </row>
    <row r="265" spans="1:10" s="3" customFormat="1" x14ac:dyDescent="0.25">
      <c r="A265" s="12">
        <v>42066</v>
      </c>
      <c r="B265" s="21">
        <v>13775</v>
      </c>
      <c r="C265" s="40" t="s">
        <v>55</v>
      </c>
      <c r="D265" s="105">
        <v>23270</v>
      </c>
      <c r="E265" s="23">
        <v>42066</v>
      </c>
      <c r="F265" s="106">
        <v>23270</v>
      </c>
      <c r="G265" s="31">
        <f t="shared" si="4"/>
        <v>0</v>
      </c>
      <c r="H265" s="41" t="s">
        <v>9</v>
      </c>
      <c r="J265" s="42"/>
    </row>
    <row r="266" spans="1:10" s="3" customFormat="1" x14ac:dyDescent="0.25">
      <c r="A266" s="20">
        <v>42066</v>
      </c>
      <c r="B266" s="21">
        <v>13776</v>
      </c>
      <c r="C266" s="40" t="s">
        <v>14</v>
      </c>
      <c r="D266" s="105">
        <v>14056.2</v>
      </c>
      <c r="E266" s="23">
        <v>42075</v>
      </c>
      <c r="F266" s="106">
        <v>14056.2</v>
      </c>
      <c r="G266" s="31">
        <f t="shared" si="4"/>
        <v>0</v>
      </c>
      <c r="H266" s="41" t="s">
        <v>15</v>
      </c>
      <c r="J266" s="42"/>
    </row>
    <row r="267" spans="1:10" s="3" customFormat="1" x14ac:dyDescent="0.25">
      <c r="A267" s="12">
        <v>42066</v>
      </c>
      <c r="B267" s="21">
        <v>13777</v>
      </c>
      <c r="C267" s="40" t="s">
        <v>256</v>
      </c>
      <c r="D267" s="105">
        <v>4168.8</v>
      </c>
      <c r="E267" s="23">
        <v>42068</v>
      </c>
      <c r="F267" s="106">
        <v>4168.8</v>
      </c>
      <c r="G267" s="31">
        <f t="shared" si="4"/>
        <v>0</v>
      </c>
      <c r="H267" s="41" t="s">
        <v>17</v>
      </c>
      <c r="J267" s="42"/>
    </row>
    <row r="268" spans="1:10" s="3" customFormat="1" x14ac:dyDescent="0.25">
      <c r="A268" s="20">
        <v>42066</v>
      </c>
      <c r="B268" s="21">
        <v>13778</v>
      </c>
      <c r="C268" s="40" t="s">
        <v>45</v>
      </c>
      <c r="D268" s="105">
        <v>59886.75</v>
      </c>
      <c r="E268" s="23">
        <v>42074</v>
      </c>
      <c r="F268" s="106">
        <v>59886.75</v>
      </c>
      <c r="G268" s="31">
        <f t="shared" si="4"/>
        <v>0</v>
      </c>
      <c r="H268" s="41" t="s">
        <v>183</v>
      </c>
      <c r="J268" s="42"/>
    </row>
    <row r="269" spans="1:10" s="3" customFormat="1" x14ac:dyDescent="0.25">
      <c r="A269" s="12">
        <v>42066</v>
      </c>
      <c r="B269" s="21">
        <v>13779</v>
      </c>
      <c r="C269" s="40" t="s">
        <v>64</v>
      </c>
      <c r="D269" s="105">
        <v>4247.6000000000004</v>
      </c>
      <c r="E269" s="23">
        <v>42066</v>
      </c>
      <c r="F269" s="106">
        <v>4247.6000000000004</v>
      </c>
      <c r="G269" s="31">
        <f t="shared" si="4"/>
        <v>0</v>
      </c>
      <c r="H269" s="41" t="s">
        <v>9</v>
      </c>
      <c r="J269" s="42"/>
    </row>
    <row r="270" spans="1:10" s="3" customFormat="1" x14ac:dyDescent="0.25">
      <c r="A270" s="20">
        <v>42066</v>
      </c>
      <c r="B270" s="21">
        <v>13780</v>
      </c>
      <c r="C270" s="40" t="s">
        <v>234</v>
      </c>
      <c r="D270" s="105">
        <v>169.6</v>
      </c>
      <c r="E270" s="23">
        <v>42066</v>
      </c>
      <c r="F270" s="106">
        <v>169.6</v>
      </c>
      <c r="G270" s="31">
        <f t="shared" si="4"/>
        <v>0</v>
      </c>
      <c r="H270" s="41" t="s">
        <v>9</v>
      </c>
      <c r="J270" s="42"/>
    </row>
    <row r="271" spans="1:10" s="3" customFormat="1" x14ac:dyDescent="0.25">
      <c r="A271" s="12">
        <v>42066</v>
      </c>
      <c r="B271" s="21">
        <v>13781</v>
      </c>
      <c r="C271" s="40" t="s">
        <v>444</v>
      </c>
      <c r="D271" s="105">
        <v>12140.8</v>
      </c>
      <c r="E271" s="23">
        <v>42066</v>
      </c>
      <c r="F271" s="106">
        <v>12140.8</v>
      </c>
      <c r="G271" s="31">
        <f t="shared" si="4"/>
        <v>0</v>
      </c>
      <c r="H271" s="41" t="s">
        <v>9</v>
      </c>
      <c r="J271" s="42"/>
    </row>
    <row r="272" spans="1:10" s="3" customFormat="1" x14ac:dyDescent="0.25">
      <c r="A272" s="20">
        <v>42066</v>
      </c>
      <c r="B272" s="21">
        <v>13782</v>
      </c>
      <c r="C272" s="40" t="s">
        <v>14</v>
      </c>
      <c r="D272" s="105">
        <v>117426</v>
      </c>
      <c r="E272" s="23">
        <v>42075</v>
      </c>
      <c r="F272" s="106">
        <v>117426</v>
      </c>
      <c r="G272" s="31">
        <f t="shared" si="4"/>
        <v>0</v>
      </c>
      <c r="H272" s="41" t="s">
        <v>15</v>
      </c>
      <c r="J272" s="42"/>
    </row>
    <row r="273" spans="1:10" s="3" customFormat="1" x14ac:dyDescent="0.25">
      <c r="A273" s="12">
        <v>42066</v>
      </c>
      <c r="B273" s="21">
        <v>13783</v>
      </c>
      <c r="C273" s="40" t="s">
        <v>80</v>
      </c>
      <c r="D273" s="105">
        <v>7513.2</v>
      </c>
      <c r="E273" s="23">
        <v>42066</v>
      </c>
      <c r="F273" s="106">
        <v>7513.2</v>
      </c>
      <c r="G273" s="31">
        <f t="shared" si="4"/>
        <v>0</v>
      </c>
      <c r="H273" s="41" t="s">
        <v>9</v>
      </c>
      <c r="J273" s="42"/>
    </row>
    <row r="274" spans="1:10" s="3" customFormat="1" x14ac:dyDescent="0.25">
      <c r="A274" s="20">
        <v>42066</v>
      </c>
      <c r="B274" s="21">
        <v>13784</v>
      </c>
      <c r="C274" s="40" t="s">
        <v>42</v>
      </c>
      <c r="D274" s="105">
        <v>104.4</v>
      </c>
      <c r="E274" s="23">
        <v>42066</v>
      </c>
      <c r="F274" s="106">
        <v>104.4</v>
      </c>
      <c r="G274" s="31">
        <f t="shared" si="4"/>
        <v>0</v>
      </c>
      <c r="H274" s="41" t="s">
        <v>9</v>
      </c>
      <c r="J274" s="42"/>
    </row>
    <row r="275" spans="1:10" s="3" customFormat="1" x14ac:dyDescent="0.25">
      <c r="A275" s="12">
        <v>42066</v>
      </c>
      <c r="B275" s="21">
        <v>13785</v>
      </c>
      <c r="C275" s="40" t="s">
        <v>251</v>
      </c>
      <c r="D275" s="105">
        <v>23202.799999999999</v>
      </c>
      <c r="E275" s="23">
        <v>42067</v>
      </c>
      <c r="F275" s="106">
        <v>23202.799999999999</v>
      </c>
      <c r="G275" s="31">
        <f t="shared" si="4"/>
        <v>0</v>
      </c>
      <c r="H275" s="41" t="s">
        <v>19</v>
      </c>
      <c r="J275" s="42"/>
    </row>
    <row r="276" spans="1:10" s="3" customFormat="1" x14ac:dyDescent="0.25">
      <c r="A276" s="20">
        <v>42066</v>
      </c>
      <c r="B276" s="21">
        <v>13786</v>
      </c>
      <c r="C276" s="40" t="s">
        <v>106</v>
      </c>
      <c r="D276" s="105">
        <v>62937</v>
      </c>
      <c r="E276" s="23">
        <v>42067</v>
      </c>
      <c r="F276" s="106">
        <v>62937</v>
      </c>
      <c r="G276" s="31">
        <f t="shared" si="4"/>
        <v>0</v>
      </c>
      <c r="H276" s="41" t="s">
        <v>19</v>
      </c>
      <c r="J276" s="42"/>
    </row>
    <row r="277" spans="1:10" s="3" customFormat="1" x14ac:dyDescent="0.25">
      <c r="A277" s="20">
        <v>42066</v>
      </c>
      <c r="B277" s="21">
        <v>13787</v>
      </c>
      <c r="C277" s="40" t="s">
        <v>24</v>
      </c>
      <c r="D277" s="105">
        <v>17601.099999999999</v>
      </c>
      <c r="E277" s="23">
        <v>42081</v>
      </c>
      <c r="F277" s="106">
        <v>17601.099999999999</v>
      </c>
      <c r="G277" s="31">
        <f t="shared" si="4"/>
        <v>0</v>
      </c>
      <c r="H277" s="41" t="s">
        <v>59</v>
      </c>
      <c r="J277" s="42"/>
    </row>
    <row r="278" spans="1:10" s="3" customFormat="1" x14ac:dyDescent="0.25">
      <c r="A278" s="20">
        <v>42067</v>
      </c>
      <c r="B278" s="21">
        <v>13788</v>
      </c>
      <c r="C278" s="40" t="s">
        <v>16</v>
      </c>
      <c r="D278" s="105">
        <v>5412</v>
      </c>
      <c r="E278" s="23">
        <v>42067</v>
      </c>
      <c r="F278" s="106">
        <v>5412</v>
      </c>
      <c r="G278" s="31">
        <f t="shared" si="4"/>
        <v>0</v>
      </c>
      <c r="H278" s="41" t="s">
        <v>17</v>
      </c>
      <c r="J278" s="42"/>
    </row>
    <row r="279" spans="1:10" s="3" customFormat="1" x14ac:dyDescent="0.25">
      <c r="A279" s="20">
        <v>42067</v>
      </c>
      <c r="B279" s="21">
        <v>13789</v>
      </c>
      <c r="C279" s="40" t="s">
        <v>18</v>
      </c>
      <c r="D279" s="105">
        <v>39421.75</v>
      </c>
      <c r="E279" s="23">
        <v>42074</v>
      </c>
      <c r="F279" s="106">
        <v>39421.75</v>
      </c>
      <c r="G279" s="31">
        <f t="shared" si="4"/>
        <v>0</v>
      </c>
      <c r="H279" s="41" t="s">
        <v>9</v>
      </c>
      <c r="J279" s="42"/>
    </row>
    <row r="280" spans="1:10" s="3" customFormat="1" x14ac:dyDescent="0.25">
      <c r="A280" s="20">
        <v>42067</v>
      </c>
      <c r="B280" s="21">
        <v>13790</v>
      </c>
      <c r="C280" s="40" t="s">
        <v>21</v>
      </c>
      <c r="D280" s="105">
        <v>6375</v>
      </c>
      <c r="E280" s="23">
        <v>42067</v>
      </c>
      <c r="F280" s="106">
        <v>6375</v>
      </c>
      <c r="G280" s="31">
        <f t="shared" si="4"/>
        <v>0</v>
      </c>
      <c r="H280" s="41" t="s">
        <v>9</v>
      </c>
      <c r="J280" s="42"/>
    </row>
    <row r="281" spans="1:10" s="3" customFormat="1" x14ac:dyDescent="0.25">
      <c r="A281" s="20">
        <v>42067</v>
      </c>
      <c r="B281" s="21">
        <v>13791</v>
      </c>
      <c r="C281" s="40" t="s">
        <v>14</v>
      </c>
      <c r="D281" s="105">
        <v>20880.3</v>
      </c>
      <c r="E281" s="23">
        <v>42075</v>
      </c>
      <c r="F281" s="106">
        <v>20880.3</v>
      </c>
      <c r="G281" s="31">
        <f t="shared" si="4"/>
        <v>0</v>
      </c>
      <c r="H281" s="41" t="s">
        <v>15</v>
      </c>
      <c r="J281" s="42"/>
    </row>
    <row r="282" spans="1:10" s="3" customFormat="1" x14ac:dyDescent="0.25">
      <c r="A282" s="20">
        <v>42067</v>
      </c>
      <c r="B282" s="21">
        <v>13792</v>
      </c>
      <c r="C282" s="40" t="s">
        <v>720</v>
      </c>
      <c r="D282" s="105">
        <v>8711.7000000000007</v>
      </c>
      <c r="E282" s="23">
        <v>42067</v>
      </c>
      <c r="F282" s="106">
        <v>8711.7000000000007</v>
      </c>
      <c r="G282" s="31">
        <f t="shared" si="4"/>
        <v>0</v>
      </c>
      <c r="H282" s="41" t="s">
        <v>9</v>
      </c>
      <c r="J282" s="42"/>
    </row>
    <row r="283" spans="1:10" s="3" customFormat="1" x14ac:dyDescent="0.25">
      <c r="A283" s="20">
        <v>42067</v>
      </c>
      <c r="B283" s="21">
        <v>13793</v>
      </c>
      <c r="C283" s="40" t="s">
        <v>158</v>
      </c>
      <c r="D283" s="105">
        <v>8382.7999999999993</v>
      </c>
      <c r="E283" s="23">
        <v>42067</v>
      </c>
      <c r="F283" s="106">
        <v>8382.7999999999993</v>
      </c>
      <c r="G283" s="31">
        <f t="shared" si="4"/>
        <v>0</v>
      </c>
      <c r="H283" s="41" t="s">
        <v>9</v>
      </c>
      <c r="J283" s="42"/>
    </row>
    <row r="284" spans="1:10" s="3" customFormat="1" x14ac:dyDescent="0.25">
      <c r="A284" s="20">
        <v>42067</v>
      </c>
      <c r="B284" s="21">
        <v>13794</v>
      </c>
      <c r="C284" s="40" t="s">
        <v>145</v>
      </c>
      <c r="D284" s="105">
        <v>1792.8</v>
      </c>
      <c r="E284" s="23">
        <v>42067</v>
      </c>
      <c r="F284" s="106">
        <v>1792.8</v>
      </c>
      <c r="G284" s="31">
        <f t="shared" si="4"/>
        <v>0</v>
      </c>
      <c r="H284" s="41" t="s">
        <v>9</v>
      </c>
      <c r="J284" s="42"/>
    </row>
    <row r="285" spans="1:10" s="3" customFormat="1" x14ac:dyDescent="0.25">
      <c r="A285" s="20">
        <v>42067</v>
      </c>
      <c r="B285" s="21">
        <v>13795</v>
      </c>
      <c r="C285" s="40" t="s">
        <v>658</v>
      </c>
      <c r="D285" s="105">
        <v>3283.8</v>
      </c>
      <c r="E285" s="23">
        <v>42067</v>
      </c>
      <c r="F285" s="106">
        <v>3283.8</v>
      </c>
      <c r="G285" s="31">
        <f t="shared" si="4"/>
        <v>0</v>
      </c>
      <c r="H285" s="41" t="s">
        <v>9</v>
      </c>
      <c r="J285" s="42"/>
    </row>
    <row r="286" spans="1:10" s="3" customFormat="1" x14ac:dyDescent="0.25">
      <c r="A286" s="20">
        <v>42067</v>
      </c>
      <c r="B286" s="21">
        <v>13796</v>
      </c>
      <c r="C286" s="40" t="s">
        <v>158</v>
      </c>
      <c r="D286" s="105">
        <v>3816</v>
      </c>
      <c r="E286" s="23">
        <v>42067</v>
      </c>
      <c r="F286" s="106">
        <v>3816</v>
      </c>
      <c r="G286" s="31">
        <f t="shared" si="4"/>
        <v>0</v>
      </c>
      <c r="H286" s="41" t="s">
        <v>9</v>
      </c>
      <c r="J286" s="42"/>
    </row>
    <row r="287" spans="1:10" s="3" customFormat="1" x14ac:dyDescent="0.25">
      <c r="A287" s="20">
        <v>42067</v>
      </c>
      <c r="B287" s="21">
        <v>13797</v>
      </c>
      <c r="C287" s="40" t="s">
        <v>112</v>
      </c>
      <c r="D287" s="105">
        <v>7280</v>
      </c>
      <c r="E287" s="23">
        <v>42067</v>
      </c>
      <c r="F287" s="106">
        <v>7280</v>
      </c>
      <c r="G287" s="31">
        <f t="shared" si="4"/>
        <v>0</v>
      </c>
      <c r="H287" s="41" t="s">
        <v>9</v>
      </c>
      <c r="J287" s="42"/>
    </row>
    <row r="288" spans="1:10" s="3" customFormat="1" x14ac:dyDescent="0.25">
      <c r="A288" s="20">
        <v>42067</v>
      </c>
      <c r="B288" s="21">
        <v>13798</v>
      </c>
      <c r="C288" s="40" t="s">
        <v>215</v>
      </c>
      <c r="D288" s="105">
        <v>37984.35</v>
      </c>
      <c r="E288" s="23">
        <v>42067</v>
      </c>
      <c r="F288" s="106">
        <v>37984.35</v>
      </c>
      <c r="G288" s="31">
        <f t="shared" si="4"/>
        <v>0</v>
      </c>
      <c r="H288" s="41" t="s">
        <v>19</v>
      </c>
      <c r="J288" s="42"/>
    </row>
    <row r="289" spans="1:10" s="3" customFormat="1" x14ac:dyDescent="0.25">
      <c r="A289" s="20">
        <v>42067</v>
      </c>
      <c r="B289" s="21">
        <v>13799</v>
      </c>
      <c r="C289" s="40" t="s">
        <v>20</v>
      </c>
      <c r="D289" s="105">
        <v>13523.7</v>
      </c>
      <c r="E289" s="23">
        <v>42067</v>
      </c>
      <c r="F289" s="106">
        <v>13523.7</v>
      </c>
      <c r="G289" s="31">
        <f t="shared" si="4"/>
        <v>0</v>
      </c>
      <c r="H289" s="41" t="s">
        <v>94</v>
      </c>
      <c r="J289" s="42"/>
    </row>
    <row r="290" spans="1:10" s="3" customFormat="1" x14ac:dyDescent="0.25">
      <c r="A290" s="20">
        <v>42067</v>
      </c>
      <c r="B290" s="21">
        <v>13800</v>
      </c>
      <c r="C290" s="40" t="s">
        <v>114</v>
      </c>
      <c r="D290" s="105">
        <v>22702.5</v>
      </c>
      <c r="E290" s="23">
        <v>42067</v>
      </c>
      <c r="F290" s="106">
        <v>22702.5</v>
      </c>
      <c r="G290" s="31">
        <f t="shared" si="4"/>
        <v>0</v>
      </c>
      <c r="H290" s="41" t="s">
        <v>46</v>
      </c>
      <c r="J290" s="42"/>
    </row>
    <row r="291" spans="1:10" s="3" customFormat="1" x14ac:dyDescent="0.25">
      <c r="A291" s="20">
        <v>42067</v>
      </c>
      <c r="B291" s="21">
        <v>13801</v>
      </c>
      <c r="C291" s="40" t="s">
        <v>256</v>
      </c>
      <c r="D291" s="105">
        <v>3624.4</v>
      </c>
      <c r="E291" s="23">
        <v>42068</v>
      </c>
      <c r="F291" s="106">
        <v>3624.4</v>
      </c>
      <c r="G291" s="31">
        <f t="shared" si="4"/>
        <v>0</v>
      </c>
      <c r="H291" s="41" t="s">
        <v>773</v>
      </c>
      <c r="J291" s="42"/>
    </row>
    <row r="292" spans="1:10" s="3" customFormat="1" x14ac:dyDescent="0.25">
      <c r="A292" s="20">
        <v>42067</v>
      </c>
      <c r="B292" s="21">
        <v>13802</v>
      </c>
      <c r="C292" s="40" t="s">
        <v>60</v>
      </c>
      <c r="D292" s="105">
        <v>4796.6000000000004</v>
      </c>
      <c r="E292" s="23">
        <v>42068</v>
      </c>
      <c r="F292" s="106">
        <v>4796.6000000000004</v>
      </c>
      <c r="G292" s="31">
        <f t="shared" si="4"/>
        <v>0</v>
      </c>
      <c r="H292" s="41" t="s">
        <v>773</v>
      </c>
      <c r="J292" s="42"/>
    </row>
    <row r="293" spans="1:10" s="3" customFormat="1" x14ac:dyDescent="0.25">
      <c r="A293" s="20">
        <v>42067</v>
      </c>
      <c r="B293" s="21">
        <v>13803</v>
      </c>
      <c r="C293" s="40" t="s">
        <v>48</v>
      </c>
      <c r="D293" s="105">
        <v>4192</v>
      </c>
      <c r="E293" s="23">
        <v>42067</v>
      </c>
      <c r="F293" s="106">
        <v>4192</v>
      </c>
      <c r="G293" s="31">
        <f t="shared" si="4"/>
        <v>0</v>
      </c>
      <c r="H293" s="41" t="s">
        <v>94</v>
      </c>
      <c r="J293" s="42"/>
    </row>
    <row r="294" spans="1:10" s="3" customFormat="1" x14ac:dyDescent="0.25">
      <c r="A294" s="20">
        <v>42067</v>
      </c>
      <c r="B294" s="21">
        <v>13804</v>
      </c>
      <c r="C294" s="40" t="s">
        <v>591</v>
      </c>
      <c r="D294" s="105">
        <v>11024.1</v>
      </c>
      <c r="E294" s="23">
        <v>42068</v>
      </c>
      <c r="F294" s="106">
        <v>11024.1</v>
      </c>
      <c r="G294" s="31">
        <f t="shared" si="4"/>
        <v>0</v>
      </c>
      <c r="H294" s="41" t="s">
        <v>773</v>
      </c>
      <c r="J294" s="42"/>
    </row>
    <row r="295" spans="1:10" s="3" customFormat="1" x14ac:dyDescent="0.25">
      <c r="A295" s="20">
        <v>42067</v>
      </c>
      <c r="B295" s="21">
        <v>13805</v>
      </c>
      <c r="C295" s="14" t="s">
        <v>791</v>
      </c>
      <c r="D295" s="105">
        <v>5899.55</v>
      </c>
      <c r="E295" s="23">
        <v>42067</v>
      </c>
      <c r="F295" s="106">
        <v>5899.55</v>
      </c>
      <c r="G295" s="31">
        <f t="shared" si="4"/>
        <v>0</v>
      </c>
      <c r="H295" s="19" t="s">
        <v>9</v>
      </c>
      <c r="J295" s="42"/>
    </row>
    <row r="296" spans="1:10" s="3" customFormat="1" x14ac:dyDescent="0.25">
      <c r="A296" s="20">
        <v>42067</v>
      </c>
      <c r="B296" s="21">
        <v>13806</v>
      </c>
      <c r="C296" s="14" t="s">
        <v>49</v>
      </c>
      <c r="D296" s="105">
        <v>1557.6</v>
      </c>
      <c r="E296" s="23">
        <v>42067</v>
      </c>
      <c r="F296" s="106">
        <v>1557.6</v>
      </c>
      <c r="G296" s="31">
        <f t="shared" si="4"/>
        <v>0</v>
      </c>
      <c r="H296" s="19" t="s">
        <v>17</v>
      </c>
      <c r="J296" s="42"/>
    </row>
    <row r="297" spans="1:10" s="3" customFormat="1" x14ac:dyDescent="0.25">
      <c r="A297" s="20">
        <v>42067</v>
      </c>
      <c r="B297" s="21">
        <v>13807</v>
      </c>
      <c r="C297" s="14" t="s">
        <v>375</v>
      </c>
      <c r="D297" s="105">
        <v>3020.8</v>
      </c>
      <c r="E297" s="23">
        <v>42067</v>
      </c>
      <c r="F297" s="106">
        <v>3020.8</v>
      </c>
      <c r="G297" s="31">
        <f t="shared" si="4"/>
        <v>0</v>
      </c>
      <c r="H297" s="19" t="s">
        <v>9</v>
      </c>
      <c r="J297" s="42"/>
    </row>
    <row r="298" spans="1:10" s="3" customFormat="1" x14ac:dyDescent="0.25">
      <c r="A298" s="20">
        <v>42067</v>
      </c>
      <c r="B298" s="21">
        <v>13808</v>
      </c>
      <c r="C298" s="14" t="s">
        <v>35</v>
      </c>
      <c r="D298" s="105">
        <v>19127</v>
      </c>
      <c r="E298" s="23">
        <v>42068</v>
      </c>
      <c r="F298" s="106">
        <v>19127</v>
      </c>
      <c r="G298" s="31">
        <f t="shared" si="4"/>
        <v>0</v>
      </c>
      <c r="H298" s="19" t="s">
        <v>773</v>
      </c>
      <c r="J298" s="42"/>
    </row>
    <row r="299" spans="1:10" s="3" customFormat="1" x14ac:dyDescent="0.25">
      <c r="A299" s="20">
        <v>42067</v>
      </c>
      <c r="B299" s="21">
        <v>13809</v>
      </c>
      <c r="C299" s="14" t="s">
        <v>121</v>
      </c>
      <c r="D299" s="105">
        <v>1013.6</v>
      </c>
      <c r="E299" s="23">
        <v>42067</v>
      </c>
      <c r="F299" s="106">
        <v>1013.6</v>
      </c>
      <c r="G299" s="31">
        <f t="shared" si="4"/>
        <v>0</v>
      </c>
      <c r="H299" s="19" t="s">
        <v>9</v>
      </c>
      <c r="J299" s="42"/>
    </row>
    <row r="300" spans="1:10" s="3" customFormat="1" x14ac:dyDescent="0.25">
      <c r="A300" s="20">
        <v>42067</v>
      </c>
      <c r="B300" s="21">
        <v>13810</v>
      </c>
      <c r="C300" s="14" t="s">
        <v>134</v>
      </c>
      <c r="D300" s="105">
        <v>622.6</v>
      </c>
      <c r="E300" s="23">
        <v>42068</v>
      </c>
      <c r="F300" s="106">
        <v>622.6</v>
      </c>
      <c r="G300" s="31">
        <f t="shared" si="4"/>
        <v>0</v>
      </c>
      <c r="H300" s="19" t="s">
        <v>773</v>
      </c>
      <c r="J300" s="42"/>
    </row>
    <row r="301" spans="1:10" s="3" customFormat="1" x14ac:dyDescent="0.25">
      <c r="A301" s="20">
        <v>42067</v>
      </c>
      <c r="B301" s="21">
        <v>13811</v>
      </c>
      <c r="C301" s="14" t="s">
        <v>23</v>
      </c>
      <c r="D301" s="105">
        <v>6411.6</v>
      </c>
      <c r="E301" s="23">
        <v>42067</v>
      </c>
      <c r="F301" s="106">
        <v>6411.6</v>
      </c>
      <c r="G301" s="31">
        <f t="shared" si="4"/>
        <v>0</v>
      </c>
      <c r="H301" s="19" t="s">
        <v>9</v>
      </c>
      <c r="J301" s="42"/>
    </row>
    <row r="302" spans="1:10" s="3" customFormat="1" x14ac:dyDescent="0.25">
      <c r="A302" s="20">
        <v>42067</v>
      </c>
      <c r="B302" s="21">
        <v>13812</v>
      </c>
      <c r="C302" s="14" t="s">
        <v>157</v>
      </c>
      <c r="D302" s="105">
        <v>3014.3</v>
      </c>
      <c r="E302" s="23">
        <v>42067</v>
      </c>
      <c r="F302" s="106">
        <v>3014.3</v>
      </c>
      <c r="G302" s="31">
        <f t="shared" si="4"/>
        <v>0</v>
      </c>
      <c r="H302" s="19" t="s">
        <v>9</v>
      </c>
      <c r="J302" s="42"/>
    </row>
    <row r="303" spans="1:10" s="3" customFormat="1" x14ac:dyDescent="0.25">
      <c r="A303" s="20">
        <v>42067</v>
      </c>
      <c r="B303" s="21">
        <v>13813</v>
      </c>
      <c r="C303" s="14" t="s">
        <v>56</v>
      </c>
      <c r="D303" s="105">
        <v>10634</v>
      </c>
      <c r="E303" s="23">
        <v>42068</v>
      </c>
      <c r="F303" s="106">
        <v>10634</v>
      </c>
      <c r="G303" s="31">
        <f t="shared" si="4"/>
        <v>0</v>
      </c>
      <c r="H303" s="19" t="s">
        <v>773</v>
      </c>
      <c r="J303" s="42"/>
    </row>
    <row r="304" spans="1:10" s="3" customFormat="1" x14ac:dyDescent="0.25">
      <c r="A304" s="20">
        <v>42067</v>
      </c>
      <c r="B304" s="21">
        <v>13814</v>
      </c>
      <c r="C304" s="14" t="s">
        <v>125</v>
      </c>
      <c r="D304" s="105">
        <v>11865.5</v>
      </c>
      <c r="E304" s="23">
        <v>42067</v>
      </c>
      <c r="F304" s="106">
        <v>11865.5</v>
      </c>
      <c r="G304" s="31">
        <f t="shared" si="4"/>
        <v>0</v>
      </c>
      <c r="H304" s="19" t="s">
        <v>9</v>
      </c>
      <c r="J304" s="42"/>
    </row>
    <row r="305" spans="1:10" s="3" customFormat="1" x14ac:dyDescent="0.25">
      <c r="A305" s="20">
        <v>42067</v>
      </c>
      <c r="B305" s="21">
        <v>13815</v>
      </c>
      <c r="C305" s="14" t="s">
        <v>21</v>
      </c>
      <c r="D305" s="105">
        <v>403.2</v>
      </c>
      <c r="E305" s="23">
        <v>42067</v>
      </c>
      <c r="F305" s="106">
        <v>403.2</v>
      </c>
      <c r="G305" s="31">
        <f t="shared" si="4"/>
        <v>0</v>
      </c>
      <c r="H305" s="19" t="s">
        <v>9</v>
      </c>
      <c r="J305" s="42"/>
    </row>
    <row r="306" spans="1:10" s="3" customFormat="1" x14ac:dyDescent="0.25">
      <c r="A306" s="20">
        <v>42067</v>
      </c>
      <c r="B306" s="21">
        <v>13816</v>
      </c>
      <c r="C306" s="14" t="s">
        <v>406</v>
      </c>
      <c r="D306" s="105">
        <v>19148.5</v>
      </c>
      <c r="E306" s="23">
        <v>42068</v>
      </c>
      <c r="F306" s="106">
        <v>19148.5</v>
      </c>
      <c r="G306" s="31">
        <f t="shared" si="4"/>
        <v>0</v>
      </c>
      <c r="H306" s="19" t="s">
        <v>773</v>
      </c>
      <c r="J306" s="42"/>
    </row>
    <row r="307" spans="1:10" s="3" customFormat="1" x14ac:dyDescent="0.25">
      <c r="A307" s="20">
        <v>42067</v>
      </c>
      <c r="B307" s="21">
        <v>13817</v>
      </c>
      <c r="C307" s="14" t="s">
        <v>54</v>
      </c>
      <c r="D307" s="105">
        <v>1440</v>
      </c>
      <c r="E307" s="23">
        <v>42068</v>
      </c>
      <c r="F307" s="106">
        <v>1440</v>
      </c>
      <c r="G307" s="31">
        <f t="shared" si="4"/>
        <v>0</v>
      </c>
      <c r="H307" s="19" t="s">
        <v>17</v>
      </c>
      <c r="J307" s="42"/>
    </row>
    <row r="308" spans="1:10" s="3" customFormat="1" x14ac:dyDescent="0.25">
      <c r="A308" s="20">
        <v>42067</v>
      </c>
      <c r="B308" s="21">
        <v>13818</v>
      </c>
      <c r="C308" s="14" t="s">
        <v>57</v>
      </c>
      <c r="D308" s="105">
        <v>900</v>
      </c>
      <c r="E308" s="23">
        <v>42068</v>
      </c>
      <c r="F308" s="106">
        <v>900</v>
      </c>
      <c r="G308" s="31">
        <f t="shared" si="4"/>
        <v>0</v>
      </c>
      <c r="H308" s="19" t="s">
        <v>17</v>
      </c>
      <c r="J308" s="42"/>
    </row>
    <row r="309" spans="1:10" s="3" customFormat="1" x14ac:dyDescent="0.25">
      <c r="A309" s="20">
        <v>42067</v>
      </c>
      <c r="B309" s="21">
        <v>13819</v>
      </c>
      <c r="C309" s="110">
        <v>105</v>
      </c>
      <c r="D309" s="105">
        <v>1080</v>
      </c>
      <c r="E309" s="23">
        <v>42068</v>
      </c>
      <c r="F309" s="106">
        <v>1080</v>
      </c>
      <c r="G309" s="31">
        <f t="shared" si="4"/>
        <v>0</v>
      </c>
      <c r="H309" s="19" t="s">
        <v>17</v>
      </c>
      <c r="J309" s="42"/>
    </row>
    <row r="310" spans="1:10" s="3" customFormat="1" x14ac:dyDescent="0.25">
      <c r="A310" s="20">
        <v>42067</v>
      </c>
      <c r="B310" s="21">
        <v>13820</v>
      </c>
      <c r="C310" s="14" t="s">
        <v>579</v>
      </c>
      <c r="D310" s="105">
        <v>764.4</v>
      </c>
      <c r="E310" s="23">
        <v>42068</v>
      </c>
      <c r="F310" s="106">
        <v>764.4</v>
      </c>
      <c r="G310" s="31">
        <f t="shared" si="4"/>
        <v>0</v>
      </c>
      <c r="H310" s="19" t="s">
        <v>17</v>
      </c>
      <c r="J310" s="42"/>
    </row>
    <row r="311" spans="1:10" s="3" customFormat="1" x14ac:dyDescent="0.25">
      <c r="A311" s="20">
        <v>42067</v>
      </c>
      <c r="B311" s="21">
        <v>13821</v>
      </c>
      <c r="C311" s="14" t="s">
        <v>675</v>
      </c>
      <c r="D311" s="105">
        <v>540</v>
      </c>
      <c r="E311" s="23">
        <v>42067</v>
      </c>
      <c r="F311" s="106">
        <v>540</v>
      </c>
      <c r="G311" s="31">
        <f t="shared" si="4"/>
        <v>0</v>
      </c>
      <c r="H311" s="19" t="s">
        <v>9</v>
      </c>
      <c r="J311" s="42"/>
    </row>
    <row r="312" spans="1:10" s="3" customFormat="1" x14ac:dyDescent="0.25">
      <c r="A312" s="20">
        <v>42067</v>
      </c>
      <c r="B312" s="21">
        <v>13822</v>
      </c>
      <c r="C312" s="14" t="s">
        <v>53</v>
      </c>
      <c r="D312" s="105">
        <v>724.2</v>
      </c>
      <c r="E312" s="23">
        <v>42068</v>
      </c>
      <c r="F312" s="106">
        <v>724.2</v>
      </c>
      <c r="G312" s="31">
        <f t="shared" si="4"/>
        <v>0</v>
      </c>
      <c r="H312" s="19" t="s">
        <v>17</v>
      </c>
      <c r="J312" s="42"/>
    </row>
    <row r="313" spans="1:10" s="3" customFormat="1" x14ac:dyDescent="0.25">
      <c r="A313" s="20">
        <v>42067</v>
      </c>
      <c r="B313" s="21">
        <v>13823</v>
      </c>
      <c r="C313" s="14" t="s">
        <v>75</v>
      </c>
      <c r="D313" s="105">
        <v>9289.2999999999993</v>
      </c>
      <c r="E313" s="23">
        <v>42068</v>
      </c>
      <c r="F313" s="106">
        <v>9289.2999999999993</v>
      </c>
      <c r="G313" s="31">
        <f t="shared" si="4"/>
        <v>0</v>
      </c>
      <c r="H313" s="19" t="s">
        <v>62</v>
      </c>
      <c r="J313" s="42"/>
    </row>
    <row r="314" spans="1:10" s="3" customFormat="1" x14ac:dyDescent="0.25">
      <c r="A314" s="20">
        <v>42067</v>
      </c>
      <c r="B314" s="21">
        <v>13824</v>
      </c>
      <c r="C314" s="14" t="s">
        <v>77</v>
      </c>
      <c r="D314" s="105">
        <v>4806.3999999999996</v>
      </c>
      <c r="E314" s="23">
        <v>42068</v>
      </c>
      <c r="F314" s="106">
        <v>4806.3999999999996</v>
      </c>
      <c r="G314" s="31">
        <f t="shared" si="4"/>
        <v>0</v>
      </c>
      <c r="H314" s="19" t="s">
        <v>62</v>
      </c>
      <c r="J314" s="42"/>
    </row>
    <row r="315" spans="1:10" s="3" customFormat="1" x14ac:dyDescent="0.25">
      <c r="A315" s="20">
        <v>42067</v>
      </c>
      <c r="B315" s="21">
        <v>13825</v>
      </c>
      <c r="C315" s="14" t="s">
        <v>176</v>
      </c>
      <c r="D315" s="105">
        <v>4715.75</v>
      </c>
      <c r="E315" s="30" t="s">
        <v>792</v>
      </c>
      <c r="F315" s="106">
        <v>4715.75</v>
      </c>
      <c r="G315" s="31">
        <f t="shared" si="4"/>
        <v>0</v>
      </c>
      <c r="H315" s="19" t="s">
        <v>62</v>
      </c>
      <c r="J315" s="42"/>
    </row>
    <row r="316" spans="1:10" s="3" customFormat="1" x14ac:dyDescent="0.25">
      <c r="A316" s="20">
        <v>42067</v>
      </c>
      <c r="B316" s="21">
        <v>13826</v>
      </c>
      <c r="C316" s="14" t="s">
        <v>152</v>
      </c>
      <c r="D316" s="105">
        <v>4803.05</v>
      </c>
      <c r="E316" s="23">
        <v>42068</v>
      </c>
      <c r="F316" s="106">
        <v>4803.05</v>
      </c>
      <c r="G316" s="31">
        <f t="shared" si="4"/>
        <v>0</v>
      </c>
      <c r="H316" s="19" t="s">
        <v>17</v>
      </c>
      <c r="J316" s="42"/>
    </row>
    <row r="317" spans="1:10" s="3" customFormat="1" x14ac:dyDescent="0.25">
      <c r="A317" s="20">
        <v>42067</v>
      </c>
      <c r="B317" s="21">
        <v>13827</v>
      </c>
      <c r="C317" s="14" t="s">
        <v>108</v>
      </c>
      <c r="D317" s="105">
        <v>47815.05</v>
      </c>
      <c r="E317" s="23">
        <v>42081</v>
      </c>
      <c r="F317" s="106">
        <v>47815.05</v>
      </c>
      <c r="G317" s="31">
        <f t="shared" si="4"/>
        <v>0</v>
      </c>
      <c r="H317" s="19" t="s">
        <v>62</v>
      </c>
      <c r="J317" s="42"/>
    </row>
    <row r="318" spans="1:10" s="3" customFormat="1" x14ac:dyDescent="0.25">
      <c r="A318" s="20">
        <v>42067</v>
      </c>
      <c r="B318" s="21">
        <v>13828</v>
      </c>
      <c r="C318" s="14" t="s">
        <v>78</v>
      </c>
      <c r="D318" s="105">
        <v>8400</v>
      </c>
      <c r="E318" s="23">
        <v>42068</v>
      </c>
      <c r="F318" s="106">
        <v>8400</v>
      </c>
      <c r="G318" s="31">
        <f t="shared" si="4"/>
        <v>0</v>
      </c>
      <c r="H318" s="19" t="s">
        <v>62</v>
      </c>
      <c r="J318" s="42"/>
    </row>
    <row r="319" spans="1:10" s="3" customFormat="1" x14ac:dyDescent="0.25">
      <c r="A319" s="20">
        <v>42067</v>
      </c>
      <c r="B319" s="21">
        <v>13829</v>
      </c>
      <c r="C319" s="14" t="s">
        <v>67</v>
      </c>
      <c r="D319" s="105">
        <v>2310.4</v>
      </c>
      <c r="E319" s="23">
        <v>42068</v>
      </c>
      <c r="F319" s="106">
        <v>2310.4</v>
      </c>
      <c r="G319" s="31">
        <f t="shared" si="4"/>
        <v>0</v>
      </c>
      <c r="H319" s="19" t="s">
        <v>62</v>
      </c>
      <c r="J319" s="42"/>
    </row>
    <row r="320" spans="1:10" s="3" customFormat="1" x14ac:dyDescent="0.25">
      <c r="A320" s="20">
        <v>42067</v>
      </c>
      <c r="B320" s="21">
        <v>13830</v>
      </c>
      <c r="C320" s="14" t="s">
        <v>151</v>
      </c>
      <c r="D320" s="105">
        <v>7224.9</v>
      </c>
      <c r="E320" s="23">
        <v>42068</v>
      </c>
      <c r="F320" s="106">
        <v>7224.9</v>
      </c>
      <c r="G320" s="31">
        <f t="shared" si="4"/>
        <v>0</v>
      </c>
      <c r="H320" s="19" t="s">
        <v>9</v>
      </c>
      <c r="J320" s="42"/>
    </row>
    <row r="321" spans="1:10" s="3" customFormat="1" x14ac:dyDescent="0.25">
      <c r="A321" s="20">
        <v>42067</v>
      </c>
      <c r="B321" s="21">
        <v>13831</v>
      </c>
      <c r="C321" s="14" t="s">
        <v>82</v>
      </c>
      <c r="D321" s="105">
        <v>4449.3999999999996</v>
      </c>
      <c r="E321" s="23">
        <v>42068</v>
      </c>
      <c r="F321" s="106">
        <v>4449.3999999999996</v>
      </c>
      <c r="G321" s="31">
        <f t="shared" si="4"/>
        <v>0</v>
      </c>
      <c r="H321" s="19" t="s">
        <v>17</v>
      </c>
      <c r="J321" s="42"/>
    </row>
    <row r="322" spans="1:10" s="3" customFormat="1" x14ac:dyDescent="0.25">
      <c r="A322" s="20">
        <v>42067</v>
      </c>
      <c r="B322" s="21">
        <v>13832</v>
      </c>
      <c r="C322" s="14" t="s">
        <v>170</v>
      </c>
      <c r="D322" s="105">
        <v>3199.6</v>
      </c>
      <c r="E322" s="23">
        <v>42068</v>
      </c>
      <c r="F322" s="106">
        <v>3199.6</v>
      </c>
      <c r="G322" s="31">
        <f t="shared" si="4"/>
        <v>0</v>
      </c>
      <c r="H322" s="19" t="s">
        <v>62</v>
      </c>
      <c r="J322" s="42"/>
    </row>
    <row r="323" spans="1:10" s="3" customFormat="1" x14ac:dyDescent="0.25">
      <c r="A323" s="20">
        <v>42067</v>
      </c>
      <c r="B323" s="21">
        <v>13833</v>
      </c>
      <c r="C323" s="14" t="s">
        <v>178</v>
      </c>
      <c r="D323" s="105">
        <v>4844</v>
      </c>
      <c r="E323" s="23">
        <v>42068</v>
      </c>
      <c r="F323" s="106">
        <v>4844</v>
      </c>
      <c r="G323" s="31">
        <f t="shared" ref="G323:G386" si="5">D323-F323</f>
        <v>0</v>
      </c>
      <c r="H323" s="19" t="s">
        <v>62</v>
      </c>
      <c r="J323" s="42"/>
    </row>
    <row r="324" spans="1:10" s="3" customFormat="1" x14ac:dyDescent="0.25">
      <c r="A324" s="20">
        <v>42067</v>
      </c>
      <c r="B324" s="21">
        <v>13834</v>
      </c>
      <c r="C324" s="14" t="s">
        <v>793</v>
      </c>
      <c r="D324" s="105">
        <v>5437.4</v>
      </c>
      <c r="E324" s="23">
        <v>42067</v>
      </c>
      <c r="F324" s="106">
        <v>5437.4</v>
      </c>
      <c r="G324" s="31">
        <f t="shared" si="5"/>
        <v>0</v>
      </c>
      <c r="H324" s="19" t="s">
        <v>9</v>
      </c>
      <c r="J324" s="42"/>
    </row>
    <row r="325" spans="1:10" s="3" customFormat="1" x14ac:dyDescent="0.25">
      <c r="A325" s="20">
        <v>42067</v>
      </c>
      <c r="B325" s="21">
        <v>13835</v>
      </c>
      <c r="C325" s="14" t="s">
        <v>285</v>
      </c>
      <c r="D325" s="105">
        <v>513.20000000000005</v>
      </c>
      <c r="E325" s="23">
        <v>42068</v>
      </c>
      <c r="F325" s="106">
        <v>513.20000000000005</v>
      </c>
      <c r="G325" s="31">
        <f t="shared" si="5"/>
        <v>0</v>
      </c>
      <c r="H325" s="19" t="s">
        <v>15</v>
      </c>
      <c r="J325" s="42"/>
    </row>
    <row r="326" spans="1:10" s="3" customFormat="1" x14ac:dyDescent="0.25">
      <c r="A326" s="20">
        <v>42067</v>
      </c>
      <c r="B326" s="21">
        <v>13836</v>
      </c>
      <c r="C326" s="14" t="s">
        <v>165</v>
      </c>
      <c r="D326" s="105">
        <v>3583.4</v>
      </c>
      <c r="E326" s="23">
        <v>42068</v>
      </c>
      <c r="F326" s="106">
        <v>3583.4</v>
      </c>
      <c r="G326" s="31">
        <f t="shared" si="5"/>
        <v>0</v>
      </c>
      <c r="H326" s="19" t="s">
        <v>17</v>
      </c>
      <c r="J326" s="42"/>
    </row>
    <row r="327" spans="1:10" s="3" customFormat="1" x14ac:dyDescent="0.25">
      <c r="A327" s="20">
        <v>42067</v>
      </c>
      <c r="B327" s="21">
        <v>13837</v>
      </c>
      <c r="C327" s="14" t="s">
        <v>179</v>
      </c>
      <c r="D327" s="105">
        <v>3624.4</v>
      </c>
      <c r="E327" s="23">
        <v>42068</v>
      </c>
      <c r="F327" s="106">
        <v>3624.4</v>
      </c>
      <c r="G327" s="31">
        <f t="shared" si="5"/>
        <v>0</v>
      </c>
      <c r="H327" s="19" t="s">
        <v>15</v>
      </c>
      <c r="J327" s="42"/>
    </row>
    <row r="328" spans="1:10" s="3" customFormat="1" x14ac:dyDescent="0.25">
      <c r="A328" s="20">
        <v>42067</v>
      </c>
      <c r="B328" s="21">
        <v>13838</v>
      </c>
      <c r="C328" s="14" t="s">
        <v>24</v>
      </c>
      <c r="D328" s="105">
        <v>24858.6</v>
      </c>
      <c r="E328" s="23">
        <v>42081</v>
      </c>
      <c r="F328" s="106">
        <v>24858.6</v>
      </c>
      <c r="G328" s="31">
        <f t="shared" si="5"/>
        <v>0</v>
      </c>
      <c r="H328" s="19" t="s">
        <v>312</v>
      </c>
      <c r="J328" s="42"/>
    </row>
    <row r="329" spans="1:10" s="3" customFormat="1" x14ac:dyDescent="0.25">
      <c r="A329" s="20">
        <v>42067</v>
      </c>
      <c r="B329" s="21">
        <v>13839</v>
      </c>
      <c r="C329" s="14" t="s">
        <v>100</v>
      </c>
      <c r="D329" s="105">
        <v>4473</v>
      </c>
      <c r="E329" s="23">
        <v>42067</v>
      </c>
      <c r="F329" s="106">
        <v>4473</v>
      </c>
      <c r="G329" s="31">
        <f t="shared" si="5"/>
        <v>0</v>
      </c>
      <c r="H329" s="19" t="s">
        <v>9</v>
      </c>
      <c r="J329" s="42"/>
    </row>
    <row r="330" spans="1:10" s="3" customFormat="1" x14ac:dyDescent="0.25">
      <c r="A330" s="20">
        <v>42067</v>
      </c>
      <c r="B330" s="21">
        <v>13840</v>
      </c>
      <c r="C330" s="14" t="s">
        <v>130</v>
      </c>
      <c r="D330" s="105">
        <v>3572.1</v>
      </c>
      <c r="E330" s="23">
        <v>42068</v>
      </c>
      <c r="F330" s="106">
        <v>3572.1</v>
      </c>
      <c r="G330" s="31">
        <f t="shared" si="5"/>
        <v>0</v>
      </c>
      <c r="H330" s="19" t="s">
        <v>17</v>
      </c>
      <c r="J330" s="42"/>
    </row>
    <row r="331" spans="1:10" s="3" customFormat="1" x14ac:dyDescent="0.25">
      <c r="A331" s="20">
        <v>42067</v>
      </c>
      <c r="B331" s="21">
        <v>13841</v>
      </c>
      <c r="C331" s="14" t="s">
        <v>115</v>
      </c>
      <c r="D331" s="105">
        <v>2748.4</v>
      </c>
      <c r="E331" s="47" t="s">
        <v>794</v>
      </c>
      <c r="F331" s="106">
        <f>1596.8+1151.6</f>
        <v>2748.3999999999996</v>
      </c>
      <c r="G331" s="31">
        <f t="shared" si="5"/>
        <v>0</v>
      </c>
      <c r="H331" s="19" t="s">
        <v>9</v>
      </c>
      <c r="J331" s="42"/>
    </row>
    <row r="332" spans="1:10" s="3" customFormat="1" x14ac:dyDescent="0.25">
      <c r="A332" s="20">
        <v>42067</v>
      </c>
      <c r="B332" s="21">
        <v>13842</v>
      </c>
      <c r="C332" s="14" t="s">
        <v>131</v>
      </c>
      <c r="D332" s="105">
        <v>4652.8999999999996</v>
      </c>
      <c r="E332" s="23">
        <v>42068</v>
      </c>
      <c r="F332" s="106">
        <v>4652.8999999999996</v>
      </c>
      <c r="G332" s="31">
        <f t="shared" si="5"/>
        <v>0</v>
      </c>
      <c r="H332" s="19" t="s">
        <v>17</v>
      </c>
      <c r="J332" s="42"/>
    </row>
    <row r="333" spans="1:10" s="3" customFormat="1" x14ac:dyDescent="0.25">
      <c r="A333" s="20">
        <v>42067</v>
      </c>
      <c r="B333" s="21">
        <v>13843</v>
      </c>
      <c r="C333" s="14" t="s">
        <v>155</v>
      </c>
      <c r="D333" s="105">
        <v>796</v>
      </c>
      <c r="E333" s="23">
        <v>42068</v>
      </c>
      <c r="F333" s="106">
        <v>796</v>
      </c>
      <c r="G333" s="31">
        <f t="shared" si="5"/>
        <v>0</v>
      </c>
      <c r="H333" s="19" t="s">
        <v>17</v>
      </c>
      <c r="J333" s="42"/>
    </row>
    <row r="334" spans="1:10" s="3" customFormat="1" x14ac:dyDescent="0.25">
      <c r="A334" s="20">
        <v>42067</v>
      </c>
      <c r="B334" s="21">
        <v>13844</v>
      </c>
      <c r="C334" s="14" t="s">
        <v>128</v>
      </c>
      <c r="D334" s="105">
        <v>5460</v>
      </c>
      <c r="E334" s="23">
        <v>42068</v>
      </c>
      <c r="F334" s="106">
        <v>5460</v>
      </c>
      <c r="G334" s="31">
        <f t="shared" si="5"/>
        <v>0</v>
      </c>
      <c r="H334" s="19" t="s">
        <v>17</v>
      </c>
      <c r="J334" s="42"/>
    </row>
    <row r="335" spans="1:10" s="3" customFormat="1" x14ac:dyDescent="0.25">
      <c r="A335" s="20">
        <v>42067</v>
      </c>
      <c r="B335" s="21">
        <v>13845</v>
      </c>
      <c r="C335" s="14" t="s">
        <v>714</v>
      </c>
      <c r="D335" s="105">
        <v>1270.75</v>
      </c>
      <c r="E335" s="23">
        <v>42067</v>
      </c>
      <c r="F335" s="106">
        <v>1270.75</v>
      </c>
      <c r="G335" s="31">
        <f t="shared" si="5"/>
        <v>0</v>
      </c>
      <c r="H335" s="19" t="s">
        <v>9</v>
      </c>
      <c r="J335" s="42"/>
    </row>
    <row r="336" spans="1:10" s="3" customFormat="1" x14ac:dyDescent="0.25">
      <c r="A336" s="20">
        <v>42067</v>
      </c>
      <c r="B336" s="21">
        <v>13846</v>
      </c>
      <c r="C336" s="14" t="s">
        <v>168</v>
      </c>
      <c r="D336" s="105">
        <v>1488.8</v>
      </c>
      <c r="E336" s="23">
        <v>42068</v>
      </c>
      <c r="F336" s="106">
        <v>1488.8</v>
      </c>
      <c r="G336" s="31">
        <f t="shared" si="5"/>
        <v>0</v>
      </c>
      <c r="H336" s="19" t="s">
        <v>17</v>
      </c>
      <c r="J336" s="42"/>
    </row>
    <row r="337" spans="1:10" s="3" customFormat="1" x14ac:dyDescent="0.25">
      <c r="A337" s="20">
        <v>42067</v>
      </c>
      <c r="B337" s="21">
        <v>13847</v>
      </c>
      <c r="C337" s="14" t="s">
        <v>26</v>
      </c>
      <c r="D337" s="105">
        <v>1644</v>
      </c>
      <c r="E337" s="23">
        <v>42067</v>
      </c>
      <c r="F337" s="106">
        <v>1644</v>
      </c>
      <c r="G337" s="31">
        <f t="shared" si="5"/>
        <v>0</v>
      </c>
      <c r="H337" s="19" t="s">
        <v>27</v>
      </c>
      <c r="J337" s="42"/>
    </row>
    <row r="338" spans="1:10" s="3" customFormat="1" x14ac:dyDescent="0.25">
      <c r="A338" s="20">
        <v>42067</v>
      </c>
      <c r="B338" s="21">
        <v>13848</v>
      </c>
      <c r="C338" s="14" t="s">
        <v>50</v>
      </c>
      <c r="D338" s="105">
        <v>2545.1999999999998</v>
      </c>
      <c r="E338" s="23">
        <v>42067</v>
      </c>
      <c r="F338" s="106">
        <v>2545.1999999999998</v>
      </c>
      <c r="G338" s="31">
        <f t="shared" si="5"/>
        <v>0</v>
      </c>
      <c r="H338" s="19" t="s">
        <v>27</v>
      </c>
      <c r="I338" s="4"/>
      <c r="J338" s="43"/>
    </row>
    <row r="339" spans="1:10" s="3" customFormat="1" x14ac:dyDescent="0.25">
      <c r="A339" s="20">
        <v>42067</v>
      </c>
      <c r="B339" s="21">
        <v>13849</v>
      </c>
      <c r="C339" s="14" t="s">
        <v>38</v>
      </c>
      <c r="D339" s="105">
        <v>34204</v>
      </c>
      <c r="E339" s="23">
        <v>42082</v>
      </c>
      <c r="F339" s="106">
        <v>34204</v>
      </c>
      <c r="G339" s="31">
        <f t="shared" si="5"/>
        <v>0</v>
      </c>
      <c r="H339" s="19" t="s">
        <v>183</v>
      </c>
      <c r="I339" s="4"/>
      <c r="J339" s="43"/>
    </row>
    <row r="340" spans="1:10" s="3" customFormat="1" x14ac:dyDescent="0.25">
      <c r="A340" s="20">
        <v>42067</v>
      </c>
      <c r="B340" s="21">
        <v>13850</v>
      </c>
      <c r="C340" s="14" t="s">
        <v>32</v>
      </c>
      <c r="D340" s="105">
        <v>155288.25</v>
      </c>
      <c r="E340" s="23">
        <v>42089</v>
      </c>
      <c r="F340" s="106">
        <v>155288.25</v>
      </c>
      <c r="G340" s="31">
        <f t="shared" si="5"/>
        <v>0</v>
      </c>
      <c r="H340" s="19" t="s">
        <v>149</v>
      </c>
      <c r="I340" s="4"/>
      <c r="J340" s="43"/>
    </row>
    <row r="341" spans="1:10" s="3" customFormat="1" x14ac:dyDescent="0.25">
      <c r="A341" s="20">
        <v>42067</v>
      </c>
      <c r="B341" s="21">
        <v>13851</v>
      </c>
      <c r="C341" s="14" t="s">
        <v>61</v>
      </c>
      <c r="D341" s="105">
        <v>9666.7999999999993</v>
      </c>
      <c r="E341" s="23">
        <v>42068</v>
      </c>
      <c r="F341" s="106">
        <v>9666.7999999999993</v>
      </c>
      <c r="G341" s="31">
        <f t="shared" si="5"/>
        <v>0</v>
      </c>
      <c r="H341" s="19" t="s">
        <v>62</v>
      </c>
      <c r="I341" s="4"/>
      <c r="J341" s="43"/>
    </row>
    <row r="342" spans="1:10" s="3" customFormat="1" x14ac:dyDescent="0.25">
      <c r="A342" s="20">
        <v>42067</v>
      </c>
      <c r="B342" s="21">
        <v>13852</v>
      </c>
      <c r="C342" s="14" t="s">
        <v>87</v>
      </c>
      <c r="D342" s="105">
        <v>2200</v>
      </c>
      <c r="E342" s="23">
        <v>42067</v>
      </c>
      <c r="F342" s="106">
        <v>2200</v>
      </c>
      <c r="G342" s="31">
        <f t="shared" si="5"/>
        <v>0</v>
      </c>
      <c r="H342" s="19" t="s">
        <v>27</v>
      </c>
      <c r="I342" s="4"/>
      <c r="J342" s="43"/>
    </row>
    <row r="343" spans="1:10" s="3" customFormat="1" x14ac:dyDescent="0.25">
      <c r="A343" s="20">
        <v>42067</v>
      </c>
      <c r="B343" s="21">
        <v>13853</v>
      </c>
      <c r="C343" s="14" t="s">
        <v>137</v>
      </c>
      <c r="D343" s="105">
        <v>140</v>
      </c>
      <c r="E343" s="23">
        <v>42067</v>
      </c>
      <c r="F343" s="106">
        <v>140</v>
      </c>
      <c r="G343" s="31">
        <f t="shared" si="5"/>
        <v>0</v>
      </c>
      <c r="H343" s="19" t="s">
        <v>9</v>
      </c>
      <c r="I343" s="4"/>
      <c r="J343" s="43"/>
    </row>
    <row r="344" spans="1:10" s="3" customFormat="1" x14ac:dyDescent="0.25">
      <c r="A344" s="20">
        <v>42067</v>
      </c>
      <c r="B344" s="21">
        <v>13854</v>
      </c>
      <c r="C344" s="14" t="s">
        <v>100</v>
      </c>
      <c r="D344" s="105">
        <v>2451.1999999999998</v>
      </c>
      <c r="E344" s="23">
        <v>42067</v>
      </c>
      <c r="F344" s="106">
        <v>2451.1999999999998</v>
      </c>
      <c r="G344" s="31">
        <f t="shared" si="5"/>
        <v>0</v>
      </c>
      <c r="H344" s="19" t="s">
        <v>9</v>
      </c>
      <c r="I344" s="4"/>
      <c r="J344" s="43"/>
    </row>
    <row r="345" spans="1:10" s="3" customFormat="1" x14ac:dyDescent="0.25">
      <c r="A345" s="20">
        <v>42067</v>
      </c>
      <c r="B345" s="21">
        <v>13855</v>
      </c>
      <c r="C345" s="14" t="s">
        <v>795</v>
      </c>
      <c r="D345" s="105">
        <v>42420</v>
      </c>
      <c r="E345" s="23">
        <v>42067</v>
      </c>
      <c r="F345" s="106">
        <v>42420</v>
      </c>
      <c r="G345" s="31">
        <f t="shared" si="5"/>
        <v>0</v>
      </c>
      <c r="H345" s="19" t="s">
        <v>9</v>
      </c>
      <c r="I345" s="4"/>
      <c r="J345" s="107"/>
    </row>
    <row r="346" spans="1:10" s="3" customFormat="1" x14ac:dyDescent="0.25">
      <c r="A346" s="20">
        <v>42067</v>
      </c>
      <c r="B346" s="21">
        <v>13856</v>
      </c>
      <c r="C346" s="14" t="s">
        <v>173</v>
      </c>
      <c r="D346" s="105">
        <v>18610.8</v>
      </c>
      <c r="E346" s="30" t="s">
        <v>796</v>
      </c>
      <c r="F346" s="106">
        <v>18610.8</v>
      </c>
      <c r="G346" s="31">
        <f t="shared" si="5"/>
        <v>0</v>
      </c>
      <c r="H346" s="19" t="s">
        <v>62</v>
      </c>
      <c r="I346" s="4"/>
      <c r="J346" s="107"/>
    </row>
    <row r="347" spans="1:10" s="3" customFormat="1" x14ac:dyDescent="0.25">
      <c r="A347" s="20">
        <v>42067</v>
      </c>
      <c r="B347" s="21">
        <v>13857</v>
      </c>
      <c r="C347" s="14" t="s">
        <v>47</v>
      </c>
      <c r="D347" s="105">
        <v>21843.360000000001</v>
      </c>
      <c r="E347" s="23">
        <v>42067</v>
      </c>
      <c r="F347" s="106">
        <v>21843.360000000001</v>
      </c>
      <c r="G347" s="31">
        <f t="shared" si="5"/>
        <v>0</v>
      </c>
      <c r="H347" s="19" t="s">
        <v>9</v>
      </c>
      <c r="I347" s="4"/>
      <c r="J347" s="107"/>
    </row>
    <row r="348" spans="1:10" s="3" customFormat="1" x14ac:dyDescent="0.25">
      <c r="A348" s="20">
        <v>42067</v>
      </c>
      <c r="B348" s="21">
        <v>13858</v>
      </c>
      <c r="C348" s="14" t="s">
        <v>314</v>
      </c>
      <c r="D348" s="105">
        <v>2812.8</v>
      </c>
      <c r="E348" s="23">
        <v>42067</v>
      </c>
      <c r="F348" s="106">
        <v>2812.8</v>
      </c>
      <c r="G348" s="31">
        <f t="shared" si="5"/>
        <v>0</v>
      </c>
      <c r="H348" s="19" t="s">
        <v>312</v>
      </c>
      <c r="I348" s="4"/>
      <c r="J348" s="107"/>
    </row>
    <row r="349" spans="1:10" s="3" customFormat="1" x14ac:dyDescent="0.25">
      <c r="A349" s="20">
        <v>42067</v>
      </c>
      <c r="B349" s="21">
        <v>13859</v>
      </c>
      <c r="C349" s="14" t="s">
        <v>141</v>
      </c>
      <c r="D349" s="105">
        <v>5935.2</v>
      </c>
      <c r="E349" s="23">
        <v>42067</v>
      </c>
      <c r="F349" s="106">
        <v>5935.2</v>
      </c>
      <c r="G349" s="31">
        <f t="shared" si="5"/>
        <v>0</v>
      </c>
      <c r="H349" s="19" t="s">
        <v>9</v>
      </c>
      <c r="I349" s="4"/>
      <c r="J349" s="107"/>
    </row>
    <row r="350" spans="1:10" s="3" customFormat="1" x14ac:dyDescent="0.25">
      <c r="A350" s="20">
        <v>42067</v>
      </c>
      <c r="B350" s="21">
        <v>13860</v>
      </c>
      <c r="C350" s="14" t="s">
        <v>106</v>
      </c>
      <c r="D350" s="105">
        <v>23842.5</v>
      </c>
      <c r="E350" s="23">
        <v>42067</v>
      </c>
      <c r="F350" s="106">
        <v>23842.5</v>
      </c>
      <c r="G350" s="31">
        <f t="shared" si="5"/>
        <v>0</v>
      </c>
      <c r="H350" s="19" t="s">
        <v>312</v>
      </c>
      <c r="I350" s="4"/>
      <c r="J350" s="43"/>
    </row>
    <row r="351" spans="1:10" s="3" customFormat="1" x14ac:dyDescent="0.25">
      <c r="A351" s="20">
        <v>42067</v>
      </c>
      <c r="B351" s="21">
        <v>13861</v>
      </c>
      <c r="C351" s="14" t="s">
        <v>564</v>
      </c>
      <c r="D351" s="105">
        <v>4777.5</v>
      </c>
      <c r="E351" s="30" t="s">
        <v>797</v>
      </c>
      <c r="F351" s="106">
        <v>4777.5</v>
      </c>
      <c r="G351" s="31">
        <f t="shared" si="5"/>
        <v>0</v>
      </c>
      <c r="H351" s="19" t="s">
        <v>9</v>
      </c>
      <c r="I351" s="4"/>
      <c r="J351" s="43"/>
    </row>
    <row r="352" spans="1:10" s="3" customFormat="1" x14ac:dyDescent="0.25">
      <c r="A352" s="20">
        <v>42067</v>
      </c>
      <c r="B352" s="21">
        <v>13862</v>
      </c>
      <c r="C352" s="14" t="s">
        <v>111</v>
      </c>
      <c r="D352" s="105">
        <v>17961.84</v>
      </c>
      <c r="E352" s="23">
        <v>42068</v>
      </c>
      <c r="F352" s="106">
        <v>17961.84</v>
      </c>
      <c r="G352" s="31">
        <f t="shared" si="5"/>
        <v>0</v>
      </c>
      <c r="H352" s="19" t="s">
        <v>41</v>
      </c>
      <c r="I352" s="4"/>
      <c r="J352" s="43"/>
    </row>
    <row r="353" spans="1:10" s="3" customFormat="1" x14ac:dyDescent="0.25">
      <c r="A353" s="20">
        <v>42067</v>
      </c>
      <c r="B353" s="21">
        <v>13863</v>
      </c>
      <c r="C353" s="14" t="s">
        <v>472</v>
      </c>
      <c r="D353" s="105">
        <v>14906.1</v>
      </c>
      <c r="E353" s="23">
        <v>42068</v>
      </c>
      <c r="F353" s="106">
        <v>14906.1</v>
      </c>
      <c r="G353" s="31">
        <f t="shared" si="5"/>
        <v>0</v>
      </c>
      <c r="H353" s="19" t="s">
        <v>41</v>
      </c>
      <c r="I353" s="4"/>
      <c r="J353" s="43"/>
    </row>
    <row r="354" spans="1:10" s="3" customFormat="1" x14ac:dyDescent="0.25">
      <c r="A354" s="20">
        <v>42067</v>
      </c>
      <c r="B354" s="21">
        <v>13864</v>
      </c>
      <c r="C354" s="14" t="s">
        <v>118</v>
      </c>
      <c r="D354" s="105">
        <v>1647.2</v>
      </c>
      <c r="E354" s="23">
        <v>42067</v>
      </c>
      <c r="F354" s="106">
        <v>1647.2</v>
      </c>
      <c r="G354" s="31">
        <f t="shared" si="5"/>
        <v>0</v>
      </c>
      <c r="H354" s="19" t="s">
        <v>9</v>
      </c>
      <c r="I354" s="4"/>
      <c r="J354" s="43"/>
    </row>
    <row r="355" spans="1:10" s="3" customFormat="1" x14ac:dyDescent="0.25">
      <c r="A355" s="20">
        <v>42067</v>
      </c>
      <c r="B355" s="21">
        <v>13865</v>
      </c>
      <c r="C355" s="14" t="s">
        <v>24</v>
      </c>
      <c r="D355" s="105">
        <v>46480.4</v>
      </c>
      <c r="E355" s="23">
        <v>42081</v>
      </c>
      <c r="F355" s="106">
        <v>46480.4</v>
      </c>
      <c r="G355" s="31">
        <f t="shared" si="5"/>
        <v>0</v>
      </c>
      <c r="H355" s="19" t="s">
        <v>94</v>
      </c>
      <c r="I355" s="4"/>
      <c r="J355" s="43"/>
    </row>
    <row r="356" spans="1:10" s="3" customFormat="1" x14ac:dyDescent="0.25">
      <c r="A356" s="20">
        <v>42067</v>
      </c>
      <c r="B356" s="21">
        <v>13866</v>
      </c>
      <c r="C356" s="14" t="s">
        <v>143</v>
      </c>
      <c r="D356" s="105">
        <v>29179.9</v>
      </c>
      <c r="E356" s="23">
        <v>42070</v>
      </c>
      <c r="F356" s="106">
        <v>29179.9</v>
      </c>
      <c r="G356" s="31">
        <f t="shared" si="5"/>
        <v>0</v>
      </c>
      <c r="H356" s="19" t="s">
        <v>94</v>
      </c>
      <c r="I356" s="4"/>
      <c r="J356" s="43"/>
    </row>
    <row r="357" spans="1:10" s="3" customFormat="1" x14ac:dyDescent="0.25">
      <c r="A357" s="20">
        <v>42067</v>
      </c>
      <c r="B357" s="21">
        <v>13867</v>
      </c>
      <c r="C357" s="14" t="s">
        <v>93</v>
      </c>
      <c r="D357" s="105">
        <v>1635.4</v>
      </c>
      <c r="E357" s="23">
        <v>42068</v>
      </c>
      <c r="F357" s="106">
        <v>1635.4</v>
      </c>
      <c r="G357" s="31">
        <f t="shared" si="5"/>
        <v>0</v>
      </c>
      <c r="H357" s="19" t="s">
        <v>19</v>
      </c>
      <c r="I357" s="4"/>
      <c r="J357" s="43"/>
    </row>
    <row r="358" spans="1:10" s="3" customFormat="1" x14ac:dyDescent="0.25">
      <c r="A358" s="20">
        <v>42067</v>
      </c>
      <c r="B358" s="21">
        <v>13868</v>
      </c>
      <c r="C358" s="14" t="s">
        <v>95</v>
      </c>
      <c r="D358" s="105">
        <v>2930.8</v>
      </c>
      <c r="E358" s="23">
        <v>42068</v>
      </c>
      <c r="F358" s="106">
        <v>2930.8</v>
      </c>
      <c r="G358" s="31">
        <f t="shared" si="5"/>
        <v>0</v>
      </c>
      <c r="H358" s="19" t="s">
        <v>19</v>
      </c>
      <c r="I358" s="4"/>
      <c r="J358" s="43"/>
    </row>
    <row r="359" spans="1:10" s="3" customFormat="1" x14ac:dyDescent="0.25">
      <c r="A359" s="20">
        <v>42067</v>
      </c>
      <c r="B359" s="21">
        <v>13869</v>
      </c>
      <c r="C359" s="14" t="s">
        <v>689</v>
      </c>
      <c r="D359" s="105">
        <v>6586.8</v>
      </c>
      <c r="E359" s="23">
        <v>42068</v>
      </c>
      <c r="F359" s="106">
        <v>6586.8</v>
      </c>
      <c r="G359" s="31">
        <f t="shared" si="5"/>
        <v>0</v>
      </c>
      <c r="H359" s="19" t="s">
        <v>19</v>
      </c>
      <c r="I359" s="4"/>
      <c r="J359" s="43"/>
    </row>
    <row r="360" spans="1:10" s="3" customFormat="1" x14ac:dyDescent="0.25">
      <c r="A360" s="20">
        <v>42067</v>
      </c>
      <c r="B360" s="21">
        <v>13870</v>
      </c>
      <c r="C360" s="14" t="s">
        <v>229</v>
      </c>
      <c r="D360" s="105">
        <v>1227.5999999999999</v>
      </c>
      <c r="E360" s="23">
        <v>42068</v>
      </c>
      <c r="F360" s="106">
        <v>1227.5999999999999</v>
      </c>
      <c r="G360" s="31">
        <f t="shared" si="5"/>
        <v>0</v>
      </c>
      <c r="H360" s="19" t="s">
        <v>19</v>
      </c>
      <c r="I360" s="4"/>
      <c r="J360" s="43"/>
    </row>
    <row r="361" spans="1:10" s="3" customFormat="1" x14ac:dyDescent="0.25">
      <c r="A361" s="20">
        <v>42067</v>
      </c>
      <c r="B361" s="21">
        <v>13871</v>
      </c>
      <c r="C361" s="14" t="s">
        <v>136</v>
      </c>
      <c r="D361" s="105">
        <v>24871.4</v>
      </c>
      <c r="E361" s="23">
        <v>42067</v>
      </c>
      <c r="F361" s="106">
        <v>24871.4</v>
      </c>
      <c r="G361" s="31">
        <f t="shared" si="5"/>
        <v>0</v>
      </c>
      <c r="H361" s="19" t="s">
        <v>9</v>
      </c>
      <c r="I361" s="4"/>
      <c r="J361" s="43"/>
    </row>
    <row r="362" spans="1:10" s="3" customFormat="1" x14ac:dyDescent="0.25">
      <c r="A362" s="20">
        <v>42067</v>
      </c>
      <c r="B362" s="21">
        <v>13872</v>
      </c>
      <c r="C362" s="14" t="s">
        <v>91</v>
      </c>
      <c r="D362" s="105">
        <v>12899.25</v>
      </c>
      <c r="E362" s="23">
        <v>42068</v>
      </c>
      <c r="F362" s="106">
        <v>12899.25</v>
      </c>
      <c r="G362" s="31">
        <f t="shared" si="5"/>
        <v>0</v>
      </c>
      <c r="H362" s="19" t="s">
        <v>9</v>
      </c>
      <c r="I362" s="4"/>
      <c r="J362" s="43"/>
    </row>
    <row r="363" spans="1:10" s="3" customFormat="1" x14ac:dyDescent="0.25">
      <c r="A363" s="20">
        <v>42067</v>
      </c>
      <c r="B363" s="21">
        <v>13873</v>
      </c>
      <c r="C363" s="14" t="s">
        <v>136</v>
      </c>
      <c r="D363" s="105">
        <v>648</v>
      </c>
      <c r="E363" s="23">
        <v>42067</v>
      </c>
      <c r="F363" s="106">
        <v>648</v>
      </c>
      <c r="G363" s="31">
        <f t="shared" si="5"/>
        <v>0</v>
      </c>
      <c r="H363" s="19" t="s">
        <v>9</v>
      </c>
      <c r="I363" s="4"/>
      <c r="J363" s="43"/>
    </row>
    <row r="364" spans="1:10" s="3" customFormat="1" x14ac:dyDescent="0.25">
      <c r="A364" s="20">
        <v>42067</v>
      </c>
      <c r="B364" s="21">
        <v>13874</v>
      </c>
      <c r="C364" s="14" t="s">
        <v>107</v>
      </c>
      <c r="D364" s="105">
        <v>3295.6</v>
      </c>
      <c r="E364" s="23">
        <v>42067</v>
      </c>
      <c r="F364" s="106">
        <v>3295.6</v>
      </c>
      <c r="G364" s="31">
        <f t="shared" si="5"/>
        <v>0</v>
      </c>
      <c r="H364" s="19" t="s">
        <v>9</v>
      </c>
      <c r="I364" s="4"/>
      <c r="J364" s="43"/>
    </row>
    <row r="365" spans="1:10" s="3" customFormat="1" x14ac:dyDescent="0.25">
      <c r="A365" s="20">
        <v>42067</v>
      </c>
      <c r="B365" s="21">
        <v>13875</v>
      </c>
      <c r="C365" s="14" t="s">
        <v>66</v>
      </c>
      <c r="D365" s="105">
        <v>1329.25</v>
      </c>
      <c r="E365" s="23">
        <v>42067</v>
      </c>
      <c r="F365" s="106">
        <v>1329.25</v>
      </c>
      <c r="G365" s="31">
        <f t="shared" si="5"/>
        <v>0</v>
      </c>
      <c r="H365" s="19" t="s">
        <v>9</v>
      </c>
      <c r="I365" s="4"/>
      <c r="J365" s="43"/>
    </row>
    <row r="366" spans="1:10" s="3" customFormat="1" x14ac:dyDescent="0.25">
      <c r="A366" s="20">
        <v>42067</v>
      </c>
      <c r="B366" s="21">
        <v>13876</v>
      </c>
      <c r="C366" s="14" t="s">
        <v>112</v>
      </c>
      <c r="D366" s="105">
        <v>11162.4</v>
      </c>
      <c r="E366" s="29" t="s">
        <v>798</v>
      </c>
      <c r="F366" s="106">
        <f>4000+7162.4</f>
        <v>11162.4</v>
      </c>
      <c r="G366" s="31">
        <f t="shared" si="5"/>
        <v>0</v>
      </c>
      <c r="H366" s="19" t="s">
        <v>9</v>
      </c>
      <c r="I366" s="4"/>
      <c r="J366" s="43"/>
    </row>
    <row r="367" spans="1:10" s="3" customFormat="1" x14ac:dyDescent="0.25">
      <c r="A367" s="20">
        <v>42067</v>
      </c>
      <c r="B367" s="21">
        <v>13877</v>
      </c>
      <c r="C367" s="14" t="s">
        <v>192</v>
      </c>
      <c r="D367" s="105">
        <v>680.4</v>
      </c>
      <c r="E367" s="23">
        <v>42071</v>
      </c>
      <c r="F367" s="106">
        <v>680.4</v>
      </c>
      <c r="G367" s="31">
        <f t="shared" si="5"/>
        <v>0</v>
      </c>
      <c r="H367" s="19" t="s">
        <v>94</v>
      </c>
      <c r="I367" s="4"/>
      <c r="J367" s="43"/>
    </row>
    <row r="368" spans="1:10" s="3" customFormat="1" x14ac:dyDescent="0.25">
      <c r="A368" s="20">
        <v>42067</v>
      </c>
      <c r="B368" s="21">
        <v>13878</v>
      </c>
      <c r="C368" s="14" t="s">
        <v>541</v>
      </c>
      <c r="D368" s="105">
        <v>2783</v>
      </c>
      <c r="E368" s="23">
        <v>42067</v>
      </c>
      <c r="F368" s="106">
        <v>2783</v>
      </c>
      <c r="G368" s="31">
        <f t="shared" si="5"/>
        <v>0</v>
      </c>
      <c r="H368" s="19" t="s">
        <v>9</v>
      </c>
      <c r="I368" s="4"/>
      <c r="J368" s="107"/>
    </row>
    <row r="369" spans="1:10" s="3" customFormat="1" x14ac:dyDescent="0.25">
      <c r="A369" s="20">
        <v>42067</v>
      </c>
      <c r="B369" s="21">
        <v>13879</v>
      </c>
      <c r="C369" s="14" t="s">
        <v>651</v>
      </c>
      <c r="D369" s="105">
        <v>60345.1</v>
      </c>
      <c r="E369" s="23">
        <v>42070</v>
      </c>
      <c r="F369" s="106">
        <v>60345.1</v>
      </c>
      <c r="G369" s="31">
        <f t="shared" si="5"/>
        <v>0</v>
      </c>
      <c r="H369" s="19" t="s">
        <v>149</v>
      </c>
      <c r="I369" s="4"/>
      <c r="J369" s="43"/>
    </row>
    <row r="370" spans="1:10" s="3" customFormat="1" x14ac:dyDescent="0.25">
      <c r="A370" s="20">
        <v>42067</v>
      </c>
      <c r="B370" s="21">
        <v>13880</v>
      </c>
      <c r="C370" s="14" t="s">
        <v>14</v>
      </c>
      <c r="D370" s="105">
        <v>101927.5</v>
      </c>
      <c r="E370" s="23">
        <v>42075</v>
      </c>
      <c r="F370" s="106">
        <v>101927.5</v>
      </c>
      <c r="G370" s="31">
        <f t="shared" si="5"/>
        <v>0</v>
      </c>
      <c r="H370" s="19" t="s">
        <v>46</v>
      </c>
      <c r="I370" s="4"/>
      <c r="J370" s="43"/>
    </row>
    <row r="371" spans="1:10" s="3" customFormat="1" x14ac:dyDescent="0.25">
      <c r="A371" s="20">
        <v>42067</v>
      </c>
      <c r="B371" s="21">
        <v>13881</v>
      </c>
      <c r="C371" s="26" t="s">
        <v>12</v>
      </c>
      <c r="D371" s="108">
        <v>0</v>
      </c>
      <c r="E371" s="23"/>
      <c r="F371" s="106"/>
      <c r="G371" s="31">
        <f t="shared" si="5"/>
        <v>0</v>
      </c>
      <c r="H371" s="19" t="s">
        <v>13</v>
      </c>
      <c r="I371" s="4"/>
      <c r="J371" s="43"/>
    </row>
    <row r="372" spans="1:10" s="3" customFormat="1" x14ac:dyDescent="0.25">
      <c r="A372" s="20">
        <v>42067</v>
      </c>
      <c r="B372" s="21">
        <v>13882</v>
      </c>
      <c r="C372" s="14" t="s">
        <v>110</v>
      </c>
      <c r="D372" s="105">
        <v>37762</v>
      </c>
      <c r="E372" s="23">
        <v>42077</v>
      </c>
      <c r="F372" s="106">
        <v>37762</v>
      </c>
      <c r="G372" s="31">
        <f t="shared" si="5"/>
        <v>0</v>
      </c>
      <c r="H372" s="19" t="s">
        <v>183</v>
      </c>
      <c r="I372" s="4"/>
      <c r="J372" s="107"/>
    </row>
    <row r="373" spans="1:10" s="3" customFormat="1" x14ac:dyDescent="0.25">
      <c r="A373" s="20">
        <v>42067</v>
      </c>
      <c r="B373" s="21">
        <v>13883</v>
      </c>
      <c r="C373" s="14" t="s">
        <v>286</v>
      </c>
      <c r="D373" s="105">
        <v>1750</v>
      </c>
      <c r="E373" s="29" t="s">
        <v>1211</v>
      </c>
      <c r="F373" s="106">
        <f>350+350+550+500</f>
        <v>1750</v>
      </c>
      <c r="G373" s="31">
        <f t="shared" si="5"/>
        <v>0</v>
      </c>
      <c r="H373" s="19" t="s">
        <v>9</v>
      </c>
      <c r="I373" s="4"/>
      <c r="J373" s="43"/>
    </row>
    <row r="374" spans="1:10" s="3" customFormat="1" x14ac:dyDescent="0.25">
      <c r="A374" s="20">
        <v>42067</v>
      </c>
      <c r="B374" s="21">
        <v>13884</v>
      </c>
      <c r="C374" s="26" t="s">
        <v>12</v>
      </c>
      <c r="D374" s="108">
        <v>0</v>
      </c>
      <c r="E374" s="23"/>
      <c r="F374" s="106"/>
      <c r="G374" s="31">
        <f t="shared" si="5"/>
        <v>0</v>
      </c>
      <c r="H374" s="19" t="s">
        <v>13</v>
      </c>
      <c r="I374" s="4"/>
      <c r="J374" s="43"/>
    </row>
    <row r="375" spans="1:10" s="3" customFormat="1" x14ac:dyDescent="0.25">
      <c r="A375" s="20">
        <v>42067</v>
      </c>
      <c r="B375" s="21">
        <v>13885</v>
      </c>
      <c r="C375" s="14" t="s">
        <v>111</v>
      </c>
      <c r="D375" s="105">
        <v>264594</v>
      </c>
      <c r="E375" s="23">
        <v>42068</v>
      </c>
      <c r="F375" s="106">
        <v>264594</v>
      </c>
      <c r="G375" s="31">
        <f t="shared" si="5"/>
        <v>0</v>
      </c>
      <c r="H375" s="19" t="s">
        <v>9</v>
      </c>
      <c r="I375" s="4"/>
      <c r="J375" s="43"/>
    </row>
    <row r="376" spans="1:10" s="3" customFormat="1" x14ac:dyDescent="0.25">
      <c r="A376" s="20">
        <v>42067</v>
      </c>
      <c r="B376" s="21">
        <v>13886</v>
      </c>
      <c r="C376" s="14" t="s">
        <v>74</v>
      </c>
      <c r="D376" s="105">
        <v>2051.6</v>
      </c>
      <c r="E376" s="23">
        <v>42067</v>
      </c>
      <c r="F376" s="106">
        <v>2051.6</v>
      </c>
      <c r="G376" s="31">
        <f t="shared" si="5"/>
        <v>0</v>
      </c>
      <c r="H376" s="19" t="s">
        <v>9</v>
      </c>
      <c r="I376" s="4"/>
      <c r="J376" s="43"/>
    </row>
    <row r="377" spans="1:10" s="3" customFormat="1" x14ac:dyDescent="0.25">
      <c r="A377" s="20">
        <v>42067</v>
      </c>
      <c r="B377" s="21">
        <v>13887</v>
      </c>
      <c r="C377" s="14" t="s">
        <v>454</v>
      </c>
      <c r="D377" s="105">
        <v>3290</v>
      </c>
      <c r="E377" s="23">
        <v>42068</v>
      </c>
      <c r="F377" s="106">
        <v>3290</v>
      </c>
      <c r="G377" s="31">
        <f t="shared" si="5"/>
        <v>0</v>
      </c>
      <c r="H377" s="19" t="s">
        <v>17</v>
      </c>
      <c r="I377" s="4"/>
      <c r="J377" s="43"/>
    </row>
    <row r="378" spans="1:10" s="3" customFormat="1" x14ac:dyDescent="0.25">
      <c r="A378" s="20">
        <v>42068</v>
      </c>
      <c r="B378" s="21">
        <v>13888</v>
      </c>
      <c r="C378" s="14" t="s">
        <v>799</v>
      </c>
      <c r="D378" s="105">
        <v>49799.75</v>
      </c>
      <c r="E378" s="23">
        <v>42069</v>
      </c>
      <c r="F378" s="106">
        <v>49799.75</v>
      </c>
      <c r="G378" s="31">
        <f t="shared" si="5"/>
        <v>0</v>
      </c>
      <c r="H378" s="19" t="s">
        <v>9</v>
      </c>
      <c r="I378" s="4"/>
      <c r="J378" s="43"/>
    </row>
    <row r="379" spans="1:10" s="3" customFormat="1" x14ac:dyDescent="0.25">
      <c r="A379" s="20">
        <v>42068</v>
      </c>
      <c r="B379" s="21">
        <v>13889</v>
      </c>
      <c r="C379" s="14" t="s">
        <v>18</v>
      </c>
      <c r="D379" s="105">
        <v>23138.2</v>
      </c>
      <c r="E379" s="23">
        <v>42074</v>
      </c>
      <c r="F379" s="106">
        <v>23138.2</v>
      </c>
      <c r="G379" s="31">
        <f t="shared" si="5"/>
        <v>0</v>
      </c>
      <c r="H379" s="19" t="s">
        <v>9</v>
      </c>
      <c r="I379" s="4"/>
      <c r="J379" s="43"/>
    </row>
    <row r="380" spans="1:10" s="3" customFormat="1" x14ac:dyDescent="0.25">
      <c r="A380" s="20">
        <v>42068</v>
      </c>
      <c r="B380" s="21">
        <v>13890</v>
      </c>
      <c r="C380" s="14" t="s">
        <v>267</v>
      </c>
      <c r="D380" s="105">
        <v>1695.2</v>
      </c>
      <c r="E380" s="23">
        <v>42068</v>
      </c>
      <c r="F380" s="106">
        <v>1695.2</v>
      </c>
      <c r="G380" s="31">
        <f t="shared" si="5"/>
        <v>0</v>
      </c>
      <c r="H380" s="19" t="s">
        <v>17</v>
      </c>
      <c r="I380" s="4"/>
      <c r="J380" s="43"/>
    </row>
    <row r="381" spans="1:10" s="3" customFormat="1" x14ac:dyDescent="0.25">
      <c r="A381" s="20">
        <v>42068</v>
      </c>
      <c r="B381" s="21">
        <v>13891</v>
      </c>
      <c r="C381" s="14" t="s">
        <v>16</v>
      </c>
      <c r="D381" s="105">
        <v>7902.6</v>
      </c>
      <c r="E381" s="23">
        <v>42068</v>
      </c>
      <c r="F381" s="106">
        <v>7902.6</v>
      </c>
      <c r="G381" s="31">
        <f t="shared" si="5"/>
        <v>0</v>
      </c>
      <c r="H381" s="19" t="s">
        <v>17</v>
      </c>
      <c r="I381" s="4"/>
      <c r="J381" s="43"/>
    </row>
    <row r="382" spans="1:10" s="3" customFormat="1" x14ac:dyDescent="0.25">
      <c r="A382" s="20">
        <v>42068</v>
      </c>
      <c r="B382" s="21">
        <v>13892</v>
      </c>
      <c r="C382" s="14" t="s">
        <v>24</v>
      </c>
      <c r="D382" s="105">
        <v>15271.6</v>
      </c>
      <c r="E382" s="23">
        <v>42081</v>
      </c>
      <c r="F382" s="106">
        <v>15271.6</v>
      </c>
      <c r="G382" s="31">
        <f t="shared" si="5"/>
        <v>0</v>
      </c>
      <c r="H382" s="19" t="s">
        <v>19</v>
      </c>
      <c r="I382" s="4"/>
      <c r="J382" s="43"/>
    </row>
    <row r="383" spans="1:10" s="3" customFormat="1" x14ac:dyDescent="0.25">
      <c r="A383" s="20">
        <v>42068</v>
      </c>
      <c r="B383" s="21">
        <v>13893</v>
      </c>
      <c r="C383" s="14" t="s">
        <v>254</v>
      </c>
      <c r="D383" s="105">
        <v>4748.2</v>
      </c>
      <c r="E383" s="23">
        <v>42068</v>
      </c>
      <c r="F383" s="106">
        <v>4748.2</v>
      </c>
      <c r="G383" s="31">
        <f t="shared" si="5"/>
        <v>0</v>
      </c>
      <c r="H383" s="19" t="s">
        <v>9</v>
      </c>
      <c r="I383" s="4"/>
      <c r="J383" s="43"/>
    </row>
    <row r="384" spans="1:10" s="3" customFormat="1" x14ac:dyDescent="0.25">
      <c r="A384" s="20">
        <v>42068</v>
      </c>
      <c r="B384" s="21">
        <v>13894</v>
      </c>
      <c r="C384" s="14" t="s">
        <v>158</v>
      </c>
      <c r="D384" s="105">
        <v>5736.4</v>
      </c>
      <c r="E384" s="23">
        <v>42068</v>
      </c>
      <c r="F384" s="106">
        <v>5736.4</v>
      </c>
      <c r="G384" s="31">
        <f t="shared" si="5"/>
        <v>0</v>
      </c>
      <c r="H384" s="19" t="s">
        <v>9</v>
      </c>
      <c r="I384" s="4"/>
      <c r="J384" s="43"/>
    </row>
    <row r="385" spans="1:10" s="3" customFormat="1" x14ac:dyDescent="0.25">
      <c r="A385" s="20">
        <v>42068</v>
      </c>
      <c r="B385" s="21">
        <v>13895</v>
      </c>
      <c r="C385" s="14" t="s">
        <v>83</v>
      </c>
      <c r="D385" s="105">
        <v>7081.2</v>
      </c>
      <c r="E385" s="23">
        <v>42068</v>
      </c>
      <c r="F385" s="106">
        <v>7081.2</v>
      </c>
      <c r="G385" s="31">
        <f t="shared" si="5"/>
        <v>0</v>
      </c>
      <c r="H385" s="19" t="s">
        <v>59</v>
      </c>
      <c r="I385" s="4"/>
      <c r="J385" s="43"/>
    </row>
    <row r="386" spans="1:10" s="3" customFormat="1" x14ac:dyDescent="0.25">
      <c r="A386" s="20">
        <v>42068</v>
      </c>
      <c r="B386" s="21">
        <v>13896</v>
      </c>
      <c r="C386" s="14" t="s">
        <v>20</v>
      </c>
      <c r="D386" s="105">
        <v>16750.2</v>
      </c>
      <c r="E386" s="23">
        <v>42068</v>
      </c>
      <c r="F386" s="106">
        <v>16750.2</v>
      </c>
      <c r="G386" s="31">
        <f t="shared" si="5"/>
        <v>0</v>
      </c>
      <c r="H386" s="19" t="s">
        <v>94</v>
      </c>
      <c r="I386" s="4"/>
      <c r="J386" s="43"/>
    </row>
    <row r="387" spans="1:10" s="3" customFormat="1" x14ac:dyDescent="0.25">
      <c r="A387" s="20">
        <v>42068</v>
      </c>
      <c r="B387" s="21">
        <v>13897</v>
      </c>
      <c r="C387" s="110">
        <v>105</v>
      </c>
      <c r="D387" s="105">
        <v>720</v>
      </c>
      <c r="E387" s="23">
        <v>42068</v>
      </c>
      <c r="F387" s="106">
        <v>720</v>
      </c>
      <c r="G387" s="31">
        <f t="shared" ref="G387:G450" si="6">D387-F387</f>
        <v>0</v>
      </c>
      <c r="H387" s="19" t="s">
        <v>59</v>
      </c>
      <c r="I387" s="4"/>
      <c r="J387" s="43"/>
    </row>
    <row r="388" spans="1:10" s="3" customFormat="1" x14ac:dyDescent="0.25">
      <c r="A388" s="20">
        <v>42068</v>
      </c>
      <c r="B388" s="21">
        <v>13898</v>
      </c>
      <c r="C388" s="14" t="s">
        <v>57</v>
      </c>
      <c r="D388" s="105">
        <v>1080</v>
      </c>
      <c r="E388" s="23">
        <v>42068</v>
      </c>
      <c r="F388" s="106">
        <v>1080</v>
      </c>
      <c r="G388" s="31">
        <f t="shared" si="6"/>
        <v>0</v>
      </c>
      <c r="H388" s="19" t="s">
        <v>59</v>
      </c>
      <c r="I388" s="4"/>
      <c r="J388" s="43"/>
    </row>
    <row r="389" spans="1:10" s="3" customFormat="1" x14ac:dyDescent="0.25">
      <c r="A389" s="20">
        <v>42068</v>
      </c>
      <c r="B389" s="21">
        <v>13899</v>
      </c>
      <c r="C389" s="14" t="s">
        <v>664</v>
      </c>
      <c r="D389" s="105">
        <v>787.6</v>
      </c>
      <c r="E389" s="23">
        <v>42068</v>
      </c>
      <c r="F389" s="106">
        <v>787.6</v>
      </c>
      <c r="G389" s="31">
        <f t="shared" si="6"/>
        <v>0</v>
      </c>
      <c r="H389" s="19" t="s">
        <v>59</v>
      </c>
      <c r="I389" s="4"/>
      <c r="J389" s="43"/>
    </row>
    <row r="390" spans="1:10" s="3" customFormat="1" x14ac:dyDescent="0.25">
      <c r="A390" s="20">
        <v>42068</v>
      </c>
      <c r="B390" s="21">
        <v>13900</v>
      </c>
      <c r="C390" s="14" t="s">
        <v>81</v>
      </c>
      <c r="D390" s="105">
        <v>1590.9</v>
      </c>
      <c r="E390" s="23">
        <v>42068</v>
      </c>
      <c r="F390" s="106">
        <v>1590.9</v>
      </c>
      <c r="G390" s="31">
        <f t="shared" si="6"/>
        <v>0</v>
      </c>
      <c r="H390" s="19" t="s">
        <v>59</v>
      </c>
      <c r="I390" s="4"/>
      <c r="J390" s="43"/>
    </row>
    <row r="391" spans="1:10" s="3" customFormat="1" x14ac:dyDescent="0.25">
      <c r="A391" s="20">
        <v>42068</v>
      </c>
      <c r="B391" s="21">
        <v>13901</v>
      </c>
      <c r="C391" s="14" t="s">
        <v>54</v>
      </c>
      <c r="D391" s="105">
        <v>1620</v>
      </c>
      <c r="E391" s="23">
        <v>42068</v>
      </c>
      <c r="F391" s="106">
        <v>1620</v>
      </c>
      <c r="G391" s="31">
        <f t="shared" si="6"/>
        <v>0</v>
      </c>
      <c r="H391" s="19" t="s">
        <v>59</v>
      </c>
      <c r="I391" s="4"/>
      <c r="J391" s="107"/>
    </row>
    <row r="392" spans="1:10" s="3" customFormat="1" x14ac:dyDescent="0.25">
      <c r="A392" s="20">
        <v>42068</v>
      </c>
      <c r="B392" s="21">
        <v>13902</v>
      </c>
      <c r="C392" s="26" t="s">
        <v>12</v>
      </c>
      <c r="D392" s="108">
        <v>0</v>
      </c>
      <c r="E392" s="23"/>
      <c r="F392" s="106"/>
      <c r="G392" s="31">
        <f t="shared" si="6"/>
        <v>0</v>
      </c>
      <c r="H392" s="19" t="s">
        <v>13</v>
      </c>
      <c r="I392" s="4"/>
      <c r="J392" s="43"/>
    </row>
    <row r="393" spans="1:10" s="3" customFormat="1" x14ac:dyDescent="0.25">
      <c r="A393" s="20">
        <v>42068</v>
      </c>
      <c r="B393" s="21">
        <v>13903</v>
      </c>
      <c r="C393" s="14" t="s">
        <v>53</v>
      </c>
      <c r="D393" s="105">
        <v>958.8</v>
      </c>
      <c r="E393" s="23">
        <v>42068</v>
      </c>
      <c r="F393" s="106">
        <v>958.8</v>
      </c>
      <c r="G393" s="31">
        <f t="shared" si="6"/>
        <v>0</v>
      </c>
      <c r="H393" s="19" t="s">
        <v>59</v>
      </c>
      <c r="I393" s="4"/>
      <c r="J393" s="43"/>
    </row>
    <row r="394" spans="1:10" s="3" customFormat="1" x14ac:dyDescent="0.25">
      <c r="A394" s="20">
        <v>42068</v>
      </c>
      <c r="B394" s="21">
        <v>13904</v>
      </c>
      <c r="C394" s="14" t="s">
        <v>292</v>
      </c>
      <c r="D394" s="105">
        <v>1778.4</v>
      </c>
      <c r="E394" s="23">
        <v>42068</v>
      </c>
      <c r="F394" s="106">
        <v>1778.4</v>
      </c>
      <c r="G394" s="31">
        <f t="shared" si="6"/>
        <v>0</v>
      </c>
      <c r="H394" s="19" t="s">
        <v>59</v>
      </c>
      <c r="I394" s="4"/>
      <c r="J394" s="43"/>
    </row>
    <row r="395" spans="1:10" s="3" customFormat="1" x14ac:dyDescent="0.25">
      <c r="A395" s="20">
        <v>42068</v>
      </c>
      <c r="B395" s="21">
        <v>13905</v>
      </c>
      <c r="C395" s="14" t="s">
        <v>685</v>
      </c>
      <c r="D395" s="105">
        <v>1661.4</v>
      </c>
      <c r="E395" s="23">
        <v>42068</v>
      </c>
      <c r="F395" s="106">
        <v>1661.4</v>
      </c>
      <c r="G395" s="31">
        <f t="shared" si="6"/>
        <v>0</v>
      </c>
      <c r="H395" s="19" t="s">
        <v>59</v>
      </c>
      <c r="I395" s="4"/>
      <c r="J395" s="43"/>
    </row>
    <row r="396" spans="1:10" s="3" customFormat="1" x14ac:dyDescent="0.25">
      <c r="A396" s="20">
        <v>42068</v>
      </c>
      <c r="B396" s="21">
        <v>13906</v>
      </c>
      <c r="C396" s="14" t="s">
        <v>82</v>
      </c>
      <c r="D396" s="105">
        <v>7019.8</v>
      </c>
      <c r="E396" s="23">
        <v>42068</v>
      </c>
      <c r="F396" s="106">
        <v>7019.8</v>
      </c>
      <c r="G396" s="31">
        <f t="shared" si="6"/>
        <v>0</v>
      </c>
      <c r="H396" s="19" t="s">
        <v>59</v>
      </c>
      <c r="I396" s="4"/>
      <c r="J396" s="107"/>
    </row>
    <row r="397" spans="1:10" s="3" customFormat="1" x14ac:dyDescent="0.25">
      <c r="A397" s="20">
        <v>42068</v>
      </c>
      <c r="B397" s="21">
        <v>13907</v>
      </c>
      <c r="C397" s="14" t="s">
        <v>21</v>
      </c>
      <c r="D397" s="105">
        <v>4990.3</v>
      </c>
      <c r="E397" s="23">
        <v>42068</v>
      </c>
      <c r="F397" s="106">
        <v>4990.3</v>
      </c>
      <c r="G397" s="31">
        <f t="shared" si="6"/>
        <v>0</v>
      </c>
      <c r="H397" s="19" t="s">
        <v>9</v>
      </c>
      <c r="I397" s="4"/>
      <c r="J397" s="43"/>
    </row>
    <row r="398" spans="1:10" s="3" customFormat="1" x14ac:dyDescent="0.25">
      <c r="A398" s="20">
        <v>42068</v>
      </c>
      <c r="B398" s="21">
        <v>13908</v>
      </c>
      <c r="C398" s="14" t="s">
        <v>375</v>
      </c>
      <c r="D398" s="105">
        <v>175</v>
      </c>
      <c r="E398" s="23">
        <v>42068</v>
      </c>
      <c r="F398" s="106">
        <v>175</v>
      </c>
      <c r="G398" s="31">
        <f t="shared" si="6"/>
        <v>0</v>
      </c>
      <c r="H398" s="19" t="s">
        <v>9</v>
      </c>
      <c r="I398" s="4"/>
      <c r="J398" s="43"/>
    </row>
    <row r="399" spans="1:10" s="3" customFormat="1" x14ac:dyDescent="0.25">
      <c r="A399" s="20">
        <v>42068</v>
      </c>
      <c r="B399" s="21">
        <v>13909</v>
      </c>
      <c r="C399" s="14" t="s">
        <v>168</v>
      </c>
      <c r="D399" s="105">
        <v>1058.4000000000001</v>
      </c>
      <c r="E399" s="23">
        <v>42068</v>
      </c>
      <c r="F399" s="106">
        <v>1058.4000000000001</v>
      </c>
      <c r="G399" s="31">
        <f t="shared" si="6"/>
        <v>0</v>
      </c>
      <c r="H399" s="19" t="s">
        <v>59</v>
      </c>
      <c r="I399" s="4"/>
      <c r="J399" s="43"/>
    </row>
    <row r="400" spans="1:10" s="3" customFormat="1" x14ac:dyDescent="0.25">
      <c r="A400" s="20">
        <v>42068</v>
      </c>
      <c r="B400" s="21">
        <v>13910</v>
      </c>
      <c r="C400" s="14" t="s">
        <v>114</v>
      </c>
      <c r="D400" s="105">
        <v>1654.8</v>
      </c>
      <c r="E400" s="23">
        <v>42068</v>
      </c>
      <c r="F400" s="106">
        <v>1654.8</v>
      </c>
      <c r="G400" s="31">
        <f t="shared" si="6"/>
        <v>0</v>
      </c>
      <c r="H400" s="19" t="s">
        <v>9</v>
      </c>
      <c r="I400" s="4"/>
      <c r="J400" s="43"/>
    </row>
    <row r="401" spans="1:10" s="3" customFormat="1" x14ac:dyDescent="0.25">
      <c r="A401" s="20">
        <v>42068</v>
      </c>
      <c r="B401" s="21">
        <v>13911</v>
      </c>
      <c r="C401" s="14" t="s">
        <v>658</v>
      </c>
      <c r="D401" s="105">
        <v>2910.85</v>
      </c>
      <c r="E401" s="23">
        <v>42068</v>
      </c>
      <c r="F401" s="106">
        <v>2910.85</v>
      </c>
      <c r="G401" s="31">
        <f t="shared" si="6"/>
        <v>0</v>
      </c>
      <c r="H401" s="19" t="s">
        <v>9</v>
      </c>
      <c r="I401" s="4"/>
      <c r="J401" s="43"/>
    </row>
    <row r="402" spans="1:10" s="3" customFormat="1" x14ac:dyDescent="0.25">
      <c r="A402" s="20">
        <v>42068</v>
      </c>
      <c r="B402" s="21">
        <v>13912</v>
      </c>
      <c r="C402" s="14" t="s">
        <v>169</v>
      </c>
      <c r="D402" s="105">
        <v>1491.6</v>
      </c>
      <c r="E402" s="23">
        <v>42068</v>
      </c>
      <c r="F402" s="106">
        <v>1491.6</v>
      </c>
      <c r="G402" s="31">
        <f t="shared" si="6"/>
        <v>0</v>
      </c>
      <c r="H402" s="19" t="s">
        <v>59</v>
      </c>
      <c r="J402" s="42"/>
    </row>
    <row r="403" spans="1:10" s="3" customFormat="1" x14ac:dyDescent="0.25">
      <c r="A403" s="20">
        <v>42068</v>
      </c>
      <c r="B403" s="21">
        <v>13913</v>
      </c>
      <c r="C403" s="14" t="s">
        <v>125</v>
      </c>
      <c r="D403" s="105">
        <v>6390</v>
      </c>
      <c r="E403" s="23">
        <v>42068</v>
      </c>
      <c r="F403" s="106">
        <v>6390</v>
      </c>
      <c r="G403" s="31">
        <f t="shared" si="6"/>
        <v>0</v>
      </c>
      <c r="H403" s="19" t="s">
        <v>9</v>
      </c>
      <c r="J403" s="42"/>
    </row>
    <row r="404" spans="1:10" s="3" customFormat="1" x14ac:dyDescent="0.25">
      <c r="A404" s="20">
        <v>42068</v>
      </c>
      <c r="B404" s="21">
        <v>13914</v>
      </c>
      <c r="C404" s="14" t="s">
        <v>465</v>
      </c>
      <c r="D404" s="105">
        <v>19597.5</v>
      </c>
      <c r="E404" s="23">
        <v>42068</v>
      </c>
      <c r="F404" s="106">
        <v>19597.5</v>
      </c>
      <c r="G404" s="31">
        <f t="shared" si="6"/>
        <v>0</v>
      </c>
      <c r="H404" s="19" t="s">
        <v>9</v>
      </c>
      <c r="J404" s="42"/>
    </row>
    <row r="405" spans="1:10" s="3" customFormat="1" x14ac:dyDescent="0.25">
      <c r="A405" s="20">
        <v>42068</v>
      </c>
      <c r="B405" s="21">
        <v>13915</v>
      </c>
      <c r="C405" s="14" t="s">
        <v>135</v>
      </c>
      <c r="D405" s="105">
        <v>9714.9</v>
      </c>
      <c r="E405" s="23">
        <v>42068</v>
      </c>
      <c r="F405" s="106">
        <v>9714.9</v>
      </c>
      <c r="G405" s="31">
        <f t="shared" si="6"/>
        <v>0</v>
      </c>
      <c r="H405" s="19" t="s">
        <v>9</v>
      </c>
      <c r="J405" s="42"/>
    </row>
    <row r="406" spans="1:10" s="3" customFormat="1" x14ac:dyDescent="0.25">
      <c r="A406" s="20">
        <v>42068</v>
      </c>
      <c r="B406" s="21">
        <v>13916</v>
      </c>
      <c r="C406" s="14" t="s">
        <v>26</v>
      </c>
      <c r="D406" s="105">
        <v>1644</v>
      </c>
      <c r="E406" s="23">
        <v>42068</v>
      </c>
      <c r="F406" s="106">
        <v>1644</v>
      </c>
      <c r="G406" s="31">
        <f t="shared" si="6"/>
        <v>0</v>
      </c>
      <c r="H406" s="19" t="s">
        <v>27</v>
      </c>
      <c r="J406" s="42"/>
    </row>
    <row r="407" spans="1:10" s="3" customFormat="1" x14ac:dyDescent="0.25">
      <c r="A407" s="20">
        <v>42068</v>
      </c>
      <c r="B407" s="21">
        <v>13917</v>
      </c>
      <c r="C407" s="14" t="s">
        <v>151</v>
      </c>
      <c r="D407" s="105">
        <v>4454.8999999999996</v>
      </c>
      <c r="E407" s="23">
        <v>42069</v>
      </c>
      <c r="F407" s="106">
        <v>4454.8999999999996</v>
      </c>
      <c r="G407" s="31">
        <f t="shared" si="6"/>
        <v>0</v>
      </c>
      <c r="H407" s="19" t="s">
        <v>9</v>
      </c>
      <c r="J407" s="42"/>
    </row>
    <row r="408" spans="1:10" s="3" customFormat="1" x14ac:dyDescent="0.25">
      <c r="A408" s="20">
        <v>42068</v>
      </c>
      <c r="B408" s="21">
        <v>13918</v>
      </c>
      <c r="C408" s="14" t="s">
        <v>791</v>
      </c>
      <c r="D408" s="105">
        <v>4762.8</v>
      </c>
      <c r="E408" s="29" t="s">
        <v>800</v>
      </c>
      <c r="F408" s="106">
        <f>4600+162.8</f>
        <v>4762.8</v>
      </c>
      <c r="G408" s="31">
        <f t="shared" si="6"/>
        <v>0</v>
      </c>
      <c r="H408" s="19" t="s">
        <v>9</v>
      </c>
      <c r="J408" s="42"/>
    </row>
    <row r="409" spans="1:10" s="3" customFormat="1" x14ac:dyDescent="0.25">
      <c r="A409" s="20">
        <v>42068</v>
      </c>
      <c r="B409" s="21">
        <v>13919</v>
      </c>
      <c r="C409" s="14" t="s">
        <v>14</v>
      </c>
      <c r="D409" s="105">
        <v>2884.4</v>
      </c>
      <c r="E409" s="23">
        <v>42075</v>
      </c>
      <c r="F409" s="106">
        <v>2884.4</v>
      </c>
      <c r="G409" s="31">
        <f t="shared" si="6"/>
        <v>0</v>
      </c>
      <c r="H409" s="19" t="s">
        <v>15</v>
      </c>
      <c r="J409" s="42"/>
    </row>
    <row r="410" spans="1:10" s="3" customFormat="1" x14ac:dyDescent="0.25">
      <c r="A410" s="20">
        <v>42068</v>
      </c>
      <c r="B410" s="21">
        <v>13920</v>
      </c>
      <c r="C410" s="14" t="s">
        <v>45</v>
      </c>
      <c r="D410" s="105">
        <v>146740.67000000001</v>
      </c>
      <c r="E410" s="23">
        <v>42074</v>
      </c>
      <c r="F410" s="106">
        <v>146740.67000000001</v>
      </c>
      <c r="G410" s="31">
        <f t="shared" si="6"/>
        <v>0</v>
      </c>
      <c r="H410" s="19" t="s">
        <v>46</v>
      </c>
      <c r="J410" s="42"/>
    </row>
    <row r="411" spans="1:10" s="3" customFormat="1" x14ac:dyDescent="0.25">
      <c r="A411" s="20">
        <v>42068</v>
      </c>
      <c r="B411" s="21">
        <v>13921</v>
      </c>
      <c r="C411" s="14" t="s">
        <v>104</v>
      </c>
      <c r="D411" s="105">
        <v>18217.599999999999</v>
      </c>
      <c r="E411" s="23">
        <v>42068</v>
      </c>
      <c r="F411" s="106">
        <v>18217.599999999999</v>
      </c>
      <c r="G411" s="31">
        <f t="shared" si="6"/>
        <v>0</v>
      </c>
      <c r="H411" s="19" t="s">
        <v>19</v>
      </c>
      <c r="J411" s="42"/>
    </row>
    <row r="412" spans="1:10" s="3" customFormat="1" x14ac:dyDescent="0.25">
      <c r="A412" s="20">
        <v>42068</v>
      </c>
      <c r="B412" s="21">
        <v>13922</v>
      </c>
      <c r="C412" s="14" t="s">
        <v>95</v>
      </c>
      <c r="D412" s="105">
        <v>1519.8</v>
      </c>
      <c r="E412" s="23">
        <v>42068</v>
      </c>
      <c r="F412" s="106">
        <v>1519.8</v>
      </c>
      <c r="G412" s="31">
        <f t="shared" si="6"/>
        <v>0</v>
      </c>
      <c r="H412" s="19" t="s">
        <v>19</v>
      </c>
      <c r="J412" s="42"/>
    </row>
    <row r="413" spans="1:10" s="3" customFormat="1" x14ac:dyDescent="0.25">
      <c r="A413" s="20">
        <v>42068</v>
      </c>
      <c r="B413" s="21">
        <v>13923</v>
      </c>
      <c r="C413" s="14" t="s">
        <v>223</v>
      </c>
      <c r="D413" s="105">
        <v>410.8</v>
      </c>
      <c r="E413" s="23">
        <v>42068</v>
      </c>
      <c r="F413" s="106">
        <v>410.8</v>
      </c>
      <c r="G413" s="31">
        <f t="shared" si="6"/>
        <v>0</v>
      </c>
      <c r="H413" s="19" t="s">
        <v>19</v>
      </c>
      <c r="J413" s="42"/>
    </row>
    <row r="414" spans="1:10" s="3" customFormat="1" x14ac:dyDescent="0.25">
      <c r="A414" s="20">
        <v>42068</v>
      </c>
      <c r="B414" s="21">
        <v>13924</v>
      </c>
      <c r="C414" s="14" t="s">
        <v>55</v>
      </c>
      <c r="D414" s="105">
        <v>6588.4</v>
      </c>
      <c r="E414" s="23">
        <v>42068</v>
      </c>
      <c r="F414" s="106">
        <v>6588.4</v>
      </c>
      <c r="G414" s="31">
        <f t="shared" si="6"/>
        <v>0</v>
      </c>
      <c r="H414" s="19" t="s">
        <v>9</v>
      </c>
      <c r="J414" s="42"/>
    </row>
    <row r="415" spans="1:10" s="3" customFormat="1" x14ac:dyDescent="0.25">
      <c r="A415" s="20">
        <v>42068</v>
      </c>
      <c r="B415" s="21">
        <v>13925</v>
      </c>
      <c r="C415" s="14" t="s">
        <v>224</v>
      </c>
      <c r="D415" s="105">
        <v>4265.6400000000003</v>
      </c>
      <c r="E415" s="23">
        <v>42068</v>
      </c>
      <c r="F415" s="106">
        <v>4265.6400000000003</v>
      </c>
      <c r="G415" s="31">
        <f t="shared" si="6"/>
        <v>0</v>
      </c>
      <c r="H415" s="19" t="s">
        <v>19</v>
      </c>
      <c r="J415" s="42"/>
    </row>
    <row r="416" spans="1:10" s="3" customFormat="1" x14ac:dyDescent="0.25">
      <c r="A416" s="20">
        <v>42068</v>
      </c>
      <c r="B416" s="21">
        <v>13926</v>
      </c>
      <c r="C416" s="14" t="s">
        <v>34</v>
      </c>
      <c r="D416" s="105">
        <v>3312.4</v>
      </c>
      <c r="E416" s="23">
        <v>42068</v>
      </c>
      <c r="F416" s="106">
        <v>3312.4</v>
      </c>
      <c r="G416" s="31">
        <f t="shared" si="6"/>
        <v>0</v>
      </c>
      <c r="H416" s="19" t="s">
        <v>9</v>
      </c>
      <c r="J416" s="42"/>
    </row>
    <row r="417" spans="1:10" s="3" customFormat="1" x14ac:dyDescent="0.25">
      <c r="A417" s="20">
        <v>42068</v>
      </c>
      <c r="B417" s="21">
        <v>13927</v>
      </c>
      <c r="C417" s="14" t="s">
        <v>285</v>
      </c>
      <c r="D417" s="105">
        <v>744.6</v>
      </c>
      <c r="E417" s="23">
        <v>42068</v>
      </c>
      <c r="F417" s="106">
        <v>744.6</v>
      </c>
      <c r="G417" s="31">
        <f t="shared" si="6"/>
        <v>0</v>
      </c>
      <c r="H417" s="19" t="s">
        <v>19</v>
      </c>
      <c r="J417" s="42"/>
    </row>
    <row r="418" spans="1:10" s="3" customFormat="1" x14ac:dyDescent="0.25">
      <c r="A418" s="20">
        <v>42068</v>
      </c>
      <c r="B418" s="21">
        <v>13928</v>
      </c>
      <c r="C418" s="14" t="s">
        <v>43</v>
      </c>
      <c r="D418" s="105">
        <v>2619</v>
      </c>
      <c r="E418" s="23">
        <v>42068</v>
      </c>
      <c r="F418" s="106">
        <v>2619</v>
      </c>
      <c r="G418" s="31">
        <f t="shared" si="6"/>
        <v>0</v>
      </c>
      <c r="H418" s="19" t="s">
        <v>9</v>
      </c>
      <c r="J418" s="42"/>
    </row>
    <row r="419" spans="1:10" s="3" customFormat="1" x14ac:dyDescent="0.25">
      <c r="A419" s="20">
        <v>42068</v>
      </c>
      <c r="B419" s="21">
        <v>13929</v>
      </c>
      <c r="C419" s="14" t="s">
        <v>26</v>
      </c>
      <c r="D419" s="105">
        <v>105</v>
      </c>
      <c r="E419" s="23">
        <v>42068</v>
      </c>
      <c r="F419" s="106">
        <v>105</v>
      </c>
      <c r="G419" s="31">
        <f t="shared" si="6"/>
        <v>0</v>
      </c>
      <c r="H419" s="19" t="s">
        <v>27</v>
      </c>
      <c r="J419" s="42"/>
    </row>
    <row r="420" spans="1:10" s="3" customFormat="1" x14ac:dyDescent="0.25">
      <c r="A420" s="20">
        <v>42068</v>
      </c>
      <c r="B420" s="21">
        <v>13930</v>
      </c>
      <c r="C420" s="14" t="s">
        <v>98</v>
      </c>
      <c r="D420" s="105">
        <v>1288.6500000000001</v>
      </c>
      <c r="E420" s="23">
        <v>42068</v>
      </c>
      <c r="F420" s="106">
        <v>1288.6500000000001</v>
      </c>
      <c r="G420" s="31">
        <f t="shared" si="6"/>
        <v>0</v>
      </c>
      <c r="H420" s="19" t="s">
        <v>19</v>
      </c>
      <c r="J420" s="42"/>
    </row>
    <row r="421" spans="1:10" s="3" customFormat="1" x14ac:dyDescent="0.25">
      <c r="A421" s="20">
        <v>42068</v>
      </c>
      <c r="B421" s="21">
        <v>13931</v>
      </c>
      <c r="C421" s="14" t="s">
        <v>239</v>
      </c>
      <c r="D421" s="105">
        <v>604.20000000000005</v>
      </c>
      <c r="E421" s="23">
        <v>42068</v>
      </c>
      <c r="F421" s="106">
        <v>604.20000000000005</v>
      </c>
      <c r="G421" s="31">
        <f t="shared" si="6"/>
        <v>0</v>
      </c>
      <c r="H421" s="19" t="s">
        <v>9</v>
      </c>
      <c r="J421" s="42"/>
    </row>
    <row r="422" spans="1:10" s="3" customFormat="1" x14ac:dyDescent="0.25">
      <c r="A422" s="20">
        <v>42068</v>
      </c>
      <c r="B422" s="21">
        <v>13932</v>
      </c>
      <c r="C422" s="14" t="s">
        <v>247</v>
      </c>
      <c r="D422" s="105">
        <v>7638</v>
      </c>
      <c r="E422" s="23">
        <v>42068</v>
      </c>
      <c r="F422" s="106">
        <v>7638</v>
      </c>
      <c r="G422" s="31">
        <f t="shared" si="6"/>
        <v>0</v>
      </c>
      <c r="H422" s="19" t="s">
        <v>94</v>
      </c>
      <c r="J422" s="42"/>
    </row>
    <row r="423" spans="1:10" s="3" customFormat="1" x14ac:dyDescent="0.25">
      <c r="A423" s="20">
        <v>42068</v>
      </c>
      <c r="B423" s="21">
        <v>13933</v>
      </c>
      <c r="C423" s="14" t="s">
        <v>270</v>
      </c>
      <c r="D423" s="105">
        <v>343.2</v>
      </c>
      <c r="E423" s="23">
        <v>42068</v>
      </c>
      <c r="F423" s="106">
        <v>343.2</v>
      </c>
      <c r="G423" s="31">
        <f t="shared" si="6"/>
        <v>0</v>
      </c>
      <c r="H423" s="19" t="s">
        <v>9</v>
      </c>
      <c r="J423" s="42"/>
    </row>
    <row r="424" spans="1:10" s="3" customFormat="1" x14ac:dyDescent="0.25">
      <c r="A424" s="20">
        <v>42068</v>
      </c>
      <c r="B424" s="21">
        <v>13934</v>
      </c>
      <c r="C424" s="14" t="s">
        <v>93</v>
      </c>
      <c r="D424" s="105">
        <v>1339.6</v>
      </c>
      <c r="E424" s="23">
        <v>42068</v>
      </c>
      <c r="F424" s="106">
        <v>1339.6</v>
      </c>
      <c r="G424" s="31">
        <f t="shared" si="6"/>
        <v>0</v>
      </c>
      <c r="H424" s="19" t="s">
        <v>19</v>
      </c>
      <c r="J424" s="42"/>
    </row>
    <row r="425" spans="1:10" s="3" customFormat="1" x14ac:dyDescent="0.25">
      <c r="A425" s="20">
        <v>42068</v>
      </c>
      <c r="B425" s="21">
        <v>13935</v>
      </c>
      <c r="C425" s="14" t="s">
        <v>137</v>
      </c>
      <c r="D425" s="105">
        <v>448.4</v>
      </c>
      <c r="E425" s="23">
        <v>42068</v>
      </c>
      <c r="F425" s="106">
        <v>448.4</v>
      </c>
      <c r="G425" s="31">
        <f t="shared" si="6"/>
        <v>0</v>
      </c>
      <c r="H425" s="19" t="s">
        <v>9</v>
      </c>
      <c r="J425" s="42"/>
    </row>
    <row r="426" spans="1:10" s="3" customFormat="1" x14ac:dyDescent="0.25">
      <c r="A426" s="20">
        <v>42068</v>
      </c>
      <c r="B426" s="21">
        <v>13936</v>
      </c>
      <c r="C426" s="14" t="s">
        <v>24</v>
      </c>
      <c r="D426" s="105">
        <v>242301.11</v>
      </c>
      <c r="E426" s="23">
        <v>42087</v>
      </c>
      <c r="F426" s="106">
        <v>242301.11</v>
      </c>
      <c r="G426" s="31">
        <f t="shared" si="6"/>
        <v>0</v>
      </c>
      <c r="H426" s="19" t="s">
        <v>9</v>
      </c>
      <c r="J426" s="42"/>
    </row>
    <row r="427" spans="1:10" s="3" customFormat="1" x14ac:dyDescent="0.25">
      <c r="A427" s="20">
        <v>42068</v>
      </c>
      <c r="B427" s="21">
        <v>13937</v>
      </c>
      <c r="C427" s="14" t="s">
        <v>110</v>
      </c>
      <c r="D427" s="105">
        <v>81946.62</v>
      </c>
      <c r="E427" s="23">
        <v>42077</v>
      </c>
      <c r="F427" s="106">
        <v>81946.62</v>
      </c>
      <c r="G427" s="31">
        <f t="shared" si="6"/>
        <v>0</v>
      </c>
      <c r="H427" s="19" t="s">
        <v>183</v>
      </c>
      <c r="J427" s="42"/>
    </row>
    <row r="428" spans="1:10" s="3" customFormat="1" x14ac:dyDescent="0.25">
      <c r="A428" s="20">
        <v>42068</v>
      </c>
      <c r="B428" s="21">
        <v>13938</v>
      </c>
      <c r="C428" s="14" t="s">
        <v>130</v>
      </c>
      <c r="D428" s="105">
        <v>3320.1</v>
      </c>
      <c r="E428" s="23">
        <v>42070</v>
      </c>
      <c r="F428" s="106">
        <v>3320.1</v>
      </c>
      <c r="G428" s="31">
        <f t="shared" si="6"/>
        <v>0</v>
      </c>
      <c r="H428" s="19" t="s">
        <v>17</v>
      </c>
      <c r="J428" s="42"/>
    </row>
    <row r="429" spans="1:10" s="3" customFormat="1" x14ac:dyDescent="0.25">
      <c r="A429" s="20">
        <v>42068</v>
      </c>
      <c r="B429" s="21">
        <v>13939</v>
      </c>
      <c r="C429" s="14" t="s">
        <v>131</v>
      </c>
      <c r="D429" s="105">
        <v>15152.35</v>
      </c>
      <c r="E429" s="23">
        <v>42073</v>
      </c>
      <c r="F429" s="106">
        <v>15152.35</v>
      </c>
      <c r="G429" s="31">
        <f t="shared" si="6"/>
        <v>0</v>
      </c>
      <c r="H429" s="19" t="s">
        <v>9</v>
      </c>
      <c r="J429" s="42"/>
    </row>
    <row r="430" spans="1:10" s="3" customFormat="1" x14ac:dyDescent="0.25">
      <c r="A430" s="20">
        <v>42068</v>
      </c>
      <c r="B430" s="21">
        <v>13940</v>
      </c>
      <c r="C430" s="14" t="s">
        <v>141</v>
      </c>
      <c r="D430" s="105">
        <v>3967.9</v>
      </c>
      <c r="E430" s="23">
        <v>42068</v>
      </c>
      <c r="F430" s="106">
        <v>3967.9</v>
      </c>
      <c r="G430" s="31">
        <f t="shared" si="6"/>
        <v>0</v>
      </c>
      <c r="H430" s="19" t="s">
        <v>9</v>
      </c>
      <c r="J430" s="42"/>
    </row>
    <row r="431" spans="1:10" s="3" customFormat="1" x14ac:dyDescent="0.25">
      <c r="A431" s="20">
        <v>42068</v>
      </c>
      <c r="B431" s="21">
        <v>13941</v>
      </c>
      <c r="C431" s="14" t="s">
        <v>136</v>
      </c>
      <c r="D431" s="105">
        <v>35283.199999999997</v>
      </c>
      <c r="E431" s="29" t="s">
        <v>801</v>
      </c>
      <c r="F431" s="106">
        <f>19000+16283.2</f>
        <v>35283.199999999997</v>
      </c>
      <c r="G431" s="48">
        <f t="shared" si="6"/>
        <v>0</v>
      </c>
      <c r="H431" s="19" t="s">
        <v>9</v>
      </c>
      <c r="J431" s="42"/>
    </row>
    <row r="432" spans="1:10" s="3" customFormat="1" x14ac:dyDescent="0.25">
      <c r="A432" s="20">
        <v>42068</v>
      </c>
      <c r="B432" s="21">
        <v>13942</v>
      </c>
      <c r="C432" s="14" t="s">
        <v>66</v>
      </c>
      <c r="D432" s="105">
        <v>529.20000000000005</v>
      </c>
      <c r="E432" s="23">
        <v>42068</v>
      </c>
      <c r="F432" s="106">
        <v>529.20000000000005</v>
      </c>
      <c r="G432" s="31">
        <f t="shared" si="6"/>
        <v>0</v>
      </c>
      <c r="H432" s="19" t="s">
        <v>9</v>
      </c>
      <c r="J432" s="42"/>
    </row>
    <row r="433" spans="1:10" s="3" customFormat="1" x14ac:dyDescent="0.25">
      <c r="A433" s="20">
        <v>42068</v>
      </c>
      <c r="B433" s="21">
        <v>13943</v>
      </c>
      <c r="C433" s="14" t="s">
        <v>89</v>
      </c>
      <c r="D433" s="105">
        <v>4628.2</v>
      </c>
      <c r="E433" s="23">
        <v>42068</v>
      </c>
      <c r="F433" s="106">
        <v>4628.2</v>
      </c>
      <c r="G433" s="31">
        <f t="shared" si="6"/>
        <v>0</v>
      </c>
      <c r="H433" s="19" t="s">
        <v>9</v>
      </c>
      <c r="J433" s="42"/>
    </row>
    <row r="434" spans="1:10" s="3" customFormat="1" x14ac:dyDescent="0.25">
      <c r="A434" s="20">
        <v>42068</v>
      </c>
      <c r="B434" s="21">
        <v>13944</v>
      </c>
      <c r="C434" s="14" t="s">
        <v>229</v>
      </c>
      <c r="D434" s="105">
        <v>5317.49</v>
      </c>
      <c r="E434" s="23">
        <v>42068</v>
      </c>
      <c r="F434" s="106">
        <v>5317.49</v>
      </c>
      <c r="G434" s="31">
        <f t="shared" si="6"/>
        <v>0</v>
      </c>
      <c r="H434" s="19" t="s">
        <v>9</v>
      </c>
      <c r="I434" s="4"/>
      <c r="J434" s="43"/>
    </row>
    <row r="435" spans="1:10" s="3" customFormat="1" x14ac:dyDescent="0.25">
      <c r="A435" s="20">
        <v>42068</v>
      </c>
      <c r="B435" s="21">
        <v>13945</v>
      </c>
      <c r="C435" s="14" t="s">
        <v>24</v>
      </c>
      <c r="D435" s="105">
        <v>203468.1</v>
      </c>
      <c r="E435" s="23">
        <v>42087</v>
      </c>
      <c r="F435" s="106">
        <v>203468.1</v>
      </c>
      <c r="G435" s="31">
        <f t="shared" si="6"/>
        <v>0</v>
      </c>
      <c r="H435" s="19" t="s">
        <v>9</v>
      </c>
      <c r="I435" s="4"/>
      <c r="J435" s="107"/>
    </row>
    <row r="436" spans="1:10" s="3" customFormat="1" x14ac:dyDescent="0.25">
      <c r="A436" s="20">
        <v>42068</v>
      </c>
      <c r="B436" s="21">
        <v>13946</v>
      </c>
      <c r="C436" s="14" t="s">
        <v>47</v>
      </c>
      <c r="D436" s="105">
        <v>12162.8</v>
      </c>
      <c r="E436" s="23">
        <v>42070</v>
      </c>
      <c r="F436" s="106">
        <v>12162.8</v>
      </c>
      <c r="G436" s="31">
        <f t="shared" si="6"/>
        <v>0</v>
      </c>
      <c r="H436" s="19" t="s">
        <v>773</v>
      </c>
      <c r="I436" s="4"/>
      <c r="J436" s="43"/>
    </row>
    <row r="437" spans="1:10" s="3" customFormat="1" x14ac:dyDescent="0.25">
      <c r="A437" s="20">
        <v>42068</v>
      </c>
      <c r="B437" s="21">
        <v>13947</v>
      </c>
      <c r="C437" s="14" t="s">
        <v>35</v>
      </c>
      <c r="D437" s="105">
        <v>20340.25</v>
      </c>
      <c r="E437" s="23">
        <v>42068</v>
      </c>
      <c r="F437" s="106">
        <v>20340.25</v>
      </c>
      <c r="G437" s="31">
        <f t="shared" si="6"/>
        <v>0</v>
      </c>
      <c r="H437" s="19" t="s">
        <v>773</v>
      </c>
      <c r="I437" s="4"/>
      <c r="J437" s="43"/>
    </row>
    <row r="438" spans="1:10" s="3" customFormat="1" x14ac:dyDescent="0.25">
      <c r="A438" s="20">
        <v>42068</v>
      </c>
      <c r="B438" s="21">
        <v>13948</v>
      </c>
      <c r="C438" s="14" t="s">
        <v>256</v>
      </c>
      <c r="D438" s="105">
        <v>4165.2</v>
      </c>
      <c r="E438" s="23">
        <v>42068</v>
      </c>
      <c r="F438" s="106">
        <v>4165.2</v>
      </c>
      <c r="G438" s="31">
        <f t="shared" si="6"/>
        <v>0</v>
      </c>
      <c r="H438" s="19" t="s">
        <v>773</v>
      </c>
      <c r="I438" s="4"/>
      <c r="J438" s="43"/>
    </row>
    <row r="439" spans="1:10" s="3" customFormat="1" x14ac:dyDescent="0.25">
      <c r="A439" s="20">
        <v>42068</v>
      </c>
      <c r="B439" s="21">
        <v>13949</v>
      </c>
      <c r="C439" s="14" t="s">
        <v>14</v>
      </c>
      <c r="D439" s="105">
        <v>102313</v>
      </c>
      <c r="E439" s="23">
        <v>42075</v>
      </c>
      <c r="F439" s="106">
        <v>102313</v>
      </c>
      <c r="G439" s="31">
        <f t="shared" si="6"/>
        <v>0</v>
      </c>
      <c r="H439" s="19" t="s">
        <v>183</v>
      </c>
      <c r="I439" s="4"/>
      <c r="J439" s="43"/>
    </row>
    <row r="440" spans="1:10" s="3" customFormat="1" x14ac:dyDescent="0.25">
      <c r="A440" s="20">
        <v>42068</v>
      </c>
      <c r="B440" s="21">
        <v>13950</v>
      </c>
      <c r="C440" s="14" t="s">
        <v>81</v>
      </c>
      <c r="D440" s="105">
        <v>1300</v>
      </c>
      <c r="E440" s="23">
        <v>42068</v>
      </c>
      <c r="F440" s="106">
        <v>1300</v>
      </c>
      <c r="G440" s="31">
        <f t="shared" si="6"/>
        <v>0</v>
      </c>
      <c r="H440" s="19" t="s">
        <v>9</v>
      </c>
      <c r="I440" s="4"/>
      <c r="J440" s="43"/>
    </row>
    <row r="441" spans="1:10" s="3" customFormat="1" x14ac:dyDescent="0.25">
      <c r="A441" s="20">
        <v>42068</v>
      </c>
      <c r="B441" s="21">
        <v>13951</v>
      </c>
      <c r="C441" s="14" t="s">
        <v>733</v>
      </c>
      <c r="D441" s="105">
        <v>5081.6000000000004</v>
      </c>
      <c r="E441" s="23">
        <v>42070</v>
      </c>
      <c r="F441" s="106">
        <v>5081.6000000000004</v>
      </c>
      <c r="G441" s="31">
        <f t="shared" si="6"/>
        <v>0</v>
      </c>
      <c r="H441" s="19" t="s">
        <v>149</v>
      </c>
      <c r="I441" s="4"/>
      <c r="J441" s="43"/>
    </row>
    <row r="442" spans="1:10" s="3" customFormat="1" x14ac:dyDescent="0.25">
      <c r="A442" s="20">
        <v>42068</v>
      </c>
      <c r="B442" s="21">
        <v>13952</v>
      </c>
      <c r="C442" s="14" t="s">
        <v>198</v>
      </c>
      <c r="D442" s="105">
        <v>15894.3</v>
      </c>
      <c r="E442" s="23">
        <v>42070</v>
      </c>
      <c r="F442" s="106">
        <v>15894.3</v>
      </c>
      <c r="G442" s="31">
        <f t="shared" si="6"/>
        <v>0</v>
      </c>
      <c r="H442" s="19" t="s">
        <v>149</v>
      </c>
      <c r="I442" s="4"/>
      <c r="J442" s="43"/>
    </row>
    <row r="443" spans="1:10" s="3" customFormat="1" x14ac:dyDescent="0.25">
      <c r="A443" s="20">
        <v>42068</v>
      </c>
      <c r="B443" s="21">
        <v>13953</v>
      </c>
      <c r="C443" s="14" t="s">
        <v>440</v>
      </c>
      <c r="D443" s="105">
        <v>4039.8</v>
      </c>
      <c r="E443" s="23">
        <v>42068</v>
      </c>
      <c r="F443" s="106">
        <v>4039.8</v>
      </c>
      <c r="G443" s="31">
        <f t="shared" si="6"/>
        <v>0</v>
      </c>
      <c r="H443" s="19" t="s">
        <v>62</v>
      </c>
      <c r="I443" s="4"/>
      <c r="J443" s="43"/>
    </row>
    <row r="444" spans="1:10" s="3" customFormat="1" x14ac:dyDescent="0.25">
      <c r="A444" s="20">
        <v>42068</v>
      </c>
      <c r="B444" s="21">
        <v>13954</v>
      </c>
      <c r="C444" s="14" t="s">
        <v>391</v>
      </c>
      <c r="D444" s="105">
        <v>2032.8</v>
      </c>
      <c r="E444" s="23">
        <v>42068</v>
      </c>
      <c r="F444" s="106">
        <v>2032.8</v>
      </c>
      <c r="G444" s="31">
        <f t="shared" si="6"/>
        <v>0</v>
      </c>
      <c r="H444" s="19" t="s">
        <v>9</v>
      </c>
      <c r="I444" s="4"/>
      <c r="J444" s="43"/>
    </row>
    <row r="445" spans="1:10" s="3" customFormat="1" x14ac:dyDescent="0.25">
      <c r="A445" s="20">
        <v>42068</v>
      </c>
      <c r="B445" s="21">
        <v>13955</v>
      </c>
      <c r="C445" s="14" t="s">
        <v>48</v>
      </c>
      <c r="D445" s="105">
        <v>28249.62</v>
      </c>
      <c r="E445" s="23">
        <v>42074</v>
      </c>
      <c r="F445" s="106">
        <v>28249.62</v>
      </c>
      <c r="G445" s="31">
        <f t="shared" si="6"/>
        <v>0</v>
      </c>
      <c r="H445" s="19" t="s">
        <v>149</v>
      </c>
      <c r="I445" s="4"/>
      <c r="J445" s="43"/>
    </row>
    <row r="446" spans="1:10" s="3" customFormat="1" x14ac:dyDescent="0.25">
      <c r="A446" s="20">
        <v>42068</v>
      </c>
      <c r="B446" s="21">
        <v>13956</v>
      </c>
      <c r="C446" s="14" t="s">
        <v>195</v>
      </c>
      <c r="D446" s="105">
        <v>125125.99</v>
      </c>
      <c r="E446" s="30" t="s">
        <v>802</v>
      </c>
      <c r="F446" s="106">
        <v>125125.99</v>
      </c>
      <c r="G446" s="31">
        <f t="shared" si="6"/>
        <v>0</v>
      </c>
      <c r="H446" s="19" t="s">
        <v>149</v>
      </c>
      <c r="I446" s="4"/>
      <c r="J446" s="43"/>
    </row>
    <row r="447" spans="1:10" s="3" customFormat="1" x14ac:dyDescent="0.25">
      <c r="A447" s="20">
        <v>42068</v>
      </c>
      <c r="B447" s="21">
        <v>13957</v>
      </c>
      <c r="C447" s="14" t="s">
        <v>803</v>
      </c>
      <c r="D447" s="105">
        <v>7546</v>
      </c>
      <c r="E447" s="23">
        <v>42070</v>
      </c>
      <c r="F447" s="106">
        <v>7546</v>
      </c>
      <c r="G447" s="31">
        <f t="shared" si="6"/>
        <v>0</v>
      </c>
      <c r="H447" s="19" t="s">
        <v>149</v>
      </c>
      <c r="I447" s="4"/>
      <c r="J447" s="43"/>
    </row>
    <row r="448" spans="1:10" s="3" customFormat="1" x14ac:dyDescent="0.25">
      <c r="A448" s="20">
        <v>42068</v>
      </c>
      <c r="B448" s="21">
        <v>13958</v>
      </c>
      <c r="C448" s="147" t="s">
        <v>204</v>
      </c>
      <c r="D448" s="105">
        <v>5836</v>
      </c>
      <c r="E448" s="23">
        <v>42070</v>
      </c>
      <c r="F448" s="106">
        <v>5836</v>
      </c>
      <c r="G448" s="31">
        <f t="shared" si="6"/>
        <v>0</v>
      </c>
      <c r="H448" s="19" t="s">
        <v>149</v>
      </c>
      <c r="I448" s="4"/>
      <c r="J448" s="43"/>
    </row>
    <row r="449" spans="1:10" s="3" customFormat="1" x14ac:dyDescent="0.25">
      <c r="A449" s="20">
        <v>42068</v>
      </c>
      <c r="B449" s="21">
        <v>13959</v>
      </c>
      <c r="C449" s="14" t="s">
        <v>420</v>
      </c>
      <c r="D449" s="105">
        <v>2986.2</v>
      </c>
      <c r="E449" s="23">
        <v>42070</v>
      </c>
      <c r="F449" s="106">
        <v>2986.2</v>
      </c>
      <c r="G449" s="31">
        <f t="shared" si="6"/>
        <v>0</v>
      </c>
      <c r="H449" s="19" t="s">
        <v>149</v>
      </c>
      <c r="I449" s="4"/>
      <c r="J449" s="43"/>
    </row>
    <row r="450" spans="1:10" s="3" customFormat="1" x14ac:dyDescent="0.25">
      <c r="A450" s="20">
        <v>42068</v>
      </c>
      <c r="B450" s="21">
        <v>13960</v>
      </c>
      <c r="C450" s="14" t="s">
        <v>262</v>
      </c>
      <c r="D450" s="105">
        <v>3700.8</v>
      </c>
      <c r="E450" s="23">
        <v>42070</v>
      </c>
      <c r="F450" s="106">
        <v>3700.8</v>
      </c>
      <c r="G450" s="31">
        <f t="shared" si="6"/>
        <v>0</v>
      </c>
      <c r="H450" s="19" t="s">
        <v>149</v>
      </c>
      <c r="I450" s="4"/>
      <c r="J450" s="43"/>
    </row>
    <row r="451" spans="1:10" s="3" customFormat="1" x14ac:dyDescent="0.25">
      <c r="A451" s="20">
        <v>42068</v>
      </c>
      <c r="B451" s="21">
        <v>13961</v>
      </c>
      <c r="C451" s="14" t="s">
        <v>203</v>
      </c>
      <c r="D451" s="105">
        <v>2908</v>
      </c>
      <c r="E451" s="23">
        <v>42070</v>
      </c>
      <c r="F451" s="106">
        <v>2908</v>
      </c>
      <c r="G451" s="31">
        <f t="shared" ref="G451:G514" si="7">D451-F451</f>
        <v>0</v>
      </c>
      <c r="H451" s="19" t="s">
        <v>149</v>
      </c>
      <c r="I451" s="4"/>
      <c r="J451" s="43"/>
    </row>
    <row r="452" spans="1:10" s="3" customFormat="1" x14ac:dyDescent="0.25">
      <c r="A452" s="20">
        <v>42068</v>
      </c>
      <c r="B452" s="21">
        <v>13962</v>
      </c>
      <c r="C452" s="14" t="s">
        <v>552</v>
      </c>
      <c r="D452" s="105">
        <v>1558.2</v>
      </c>
      <c r="E452" s="23">
        <v>42070</v>
      </c>
      <c r="F452" s="106">
        <v>1558.2</v>
      </c>
      <c r="G452" s="31">
        <f t="shared" si="7"/>
        <v>0</v>
      </c>
      <c r="H452" s="19" t="s">
        <v>149</v>
      </c>
      <c r="I452" s="4"/>
      <c r="J452" s="43"/>
    </row>
    <row r="453" spans="1:10" s="3" customFormat="1" x14ac:dyDescent="0.25">
      <c r="A453" s="20">
        <v>42068</v>
      </c>
      <c r="B453" s="21">
        <v>13963</v>
      </c>
      <c r="C453" s="14" t="s">
        <v>449</v>
      </c>
      <c r="D453" s="105">
        <v>22837.1</v>
      </c>
      <c r="E453" s="23">
        <v>42070</v>
      </c>
      <c r="F453" s="106">
        <v>22837.1</v>
      </c>
      <c r="G453" s="31">
        <f t="shared" si="7"/>
        <v>0</v>
      </c>
      <c r="H453" s="19" t="s">
        <v>149</v>
      </c>
      <c r="I453" s="4"/>
      <c r="J453" s="43">
        <f>125125.99+24648.94</f>
        <v>149774.93</v>
      </c>
    </row>
    <row r="454" spans="1:10" s="3" customFormat="1" x14ac:dyDescent="0.25">
      <c r="A454" s="20">
        <v>42068</v>
      </c>
      <c r="B454" s="21">
        <v>13964</v>
      </c>
      <c r="C454" s="14" t="s">
        <v>552</v>
      </c>
      <c r="D454" s="105">
        <v>14843</v>
      </c>
      <c r="E454" s="23">
        <v>42070</v>
      </c>
      <c r="F454" s="106">
        <v>14843</v>
      </c>
      <c r="G454" s="31">
        <f t="shared" si="7"/>
        <v>0</v>
      </c>
      <c r="H454" s="19" t="s">
        <v>149</v>
      </c>
      <c r="I454" s="4"/>
      <c r="J454" s="43"/>
    </row>
    <row r="455" spans="1:10" s="3" customFormat="1" x14ac:dyDescent="0.25">
      <c r="A455" s="20">
        <v>42068</v>
      </c>
      <c r="B455" s="21">
        <v>13965</v>
      </c>
      <c r="C455" s="14" t="s">
        <v>195</v>
      </c>
      <c r="D455" s="105">
        <v>24648.94</v>
      </c>
      <c r="E455" s="30" t="s">
        <v>804</v>
      </c>
      <c r="F455" s="106">
        <v>24648.94</v>
      </c>
      <c r="G455" s="31">
        <f t="shared" si="7"/>
        <v>0</v>
      </c>
      <c r="H455" s="39" t="s">
        <v>149</v>
      </c>
      <c r="I455" s="4"/>
      <c r="J455" s="43"/>
    </row>
    <row r="456" spans="1:10" s="3" customFormat="1" x14ac:dyDescent="0.25">
      <c r="A456" s="20">
        <v>42068</v>
      </c>
      <c r="B456" s="21">
        <v>13966</v>
      </c>
      <c r="C456" s="14" t="s">
        <v>68</v>
      </c>
      <c r="D456" s="105">
        <v>2719.96</v>
      </c>
      <c r="E456" s="23">
        <v>42070</v>
      </c>
      <c r="F456" s="106">
        <v>2719.96</v>
      </c>
      <c r="G456" s="31">
        <f t="shared" si="7"/>
        <v>0</v>
      </c>
      <c r="H456" s="39" t="s">
        <v>149</v>
      </c>
      <c r="I456" s="4"/>
      <c r="J456" s="43"/>
    </row>
    <row r="457" spans="1:10" s="3" customFormat="1" x14ac:dyDescent="0.25">
      <c r="A457" s="20">
        <v>42068</v>
      </c>
      <c r="B457" s="21">
        <v>13967</v>
      </c>
      <c r="C457" s="14" t="s">
        <v>249</v>
      </c>
      <c r="D457" s="105">
        <v>2671.2</v>
      </c>
      <c r="E457" s="29" t="s">
        <v>805</v>
      </c>
      <c r="F457" s="106">
        <f>2500+171.2</f>
        <v>2671.2</v>
      </c>
      <c r="G457" s="31">
        <f t="shared" si="7"/>
        <v>0</v>
      </c>
      <c r="H457" s="39" t="s">
        <v>94</v>
      </c>
      <c r="I457" s="4"/>
      <c r="J457" s="43"/>
    </row>
    <row r="458" spans="1:10" s="3" customFormat="1" x14ac:dyDescent="0.25">
      <c r="A458" s="20">
        <v>42068</v>
      </c>
      <c r="B458" s="21">
        <v>13968</v>
      </c>
      <c r="C458" s="14" t="s">
        <v>806</v>
      </c>
      <c r="D458" s="105">
        <v>19633.8</v>
      </c>
      <c r="E458" s="23">
        <v>42070</v>
      </c>
      <c r="F458" s="106">
        <v>19633.8</v>
      </c>
      <c r="G458" s="31">
        <f t="shared" si="7"/>
        <v>0</v>
      </c>
      <c r="H458" s="39" t="s">
        <v>149</v>
      </c>
      <c r="I458" s="4"/>
      <c r="J458" s="43"/>
    </row>
    <row r="459" spans="1:10" s="3" customFormat="1" x14ac:dyDescent="0.25">
      <c r="A459" s="20">
        <v>42068</v>
      </c>
      <c r="B459" s="21">
        <v>13969</v>
      </c>
      <c r="C459" s="14" t="s">
        <v>206</v>
      </c>
      <c r="D459" s="105">
        <v>31195</v>
      </c>
      <c r="E459" s="23">
        <v>42074</v>
      </c>
      <c r="F459" s="106">
        <v>31195</v>
      </c>
      <c r="G459" s="31">
        <f t="shared" si="7"/>
        <v>0</v>
      </c>
      <c r="H459" s="39" t="s">
        <v>149</v>
      </c>
      <c r="I459" s="4"/>
      <c r="J459" s="43"/>
    </row>
    <row r="460" spans="1:10" s="3" customFormat="1" x14ac:dyDescent="0.25">
      <c r="A460" s="20">
        <v>42068</v>
      </c>
      <c r="B460" s="21">
        <v>13970</v>
      </c>
      <c r="C460" s="14" t="s">
        <v>80</v>
      </c>
      <c r="D460" s="105">
        <v>8679.6</v>
      </c>
      <c r="E460" s="23">
        <v>42068</v>
      </c>
      <c r="F460" s="106">
        <v>8679.6</v>
      </c>
      <c r="G460" s="31">
        <f t="shared" si="7"/>
        <v>0</v>
      </c>
      <c r="H460" s="39" t="s">
        <v>9</v>
      </c>
      <c r="I460" s="4"/>
      <c r="J460" s="107"/>
    </row>
    <row r="461" spans="1:10" s="3" customFormat="1" x14ac:dyDescent="0.25">
      <c r="A461" s="20">
        <v>42068</v>
      </c>
      <c r="B461" s="21">
        <v>13971</v>
      </c>
      <c r="C461" s="14" t="s">
        <v>32</v>
      </c>
      <c r="D461" s="105">
        <v>12242.7</v>
      </c>
      <c r="E461" s="23">
        <v>42089</v>
      </c>
      <c r="F461" s="106">
        <v>12242.7</v>
      </c>
      <c r="G461" s="31">
        <f t="shared" si="7"/>
        <v>0</v>
      </c>
      <c r="H461" s="39" t="s">
        <v>9</v>
      </c>
      <c r="I461" s="4"/>
      <c r="J461" s="43"/>
    </row>
    <row r="462" spans="1:10" s="3" customFormat="1" x14ac:dyDescent="0.25">
      <c r="A462" s="20">
        <v>42068</v>
      </c>
      <c r="B462" s="21">
        <v>13972</v>
      </c>
      <c r="C462" s="148" t="s">
        <v>18</v>
      </c>
      <c r="D462" s="149">
        <v>65632.95</v>
      </c>
      <c r="E462" s="23">
        <v>42074</v>
      </c>
      <c r="F462" s="106">
        <v>65632.95</v>
      </c>
      <c r="G462" s="31">
        <f t="shared" si="7"/>
        <v>0</v>
      </c>
      <c r="H462" s="39"/>
      <c r="I462" s="4"/>
      <c r="J462" s="43"/>
    </row>
    <row r="463" spans="1:10" s="3" customFormat="1" x14ac:dyDescent="0.25">
      <c r="A463" s="20">
        <v>42068</v>
      </c>
      <c r="B463" s="21">
        <v>13973</v>
      </c>
      <c r="C463" s="14" t="s">
        <v>732</v>
      </c>
      <c r="D463" s="105">
        <v>24420</v>
      </c>
      <c r="E463" s="23">
        <v>42070</v>
      </c>
      <c r="F463" s="106">
        <v>24420</v>
      </c>
      <c r="G463" s="31">
        <f t="shared" si="7"/>
        <v>0</v>
      </c>
      <c r="H463" s="39" t="s">
        <v>149</v>
      </c>
      <c r="I463" s="4"/>
      <c r="J463" s="43"/>
    </row>
    <row r="464" spans="1:10" s="3" customFormat="1" x14ac:dyDescent="0.25">
      <c r="A464" s="20">
        <v>42068</v>
      </c>
      <c r="B464" s="21">
        <v>13974</v>
      </c>
      <c r="C464" s="14" t="s">
        <v>350</v>
      </c>
      <c r="D464" s="105">
        <v>2824.1</v>
      </c>
      <c r="E464" s="23">
        <v>42070</v>
      </c>
      <c r="F464" s="106">
        <v>2824.1</v>
      </c>
      <c r="G464" s="31">
        <f t="shared" si="7"/>
        <v>0</v>
      </c>
      <c r="H464" s="39" t="s">
        <v>149</v>
      </c>
      <c r="I464" s="4"/>
      <c r="J464" s="43"/>
    </row>
    <row r="465" spans="1:10" s="3" customFormat="1" x14ac:dyDescent="0.25">
      <c r="A465" s="20">
        <v>42069</v>
      </c>
      <c r="B465" s="21">
        <v>13975</v>
      </c>
      <c r="C465" s="14" t="s">
        <v>18</v>
      </c>
      <c r="D465" s="105">
        <v>45607.5</v>
      </c>
      <c r="E465" s="23">
        <v>42074</v>
      </c>
      <c r="F465" s="106">
        <v>45607.5</v>
      </c>
      <c r="G465" s="31">
        <f t="shared" si="7"/>
        <v>0</v>
      </c>
      <c r="H465" s="39" t="s">
        <v>9</v>
      </c>
      <c r="I465" s="4"/>
      <c r="J465" s="43"/>
    </row>
    <row r="466" spans="1:10" s="3" customFormat="1" x14ac:dyDescent="0.25">
      <c r="A466" s="20">
        <v>42069</v>
      </c>
      <c r="B466" s="21">
        <v>13976</v>
      </c>
      <c r="C466" s="14" t="s">
        <v>16</v>
      </c>
      <c r="D466" s="105">
        <v>8969.6</v>
      </c>
      <c r="E466" s="23">
        <v>42069</v>
      </c>
      <c r="F466" s="106">
        <v>8969.6</v>
      </c>
      <c r="G466" s="31">
        <f t="shared" si="7"/>
        <v>0</v>
      </c>
      <c r="H466" s="39" t="s">
        <v>17</v>
      </c>
      <c r="I466" s="4"/>
      <c r="J466" s="43"/>
    </row>
    <row r="467" spans="1:10" s="3" customFormat="1" x14ac:dyDescent="0.25">
      <c r="A467" s="20">
        <v>42069</v>
      </c>
      <c r="B467" s="21">
        <v>13977</v>
      </c>
      <c r="C467" s="14" t="s">
        <v>267</v>
      </c>
      <c r="D467" s="105">
        <v>1707.72</v>
      </c>
      <c r="E467" s="23">
        <v>42069</v>
      </c>
      <c r="F467" s="106">
        <v>1707.72</v>
      </c>
      <c r="G467" s="31">
        <f t="shared" si="7"/>
        <v>0</v>
      </c>
      <c r="H467" s="39" t="s">
        <v>17</v>
      </c>
      <c r="J467" s="42"/>
    </row>
    <row r="468" spans="1:10" s="3" customFormat="1" x14ac:dyDescent="0.25">
      <c r="A468" s="20">
        <v>42069</v>
      </c>
      <c r="B468" s="21">
        <v>13978</v>
      </c>
      <c r="C468" s="14" t="s">
        <v>14</v>
      </c>
      <c r="D468" s="105">
        <v>12033.2</v>
      </c>
      <c r="E468" s="23">
        <v>42075</v>
      </c>
      <c r="F468" s="106">
        <v>12033.2</v>
      </c>
      <c r="G468" s="31">
        <f t="shared" si="7"/>
        <v>0</v>
      </c>
      <c r="H468" s="39" t="s">
        <v>15</v>
      </c>
      <c r="J468" s="42"/>
    </row>
    <row r="469" spans="1:10" s="3" customFormat="1" x14ac:dyDescent="0.25">
      <c r="A469" s="20">
        <v>42069</v>
      </c>
      <c r="B469" s="21">
        <v>13979</v>
      </c>
      <c r="C469" s="14" t="s">
        <v>18</v>
      </c>
      <c r="D469" s="105">
        <v>3281.6</v>
      </c>
      <c r="E469" s="23">
        <v>42069</v>
      </c>
      <c r="F469" s="106">
        <v>3281.6</v>
      </c>
      <c r="G469" s="31">
        <f t="shared" si="7"/>
        <v>0</v>
      </c>
      <c r="H469" s="39" t="s">
        <v>9</v>
      </c>
      <c r="J469" s="42"/>
    </row>
    <row r="470" spans="1:10" s="3" customFormat="1" x14ac:dyDescent="0.25">
      <c r="A470" s="20">
        <v>42069</v>
      </c>
      <c r="B470" s="21">
        <v>13980</v>
      </c>
      <c r="C470" s="14" t="s">
        <v>110</v>
      </c>
      <c r="D470" s="105">
        <v>5525.8</v>
      </c>
      <c r="E470" s="23">
        <v>42087</v>
      </c>
      <c r="F470" s="106">
        <v>5525.8</v>
      </c>
      <c r="G470" s="31">
        <f t="shared" si="7"/>
        <v>0</v>
      </c>
      <c r="H470" s="39" t="s">
        <v>94</v>
      </c>
      <c r="J470" s="42"/>
    </row>
    <row r="471" spans="1:10" s="3" customFormat="1" x14ac:dyDescent="0.25">
      <c r="A471" s="20">
        <v>42069</v>
      </c>
      <c r="B471" s="21">
        <v>13981</v>
      </c>
      <c r="C471" s="14" t="s">
        <v>24</v>
      </c>
      <c r="D471" s="105">
        <v>696</v>
      </c>
      <c r="E471" s="23">
        <v>42081</v>
      </c>
      <c r="F471" s="106">
        <v>696</v>
      </c>
      <c r="G471" s="31">
        <f t="shared" si="7"/>
        <v>0</v>
      </c>
      <c r="H471" s="39" t="s">
        <v>9</v>
      </c>
      <c r="J471" s="42"/>
    </row>
    <row r="472" spans="1:10" s="3" customFormat="1" x14ac:dyDescent="0.25">
      <c r="A472" s="20">
        <v>42069</v>
      </c>
      <c r="B472" s="21">
        <v>13982</v>
      </c>
      <c r="C472" s="14" t="s">
        <v>32</v>
      </c>
      <c r="D472" s="105">
        <v>146967.29999999999</v>
      </c>
      <c r="E472" s="23">
        <v>42089</v>
      </c>
      <c r="F472" s="106">
        <v>146967.29999999999</v>
      </c>
      <c r="G472" s="31">
        <f t="shared" si="7"/>
        <v>0</v>
      </c>
      <c r="H472" s="39" t="s">
        <v>19</v>
      </c>
      <c r="J472" s="42"/>
    </row>
    <row r="473" spans="1:10" s="3" customFormat="1" x14ac:dyDescent="0.25">
      <c r="A473" s="20">
        <v>42069</v>
      </c>
      <c r="B473" s="21">
        <v>13983</v>
      </c>
      <c r="C473" s="14" t="s">
        <v>20</v>
      </c>
      <c r="D473" s="105">
        <v>14076</v>
      </c>
      <c r="E473" s="23">
        <v>42069</v>
      </c>
      <c r="F473" s="106">
        <v>14076</v>
      </c>
      <c r="G473" s="31">
        <f t="shared" si="7"/>
        <v>0</v>
      </c>
      <c r="H473" s="39" t="s">
        <v>94</v>
      </c>
      <c r="J473" s="42"/>
    </row>
    <row r="474" spans="1:10" s="3" customFormat="1" x14ac:dyDescent="0.25">
      <c r="A474" s="20">
        <v>42069</v>
      </c>
      <c r="B474" s="21">
        <v>13984</v>
      </c>
      <c r="C474" s="14" t="s">
        <v>91</v>
      </c>
      <c r="D474" s="105">
        <v>23270</v>
      </c>
      <c r="E474" s="23">
        <v>42069</v>
      </c>
      <c r="F474" s="106">
        <v>23270</v>
      </c>
      <c r="G474" s="31">
        <f t="shared" si="7"/>
        <v>0</v>
      </c>
      <c r="H474" s="39" t="s">
        <v>59</v>
      </c>
      <c r="J474" s="42"/>
    </row>
    <row r="475" spans="1:10" s="3" customFormat="1" x14ac:dyDescent="0.25">
      <c r="A475" s="20">
        <v>42069</v>
      </c>
      <c r="B475" s="21">
        <v>13985</v>
      </c>
      <c r="C475" s="14" t="s">
        <v>126</v>
      </c>
      <c r="D475" s="105">
        <v>3300</v>
      </c>
      <c r="E475" s="23">
        <v>42069</v>
      </c>
      <c r="F475" s="106">
        <v>3300</v>
      </c>
      <c r="G475" s="31">
        <f t="shared" si="7"/>
        <v>0</v>
      </c>
      <c r="H475" s="39" t="s">
        <v>59</v>
      </c>
      <c r="J475" s="42"/>
    </row>
    <row r="476" spans="1:10" s="3" customFormat="1" x14ac:dyDescent="0.25">
      <c r="A476" s="20">
        <v>42069</v>
      </c>
      <c r="B476" s="21">
        <v>13986</v>
      </c>
      <c r="C476" s="14" t="s">
        <v>54</v>
      </c>
      <c r="D476" s="105">
        <v>1440</v>
      </c>
      <c r="E476" s="23">
        <v>42069</v>
      </c>
      <c r="F476" s="106">
        <v>1440</v>
      </c>
      <c r="G476" s="31">
        <f t="shared" si="7"/>
        <v>0</v>
      </c>
      <c r="H476" s="39" t="s">
        <v>59</v>
      </c>
      <c r="J476" s="42"/>
    </row>
    <row r="477" spans="1:10" s="3" customFormat="1" x14ac:dyDescent="0.25">
      <c r="A477" s="20">
        <v>42069</v>
      </c>
      <c r="B477" s="21">
        <v>13987</v>
      </c>
      <c r="C477" s="110">
        <v>105</v>
      </c>
      <c r="D477" s="105">
        <v>1332</v>
      </c>
      <c r="E477" s="23">
        <v>42069</v>
      </c>
      <c r="F477" s="106">
        <v>1332</v>
      </c>
      <c r="G477" s="31">
        <f t="shared" si="7"/>
        <v>0</v>
      </c>
      <c r="H477" s="39" t="s">
        <v>59</v>
      </c>
      <c r="J477" s="42"/>
    </row>
    <row r="478" spans="1:10" s="3" customFormat="1" x14ac:dyDescent="0.25">
      <c r="A478" s="20">
        <v>42069</v>
      </c>
      <c r="B478" s="21">
        <v>13988</v>
      </c>
      <c r="C478" s="14" t="s">
        <v>57</v>
      </c>
      <c r="D478" s="105">
        <v>900</v>
      </c>
      <c r="E478" s="23">
        <v>42069</v>
      </c>
      <c r="F478" s="106">
        <v>900</v>
      </c>
      <c r="G478" s="31">
        <f t="shared" si="7"/>
        <v>0</v>
      </c>
      <c r="H478" s="39" t="s">
        <v>59</v>
      </c>
      <c r="J478" s="42"/>
    </row>
    <row r="479" spans="1:10" s="3" customFormat="1" x14ac:dyDescent="0.25">
      <c r="A479" s="20">
        <v>42069</v>
      </c>
      <c r="B479" s="21">
        <v>13989</v>
      </c>
      <c r="C479" s="14" t="s">
        <v>112</v>
      </c>
      <c r="D479" s="105">
        <v>4720.1000000000004</v>
      </c>
      <c r="E479" s="23">
        <v>42069</v>
      </c>
      <c r="F479" s="106">
        <v>4720.1000000000004</v>
      </c>
      <c r="G479" s="31">
        <f t="shared" si="7"/>
        <v>0</v>
      </c>
      <c r="H479" s="39" t="s">
        <v>9</v>
      </c>
      <c r="J479" s="42"/>
    </row>
    <row r="480" spans="1:10" s="3" customFormat="1" x14ac:dyDescent="0.25">
      <c r="A480" s="20">
        <v>42069</v>
      </c>
      <c r="B480" s="21">
        <v>13990</v>
      </c>
      <c r="C480" s="14" t="s">
        <v>58</v>
      </c>
      <c r="D480" s="105">
        <v>540</v>
      </c>
      <c r="E480" s="23">
        <v>42069</v>
      </c>
      <c r="F480" s="106">
        <v>540</v>
      </c>
      <c r="G480" s="31">
        <f t="shared" si="7"/>
        <v>0</v>
      </c>
      <c r="H480" s="39" t="s">
        <v>9</v>
      </c>
      <c r="J480" s="42"/>
    </row>
    <row r="481" spans="1:10" s="3" customFormat="1" x14ac:dyDescent="0.25">
      <c r="A481" s="20">
        <v>42069</v>
      </c>
      <c r="B481" s="21">
        <v>13991</v>
      </c>
      <c r="C481" s="14" t="s">
        <v>239</v>
      </c>
      <c r="D481" s="105">
        <v>1084.4000000000001</v>
      </c>
      <c r="E481" s="23">
        <v>42069</v>
      </c>
      <c r="F481" s="106">
        <v>1084.4000000000001</v>
      </c>
      <c r="G481" s="31">
        <f t="shared" si="7"/>
        <v>0</v>
      </c>
      <c r="H481" s="39" t="s">
        <v>9</v>
      </c>
      <c r="J481" s="42"/>
    </row>
    <row r="482" spans="1:10" s="3" customFormat="1" x14ac:dyDescent="0.25">
      <c r="A482" s="20">
        <v>42069</v>
      </c>
      <c r="B482" s="21">
        <v>13992</v>
      </c>
      <c r="C482" s="14" t="s">
        <v>151</v>
      </c>
      <c r="D482" s="105">
        <v>18184.080000000002</v>
      </c>
      <c r="E482" s="23">
        <v>42071</v>
      </c>
      <c r="F482" s="106">
        <v>18184.080000000002</v>
      </c>
      <c r="G482" s="31">
        <f t="shared" si="7"/>
        <v>0</v>
      </c>
      <c r="H482" s="39" t="s">
        <v>9</v>
      </c>
      <c r="J482" s="42"/>
    </row>
    <row r="483" spans="1:10" s="3" customFormat="1" x14ac:dyDescent="0.25">
      <c r="A483" s="20">
        <v>42069</v>
      </c>
      <c r="B483" s="21">
        <v>13993</v>
      </c>
      <c r="C483" s="14" t="s">
        <v>21</v>
      </c>
      <c r="D483" s="105">
        <v>2728</v>
      </c>
      <c r="E483" s="23">
        <v>42069</v>
      </c>
      <c r="F483" s="106">
        <v>2728</v>
      </c>
      <c r="G483" s="31">
        <f t="shared" si="7"/>
        <v>0</v>
      </c>
      <c r="H483" s="39" t="s">
        <v>9</v>
      </c>
      <c r="I483" s="4"/>
      <c r="J483" s="43"/>
    </row>
    <row r="484" spans="1:10" s="3" customFormat="1" x14ac:dyDescent="0.25">
      <c r="A484" s="20">
        <v>42069</v>
      </c>
      <c r="B484" s="21">
        <v>13994</v>
      </c>
      <c r="C484" s="14" t="s">
        <v>238</v>
      </c>
      <c r="D484" s="105">
        <v>395.2</v>
      </c>
      <c r="E484" s="23">
        <v>42070</v>
      </c>
      <c r="F484" s="106">
        <v>395.2</v>
      </c>
      <c r="G484" s="31">
        <f t="shared" si="7"/>
        <v>0</v>
      </c>
      <c r="H484" s="39" t="s">
        <v>59</v>
      </c>
      <c r="I484" s="4"/>
      <c r="J484" s="43"/>
    </row>
    <row r="485" spans="1:10" s="3" customFormat="1" x14ac:dyDescent="0.25">
      <c r="A485" s="20">
        <v>42069</v>
      </c>
      <c r="B485" s="21">
        <v>13995</v>
      </c>
      <c r="C485" s="14" t="s">
        <v>53</v>
      </c>
      <c r="D485" s="105">
        <v>1054</v>
      </c>
      <c r="E485" s="23">
        <v>42069</v>
      </c>
      <c r="F485" s="106">
        <v>1054</v>
      </c>
      <c r="G485" s="31">
        <f t="shared" si="7"/>
        <v>0</v>
      </c>
      <c r="H485" s="39" t="s">
        <v>59</v>
      </c>
      <c r="I485" s="4"/>
      <c r="J485" s="43"/>
    </row>
    <row r="486" spans="1:10" s="3" customFormat="1" x14ac:dyDescent="0.25">
      <c r="A486" s="20">
        <v>42069</v>
      </c>
      <c r="B486" s="21">
        <v>13996</v>
      </c>
      <c r="C486" s="14" t="s">
        <v>81</v>
      </c>
      <c r="D486" s="105">
        <v>3424.9</v>
      </c>
      <c r="E486" s="23">
        <v>42069</v>
      </c>
      <c r="F486" s="106">
        <v>3424.9</v>
      </c>
      <c r="G486" s="31">
        <f t="shared" si="7"/>
        <v>0</v>
      </c>
      <c r="H486" s="39" t="s">
        <v>59</v>
      </c>
      <c r="I486" s="4"/>
      <c r="J486" s="43"/>
    </row>
    <row r="487" spans="1:10" s="3" customFormat="1" x14ac:dyDescent="0.25">
      <c r="A487" s="20">
        <v>42069</v>
      </c>
      <c r="B487" s="21">
        <v>13997</v>
      </c>
      <c r="C487" s="14" t="s">
        <v>81</v>
      </c>
      <c r="D487" s="105">
        <v>2250.8000000000002</v>
      </c>
      <c r="E487" s="23">
        <v>42069</v>
      </c>
      <c r="F487" s="106">
        <v>2250.8000000000002</v>
      </c>
      <c r="G487" s="31">
        <f t="shared" si="7"/>
        <v>0</v>
      </c>
      <c r="H487" s="39" t="s">
        <v>59</v>
      </c>
      <c r="I487" s="4"/>
      <c r="J487" s="43"/>
    </row>
    <row r="488" spans="1:10" s="3" customFormat="1" x14ac:dyDescent="0.25">
      <c r="A488" s="20">
        <v>42069</v>
      </c>
      <c r="B488" s="21">
        <v>13998</v>
      </c>
      <c r="C488" s="14" t="s">
        <v>118</v>
      </c>
      <c r="D488" s="105">
        <v>6388</v>
      </c>
      <c r="E488" s="23">
        <v>42075</v>
      </c>
      <c r="F488" s="106">
        <v>6388</v>
      </c>
      <c r="G488" s="31">
        <f t="shared" si="7"/>
        <v>0</v>
      </c>
      <c r="H488" s="39" t="s">
        <v>59</v>
      </c>
      <c r="I488" s="4"/>
      <c r="J488" s="43"/>
    </row>
    <row r="489" spans="1:10" s="3" customFormat="1" x14ac:dyDescent="0.25">
      <c r="A489" s="20">
        <v>42069</v>
      </c>
      <c r="B489" s="21">
        <v>13999</v>
      </c>
      <c r="C489" s="14" t="s">
        <v>22</v>
      </c>
      <c r="D489" s="105">
        <v>3684</v>
      </c>
      <c r="E489" s="23">
        <v>42069</v>
      </c>
      <c r="F489" s="106">
        <v>3684</v>
      </c>
      <c r="G489" s="31">
        <f t="shared" si="7"/>
        <v>0</v>
      </c>
      <c r="H489" s="39" t="s">
        <v>9</v>
      </c>
      <c r="I489" s="4"/>
      <c r="J489" s="43"/>
    </row>
    <row r="490" spans="1:10" s="3" customFormat="1" x14ac:dyDescent="0.25">
      <c r="A490" s="20">
        <v>42069</v>
      </c>
      <c r="B490" s="21">
        <v>14000</v>
      </c>
      <c r="C490" s="14" t="s">
        <v>82</v>
      </c>
      <c r="D490" s="105">
        <v>2847</v>
      </c>
      <c r="E490" s="23">
        <v>42069</v>
      </c>
      <c r="F490" s="106">
        <v>2847</v>
      </c>
      <c r="G490" s="31">
        <f t="shared" si="7"/>
        <v>0</v>
      </c>
      <c r="H490" s="39" t="s">
        <v>59</v>
      </c>
      <c r="I490" s="4"/>
      <c r="J490" s="43"/>
    </row>
    <row r="491" spans="1:10" s="3" customFormat="1" x14ac:dyDescent="0.25">
      <c r="A491" s="20">
        <v>42069</v>
      </c>
      <c r="B491" s="21">
        <v>14001</v>
      </c>
      <c r="C491" s="14" t="s">
        <v>82</v>
      </c>
      <c r="D491" s="105">
        <v>746</v>
      </c>
      <c r="E491" s="23">
        <v>42069</v>
      </c>
      <c r="F491" s="106">
        <v>746</v>
      </c>
      <c r="G491" s="31">
        <f t="shared" si="7"/>
        <v>0</v>
      </c>
      <c r="H491" s="39" t="s">
        <v>59</v>
      </c>
      <c r="I491" s="4"/>
      <c r="J491" s="43"/>
    </row>
    <row r="492" spans="1:10" s="3" customFormat="1" x14ac:dyDescent="0.25">
      <c r="A492" s="20">
        <v>42069</v>
      </c>
      <c r="B492" s="21">
        <v>14002</v>
      </c>
      <c r="C492" s="14" t="s">
        <v>35</v>
      </c>
      <c r="D492" s="105">
        <v>21897.5</v>
      </c>
      <c r="E492" s="23">
        <v>42070</v>
      </c>
      <c r="F492" s="106">
        <v>21897.5</v>
      </c>
      <c r="G492" s="31">
        <f t="shared" si="7"/>
        <v>0</v>
      </c>
      <c r="H492" s="39" t="s">
        <v>773</v>
      </c>
      <c r="I492" s="4"/>
      <c r="J492" s="43"/>
    </row>
    <row r="493" spans="1:10" s="3" customFormat="1" x14ac:dyDescent="0.25">
      <c r="A493" s="20">
        <v>42069</v>
      </c>
      <c r="B493" s="21">
        <v>14003</v>
      </c>
      <c r="C493" s="14" t="s">
        <v>658</v>
      </c>
      <c r="D493" s="105">
        <v>3395.7</v>
      </c>
      <c r="E493" s="23">
        <v>42069</v>
      </c>
      <c r="F493" s="106">
        <v>3395.7</v>
      </c>
      <c r="G493" s="31">
        <f t="shared" si="7"/>
        <v>0</v>
      </c>
      <c r="H493" s="39" t="s">
        <v>9</v>
      </c>
      <c r="I493" s="4"/>
      <c r="J493" s="43"/>
    </row>
    <row r="494" spans="1:10" s="3" customFormat="1" x14ac:dyDescent="0.25">
      <c r="A494" s="20">
        <v>42069</v>
      </c>
      <c r="B494" s="21">
        <v>14004</v>
      </c>
      <c r="C494" s="14" t="s">
        <v>47</v>
      </c>
      <c r="D494" s="105">
        <v>16800</v>
      </c>
      <c r="E494" s="23">
        <v>42070</v>
      </c>
      <c r="F494" s="106">
        <v>16800</v>
      </c>
      <c r="G494" s="31">
        <f t="shared" si="7"/>
        <v>0</v>
      </c>
      <c r="H494" s="39" t="s">
        <v>773</v>
      </c>
      <c r="I494" s="4"/>
      <c r="J494" s="43"/>
    </row>
    <row r="495" spans="1:10" s="3" customFormat="1" x14ac:dyDescent="0.25">
      <c r="A495" s="20">
        <v>42069</v>
      </c>
      <c r="B495" s="21">
        <v>14005</v>
      </c>
      <c r="C495" s="14" t="s">
        <v>60</v>
      </c>
      <c r="D495" s="105">
        <v>5522.6</v>
      </c>
      <c r="E495" s="23">
        <v>42070</v>
      </c>
      <c r="F495" s="106">
        <v>5522.6</v>
      </c>
      <c r="G495" s="31">
        <f t="shared" si="7"/>
        <v>0</v>
      </c>
      <c r="H495" s="39" t="s">
        <v>773</v>
      </c>
      <c r="I495" s="4"/>
      <c r="J495" s="43"/>
    </row>
    <row r="496" spans="1:10" s="3" customFormat="1" x14ac:dyDescent="0.25">
      <c r="A496" s="20">
        <v>42069</v>
      </c>
      <c r="B496" s="21">
        <v>14006</v>
      </c>
      <c r="C496" s="14" t="s">
        <v>256</v>
      </c>
      <c r="D496" s="105">
        <v>7935.2</v>
      </c>
      <c r="E496" s="23">
        <v>42070</v>
      </c>
      <c r="F496" s="106">
        <v>7935.2</v>
      </c>
      <c r="G496" s="31">
        <f t="shared" si="7"/>
        <v>0</v>
      </c>
      <c r="H496" s="39" t="s">
        <v>773</v>
      </c>
      <c r="I496" s="4"/>
      <c r="J496" s="107"/>
    </row>
    <row r="497" spans="1:10" s="3" customFormat="1" x14ac:dyDescent="0.25">
      <c r="A497" s="20">
        <v>42069</v>
      </c>
      <c r="B497" s="21">
        <v>14007</v>
      </c>
      <c r="C497" s="14" t="s">
        <v>37</v>
      </c>
      <c r="D497" s="105">
        <v>20537</v>
      </c>
      <c r="E497" s="23">
        <v>42075</v>
      </c>
      <c r="F497" s="106">
        <v>20537</v>
      </c>
      <c r="G497" s="31">
        <f t="shared" si="7"/>
        <v>0</v>
      </c>
      <c r="H497" s="39" t="s">
        <v>773</v>
      </c>
      <c r="I497" s="4"/>
      <c r="J497" s="107"/>
    </row>
    <row r="498" spans="1:10" s="3" customFormat="1" x14ac:dyDescent="0.25">
      <c r="A498" s="20">
        <v>42069</v>
      </c>
      <c r="B498" s="21">
        <v>14008</v>
      </c>
      <c r="C498" s="14" t="s">
        <v>155</v>
      </c>
      <c r="D498" s="105">
        <v>1502.8</v>
      </c>
      <c r="E498" s="23">
        <v>42069</v>
      </c>
      <c r="F498" s="106">
        <v>1502.8</v>
      </c>
      <c r="G498" s="31">
        <f t="shared" si="7"/>
        <v>0</v>
      </c>
      <c r="H498" s="39" t="s">
        <v>59</v>
      </c>
      <c r="I498" s="4"/>
      <c r="J498" s="43"/>
    </row>
    <row r="499" spans="1:10" s="3" customFormat="1" x14ac:dyDescent="0.25">
      <c r="A499" s="20">
        <v>42069</v>
      </c>
      <c r="B499" s="21">
        <v>14009</v>
      </c>
      <c r="C499" s="14" t="s">
        <v>135</v>
      </c>
      <c r="D499" s="105">
        <v>20966.099999999999</v>
      </c>
      <c r="E499" s="23">
        <v>42069</v>
      </c>
      <c r="F499" s="106">
        <v>20966.099999999999</v>
      </c>
      <c r="G499" s="31">
        <f t="shared" si="7"/>
        <v>0</v>
      </c>
      <c r="H499" s="39" t="s">
        <v>9</v>
      </c>
      <c r="I499" s="4"/>
      <c r="J499" s="43"/>
    </row>
    <row r="500" spans="1:10" s="3" customFormat="1" x14ac:dyDescent="0.25">
      <c r="A500" s="20">
        <v>42069</v>
      </c>
      <c r="B500" s="21">
        <v>14010</v>
      </c>
      <c r="C500" s="14" t="s">
        <v>56</v>
      </c>
      <c r="D500" s="105">
        <v>16997.599999999999</v>
      </c>
      <c r="E500" s="23">
        <v>42070</v>
      </c>
      <c r="F500" s="106">
        <v>16997.599999999999</v>
      </c>
      <c r="G500" s="31">
        <f t="shared" si="7"/>
        <v>0</v>
      </c>
      <c r="H500" s="39" t="s">
        <v>773</v>
      </c>
      <c r="I500" s="4"/>
      <c r="J500" s="43"/>
    </row>
    <row r="501" spans="1:10" s="3" customFormat="1" x14ac:dyDescent="0.25">
      <c r="A501" s="20">
        <v>42069</v>
      </c>
      <c r="B501" s="21">
        <v>14011</v>
      </c>
      <c r="C501" s="14" t="s">
        <v>26</v>
      </c>
      <c r="D501" s="105">
        <v>3288</v>
      </c>
      <c r="E501" s="23">
        <v>42069</v>
      </c>
      <c r="F501" s="106">
        <v>3288</v>
      </c>
      <c r="G501" s="31">
        <f t="shared" si="7"/>
        <v>0</v>
      </c>
      <c r="H501" s="39" t="s">
        <v>17</v>
      </c>
      <c r="I501" s="4"/>
      <c r="J501" s="43"/>
    </row>
    <row r="502" spans="1:10" s="3" customFormat="1" x14ac:dyDescent="0.25">
      <c r="A502" s="20">
        <v>42069</v>
      </c>
      <c r="B502" s="21">
        <v>14012</v>
      </c>
      <c r="C502" s="14" t="s">
        <v>45</v>
      </c>
      <c r="D502" s="105">
        <v>1335.6</v>
      </c>
      <c r="E502" s="23">
        <v>42074</v>
      </c>
      <c r="F502" s="106">
        <v>1335.6</v>
      </c>
      <c r="G502" s="31">
        <f t="shared" si="7"/>
        <v>0</v>
      </c>
      <c r="H502" s="39" t="s">
        <v>59</v>
      </c>
      <c r="I502" s="4"/>
      <c r="J502" s="43"/>
    </row>
    <row r="503" spans="1:10" s="3" customFormat="1" x14ac:dyDescent="0.25">
      <c r="A503" s="20">
        <v>42069</v>
      </c>
      <c r="B503" s="21">
        <v>14013</v>
      </c>
      <c r="C503" s="14" t="s">
        <v>35</v>
      </c>
      <c r="D503" s="105">
        <v>18879.150000000001</v>
      </c>
      <c r="E503" s="23">
        <v>42070</v>
      </c>
      <c r="F503" s="106">
        <v>18879.150000000001</v>
      </c>
      <c r="G503" s="31">
        <f t="shared" si="7"/>
        <v>0</v>
      </c>
      <c r="H503" s="39" t="s">
        <v>773</v>
      </c>
      <c r="I503" s="4"/>
      <c r="J503" s="43"/>
    </row>
    <row r="504" spans="1:10" s="3" customFormat="1" x14ac:dyDescent="0.25">
      <c r="A504" s="20">
        <v>42069</v>
      </c>
      <c r="B504" s="21">
        <v>14014</v>
      </c>
      <c r="C504" s="14" t="s">
        <v>90</v>
      </c>
      <c r="D504" s="105">
        <v>941.6</v>
      </c>
      <c r="E504" s="23">
        <v>42069</v>
      </c>
      <c r="F504" s="106">
        <v>941.6</v>
      </c>
      <c r="G504" s="31">
        <f t="shared" si="7"/>
        <v>0</v>
      </c>
      <c r="H504" s="39" t="s">
        <v>9</v>
      </c>
      <c r="I504" s="4"/>
      <c r="J504" s="43"/>
    </row>
    <row r="505" spans="1:10" s="3" customFormat="1" x14ac:dyDescent="0.25">
      <c r="A505" s="20">
        <v>42069</v>
      </c>
      <c r="B505" s="21">
        <v>14015</v>
      </c>
      <c r="C505" s="14" t="s">
        <v>472</v>
      </c>
      <c r="D505" s="105">
        <v>22096.6</v>
      </c>
      <c r="E505" s="23">
        <v>42069</v>
      </c>
      <c r="F505" s="106">
        <v>22096.6</v>
      </c>
      <c r="G505" s="31">
        <f t="shared" si="7"/>
        <v>0</v>
      </c>
      <c r="H505" s="39" t="s">
        <v>17</v>
      </c>
      <c r="I505" s="4"/>
      <c r="J505" s="107"/>
    </row>
    <row r="506" spans="1:10" s="3" customFormat="1" x14ac:dyDescent="0.25">
      <c r="A506" s="20">
        <v>42069</v>
      </c>
      <c r="B506" s="21">
        <v>14016</v>
      </c>
      <c r="C506" s="14" t="s">
        <v>125</v>
      </c>
      <c r="D506" s="105">
        <v>16314</v>
      </c>
      <c r="E506" s="23">
        <v>42069</v>
      </c>
      <c r="F506" s="106">
        <v>16314</v>
      </c>
      <c r="G506" s="31">
        <f t="shared" si="7"/>
        <v>0</v>
      </c>
      <c r="H506" s="39" t="s">
        <v>9</v>
      </c>
      <c r="I506" s="4"/>
      <c r="J506" s="43"/>
    </row>
    <row r="507" spans="1:10" s="3" customFormat="1" x14ac:dyDescent="0.25">
      <c r="A507" s="20">
        <v>42069</v>
      </c>
      <c r="B507" s="21">
        <v>14017</v>
      </c>
      <c r="C507" s="14" t="s">
        <v>37</v>
      </c>
      <c r="D507" s="105">
        <v>2804.4</v>
      </c>
      <c r="E507" s="23">
        <v>42075</v>
      </c>
      <c r="F507" s="106">
        <v>2804.4</v>
      </c>
      <c r="G507" s="31">
        <f t="shared" si="7"/>
        <v>0</v>
      </c>
      <c r="H507" s="39" t="s">
        <v>773</v>
      </c>
      <c r="I507" s="4"/>
      <c r="J507" s="43"/>
    </row>
    <row r="508" spans="1:10" s="3" customFormat="1" x14ac:dyDescent="0.25">
      <c r="A508" s="20">
        <v>42069</v>
      </c>
      <c r="B508" s="21">
        <v>14018</v>
      </c>
      <c r="C508" s="14" t="s">
        <v>55</v>
      </c>
      <c r="D508" s="105">
        <v>23145</v>
      </c>
      <c r="E508" s="23">
        <v>42070</v>
      </c>
      <c r="F508" s="106">
        <v>23145</v>
      </c>
      <c r="G508" s="31">
        <f t="shared" si="7"/>
        <v>0</v>
      </c>
      <c r="H508" s="39" t="s">
        <v>773</v>
      </c>
      <c r="I508" s="4"/>
      <c r="J508" s="43"/>
    </row>
    <row r="509" spans="1:10" s="3" customFormat="1" x14ac:dyDescent="0.25">
      <c r="A509" s="20">
        <v>42069</v>
      </c>
      <c r="B509" s="21">
        <v>14019</v>
      </c>
      <c r="C509" s="14" t="s">
        <v>118</v>
      </c>
      <c r="D509" s="105">
        <v>8317.4</v>
      </c>
      <c r="E509" s="23">
        <v>42075</v>
      </c>
      <c r="F509" s="106">
        <v>8317.4</v>
      </c>
      <c r="G509" s="31">
        <f t="shared" si="7"/>
        <v>0</v>
      </c>
      <c r="H509" s="39" t="s">
        <v>59</v>
      </c>
      <c r="I509" s="4"/>
      <c r="J509" s="43"/>
    </row>
    <row r="510" spans="1:10" s="3" customFormat="1" x14ac:dyDescent="0.25">
      <c r="A510" s="20">
        <v>42069</v>
      </c>
      <c r="B510" s="21">
        <v>14020</v>
      </c>
      <c r="C510" s="14" t="s">
        <v>24</v>
      </c>
      <c r="D510" s="105">
        <v>3462.4</v>
      </c>
      <c r="E510" s="23">
        <v>42093</v>
      </c>
      <c r="F510" s="106">
        <v>3462.4</v>
      </c>
      <c r="G510" s="31">
        <f t="shared" si="7"/>
        <v>0</v>
      </c>
      <c r="H510" s="39" t="s">
        <v>9</v>
      </c>
      <c r="I510" s="4"/>
      <c r="J510" s="43"/>
    </row>
    <row r="511" spans="1:10" s="3" customFormat="1" x14ac:dyDescent="0.25">
      <c r="A511" s="20">
        <v>42069</v>
      </c>
      <c r="B511" s="21">
        <v>14021</v>
      </c>
      <c r="C511" s="14" t="s">
        <v>168</v>
      </c>
      <c r="D511" s="105">
        <v>1121.4000000000001</v>
      </c>
      <c r="E511" s="23">
        <v>42070</v>
      </c>
      <c r="F511" s="106">
        <v>1121.4000000000001</v>
      </c>
      <c r="G511" s="31">
        <f t="shared" si="7"/>
        <v>0</v>
      </c>
      <c r="H511" s="39" t="s">
        <v>59</v>
      </c>
      <c r="I511" s="4"/>
      <c r="J511" s="43"/>
    </row>
    <row r="512" spans="1:10" s="3" customFormat="1" x14ac:dyDescent="0.25">
      <c r="A512" s="20">
        <v>42069</v>
      </c>
      <c r="B512" s="21">
        <v>14022</v>
      </c>
      <c r="C512" s="14" t="s">
        <v>34</v>
      </c>
      <c r="D512" s="105">
        <v>3607.2</v>
      </c>
      <c r="E512" s="23">
        <v>42069</v>
      </c>
      <c r="F512" s="106">
        <v>3607.2</v>
      </c>
      <c r="G512" s="31">
        <f t="shared" si="7"/>
        <v>0</v>
      </c>
      <c r="H512" s="39" t="s">
        <v>9</v>
      </c>
      <c r="I512" s="4"/>
      <c r="J512" s="43"/>
    </row>
    <row r="513" spans="1:10" s="3" customFormat="1" x14ac:dyDescent="0.25">
      <c r="A513" s="20">
        <v>42069</v>
      </c>
      <c r="B513" s="21">
        <v>14023</v>
      </c>
      <c r="C513" s="14" t="s">
        <v>24</v>
      </c>
      <c r="D513" s="105">
        <v>2003.4</v>
      </c>
      <c r="E513" s="23">
        <v>42081</v>
      </c>
      <c r="F513" s="106">
        <v>2003.4</v>
      </c>
      <c r="G513" s="31">
        <f t="shared" si="7"/>
        <v>0</v>
      </c>
      <c r="H513" s="39" t="s">
        <v>312</v>
      </c>
      <c r="I513" s="4"/>
      <c r="J513" s="43"/>
    </row>
    <row r="514" spans="1:10" s="3" customFormat="1" x14ac:dyDescent="0.25">
      <c r="A514" s="20">
        <v>42069</v>
      </c>
      <c r="B514" s="21">
        <v>14024</v>
      </c>
      <c r="C514" s="14" t="s">
        <v>285</v>
      </c>
      <c r="D514" s="105">
        <v>1049.3</v>
      </c>
      <c r="E514" s="23">
        <v>42069</v>
      </c>
      <c r="F514" s="106">
        <v>1049.3</v>
      </c>
      <c r="G514" s="31">
        <f t="shared" si="7"/>
        <v>0</v>
      </c>
      <c r="H514" s="39" t="s">
        <v>15</v>
      </c>
      <c r="I514" s="4"/>
      <c r="J514" s="107"/>
    </row>
    <row r="515" spans="1:10" s="3" customFormat="1" x14ac:dyDescent="0.25">
      <c r="A515" s="20">
        <v>42069</v>
      </c>
      <c r="B515" s="21">
        <v>14025</v>
      </c>
      <c r="C515" s="14" t="s">
        <v>99</v>
      </c>
      <c r="D515" s="105">
        <v>709.2</v>
      </c>
      <c r="E515" s="23">
        <v>42069</v>
      </c>
      <c r="F515" s="106">
        <v>709.2</v>
      </c>
      <c r="G515" s="31">
        <f t="shared" ref="G515:G578" si="8">D515-F515</f>
        <v>0</v>
      </c>
      <c r="H515" s="39" t="s">
        <v>15</v>
      </c>
      <c r="I515" s="4"/>
      <c r="J515" s="43"/>
    </row>
    <row r="516" spans="1:10" s="3" customFormat="1" x14ac:dyDescent="0.25">
      <c r="A516" s="20">
        <v>42069</v>
      </c>
      <c r="B516" s="21">
        <v>14026</v>
      </c>
      <c r="C516" s="14" t="s">
        <v>133</v>
      </c>
      <c r="D516" s="105">
        <v>25929.599999999999</v>
      </c>
      <c r="E516" s="23">
        <v>42069</v>
      </c>
      <c r="F516" s="106">
        <v>25929.599999999999</v>
      </c>
      <c r="G516" s="31">
        <f t="shared" si="8"/>
        <v>0</v>
      </c>
      <c r="H516" s="39" t="s">
        <v>9</v>
      </c>
      <c r="I516" s="4"/>
      <c r="J516" s="43"/>
    </row>
    <row r="517" spans="1:10" s="3" customFormat="1" x14ac:dyDescent="0.25">
      <c r="A517" s="20">
        <v>42069</v>
      </c>
      <c r="B517" s="21">
        <v>14027</v>
      </c>
      <c r="C517" s="14" t="s">
        <v>42</v>
      </c>
      <c r="D517" s="105">
        <v>600</v>
      </c>
      <c r="E517" s="23">
        <v>42069</v>
      </c>
      <c r="F517" s="106">
        <v>600</v>
      </c>
      <c r="G517" s="31">
        <f t="shared" si="8"/>
        <v>0</v>
      </c>
      <c r="H517" s="39" t="s">
        <v>9</v>
      </c>
      <c r="I517" s="4"/>
      <c r="J517" s="43"/>
    </row>
    <row r="518" spans="1:10" s="3" customFormat="1" x14ac:dyDescent="0.25">
      <c r="A518" s="20">
        <v>42069</v>
      </c>
      <c r="B518" s="21">
        <v>14028</v>
      </c>
      <c r="C518" s="14" t="s">
        <v>714</v>
      </c>
      <c r="D518" s="105">
        <v>3600.45</v>
      </c>
      <c r="E518" s="23">
        <v>42069</v>
      </c>
      <c r="F518" s="106">
        <v>3600.45</v>
      </c>
      <c r="G518" s="31">
        <f t="shared" si="8"/>
        <v>0</v>
      </c>
      <c r="H518" s="39" t="s">
        <v>9</v>
      </c>
      <c r="I518" s="4"/>
      <c r="J518" s="43"/>
    </row>
    <row r="519" spans="1:10" s="3" customFormat="1" x14ac:dyDescent="0.25">
      <c r="A519" s="20">
        <v>42069</v>
      </c>
      <c r="B519" s="21">
        <v>14029</v>
      </c>
      <c r="C519" s="14" t="s">
        <v>71</v>
      </c>
      <c r="D519" s="105">
        <v>5740.54</v>
      </c>
      <c r="E519" s="23">
        <v>42069</v>
      </c>
      <c r="F519" s="106">
        <v>5740.54</v>
      </c>
      <c r="G519" s="31">
        <f t="shared" si="8"/>
        <v>0</v>
      </c>
      <c r="H519" s="39" t="s">
        <v>9</v>
      </c>
      <c r="I519" s="4"/>
      <c r="J519" s="43"/>
    </row>
    <row r="520" spans="1:10" s="3" customFormat="1" x14ac:dyDescent="0.25">
      <c r="A520" s="20">
        <v>42069</v>
      </c>
      <c r="B520" s="21">
        <v>14030</v>
      </c>
      <c r="C520" s="14" t="s">
        <v>699</v>
      </c>
      <c r="D520" s="105">
        <v>2576</v>
      </c>
      <c r="E520" s="23">
        <v>42073</v>
      </c>
      <c r="F520" s="106">
        <v>2576</v>
      </c>
      <c r="G520" s="31">
        <f t="shared" si="8"/>
        <v>0</v>
      </c>
      <c r="H520" s="39" t="s">
        <v>9</v>
      </c>
      <c r="I520" s="4"/>
      <c r="J520" s="43"/>
    </row>
    <row r="521" spans="1:10" s="3" customFormat="1" x14ac:dyDescent="0.25">
      <c r="A521" s="20">
        <v>42069</v>
      </c>
      <c r="B521" s="21">
        <v>14031</v>
      </c>
      <c r="C521" s="14" t="s">
        <v>49</v>
      </c>
      <c r="D521" s="105">
        <v>1535.6</v>
      </c>
      <c r="E521" s="23">
        <v>42070</v>
      </c>
      <c r="F521" s="106">
        <v>1535.6</v>
      </c>
      <c r="G521" s="31">
        <f t="shared" si="8"/>
        <v>0</v>
      </c>
      <c r="H521" s="39" t="s">
        <v>94</v>
      </c>
      <c r="I521" s="4"/>
      <c r="J521" s="43"/>
    </row>
    <row r="522" spans="1:10" s="3" customFormat="1" x14ac:dyDescent="0.25">
      <c r="A522" s="20">
        <v>42069</v>
      </c>
      <c r="B522" s="21">
        <v>14032</v>
      </c>
      <c r="C522" s="14" t="s">
        <v>106</v>
      </c>
      <c r="D522" s="105">
        <v>22630.400000000001</v>
      </c>
      <c r="E522" s="23">
        <v>42069</v>
      </c>
      <c r="F522" s="106">
        <v>22630.400000000001</v>
      </c>
      <c r="G522" s="31">
        <f t="shared" si="8"/>
        <v>0</v>
      </c>
      <c r="H522" s="39" t="s">
        <v>312</v>
      </c>
      <c r="I522" s="4"/>
      <c r="J522" s="43"/>
    </row>
    <row r="523" spans="1:10" s="3" customFormat="1" x14ac:dyDescent="0.25">
      <c r="A523" s="20">
        <v>42069</v>
      </c>
      <c r="B523" s="21">
        <v>14033</v>
      </c>
      <c r="C523" s="14" t="s">
        <v>50</v>
      </c>
      <c r="D523" s="105">
        <v>3895.6</v>
      </c>
      <c r="E523" s="23">
        <v>42070</v>
      </c>
      <c r="F523" s="106">
        <v>3895.6</v>
      </c>
      <c r="G523" s="31">
        <f t="shared" si="8"/>
        <v>0</v>
      </c>
      <c r="H523" s="39" t="s">
        <v>94</v>
      </c>
      <c r="I523" s="4"/>
      <c r="J523" s="43"/>
    </row>
    <row r="524" spans="1:10" s="3" customFormat="1" x14ac:dyDescent="0.25">
      <c r="A524" s="20">
        <v>42069</v>
      </c>
      <c r="B524" s="21">
        <v>14034</v>
      </c>
      <c r="C524" s="14" t="s">
        <v>127</v>
      </c>
      <c r="D524" s="105">
        <v>14026</v>
      </c>
      <c r="E524" s="23">
        <v>42069</v>
      </c>
      <c r="F524" s="106">
        <v>14026</v>
      </c>
      <c r="G524" s="31">
        <f t="shared" si="8"/>
        <v>0</v>
      </c>
      <c r="H524" s="39" t="s">
        <v>9</v>
      </c>
      <c r="I524" s="4"/>
      <c r="J524" s="43"/>
    </row>
    <row r="525" spans="1:10" s="3" customFormat="1" x14ac:dyDescent="0.25">
      <c r="A525" s="20">
        <v>42069</v>
      </c>
      <c r="B525" s="21">
        <v>14035</v>
      </c>
      <c r="C525" s="14" t="s">
        <v>96</v>
      </c>
      <c r="D525" s="105">
        <v>1802.5</v>
      </c>
      <c r="E525" s="23">
        <v>42070</v>
      </c>
      <c r="F525" s="106">
        <v>1802.5</v>
      </c>
      <c r="G525" s="31">
        <f t="shared" si="8"/>
        <v>0</v>
      </c>
      <c r="H525" s="39" t="s">
        <v>94</v>
      </c>
      <c r="I525" s="4"/>
      <c r="J525" s="43"/>
    </row>
    <row r="526" spans="1:10" s="3" customFormat="1" x14ac:dyDescent="0.25">
      <c r="A526" s="20">
        <v>42069</v>
      </c>
      <c r="B526" s="21">
        <v>14036</v>
      </c>
      <c r="C526" s="14" t="s">
        <v>361</v>
      </c>
      <c r="D526" s="105">
        <v>16051.2</v>
      </c>
      <c r="E526" s="23">
        <v>42070</v>
      </c>
      <c r="F526" s="106">
        <v>16051.2</v>
      </c>
      <c r="G526" s="31">
        <f t="shared" si="8"/>
        <v>0</v>
      </c>
      <c r="H526" s="39" t="s">
        <v>94</v>
      </c>
      <c r="I526" s="4"/>
      <c r="J526" s="43"/>
    </row>
    <row r="527" spans="1:10" s="3" customFormat="1" x14ac:dyDescent="0.25">
      <c r="A527" s="20">
        <v>42069</v>
      </c>
      <c r="B527" s="21">
        <v>14037</v>
      </c>
      <c r="C527" s="14" t="s">
        <v>229</v>
      </c>
      <c r="D527" s="105">
        <v>2144</v>
      </c>
      <c r="E527" s="23">
        <v>42070</v>
      </c>
      <c r="F527" s="106">
        <v>2144</v>
      </c>
      <c r="G527" s="31">
        <f t="shared" si="8"/>
        <v>0</v>
      </c>
      <c r="H527" s="39" t="s">
        <v>94</v>
      </c>
      <c r="I527" s="4"/>
      <c r="J527" s="43"/>
    </row>
    <row r="528" spans="1:10" s="3" customFormat="1" x14ac:dyDescent="0.25">
      <c r="A528" s="20">
        <v>42069</v>
      </c>
      <c r="B528" s="21">
        <v>14038</v>
      </c>
      <c r="C528" s="14" t="s">
        <v>192</v>
      </c>
      <c r="D528" s="105">
        <v>588</v>
      </c>
      <c r="E528" s="30">
        <v>42102</v>
      </c>
      <c r="F528" s="144">
        <v>588</v>
      </c>
      <c r="G528" s="31">
        <f t="shared" si="8"/>
        <v>0</v>
      </c>
      <c r="H528" s="39" t="s">
        <v>17</v>
      </c>
      <c r="I528" s="4"/>
      <c r="J528" s="43"/>
    </row>
    <row r="529" spans="1:10" s="3" customFormat="1" x14ac:dyDescent="0.25">
      <c r="A529" s="20">
        <v>42069</v>
      </c>
      <c r="B529" s="21">
        <v>14039</v>
      </c>
      <c r="C529" s="14" t="s">
        <v>658</v>
      </c>
      <c r="D529" s="105">
        <v>836</v>
      </c>
      <c r="E529" s="23">
        <v>42069</v>
      </c>
      <c r="F529" s="106">
        <v>836</v>
      </c>
      <c r="G529" s="31">
        <f t="shared" si="8"/>
        <v>0</v>
      </c>
      <c r="H529" s="39" t="s">
        <v>9</v>
      </c>
      <c r="I529" s="4"/>
      <c r="J529" s="43"/>
    </row>
    <row r="530" spans="1:10" s="3" customFormat="1" x14ac:dyDescent="0.25">
      <c r="A530" s="20">
        <v>42069</v>
      </c>
      <c r="B530" s="21">
        <v>14040</v>
      </c>
      <c r="C530" s="14" t="s">
        <v>93</v>
      </c>
      <c r="D530" s="105">
        <v>1649</v>
      </c>
      <c r="E530" s="23">
        <v>42070</v>
      </c>
      <c r="F530" s="106">
        <v>1649</v>
      </c>
      <c r="G530" s="31">
        <f t="shared" si="8"/>
        <v>0</v>
      </c>
      <c r="H530" s="39" t="s">
        <v>94</v>
      </c>
      <c r="I530" s="4"/>
      <c r="J530" s="43"/>
    </row>
    <row r="531" spans="1:10" s="3" customFormat="1" x14ac:dyDescent="0.25">
      <c r="A531" s="20">
        <v>42069</v>
      </c>
      <c r="B531" s="21">
        <v>14041</v>
      </c>
      <c r="C531" s="14" t="s">
        <v>95</v>
      </c>
      <c r="D531" s="105">
        <v>1992.4</v>
      </c>
      <c r="E531" s="23">
        <v>42070</v>
      </c>
      <c r="F531" s="106">
        <v>1992.4</v>
      </c>
      <c r="G531" s="31">
        <f t="shared" si="8"/>
        <v>0</v>
      </c>
      <c r="H531" s="39" t="s">
        <v>94</v>
      </c>
      <c r="J531" s="42"/>
    </row>
    <row r="532" spans="1:10" s="3" customFormat="1" x14ac:dyDescent="0.25">
      <c r="A532" s="20">
        <v>42069</v>
      </c>
      <c r="B532" s="21">
        <v>14042</v>
      </c>
      <c r="C532" s="26" t="s">
        <v>218</v>
      </c>
      <c r="D532" s="108">
        <v>0</v>
      </c>
      <c r="E532" s="23"/>
      <c r="F532" s="106"/>
      <c r="G532" s="31">
        <f t="shared" si="8"/>
        <v>0</v>
      </c>
      <c r="H532" s="39" t="s">
        <v>13</v>
      </c>
      <c r="J532" s="42"/>
    </row>
    <row r="533" spans="1:10" s="3" customFormat="1" x14ac:dyDescent="0.25">
      <c r="A533" s="20">
        <v>42069</v>
      </c>
      <c r="B533" s="21">
        <v>14043</v>
      </c>
      <c r="C533" s="14" t="s">
        <v>67</v>
      </c>
      <c r="D533" s="105">
        <v>4626</v>
      </c>
      <c r="E533" s="23">
        <v>42071</v>
      </c>
      <c r="F533" s="106">
        <v>4626</v>
      </c>
      <c r="G533" s="31">
        <f t="shared" si="8"/>
        <v>0</v>
      </c>
      <c r="H533" s="39" t="s">
        <v>62</v>
      </c>
      <c r="J533" s="42"/>
    </row>
    <row r="534" spans="1:10" s="3" customFormat="1" x14ac:dyDescent="0.25">
      <c r="A534" s="20">
        <v>42069</v>
      </c>
      <c r="B534" s="21">
        <v>14044</v>
      </c>
      <c r="C534" s="50" t="s">
        <v>98</v>
      </c>
      <c r="D534" s="105">
        <v>1302.5999999999999</v>
      </c>
      <c r="E534" s="23">
        <v>42070</v>
      </c>
      <c r="F534" s="106">
        <v>1302.5999999999999</v>
      </c>
      <c r="G534" s="31">
        <f t="shared" si="8"/>
        <v>0</v>
      </c>
      <c r="H534" s="39" t="s">
        <v>94</v>
      </c>
      <c r="J534" s="42"/>
    </row>
    <row r="535" spans="1:10" s="3" customFormat="1" x14ac:dyDescent="0.25">
      <c r="A535" s="20">
        <v>42069</v>
      </c>
      <c r="B535" s="21">
        <v>14045</v>
      </c>
      <c r="C535" s="14" t="s">
        <v>165</v>
      </c>
      <c r="D535" s="105">
        <v>2929.5</v>
      </c>
      <c r="E535" s="23">
        <v>42069</v>
      </c>
      <c r="F535" s="106">
        <v>2929.5</v>
      </c>
      <c r="G535" s="31">
        <f t="shared" si="8"/>
        <v>0</v>
      </c>
      <c r="H535" s="39" t="s">
        <v>17</v>
      </c>
      <c r="J535" s="42"/>
    </row>
    <row r="536" spans="1:10" s="3" customFormat="1" x14ac:dyDescent="0.25">
      <c r="A536" s="20">
        <v>42069</v>
      </c>
      <c r="B536" s="21">
        <v>14046</v>
      </c>
      <c r="C536" s="14" t="s">
        <v>75</v>
      </c>
      <c r="D536" s="105">
        <v>21380.400000000001</v>
      </c>
      <c r="E536" s="23">
        <v>42071</v>
      </c>
      <c r="F536" s="106">
        <v>21380.400000000001</v>
      </c>
      <c r="G536" s="31">
        <f t="shared" si="8"/>
        <v>0</v>
      </c>
      <c r="H536" s="39" t="s">
        <v>62</v>
      </c>
      <c r="J536" s="42"/>
    </row>
    <row r="537" spans="1:10" s="3" customFormat="1" x14ac:dyDescent="0.25">
      <c r="A537" s="20">
        <v>42069</v>
      </c>
      <c r="B537" s="21">
        <v>14047</v>
      </c>
      <c r="C537" s="14" t="s">
        <v>78</v>
      </c>
      <c r="D537" s="105">
        <v>8694</v>
      </c>
      <c r="E537" s="23">
        <v>42071</v>
      </c>
      <c r="F537" s="106">
        <v>8694</v>
      </c>
      <c r="G537" s="31">
        <f t="shared" si="8"/>
        <v>0</v>
      </c>
      <c r="H537" s="39" t="s">
        <v>62</v>
      </c>
      <c r="J537" s="42"/>
    </row>
    <row r="538" spans="1:10" s="3" customFormat="1" x14ac:dyDescent="0.25">
      <c r="A538" s="20">
        <v>42069</v>
      </c>
      <c r="B538" s="21">
        <v>14048</v>
      </c>
      <c r="C538" s="14" t="s">
        <v>75</v>
      </c>
      <c r="D538" s="105">
        <v>847.7</v>
      </c>
      <c r="E538" s="23">
        <v>42071</v>
      </c>
      <c r="F538" s="106">
        <v>847.7</v>
      </c>
      <c r="G538" s="31">
        <f t="shared" si="8"/>
        <v>0</v>
      </c>
      <c r="H538" s="39" t="s">
        <v>62</v>
      </c>
      <c r="J538" s="42"/>
    </row>
    <row r="539" spans="1:10" s="3" customFormat="1" x14ac:dyDescent="0.25">
      <c r="A539" s="20">
        <v>42069</v>
      </c>
      <c r="B539" s="21">
        <v>14049</v>
      </c>
      <c r="C539" s="14" t="s">
        <v>98</v>
      </c>
      <c r="D539" s="105">
        <v>624</v>
      </c>
      <c r="E539" s="23">
        <v>42070</v>
      </c>
      <c r="F539" s="106">
        <v>624</v>
      </c>
      <c r="G539" s="31">
        <f t="shared" si="8"/>
        <v>0</v>
      </c>
      <c r="H539" s="39" t="s">
        <v>62</v>
      </c>
      <c r="J539" s="42"/>
    </row>
    <row r="540" spans="1:10" s="3" customFormat="1" x14ac:dyDescent="0.25">
      <c r="A540" s="20">
        <v>42069</v>
      </c>
      <c r="B540" s="21">
        <v>14050</v>
      </c>
      <c r="C540" s="14" t="s">
        <v>274</v>
      </c>
      <c r="D540" s="105">
        <v>42571.65</v>
      </c>
      <c r="E540" s="30" t="s">
        <v>807</v>
      </c>
      <c r="F540" s="106">
        <v>42571.65</v>
      </c>
      <c r="G540" s="31">
        <f t="shared" si="8"/>
        <v>0</v>
      </c>
      <c r="H540" s="39" t="s">
        <v>62</v>
      </c>
      <c r="J540" s="42"/>
    </row>
    <row r="541" spans="1:10" s="3" customFormat="1" x14ac:dyDescent="0.25">
      <c r="A541" s="20">
        <v>42069</v>
      </c>
      <c r="B541" s="21">
        <v>14051</v>
      </c>
      <c r="C541" s="14" t="s">
        <v>190</v>
      </c>
      <c r="D541" s="105">
        <v>1643.2</v>
      </c>
      <c r="E541" s="23">
        <v>42070</v>
      </c>
      <c r="F541" s="106">
        <v>1643.2</v>
      </c>
      <c r="G541" s="31">
        <f t="shared" si="8"/>
        <v>0</v>
      </c>
      <c r="H541" s="39" t="s">
        <v>94</v>
      </c>
      <c r="J541" s="42"/>
    </row>
    <row r="542" spans="1:10" s="3" customFormat="1" x14ac:dyDescent="0.25">
      <c r="A542" s="20">
        <v>42069</v>
      </c>
      <c r="B542" s="21">
        <v>14052</v>
      </c>
      <c r="C542" s="14" t="s">
        <v>72</v>
      </c>
      <c r="D542" s="105">
        <v>19548.8</v>
      </c>
      <c r="E542" s="30" t="s">
        <v>808</v>
      </c>
      <c r="F542" s="106">
        <v>19548.8</v>
      </c>
      <c r="G542" s="31">
        <f t="shared" si="8"/>
        <v>0</v>
      </c>
      <c r="H542" s="39" t="s">
        <v>62</v>
      </c>
      <c r="J542" s="42"/>
    </row>
    <row r="543" spans="1:10" s="3" customFormat="1" x14ac:dyDescent="0.25">
      <c r="A543" s="20">
        <v>42069</v>
      </c>
      <c r="B543" s="21">
        <v>14053</v>
      </c>
      <c r="C543" s="14" t="s">
        <v>170</v>
      </c>
      <c r="D543" s="105">
        <v>3333.6</v>
      </c>
      <c r="E543" s="23">
        <v>42071</v>
      </c>
      <c r="F543" s="106">
        <v>3333.6</v>
      </c>
      <c r="G543" s="31">
        <f t="shared" si="8"/>
        <v>0</v>
      </c>
      <c r="H543" s="39" t="s">
        <v>62</v>
      </c>
      <c r="J543" s="42"/>
    </row>
    <row r="544" spans="1:10" s="3" customFormat="1" x14ac:dyDescent="0.25">
      <c r="A544" s="20">
        <v>42069</v>
      </c>
      <c r="B544" s="21">
        <v>14054</v>
      </c>
      <c r="C544" s="14" t="s">
        <v>111</v>
      </c>
      <c r="D544" s="105">
        <v>3800</v>
      </c>
      <c r="E544" s="23">
        <v>42075</v>
      </c>
      <c r="F544" s="106">
        <v>3800</v>
      </c>
      <c r="G544" s="31">
        <f t="shared" si="8"/>
        <v>0</v>
      </c>
      <c r="H544" s="39" t="s">
        <v>183</v>
      </c>
      <c r="J544" s="42"/>
    </row>
    <row r="545" spans="1:10" s="3" customFormat="1" x14ac:dyDescent="0.25">
      <c r="A545" s="20">
        <v>42069</v>
      </c>
      <c r="B545" s="21">
        <v>14055</v>
      </c>
      <c r="C545" s="26" t="s">
        <v>218</v>
      </c>
      <c r="D545" s="108">
        <v>0</v>
      </c>
      <c r="E545" s="51"/>
      <c r="F545" s="106"/>
      <c r="G545" s="31">
        <f t="shared" si="8"/>
        <v>0</v>
      </c>
      <c r="H545" s="39" t="s">
        <v>13</v>
      </c>
      <c r="J545" s="42"/>
    </row>
    <row r="546" spans="1:10" s="3" customFormat="1" x14ac:dyDescent="0.25">
      <c r="A546" s="20">
        <v>42069</v>
      </c>
      <c r="B546" s="21">
        <v>14056</v>
      </c>
      <c r="C546" s="14" t="s">
        <v>173</v>
      </c>
      <c r="D546" s="105">
        <v>29641.25</v>
      </c>
      <c r="E546" s="30" t="s">
        <v>796</v>
      </c>
      <c r="F546" s="106">
        <v>29641.25</v>
      </c>
      <c r="G546" s="31">
        <f t="shared" si="8"/>
        <v>0</v>
      </c>
      <c r="H546" s="39" t="s">
        <v>62</v>
      </c>
      <c r="J546" s="42"/>
    </row>
    <row r="547" spans="1:10" s="3" customFormat="1" x14ac:dyDescent="0.25">
      <c r="A547" s="20">
        <v>42069</v>
      </c>
      <c r="B547" s="21">
        <v>14057</v>
      </c>
      <c r="C547" s="14" t="s">
        <v>65</v>
      </c>
      <c r="D547" s="105">
        <v>21769.200000000001</v>
      </c>
      <c r="E547" s="23">
        <v>42071</v>
      </c>
      <c r="F547" s="106">
        <v>21769.200000000001</v>
      </c>
      <c r="G547" s="31">
        <f t="shared" si="8"/>
        <v>0</v>
      </c>
      <c r="H547" s="39" t="s">
        <v>62</v>
      </c>
      <c r="J547" s="42"/>
    </row>
    <row r="548" spans="1:10" s="3" customFormat="1" x14ac:dyDescent="0.25">
      <c r="A548" s="20">
        <v>42069</v>
      </c>
      <c r="B548" s="21">
        <v>14058</v>
      </c>
      <c r="C548" s="14" t="s">
        <v>265</v>
      </c>
      <c r="D548" s="105">
        <v>1559.4</v>
      </c>
      <c r="E548" s="23">
        <v>42069</v>
      </c>
      <c r="F548" s="106">
        <v>1559.4</v>
      </c>
      <c r="G548" s="31">
        <f t="shared" si="8"/>
        <v>0</v>
      </c>
      <c r="H548" s="39" t="s">
        <v>9</v>
      </c>
      <c r="J548" s="42"/>
    </row>
    <row r="549" spans="1:10" s="3" customFormat="1" x14ac:dyDescent="0.25">
      <c r="A549" s="20">
        <v>42069</v>
      </c>
      <c r="B549" s="21">
        <v>14059</v>
      </c>
      <c r="C549" s="14" t="s">
        <v>14</v>
      </c>
      <c r="D549" s="105">
        <v>84337.5</v>
      </c>
      <c r="E549" s="23">
        <v>42075</v>
      </c>
      <c r="F549" s="106">
        <v>84337.5</v>
      </c>
      <c r="G549" s="31">
        <f t="shared" si="8"/>
        <v>0</v>
      </c>
      <c r="H549" s="39" t="s">
        <v>183</v>
      </c>
      <c r="J549" s="42"/>
    </row>
    <row r="550" spans="1:10" s="3" customFormat="1" x14ac:dyDescent="0.25">
      <c r="A550" s="20">
        <v>42069</v>
      </c>
      <c r="B550" s="21">
        <v>14060</v>
      </c>
      <c r="C550" s="14" t="s">
        <v>64</v>
      </c>
      <c r="D550" s="105">
        <v>5010.2</v>
      </c>
      <c r="E550" s="23">
        <v>42069</v>
      </c>
      <c r="F550" s="106">
        <v>5010.2</v>
      </c>
      <c r="G550" s="31">
        <f t="shared" si="8"/>
        <v>0</v>
      </c>
      <c r="H550" s="39" t="s">
        <v>9</v>
      </c>
      <c r="J550" s="42"/>
    </row>
    <row r="551" spans="1:10" s="3" customFormat="1" x14ac:dyDescent="0.25">
      <c r="A551" s="20">
        <v>42069</v>
      </c>
      <c r="B551" s="21">
        <v>14061</v>
      </c>
      <c r="C551" s="14" t="s">
        <v>549</v>
      </c>
      <c r="D551" s="105">
        <v>18039.599999999999</v>
      </c>
      <c r="E551" s="23">
        <v>42069</v>
      </c>
      <c r="F551" s="106">
        <v>18039.599999999999</v>
      </c>
      <c r="G551" s="31">
        <f t="shared" si="8"/>
        <v>0</v>
      </c>
      <c r="H551" s="39" t="s">
        <v>19</v>
      </c>
      <c r="J551" s="42"/>
    </row>
    <row r="552" spans="1:10" s="3" customFormat="1" x14ac:dyDescent="0.25">
      <c r="A552" s="20">
        <v>42069</v>
      </c>
      <c r="B552" s="21">
        <v>14062</v>
      </c>
      <c r="C552" s="14" t="s">
        <v>472</v>
      </c>
      <c r="D552" s="105">
        <v>99121</v>
      </c>
      <c r="E552" s="29" t="s">
        <v>809</v>
      </c>
      <c r="F552" s="106">
        <f>50000+49121</f>
        <v>99121</v>
      </c>
      <c r="G552" s="31">
        <f t="shared" si="8"/>
        <v>0</v>
      </c>
      <c r="H552" s="39" t="s">
        <v>183</v>
      </c>
      <c r="J552" s="42"/>
    </row>
    <row r="553" spans="1:10" s="3" customFormat="1" x14ac:dyDescent="0.25">
      <c r="A553" s="20">
        <v>42069</v>
      </c>
      <c r="B553" s="21">
        <v>14063</v>
      </c>
      <c r="C553" s="14" t="s">
        <v>14</v>
      </c>
      <c r="D553" s="105">
        <v>3621.8</v>
      </c>
      <c r="E553" s="23">
        <v>42075</v>
      </c>
      <c r="F553" s="106">
        <v>3621.8</v>
      </c>
      <c r="G553" s="31">
        <f t="shared" si="8"/>
        <v>0</v>
      </c>
      <c r="H553" s="39" t="s">
        <v>183</v>
      </c>
      <c r="J553" s="42"/>
    </row>
    <row r="554" spans="1:10" s="3" customFormat="1" x14ac:dyDescent="0.25">
      <c r="A554" s="20">
        <v>42069</v>
      </c>
      <c r="B554" s="21">
        <v>14064</v>
      </c>
      <c r="C554" s="14" t="s">
        <v>176</v>
      </c>
      <c r="D554" s="105">
        <v>11640.8</v>
      </c>
      <c r="E554" s="30" t="s">
        <v>810</v>
      </c>
      <c r="F554" s="106">
        <v>11640.8</v>
      </c>
      <c r="G554" s="31">
        <f t="shared" si="8"/>
        <v>0</v>
      </c>
      <c r="H554" s="39" t="s">
        <v>62</v>
      </c>
      <c r="J554" s="42"/>
    </row>
    <row r="555" spans="1:10" s="3" customFormat="1" x14ac:dyDescent="0.25">
      <c r="A555" s="20">
        <v>42069</v>
      </c>
      <c r="B555" s="21">
        <v>14065</v>
      </c>
      <c r="C555" s="14" t="s">
        <v>61</v>
      </c>
      <c r="D555" s="105">
        <v>4000</v>
      </c>
      <c r="E555" s="23">
        <v>42071</v>
      </c>
      <c r="F555" s="106">
        <v>4000</v>
      </c>
      <c r="G555" s="31">
        <f t="shared" si="8"/>
        <v>0</v>
      </c>
      <c r="H555" s="39" t="s">
        <v>62</v>
      </c>
      <c r="J555" s="42"/>
    </row>
    <row r="556" spans="1:10" s="3" customFormat="1" x14ac:dyDescent="0.25">
      <c r="A556" s="20">
        <v>42069</v>
      </c>
      <c r="B556" s="21">
        <v>14066</v>
      </c>
      <c r="C556" s="14" t="s">
        <v>170</v>
      </c>
      <c r="D556" s="105">
        <v>360</v>
      </c>
      <c r="E556" s="23">
        <v>42071</v>
      </c>
      <c r="F556" s="106">
        <v>360</v>
      </c>
      <c r="G556" s="31">
        <f t="shared" si="8"/>
        <v>0</v>
      </c>
      <c r="H556" s="39" t="s">
        <v>62</v>
      </c>
      <c r="J556" s="42"/>
    </row>
    <row r="557" spans="1:10" s="3" customFormat="1" x14ac:dyDescent="0.25">
      <c r="A557" s="20">
        <v>42069</v>
      </c>
      <c r="B557" s="21">
        <v>14067</v>
      </c>
      <c r="C557" s="14" t="s">
        <v>811</v>
      </c>
      <c r="D557" s="105">
        <v>13362.8</v>
      </c>
      <c r="E557" s="23">
        <v>42069</v>
      </c>
      <c r="F557" s="106">
        <v>13362.8</v>
      </c>
      <c r="G557" s="31">
        <f t="shared" si="8"/>
        <v>0</v>
      </c>
      <c r="H557" s="39" t="s">
        <v>9</v>
      </c>
      <c r="J557" s="42"/>
    </row>
    <row r="558" spans="1:10" s="3" customFormat="1" x14ac:dyDescent="0.25">
      <c r="A558" s="20">
        <v>42069</v>
      </c>
      <c r="B558" s="21">
        <v>14068</v>
      </c>
      <c r="C558" s="14" t="s">
        <v>128</v>
      </c>
      <c r="D558" s="105">
        <v>6130</v>
      </c>
      <c r="E558" s="23">
        <v>42069</v>
      </c>
      <c r="F558" s="106">
        <v>6130</v>
      </c>
      <c r="G558" s="31">
        <f t="shared" si="8"/>
        <v>0</v>
      </c>
      <c r="H558" s="39" t="s">
        <v>17</v>
      </c>
      <c r="J558" s="42"/>
    </row>
    <row r="559" spans="1:10" s="3" customFormat="1" x14ac:dyDescent="0.25">
      <c r="A559" s="20">
        <v>42069</v>
      </c>
      <c r="B559" s="21">
        <v>14069</v>
      </c>
      <c r="C559" s="14" t="s">
        <v>131</v>
      </c>
      <c r="D559" s="105">
        <v>4107.6000000000004</v>
      </c>
      <c r="E559" s="23">
        <v>42069</v>
      </c>
      <c r="F559" s="106">
        <v>4107.6000000000004</v>
      </c>
      <c r="G559" s="31">
        <f t="shared" si="8"/>
        <v>0</v>
      </c>
      <c r="H559" s="39" t="s">
        <v>17</v>
      </c>
      <c r="J559" s="42"/>
    </row>
    <row r="560" spans="1:10" s="3" customFormat="1" x14ac:dyDescent="0.25">
      <c r="A560" s="20">
        <v>42069</v>
      </c>
      <c r="B560" s="21">
        <v>14070</v>
      </c>
      <c r="C560" s="14" t="s">
        <v>89</v>
      </c>
      <c r="D560" s="105">
        <v>3516.2</v>
      </c>
      <c r="E560" s="23">
        <v>42069</v>
      </c>
      <c r="F560" s="106">
        <v>3516.2</v>
      </c>
      <c r="G560" s="31">
        <f t="shared" si="8"/>
        <v>0</v>
      </c>
      <c r="H560" s="39" t="s">
        <v>9</v>
      </c>
      <c r="J560" s="42"/>
    </row>
    <row r="561" spans="1:10" s="3" customFormat="1" x14ac:dyDescent="0.25">
      <c r="A561" s="20">
        <v>42069</v>
      </c>
      <c r="B561" s="21">
        <v>14071</v>
      </c>
      <c r="C561" s="14" t="s">
        <v>102</v>
      </c>
      <c r="D561" s="105">
        <v>2745.6</v>
      </c>
      <c r="E561" s="23">
        <v>42069</v>
      </c>
      <c r="F561" s="106">
        <v>2745.6</v>
      </c>
      <c r="G561" s="31">
        <f t="shared" si="8"/>
        <v>0</v>
      </c>
      <c r="H561" s="39" t="s">
        <v>9</v>
      </c>
      <c r="J561" s="42"/>
    </row>
    <row r="562" spans="1:10" s="3" customFormat="1" x14ac:dyDescent="0.25">
      <c r="A562" s="20">
        <v>42069</v>
      </c>
      <c r="B562" s="21">
        <v>14072</v>
      </c>
      <c r="C562" s="14" t="s">
        <v>35</v>
      </c>
      <c r="D562" s="105">
        <v>720</v>
      </c>
      <c r="E562" s="23">
        <v>42069</v>
      </c>
      <c r="F562" s="106">
        <v>720</v>
      </c>
      <c r="G562" s="31">
        <f t="shared" si="8"/>
        <v>0</v>
      </c>
      <c r="H562" s="39" t="s">
        <v>9</v>
      </c>
      <c r="J562" s="42"/>
    </row>
    <row r="563" spans="1:10" s="3" customFormat="1" x14ac:dyDescent="0.25">
      <c r="A563" s="20">
        <v>42069</v>
      </c>
      <c r="B563" s="21">
        <v>14073</v>
      </c>
      <c r="C563" s="14" t="s">
        <v>86</v>
      </c>
      <c r="D563" s="105">
        <v>476.05</v>
      </c>
      <c r="E563" s="23">
        <v>42069</v>
      </c>
      <c r="F563" s="106">
        <v>476.05</v>
      </c>
      <c r="G563" s="31">
        <f t="shared" si="8"/>
        <v>0</v>
      </c>
      <c r="H563" s="39" t="s">
        <v>9</v>
      </c>
      <c r="I563" s="4"/>
      <c r="J563" s="43"/>
    </row>
    <row r="564" spans="1:10" s="3" customFormat="1" x14ac:dyDescent="0.25">
      <c r="A564" s="20">
        <v>42069</v>
      </c>
      <c r="B564" s="21">
        <v>14074</v>
      </c>
      <c r="C564" s="14" t="s">
        <v>90</v>
      </c>
      <c r="D564" s="105">
        <v>2269</v>
      </c>
      <c r="E564" s="23">
        <v>42069</v>
      </c>
      <c r="F564" s="106">
        <v>2269</v>
      </c>
      <c r="G564" s="31">
        <f t="shared" si="8"/>
        <v>0</v>
      </c>
      <c r="H564" s="39" t="s">
        <v>62</v>
      </c>
      <c r="I564" s="4"/>
      <c r="J564" s="43"/>
    </row>
    <row r="565" spans="1:10" s="3" customFormat="1" x14ac:dyDescent="0.25">
      <c r="A565" s="20">
        <v>42069</v>
      </c>
      <c r="B565" s="21">
        <v>14075</v>
      </c>
      <c r="C565" s="14" t="s">
        <v>90</v>
      </c>
      <c r="D565" s="105">
        <v>952</v>
      </c>
      <c r="E565" s="23">
        <v>42069</v>
      </c>
      <c r="F565" s="106">
        <v>952</v>
      </c>
      <c r="G565" s="31">
        <f t="shared" si="8"/>
        <v>0</v>
      </c>
      <c r="H565" s="39" t="s">
        <v>9</v>
      </c>
      <c r="I565" s="4"/>
      <c r="J565" s="43"/>
    </row>
    <row r="566" spans="1:10" s="3" customFormat="1" x14ac:dyDescent="0.25">
      <c r="A566" s="20">
        <v>42069</v>
      </c>
      <c r="B566" s="21">
        <v>14076</v>
      </c>
      <c r="C566" s="14" t="s">
        <v>136</v>
      </c>
      <c r="D566" s="105">
        <v>810</v>
      </c>
      <c r="E566" s="23">
        <v>42069</v>
      </c>
      <c r="F566" s="106">
        <v>810</v>
      </c>
      <c r="G566" s="31">
        <f t="shared" si="8"/>
        <v>0</v>
      </c>
      <c r="H566" s="39" t="s">
        <v>9</v>
      </c>
      <c r="I566" s="4"/>
      <c r="J566" s="43"/>
    </row>
    <row r="567" spans="1:10" s="3" customFormat="1" x14ac:dyDescent="0.25">
      <c r="A567" s="20">
        <v>42069</v>
      </c>
      <c r="B567" s="21">
        <v>14077</v>
      </c>
      <c r="C567" s="14" t="s">
        <v>145</v>
      </c>
      <c r="D567" s="105">
        <v>2696.4</v>
      </c>
      <c r="E567" s="23">
        <v>42069</v>
      </c>
      <c r="F567" s="106">
        <v>2696.4</v>
      </c>
      <c r="G567" s="31">
        <f t="shared" si="8"/>
        <v>0</v>
      </c>
      <c r="H567" s="39" t="s">
        <v>9</v>
      </c>
      <c r="I567" s="4"/>
      <c r="J567" s="43"/>
    </row>
    <row r="568" spans="1:10" s="3" customFormat="1" x14ac:dyDescent="0.25">
      <c r="A568" s="20">
        <v>42069</v>
      </c>
      <c r="B568" s="21">
        <v>14078</v>
      </c>
      <c r="C568" s="14" t="s">
        <v>76</v>
      </c>
      <c r="D568" s="105">
        <v>2386.1999999999998</v>
      </c>
      <c r="E568" s="23">
        <v>42069</v>
      </c>
      <c r="F568" s="106">
        <v>2386.1999999999998</v>
      </c>
      <c r="G568" s="31">
        <f t="shared" si="8"/>
        <v>0</v>
      </c>
      <c r="H568" s="39" t="s">
        <v>9</v>
      </c>
      <c r="I568" s="4"/>
      <c r="J568" s="43"/>
    </row>
    <row r="569" spans="1:10" s="3" customFormat="1" x14ac:dyDescent="0.25">
      <c r="A569" s="20">
        <v>42069</v>
      </c>
      <c r="B569" s="21">
        <v>14079</v>
      </c>
      <c r="C569" s="14" t="s">
        <v>24</v>
      </c>
      <c r="D569" s="105">
        <v>146182.29999999999</v>
      </c>
      <c r="E569" s="23">
        <v>42087</v>
      </c>
      <c r="F569" s="106">
        <v>146182.29999999999</v>
      </c>
      <c r="G569" s="31">
        <f t="shared" si="8"/>
        <v>0</v>
      </c>
      <c r="H569" s="39" t="s">
        <v>183</v>
      </c>
      <c r="I569" s="4"/>
      <c r="J569" s="43"/>
    </row>
    <row r="570" spans="1:10" s="3" customFormat="1" x14ac:dyDescent="0.25">
      <c r="A570" s="20">
        <v>42069</v>
      </c>
      <c r="B570" s="21">
        <v>14080</v>
      </c>
      <c r="C570" s="14" t="s">
        <v>294</v>
      </c>
      <c r="D570" s="105">
        <v>3172.2</v>
      </c>
      <c r="E570" s="23">
        <v>42069</v>
      </c>
      <c r="F570" s="106">
        <v>3172.2</v>
      </c>
      <c r="G570" s="31">
        <f t="shared" si="8"/>
        <v>0</v>
      </c>
      <c r="H570" s="39" t="s">
        <v>9</v>
      </c>
      <c r="I570" s="4"/>
      <c r="J570" s="43"/>
    </row>
    <row r="571" spans="1:10" s="3" customFormat="1" x14ac:dyDescent="0.25">
      <c r="A571" s="20">
        <v>42069</v>
      </c>
      <c r="B571" s="21">
        <v>14081</v>
      </c>
      <c r="C571" s="14" t="s">
        <v>38</v>
      </c>
      <c r="D571" s="105">
        <v>34136</v>
      </c>
      <c r="E571" s="23">
        <v>42082</v>
      </c>
      <c r="F571" s="106">
        <v>34136</v>
      </c>
      <c r="G571" s="31">
        <f t="shared" si="8"/>
        <v>0</v>
      </c>
      <c r="H571" s="39" t="s">
        <v>19</v>
      </c>
      <c r="I571" s="4"/>
      <c r="J571" s="43"/>
    </row>
    <row r="572" spans="1:10" s="3" customFormat="1" x14ac:dyDescent="0.25">
      <c r="A572" s="20">
        <v>42069</v>
      </c>
      <c r="B572" s="21">
        <v>14082</v>
      </c>
      <c r="C572" s="14" t="s">
        <v>111</v>
      </c>
      <c r="D572" s="105">
        <v>175990</v>
      </c>
      <c r="E572" s="23">
        <v>42075</v>
      </c>
      <c r="F572" s="106">
        <v>175990</v>
      </c>
      <c r="G572" s="31">
        <f t="shared" si="8"/>
        <v>0</v>
      </c>
      <c r="H572" s="39" t="s">
        <v>19</v>
      </c>
      <c r="I572" s="4"/>
      <c r="J572" s="43"/>
    </row>
    <row r="573" spans="1:10" s="3" customFormat="1" x14ac:dyDescent="0.25">
      <c r="A573" s="20">
        <v>42069</v>
      </c>
      <c r="B573" s="21">
        <v>14083</v>
      </c>
      <c r="C573" s="14" t="s">
        <v>285</v>
      </c>
      <c r="D573" s="105">
        <v>400</v>
      </c>
      <c r="E573" s="23">
        <v>42069</v>
      </c>
      <c r="F573" s="106">
        <v>400</v>
      </c>
      <c r="G573" s="31">
        <f t="shared" si="8"/>
        <v>0</v>
      </c>
      <c r="H573" s="39" t="s">
        <v>9</v>
      </c>
      <c r="I573" s="4"/>
      <c r="J573" s="43"/>
    </row>
    <row r="574" spans="1:10" s="3" customFormat="1" x14ac:dyDescent="0.25">
      <c r="A574" s="20">
        <v>42069</v>
      </c>
      <c r="B574" s="21">
        <v>14084</v>
      </c>
      <c r="C574" s="14" t="s">
        <v>482</v>
      </c>
      <c r="D574" s="105">
        <v>589.1</v>
      </c>
      <c r="E574" s="23">
        <v>42069</v>
      </c>
      <c r="F574" s="106">
        <v>589.1</v>
      </c>
      <c r="G574" s="31">
        <f t="shared" si="8"/>
        <v>0</v>
      </c>
      <c r="H574" s="39" t="s">
        <v>9</v>
      </c>
      <c r="I574" s="4"/>
      <c r="J574" s="107"/>
    </row>
    <row r="575" spans="1:10" s="3" customFormat="1" x14ac:dyDescent="0.25">
      <c r="A575" s="20">
        <v>42069</v>
      </c>
      <c r="B575" s="21">
        <v>14085</v>
      </c>
      <c r="C575" s="14" t="s">
        <v>110</v>
      </c>
      <c r="D575" s="105">
        <v>25062.3</v>
      </c>
      <c r="E575" s="23">
        <v>42077</v>
      </c>
      <c r="F575" s="106">
        <v>25062.3</v>
      </c>
      <c r="G575" s="31">
        <f t="shared" si="8"/>
        <v>0</v>
      </c>
      <c r="H575" s="39" t="s">
        <v>59</v>
      </c>
      <c r="I575" s="4"/>
      <c r="J575" s="43"/>
    </row>
    <row r="576" spans="1:10" s="3" customFormat="1" x14ac:dyDescent="0.25">
      <c r="A576" s="20">
        <v>42069</v>
      </c>
      <c r="B576" s="21">
        <v>14086</v>
      </c>
      <c r="C576" s="14" t="s">
        <v>110</v>
      </c>
      <c r="D576" s="105">
        <v>972</v>
      </c>
      <c r="E576" s="23">
        <v>42077</v>
      </c>
      <c r="F576" s="106">
        <v>972</v>
      </c>
      <c r="G576" s="31">
        <f t="shared" si="8"/>
        <v>0</v>
      </c>
      <c r="H576" s="39" t="s">
        <v>59</v>
      </c>
      <c r="I576" s="4"/>
      <c r="J576" s="43"/>
    </row>
    <row r="577" spans="1:10" s="3" customFormat="1" x14ac:dyDescent="0.25">
      <c r="A577" s="20">
        <v>42069</v>
      </c>
      <c r="B577" s="21">
        <v>14087</v>
      </c>
      <c r="C577" s="14" t="s">
        <v>234</v>
      </c>
      <c r="D577" s="105">
        <v>392.45</v>
      </c>
      <c r="E577" s="23">
        <v>42069</v>
      </c>
      <c r="F577" s="106">
        <v>392.45</v>
      </c>
      <c r="G577" s="31">
        <f t="shared" si="8"/>
        <v>0</v>
      </c>
      <c r="H577" s="39" t="s">
        <v>9</v>
      </c>
      <c r="I577" s="4"/>
      <c r="J577" s="43"/>
    </row>
    <row r="578" spans="1:10" s="3" customFormat="1" x14ac:dyDescent="0.25">
      <c r="A578" s="20">
        <v>42069</v>
      </c>
      <c r="B578" s="21">
        <v>14088</v>
      </c>
      <c r="C578" s="14" t="s">
        <v>24</v>
      </c>
      <c r="D578" s="105">
        <v>58578</v>
      </c>
      <c r="E578" s="23">
        <v>42081</v>
      </c>
      <c r="F578" s="106">
        <v>58578</v>
      </c>
      <c r="G578" s="31">
        <f t="shared" si="8"/>
        <v>0</v>
      </c>
      <c r="H578" s="39" t="s">
        <v>59</v>
      </c>
      <c r="I578" s="4"/>
      <c r="J578" s="43"/>
    </row>
    <row r="579" spans="1:10" s="3" customFormat="1" x14ac:dyDescent="0.25">
      <c r="A579" s="20">
        <v>42069</v>
      </c>
      <c r="B579" s="21">
        <v>14089</v>
      </c>
      <c r="C579" s="14" t="s">
        <v>80</v>
      </c>
      <c r="D579" s="105">
        <v>8452.7999999999993</v>
      </c>
      <c r="E579" s="23">
        <v>42069</v>
      </c>
      <c r="F579" s="106">
        <v>8452.7999999999993</v>
      </c>
      <c r="G579" s="31">
        <f t="shared" ref="G579:G642" si="9">D579-F579</f>
        <v>0</v>
      </c>
      <c r="H579" s="39" t="s">
        <v>9</v>
      </c>
      <c r="J579" s="42"/>
    </row>
    <row r="580" spans="1:10" s="3" customFormat="1" x14ac:dyDescent="0.25">
      <c r="A580" s="20">
        <v>42069</v>
      </c>
      <c r="B580" s="21">
        <v>14090</v>
      </c>
      <c r="C580" s="14" t="s">
        <v>267</v>
      </c>
      <c r="D580" s="105">
        <v>4248</v>
      </c>
      <c r="E580" s="23">
        <v>42069</v>
      </c>
      <c r="F580" s="106">
        <v>4248</v>
      </c>
      <c r="G580" s="31">
        <f t="shared" si="9"/>
        <v>0</v>
      </c>
      <c r="H580" s="39" t="s">
        <v>17</v>
      </c>
      <c r="J580" s="42"/>
    </row>
    <row r="581" spans="1:10" s="3" customFormat="1" x14ac:dyDescent="0.25">
      <c r="A581" s="20">
        <v>42069</v>
      </c>
      <c r="B581" s="21">
        <v>14091</v>
      </c>
      <c r="C581" s="14" t="s">
        <v>265</v>
      </c>
      <c r="D581" s="105">
        <v>927.5</v>
      </c>
      <c r="E581" s="23">
        <v>42069</v>
      </c>
      <c r="F581" s="106">
        <v>927.5</v>
      </c>
      <c r="G581" s="31">
        <f t="shared" si="9"/>
        <v>0</v>
      </c>
      <c r="H581" s="39" t="s">
        <v>9</v>
      </c>
      <c r="J581" s="42"/>
    </row>
    <row r="582" spans="1:10" s="3" customFormat="1" x14ac:dyDescent="0.25">
      <c r="A582" s="20">
        <v>42069</v>
      </c>
      <c r="B582" s="21">
        <v>14092</v>
      </c>
      <c r="C582" s="14" t="s">
        <v>42</v>
      </c>
      <c r="D582" s="105">
        <v>660</v>
      </c>
      <c r="E582" s="30">
        <v>42069</v>
      </c>
      <c r="F582" s="106">
        <v>660</v>
      </c>
      <c r="G582" s="31">
        <f t="shared" si="9"/>
        <v>0</v>
      </c>
      <c r="H582" s="39" t="s">
        <v>9</v>
      </c>
      <c r="J582" s="42"/>
    </row>
    <row r="583" spans="1:10" s="3" customFormat="1" x14ac:dyDescent="0.25">
      <c r="A583" s="20">
        <v>42070</v>
      </c>
      <c r="B583" s="21">
        <v>14093</v>
      </c>
      <c r="C583" s="14" t="s">
        <v>42</v>
      </c>
      <c r="D583" s="105">
        <v>11140.2</v>
      </c>
      <c r="E583" s="23">
        <v>42070</v>
      </c>
      <c r="F583" s="106">
        <v>11140.2</v>
      </c>
      <c r="G583" s="31">
        <f t="shared" si="9"/>
        <v>0</v>
      </c>
      <c r="H583" s="39" t="s">
        <v>9</v>
      </c>
      <c r="J583" s="42"/>
    </row>
    <row r="584" spans="1:10" s="3" customFormat="1" x14ac:dyDescent="0.25">
      <c r="A584" s="20">
        <v>42070</v>
      </c>
      <c r="B584" s="21">
        <v>14094</v>
      </c>
      <c r="C584" s="14" t="s">
        <v>291</v>
      </c>
      <c r="D584" s="105">
        <v>23501.1</v>
      </c>
      <c r="E584" s="23">
        <v>42070</v>
      </c>
      <c r="F584" s="106">
        <v>23501.1</v>
      </c>
      <c r="G584" s="31">
        <f t="shared" si="9"/>
        <v>0</v>
      </c>
      <c r="H584" s="39" t="s">
        <v>9</v>
      </c>
      <c r="J584" s="42"/>
    </row>
    <row r="585" spans="1:10" s="3" customFormat="1" x14ac:dyDescent="0.25">
      <c r="A585" s="20">
        <v>42070</v>
      </c>
      <c r="B585" s="21">
        <v>14095</v>
      </c>
      <c r="C585" s="14" t="s">
        <v>112</v>
      </c>
      <c r="D585" s="105">
        <v>4418.2</v>
      </c>
      <c r="E585" s="23">
        <v>42070</v>
      </c>
      <c r="F585" s="106">
        <v>4418.2</v>
      </c>
      <c r="G585" s="31">
        <f t="shared" si="9"/>
        <v>0</v>
      </c>
      <c r="H585" s="39" t="s">
        <v>9</v>
      </c>
      <c r="J585" s="42"/>
    </row>
    <row r="586" spans="1:10" s="3" customFormat="1" x14ac:dyDescent="0.25">
      <c r="A586" s="20">
        <v>42070</v>
      </c>
      <c r="B586" s="21">
        <v>14096</v>
      </c>
      <c r="C586" s="14" t="s">
        <v>121</v>
      </c>
      <c r="D586" s="105">
        <v>2939.4</v>
      </c>
      <c r="E586" s="23">
        <v>42070</v>
      </c>
      <c r="F586" s="106">
        <v>2939.4</v>
      </c>
      <c r="G586" s="31">
        <f t="shared" si="9"/>
        <v>0</v>
      </c>
      <c r="H586" s="39" t="s">
        <v>9</v>
      </c>
      <c r="J586" s="42"/>
    </row>
    <row r="587" spans="1:10" s="3" customFormat="1" x14ac:dyDescent="0.25">
      <c r="A587" s="20">
        <v>42070</v>
      </c>
      <c r="B587" s="21">
        <v>14097</v>
      </c>
      <c r="C587" s="14" t="s">
        <v>14</v>
      </c>
      <c r="D587" s="105">
        <v>27194.2</v>
      </c>
      <c r="E587" s="23">
        <v>42075</v>
      </c>
      <c r="F587" s="106">
        <v>27194.2</v>
      </c>
      <c r="G587" s="31">
        <f t="shared" si="9"/>
        <v>0</v>
      </c>
      <c r="H587" s="39" t="s">
        <v>15</v>
      </c>
      <c r="J587" s="42"/>
    </row>
    <row r="588" spans="1:10" s="3" customFormat="1" x14ac:dyDescent="0.25">
      <c r="A588" s="20">
        <v>42070</v>
      </c>
      <c r="B588" s="21">
        <v>14098</v>
      </c>
      <c r="C588" s="14" t="s">
        <v>604</v>
      </c>
      <c r="D588" s="105">
        <v>2995.2</v>
      </c>
      <c r="E588" s="23">
        <v>42070</v>
      </c>
      <c r="F588" s="106">
        <v>2995.2</v>
      </c>
      <c r="G588" s="31">
        <f t="shared" si="9"/>
        <v>0</v>
      </c>
      <c r="H588" s="39" t="s">
        <v>9</v>
      </c>
      <c r="J588" s="42"/>
    </row>
    <row r="589" spans="1:10" s="3" customFormat="1" x14ac:dyDescent="0.25">
      <c r="A589" s="20">
        <v>42070</v>
      </c>
      <c r="B589" s="21">
        <v>14099</v>
      </c>
      <c r="C589" s="14" t="s">
        <v>799</v>
      </c>
      <c r="D589" s="105">
        <v>53259.8</v>
      </c>
      <c r="E589" s="23">
        <v>42073</v>
      </c>
      <c r="F589" s="106">
        <v>53259.8</v>
      </c>
      <c r="G589" s="31">
        <f t="shared" si="9"/>
        <v>0</v>
      </c>
      <c r="H589" s="39" t="s">
        <v>9</v>
      </c>
      <c r="J589" s="42"/>
    </row>
    <row r="590" spans="1:10" s="3" customFormat="1" x14ac:dyDescent="0.25">
      <c r="A590" s="20">
        <v>42070</v>
      </c>
      <c r="B590" s="21">
        <v>14100</v>
      </c>
      <c r="C590" s="14" t="s">
        <v>16</v>
      </c>
      <c r="D590" s="105">
        <v>13180.8</v>
      </c>
      <c r="E590" s="23">
        <v>42070</v>
      </c>
      <c r="F590" s="106">
        <v>13180.8</v>
      </c>
      <c r="G590" s="31">
        <f t="shared" si="9"/>
        <v>0</v>
      </c>
      <c r="H590" s="39" t="s">
        <v>17</v>
      </c>
      <c r="J590" s="42"/>
    </row>
    <row r="591" spans="1:10" s="3" customFormat="1" x14ac:dyDescent="0.25">
      <c r="A591" s="20">
        <v>42070</v>
      </c>
      <c r="B591" s="21">
        <v>14101</v>
      </c>
      <c r="C591" s="14" t="s">
        <v>114</v>
      </c>
      <c r="D591" s="105">
        <v>4699.8</v>
      </c>
      <c r="E591" s="23">
        <v>42070</v>
      </c>
      <c r="F591" s="106">
        <v>4699.8</v>
      </c>
      <c r="G591" s="31">
        <f t="shared" si="9"/>
        <v>0</v>
      </c>
      <c r="H591" s="39" t="s">
        <v>62</v>
      </c>
      <c r="J591" s="42"/>
    </row>
    <row r="592" spans="1:10" s="3" customFormat="1" x14ac:dyDescent="0.25">
      <c r="A592" s="20">
        <v>42070</v>
      </c>
      <c r="B592" s="21">
        <v>14102</v>
      </c>
      <c r="C592" s="14" t="s">
        <v>18</v>
      </c>
      <c r="D592" s="105">
        <v>2436</v>
      </c>
      <c r="E592" s="23">
        <v>42070</v>
      </c>
      <c r="F592" s="106">
        <v>2436</v>
      </c>
      <c r="G592" s="31">
        <f t="shared" si="9"/>
        <v>0</v>
      </c>
      <c r="H592" s="39" t="s">
        <v>9</v>
      </c>
      <c r="J592" s="42"/>
    </row>
    <row r="593" spans="1:10" s="3" customFormat="1" x14ac:dyDescent="0.25">
      <c r="A593" s="20">
        <v>42070</v>
      </c>
      <c r="B593" s="21">
        <v>14103</v>
      </c>
      <c r="C593" s="14" t="s">
        <v>116</v>
      </c>
      <c r="D593" s="105">
        <v>11724.5</v>
      </c>
      <c r="E593" s="23">
        <v>42070</v>
      </c>
      <c r="F593" s="106">
        <v>11724.5</v>
      </c>
      <c r="G593" s="31">
        <f t="shared" si="9"/>
        <v>0</v>
      </c>
      <c r="H593" s="39" t="s">
        <v>9</v>
      </c>
      <c r="J593" s="42"/>
    </row>
    <row r="594" spans="1:10" s="3" customFormat="1" x14ac:dyDescent="0.25">
      <c r="A594" s="20">
        <v>42070</v>
      </c>
      <c r="B594" s="21">
        <v>14104</v>
      </c>
      <c r="C594" s="14" t="s">
        <v>296</v>
      </c>
      <c r="D594" s="105">
        <v>1782.3</v>
      </c>
      <c r="E594" s="23">
        <v>42070</v>
      </c>
      <c r="F594" s="106">
        <v>1782.3</v>
      </c>
      <c r="G594" s="31">
        <f t="shared" si="9"/>
        <v>0</v>
      </c>
      <c r="H594" s="39" t="s">
        <v>9</v>
      </c>
      <c r="J594" s="42"/>
    </row>
    <row r="595" spans="1:10" s="3" customFormat="1" x14ac:dyDescent="0.25">
      <c r="A595" s="20">
        <v>42070</v>
      </c>
      <c r="B595" s="21">
        <v>14105</v>
      </c>
      <c r="C595" s="14" t="s">
        <v>32</v>
      </c>
      <c r="D595" s="105">
        <v>114335.35</v>
      </c>
      <c r="E595" s="23">
        <v>42089</v>
      </c>
      <c r="F595" s="106">
        <v>114335.35</v>
      </c>
      <c r="G595" s="31">
        <f t="shared" si="9"/>
        <v>0</v>
      </c>
      <c r="H595" s="39" t="s">
        <v>19</v>
      </c>
      <c r="I595" s="4"/>
      <c r="J595" s="43"/>
    </row>
    <row r="596" spans="1:10" s="3" customFormat="1" x14ac:dyDescent="0.25">
      <c r="A596" s="20">
        <v>42070</v>
      </c>
      <c r="B596" s="21">
        <v>14106</v>
      </c>
      <c r="C596" s="14" t="s">
        <v>20</v>
      </c>
      <c r="D596" s="105">
        <v>27831</v>
      </c>
      <c r="E596" s="23">
        <v>42070</v>
      </c>
      <c r="F596" s="106">
        <v>27831</v>
      </c>
      <c r="G596" s="31">
        <f t="shared" si="9"/>
        <v>0</v>
      </c>
      <c r="H596" s="39" t="s">
        <v>94</v>
      </c>
      <c r="I596" s="4"/>
      <c r="J596" s="43"/>
    </row>
    <row r="597" spans="1:10" s="3" customFormat="1" x14ac:dyDescent="0.25">
      <c r="A597" s="20">
        <v>42070</v>
      </c>
      <c r="B597" s="21">
        <v>14107</v>
      </c>
      <c r="C597" s="14" t="s">
        <v>791</v>
      </c>
      <c r="D597" s="105">
        <v>2353</v>
      </c>
      <c r="E597" s="23">
        <v>42070</v>
      </c>
      <c r="F597" s="106">
        <v>2353</v>
      </c>
      <c r="G597" s="31">
        <f t="shared" si="9"/>
        <v>0</v>
      </c>
      <c r="H597" s="39" t="s">
        <v>9</v>
      </c>
      <c r="I597" s="4"/>
      <c r="J597" s="43"/>
    </row>
    <row r="598" spans="1:10" s="3" customFormat="1" x14ac:dyDescent="0.25">
      <c r="A598" s="20">
        <v>42070</v>
      </c>
      <c r="B598" s="21">
        <v>14108</v>
      </c>
      <c r="C598" s="14" t="s">
        <v>720</v>
      </c>
      <c r="D598" s="105">
        <v>9313</v>
      </c>
      <c r="E598" s="23">
        <v>42070</v>
      </c>
      <c r="F598" s="106">
        <v>9313</v>
      </c>
      <c r="G598" s="31">
        <f t="shared" si="9"/>
        <v>0</v>
      </c>
      <c r="H598" s="39" t="s">
        <v>9</v>
      </c>
      <c r="I598" s="4"/>
      <c r="J598" s="43"/>
    </row>
    <row r="599" spans="1:10" s="3" customFormat="1" x14ac:dyDescent="0.25">
      <c r="A599" s="20">
        <v>42070</v>
      </c>
      <c r="B599" s="21">
        <v>14109</v>
      </c>
      <c r="C599" s="14" t="s">
        <v>472</v>
      </c>
      <c r="D599" s="105">
        <v>6753.6</v>
      </c>
      <c r="E599" s="23">
        <v>42070</v>
      </c>
      <c r="F599" s="106">
        <v>6753.6</v>
      </c>
      <c r="G599" s="31">
        <f t="shared" si="9"/>
        <v>0</v>
      </c>
      <c r="H599" s="39" t="s">
        <v>59</v>
      </c>
      <c r="I599" s="4"/>
      <c r="J599" s="43"/>
    </row>
    <row r="600" spans="1:10" s="3" customFormat="1" x14ac:dyDescent="0.25">
      <c r="A600" s="20">
        <v>42070</v>
      </c>
      <c r="B600" s="21">
        <v>14110</v>
      </c>
      <c r="C600" s="14" t="s">
        <v>714</v>
      </c>
      <c r="D600" s="105">
        <v>1371.5</v>
      </c>
      <c r="E600" s="23">
        <v>42070</v>
      </c>
      <c r="F600" s="106">
        <v>1371.5</v>
      </c>
      <c r="G600" s="31">
        <f t="shared" si="9"/>
        <v>0</v>
      </c>
      <c r="H600" s="39" t="s">
        <v>9</v>
      </c>
      <c r="I600" s="4"/>
      <c r="J600" s="43"/>
    </row>
    <row r="601" spans="1:10" s="3" customFormat="1" x14ac:dyDescent="0.25">
      <c r="A601" s="20">
        <v>42070</v>
      </c>
      <c r="B601" s="21">
        <v>14111</v>
      </c>
      <c r="C601" s="14" t="s">
        <v>225</v>
      </c>
      <c r="D601" s="105">
        <v>2889.9</v>
      </c>
      <c r="E601" s="23">
        <v>42070</v>
      </c>
      <c r="F601" s="106">
        <v>2889.9</v>
      </c>
      <c r="G601" s="31">
        <f t="shared" si="9"/>
        <v>0</v>
      </c>
      <c r="H601" s="39" t="s">
        <v>9</v>
      </c>
      <c r="I601" s="4"/>
      <c r="J601" s="43"/>
    </row>
    <row r="602" spans="1:10" s="3" customFormat="1" x14ac:dyDescent="0.25">
      <c r="A602" s="20">
        <v>42070</v>
      </c>
      <c r="B602" s="21">
        <v>14112</v>
      </c>
      <c r="C602" s="14" t="s">
        <v>24</v>
      </c>
      <c r="D602" s="105">
        <v>5060</v>
      </c>
      <c r="E602" s="23">
        <v>42081</v>
      </c>
      <c r="F602" s="106">
        <v>5060</v>
      </c>
      <c r="G602" s="31">
        <f t="shared" si="9"/>
        <v>0</v>
      </c>
      <c r="H602" s="39" t="s">
        <v>9</v>
      </c>
      <c r="I602" s="4"/>
      <c r="J602" s="107"/>
    </row>
    <row r="603" spans="1:10" s="3" customFormat="1" x14ac:dyDescent="0.25">
      <c r="A603" s="20">
        <v>42070</v>
      </c>
      <c r="B603" s="21">
        <v>14113</v>
      </c>
      <c r="C603" s="14" t="s">
        <v>137</v>
      </c>
      <c r="D603" s="105">
        <v>2415.6</v>
      </c>
      <c r="E603" s="23">
        <v>42070</v>
      </c>
      <c r="F603" s="106">
        <v>2415.6</v>
      </c>
      <c r="G603" s="31">
        <f t="shared" si="9"/>
        <v>0</v>
      </c>
      <c r="H603" s="39" t="s">
        <v>9</v>
      </c>
      <c r="I603" s="4"/>
      <c r="J603" s="43"/>
    </row>
    <row r="604" spans="1:10" s="3" customFormat="1" x14ac:dyDescent="0.25">
      <c r="A604" s="20">
        <v>42070</v>
      </c>
      <c r="B604" s="21">
        <v>14114</v>
      </c>
      <c r="C604" s="26" t="s">
        <v>218</v>
      </c>
      <c r="D604" s="108">
        <v>0</v>
      </c>
      <c r="E604" s="23"/>
      <c r="F604" s="106"/>
      <c r="G604" s="31">
        <f t="shared" si="9"/>
        <v>0</v>
      </c>
      <c r="H604" s="39" t="s">
        <v>13</v>
      </c>
      <c r="I604" s="4"/>
      <c r="J604" s="43"/>
    </row>
    <row r="605" spans="1:10" s="3" customFormat="1" x14ac:dyDescent="0.25">
      <c r="A605" s="20">
        <v>42070</v>
      </c>
      <c r="B605" s="21">
        <v>14115</v>
      </c>
      <c r="C605" s="14" t="s">
        <v>215</v>
      </c>
      <c r="D605" s="105">
        <v>26566.35</v>
      </c>
      <c r="E605" s="23">
        <v>42070</v>
      </c>
      <c r="F605" s="106">
        <v>26566.35</v>
      </c>
      <c r="G605" s="31">
        <f t="shared" si="9"/>
        <v>0</v>
      </c>
      <c r="H605" s="39" t="s">
        <v>773</v>
      </c>
      <c r="I605" s="4"/>
      <c r="J605" s="43"/>
    </row>
    <row r="606" spans="1:10" s="3" customFormat="1" x14ac:dyDescent="0.25">
      <c r="A606" s="20">
        <v>42070</v>
      </c>
      <c r="B606" s="21">
        <v>14116</v>
      </c>
      <c r="C606" s="14" t="s">
        <v>34</v>
      </c>
      <c r="D606" s="105">
        <v>3600</v>
      </c>
      <c r="E606" s="23">
        <v>42070</v>
      </c>
      <c r="F606" s="106">
        <v>3600</v>
      </c>
      <c r="G606" s="31">
        <f t="shared" si="9"/>
        <v>0</v>
      </c>
      <c r="H606" s="39" t="s">
        <v>9</v>
      </c>
      <c r="I606" s="4"/>
      <c r="J606" s="43"/>
    </row>
    <row r="607" spans="1:10" s="3" customFormat="1" x14ac:dyDescent="0.25">
      <c r="A607" s="20">
        <v>42070</v>
      </c>
      <c r="B607" s="21">
        <v>14117</v>
      </c>
      <c r="C607" s="14" t="s">
        <v>88</v>
      </c>
      <c r="D607" s="105">
        <v>1390.7</v>
      </c>
      <c r="E607" s="23">
        <v>42070</v>
      </c>
      <c r="F607" s="106">
        <v>1390.7</v>
      </c>
      <c r="G607" s="31">
        <f t="shared" si="9"/>
        <v>0</v>
      </c>
      <c r="H607" s="39" t="s">
        <v>9</v>
      </c>
      <c r="I607" s="4"/>
      <c r="J607" s="43"/>
    </row>
    <row r="608" spans="1:10" s="3" customFormat="1" x14ac:dyDescent="0.25">
      <c r="A608" s="20">
        <v>42070</v>
      </c>
      <c r="B608" s="21">
        <v>14118</v>
      </c>
      <c r="C608" s="14" t="s">
        <v>675</v>
      </c>
      <c r="D608" s="105">
        <v>1080</v>
      </c>
      <c r="E608" s="23">
        <v>42070</v>
      </c>
      <c r="F608" s="106">
        <v>1080</v>
      </c>
      <c r="G608" s="31">
        <f t="shared" si="9"/>
        <v>0</v>
      </c>
      <c r="H608" s="39" t="s">
        <v>9</v>
      </c>
      <c r="I608" s="4"/>
      <c r="J608" s="43"/>
    </row>
    <row r="609" spans="1:10" s="3" customFormat="1" x14ac:dyDescent="0.25">
      <c r="A609" s="20">
        <v>42070</v>
      </c>
      <c r="B609" s="21">
        <v>14119</v>
      </c>
      <c r="C609" s="14" t="s">
        <v>57</v>
      </c>
      <c r="D609" s="105">
        <v>1440</v>
      </c>
      <c r="E609" s="23">
        <v>42070</v>
      </c>
      <c r="F609" s="106">
        <v>1440</v>
      </c>
      <c r="G609" s="31">
        <f t="shared" si="9"/>
        <v>0</v>
      </c>
      <c r="H609" s="39" t="s">
        <v>59</v>
      </c>
      <c r="I609" s="4"/>
      <c r="J609" s="43"/>
    </row>
    <row r="610" spans="1:10" s="3" customFormat="1" x14ac:dyDescent="0.25">
      <c r="A610" s="20">
        <v>42070</v>
      </c>
      <c r="B610" s="21">
        <v>14120</v>
      </c>
      <c r="C610" s="14" t="s">
        <v>57</v>
      </c>
      <c r="D610" s="105">
        <v>504</v>
      </c>
      <c r="E610" s="23">
        <v>42070</v>
      </c>
      <c r="F610" s="106">
        <v>504</v>
      </c>
      <c r="G610" s="31">
        <f t="shared" si="9"/>
        <v>0</v>
      </c>
      <c r="H610" s="39" t="s">
        <v>59</v>
      </c>
      <c r="I610" s="4"/>
      <c r="J610" s="43"/>
    </row>
    <row r="611" spans="1:10" s="3" customFormat="1" x14ac:dyDescent="0.25">
      <c r="A611" s="20">
        <v>42070</v>
      </c>
      <c r="B611" s="21">
        <v>14121</v>
      </c>
      <c r="C611" s="110">
        <v>105</v>
      </c>
      <c r="D611" s="105">
        <v>1260</v>
      </c>
      <c r="E611" s="23">
        <v>42070</v>
      </c>
      <c r="F611" s="106">
        <v>1260</v>
      </c>
      <c r="G611" s="31">
        <f t="shared" si="9"/>
        <v>0</v>
      </c>
      <c r="H611" s="39" t="s">
        <v>59</v>
      </c>
      <c r="I611" s="4"/>
      <c r="J611" s="43"/>
    </row>
    <row r="612" spans="1:10" s="3" customFormat="1" x14ac:dyDescent="0.25">
      <c r="A612" s="20">
        <v>42070</v>
      </c>
      <c r="B612" s="21">
        <v>14122</v>
      </c>
      <c r="C612" s="14" t="s">
        <v>214</v>
      </c>
      <c r="D612" s="105">
        <v>2160</v>
      </c>
      <c r="E612" s="23">
        <v>42070</v>
      </c>
      <c r="F612" s="106">
        <v>2160</v>
      </c>
      <c r="G612" s="31">
        <f t="shared" si="9"/>
        <v>0</v>
      </c>
      <c r="H612" s="39" t="s">
        <v>59</v>
      </c>
      <c r="I612" s="4"/>
      <c r="J612" s="43"/>
    </row>
    <row r="613" spans="1:10" s="3" customFormat="1" x14ac:dyDescent="0.25">
      <c r="A613" s="20">
        <v>42070</v>
      </c>
      <c r="B613" s="21">
        <v>14123</v>
      </c>
      <c r="C613" s="14" t="s">
        <v>151</v>
      </c>
      <c r="D613" s="105">
        <v>5281.8</v>
      </c>
      <c r="E613" s="23">
        <v>42070</v>
      </c>
      <c r="F613" s="106">
        <v>5281.8</v>
      </c>
      <c r="G613" s="31">
        <f t="shared" si="9"/>
        <v>0</v>
      </c>
      <c r="H613" s="39" t="s">
        <v>9</v>
      </c>
      <c r="I613" s="4"/>
      <c r="J613" s="43"/>
    </row>
    <row r="614" spans="1:10" s="3" customFormat="1" x14ac:dyDescent="0.25">
      <c r="A614" s="20">
        <v>42070</v>
      </c>
      <c r="B614" s="21">
        <v>14124</v>
      </c>
      <c r="C614" s="14" t="s">
        <v>83</v>
      </c>
      <c r="D614" s="105">
        <v>5705.2</v>
      </c>
      <c r="E614" s="23">
        <v>42070</v>
      </c>
      <c r="F614" s="106">
        <v>5705.2</v>
      </c>
      <c r="G614" s="31">
        <f t="shared" si="9"/>
        <v>0</v>
      </c>
      <c r="H614" s="39" t="s">
        <v>59</v>
      </c>
      <c r="I614" s="4"/>
      <c r="J614" s="43"/>
    </row>
    <row r="615" spans="1:10" s="3" customFormat="1" x14ac:dyDescent="0.25">
      <c r="A615" s="20">
        <v>42070</v>
      </c>
      <c r="B615" s="21">
        <v>14125</v>
      </c>
      <c r="C615" s="14" t="s">
        <v>375</v>
      </c>
      <c r="D615" s="105">
        <v>184.8</v>
      </c>
      <c r="E615" s="23">
        <v>42070</v>
      </c>
      <c r="F615" s="106">
        <v>184.8</v>
      </c>
      <c r="G615" s="31">
        <f t="shared" si="9"/>
        <v>0</v>
      </c>
      <c r="H615" s="39" t="s">
        <v>9</v>
      </c>
      <c r="I615" s="4"/>
      <c r="J615" s="107"/>
    </row>
    <row r="616" spans="1:10" s="3" customFormat="1" x14ac:dyDescent="0.25">
      <c r="A616" s="20">
        <v>42070</v>
      </c>
      <c r="B616" s="21">
        <v>14126</v>
      </c>
      <c r="C616" s="14" t="s">
        <v>82</v>
      </c>
      <c r="D616" s="105">
        <v>4835.6000000000004</v>
      </c>
      <c r="E616" s="23">
        <v>42070</v>
      </c>
      <c r="F616" s="106">
        <v>4835.6000000000004</v>
      </c>
      <c r="G616" s="31">
        <f t="shared" si="9"/>
        <v>0</v>
      </c>
      <c r="H616" s="39" t="s">
        <v>59</v>
      </c>
      <c r="I616" s="4"/>
      <c r="J616" s="43"/>
    </row>
    <row r="617" spans="1:10" s="3" customFormat="1" x14ac:dyDescent="0.25">
      <c r="A617" s="20">
        <v>42070</v>
      </c>
      <c r="B617" s="21">
        <v>14127</v>
      </c>
      <c r="C617" s="14" t="s">
        <v>292</v>
      </c>
      <c r="D617" s="105">
        <v>4056</v>
      </c>
      <c r="E617" s="23">
        <v>42070</v>
      </c>
      <c r="F617" s="106">
        <v>4056</v>
      </c>
      <c r="G617" s="31">
        <f t="shared" si="9"/>
        <v>0</v>
      </c>
      <c r="H617" s="39" t="s">
        <v>9</v>
      </c>
      <c r="I617" s="4"/>
      <c r="J617" s="107"/>
    </row>
    <row r="618" spans="1:10" s="3" customFormat="1" x14ac:dyDescent="0.25">
      <c r="A618" s="20">
        <v>42070</v>
      </c>
      <c r="B618" s="21">
        <v>14128</v>
      </c>
      <c r="C618" s="14" t="s">
        <v>81</v>
      </c>
      <c r="D618" s="105">
        <v>3352.6</v>
      </c>
      <c r="E618" s="23">
        <v>42070</v>
      </c>
      <c r="F618" s="106">
        <v>3352.6</v>
      </c>
      <c r="G618" s="31">
        <f t="shared" si="9"/>
        <v>0</v>
      </c>
      <c r="H618" s="39" t="s">
        <v>59</v>
      </c>
      <c r="I618" s="4"/>
      <c r="J618" s="43"/>
    </row>
    <row r="619" spans="1:10" s="3" customFormat="1" x14ac:dyDescent="0.25">
      <c r="A619" s="20">
        <v>42070</v>
      </c>
      <c r="B619" s="21">
        <v>14129</v>
      </c>
      <c r="C619" s="14" t="s">
        <v>112</v>
      </c>
      <c r="D619" s="105">
        <v>866.8</v>
      </c>
      <c r="E619" s="23">
        <v>42070</v>
      </c>
      <c r="F619" s="106">
        <v>866.8</v>
      </c>
      <c r="G619" s="31">
        <f t="shared" si="9"/>
        <v>0</v>
      </c>
      <c r="H619" s="39" t="s">
        <v>9</v>
      </c>
      <c r="I619" s="4"/>
      <c r="J619" s="43"/>
    </row>
    <row r="620" spans="1:10" s="3" customFormat="1" x14ac:dyDescent="0.25">
      <c r="A620" s="20">
        <v>42070</v>
      </c>
      <c r="B620" s="21">
        <v>14130</v>
      </c>
      <c r="C620" s="14" t="s">
        <v>53</v>
      </c>
      <c r="D620" s="105">
        <v>2462.1</v>
      </c>
      <c r="E620" s="23">
        <v>42070</v>
      </c>
      <c r="F620" s="106">
        <v>2462.1</v>
      </c>
      <c r="G620" s="31">
        <f t="shared" si="9"/>
        <v>0</v>
      </c>
      <c r="H620" s="39" t="s">
        <v>59</v>
      </c>
      <c r="I620" s="4"/>
      <c r="J620" s="43"/>
    </row>
    <row r="621" spans="1:10" s="3" customFormat="1" x14ac:dyDescent="0.25">
      <c r="A621" s="20">
        <v>42070</v>
      </c>
      <c r="B621" s="21">
        <v>14131</v>
      </c>
      <c r="C621" s="14" t="s">
        <v>294</v>
      </c>
      <c r="D621" s="105">
        <v>1988.4</v>
      </c>
      <c r="E621" s="23">
        <v>42070</v>
      </c>
      <c r="F621" s="106">
        <v>1988.4</v>
      </c>
      <c r="G621" s="31">
        <f t="shared" si="9"/>
        <v>0</v>
      </c>
      <c r="H621" s="39" t="s">
        <v>9</v>
      </c>
      <c r="I621" s="4"/>
      <c r="J621" s="43"/>
    </row>
    <row r="622" spans="1:10" s="3" customFormat="1" x14ac:dyDescent="0.25">
      <c r="A622" s="20">
        <v>42070</v>
      </c>
      <c r="B622" s="21">
        <v>14132</v>
      </c>
      <c r="C622" s="14" t="s">
        <v>165</v>
      </c>
      <c r="D622" s="105">
        <v>2039.8</v>
      </c>
      <c r="E622" s="23">
        <v>42070</v>
      </c>
      <c r="F622" s="106">
        <v>2039.8</v>
      </c>
      <c r="G622" s="31">
        <f t="shared" si="9"/>
        <v>0</v>
      </c>
      <c r="H622" s="39" t="s">
        <v>17</v>
      </c>
      <c r="I622" s="4"/>
      <c r="J622" s="43"/>
    </row>
    <row r="623" spans="1:10" s="3" customFormat="1" x14ac:dyDescent="0.25">
      <c r="A623" s="20">
        <v>42070</v>
      </c>
      <c r="B623" s="21">
        <v>14133</v>
      </c>
      <c r="C623" s="14" t="s">
        <v>811</v>
      </c>
      <c r="D623" s="105">
        <v>2425.5</v>
      </c>
      <c r="E623" s="23">
        <v>42070</v>
      </c>
      <c r="F623" s="106">
        <v>2425.5</v>
      </c>
      <c r="G623" s="31">
        <f t="shared" si="9"/>
        <v>0</v>
      </c>
      <c r="H623" s="39" t="s">
        <v>9</v>
      </c>
      <c r="I623" s="4"/>
      <c r="J623" s="43"/>
    </row>
    <row r="624" spans="1:10" s="3" customFormat="1" x14ac:dyDescent="0.25">
      <c r="A624" s="20">
        <v>42070</v>
      </c>
      <c r="B624" s="21">
        <v>14134</v>
      </c>
      <c r="C624" s="14" t="s">
        <v>26</v>
      </c>
      <c r="D624" s="105">
        <v>1644</v>
      </c>
      <c r="E624" s="23">
        <v>42070</v>
      </c>
      <c r="F624" s="106">
        <v>1644</v>
      </c>
      <c r="G624" s="31">
        <f t="shared" si="9"/>
        <v>0</v>
      </c>
      <c r="H624" s="39" t="s">
        <v>27</v>
      </c>
      <c r="I624" s="4"/>
      <c r="J624" s="43"/>
    </row>
    <row r="625" spans="1:10" s="3" customFormat="1" x14ac:dyDescent="0.25">
      <c r="A625" s="20">
        <v>42070</v>
      </c>
      <c r="B625" s="21">
        <v>14135</v>
      </c>
      <c r="C625" s="14" t="s">
        <v>168</v>
      </c>
      <c r="D625" s="105">
        <v>9357.6</v>
      </c>
      <c r="E625" s="23">
        <v>42070</v>
      </c>
      <c r="F625" s="106">
        <v>9357.6</v>
      </c>
      <c r="G625" s="31">
        <f t="shared" si="9"/>
        <v>0</v>
      </c>
      <c r="H625" s="39" t="s">
        <v>59</v>
      </c>
      <c r="I625" s="4"/>
      <c r="J625" s="43"/>
    </row>
    <row r="626" spans="1:10" s="3" customFormat="1" x14ac:dyDescent="0.25">
      <c r="A626" s="20">
        <v>42070</v>
      </c>
      <c r="B626" s="21">
        <v>14136</v>
      </c>
      <c r="C626" s="14" t="s">
        <v>215</v>
      </c>
      <c r="D626" s="105">
        <v>23580.36</v>
      </c>
      <c r="E626" s="23">
        <v>42070</v>
      </c>
      <c r="F626" s="106">
        <v>23580.36</v>
      </c>
      <c r="G626" s="31">
        <f t="shared" si="9"/>
        <v>0</v>
      </c>
      <c r="H626" s="39" t="s">
        <v>9</v>
      </c>
      <c r="I626" s="4"/>
      <c r="J626" s="43"/>
    </row>
    <row r="627" spans="1:10" s="3" customFormat="1" x14ac:dyDescent="0.25">
      <c r="A627" s="20">
        <v>42070</v>
      </c>
      <c r="B627" s="21">
        <v>14137</v>
      </c>
      <c r="C627" s="14" t="s">
        <v>130</v>
      </c>
      <c r="D627" s="105">
        <v>7957</v>
      </c>
      <c r="E627" s="23">
        <v>42073</v>
      </c>
      <c r="F627" s="106">
        <v>7957</v>
      </c>
      <c r="G627" s="31">
        <f t="shared" si="9"/>
        <v>0</v>
      </c>
      <c r="H627" s="39" t="s">
        <v>17</v>
      </c>
      <c r="J627" s="42"/>
    </row>
    <row r="628" spans="1:10" s="3" customFormat="1" x14ac:dyDescent="0.25">
      <c r="A628" s="20">
        <v>42070</v>
      </c>
      <c r="B628" s="21">
        <v>14138</v>
      </c>
      <c r="C628" s="150" t="s">
        <v>42</v>
      </c>
      <c r="D628" s="105">
        <v>372.4</v>
      </c>
      <c r="E628" s="23">
        <v>42070</v>
      </c>
      <c r="F628" s="106">
        <v>372.4</v>
      </c>
      <c r="G628" s="31">
        <f t="shared" si="9"/>
        <v>0</v>
      </c>
      <c r="H628" s="39" t="s">
        <v>9</v>
      </c>
      <c r="J628" s="42"/>
    </row>
    <row r="629" spans="1:10" s="3" customFormat="1" x14ac:dyDescent="0.25">
      <c r="A629" s="20">
        <v>42070</v>
      </c>
      <c r="B629" s="21">
        <v>14139</v>
      </c>
      <c r="C629" s="14" t="s">
        <v>131</v>
      </c>
      <c r="D629" s="105">
        <v>11083.35</v>
      </c>
      <c r="E629" s="23">
        <v>42070</v>
      </c>
      <c r="F629" s="106">
        <v>11083.35</v>
      </c>
      <c r="G629" s="31">
        <f t="shared" si="9"/>
        <v>0</v>
      </c>
      <c r="H629" s="39" t="s">
        <v>9</v>
      </c>
      <c r="J629" s="42"/>
    </row>
    <row r="630" spans="1:10" s="3" customFormat="1" x14ac:dyDescent="0.25">
      <c r="A630" s="20">
        <v>42070</v>
      </c>
      <c r="B630" s="21">
        <v>14140</v>
      </c>
      <c r="C630" s="14" t="s">
        <v>48</v>
      </c>
      <c r="D630" s="105">
        <v>3575.1</v>
      </c>
      <c r="E630" s="23">
        <v>42071</v>
      </c>
      <c r="F630" s="106">
        <v>3575.1</v>
      </c>
      <c r="G630" s="31">
        <f t="shared" si="9"/>
        <v>0</v>
      </c>
      <c r="H630" s="39" t="s">
        <v>94</v>
      </c>
      <c r="J630" s="42"/>
    </row>
    <row r="631" spans="1:10" s="3" customFormat="1" x14ac:dyDescent="0.25">
      <c r="A631" s="20">
        <v>42070</v>
      </c>
      <c r="B631" s="21">
        <v>14141</v>
      </c>
      <c r="C631" s="14" t="s">
        <v>50</v>
      </c>
      <c r="D631" s="105">
        <v>2890.4</v>
      </c>
      <c r="E631" s="23">
        <v>42071</v>
      </c>
      <c r="F631" s="106">
        <v>2890.4</v>
      </c>
      <c r="G631" s="31">
        <f t="shared" si="9"/>
        <v>0</v>
      </c>
      <c r="H631" s="39" t="s">
        <v>94</v>
      </c>
      <c r="J631" s="42"/>
    </row>
    <row r="632" spans="1:10" s="3" customFormat="1" x14ac:dyDescent="0.25">
      <c r="A632" s="20">
        <v>42070</v>
      </c>
      <c r="B632" s="21">
        <v>14142</v>
      </c>
      <c r="C632" s="14" t="s">
        <v>185</v>
      </c>
      <c r="D632" s="105">
        <v>68560</v>
      </c>
      <c r="E632" s="23">
        <v>42070</v>
      </c>
      <c r="F632" s="106">
        <v>68560</v>
      </c>
      <c r="G632" s="31">
        <f t="shared" si="9"/>
        <v>0</v>
      </c>
      <c r="H632" s="39" t="s">
        <v>183</v>
      </c>
      <c r="J632" s="42"/>
    </row>
    <row r="633" spans="1:10" s="3" customFormat="1" x14ac:dyDescent="0.25">
      <c r="A633" s="20">
        <v>42070</v>
      </c>
      <c r="B633" s="21">
        <v>14143</v>
      </c>
      <c r="C633" s="14" t="s">
        <v>461</v>
      </c>
      <c r="D633" s="105">
        <v>16609.5</v>
      </c>
      <c r="E633" s="23">
        <v>42070</v>
      </c>
      <c r="F633" s="106">
        <v>16609.5</v>
      </c>
      <c r="G633" s="31">
        <f t="shared" si="9"/>
        <v>0</v>
      </c>
      <c r="H633" s="39" t="s">
        <v>9</v>
      </c>
      <c r="J633" s="42"/>
    </row>
    <row r="634" spans="1:10" s="3" customFormat="1" x14ac:dyDescent="0.25">
      <c r="A634" s="20">
        <v>42070</v>
      </c>
      <c r="B634" s="21">
        <v>14144</v>
      </c>
      <c r="C634" s="14" t="s">
        <v>141</v>
      </c>
      <c r="D634" s="105">
        <v>17246.400000000001</v>
      </c>
      <c r="E634" s="23" t="s">
        <v>812</v>
      </c>
      <c r="F634" s="106">
        <f>16000+1246.4</f>
        <v>17246.400000000001</v>
      </c>
      <c r="G634" s="31">
        <f t="shared" si="9"/>
        <v>0</v>
      </c>
      <c r="H634" s="39" t="s">
        <v>312</v>
      </c>
      <c r="J634" s="42"/>
    </row>
    <row r="635" spans="1:10" s="3" customFormat="1" x14ac:dyDescent="0.25">
      <c r="A635" s="20">
        <v>42070</v>
      </c>
      <c r="B635" s="21">
        <v>14145</v>
      </c>
      <c r="C635" s="14" t="s">
        <v>125</v>
      </c>
      <c r="D635" s="105">
        <v>27991.1</v>
      </c>
      <c r="E635" s="23">
        <v>42078</v>
      </c>
      <c r="F635" s="106">
        <v>27991.1</v>
      </c>
      <c r="G635" s="31">
        <f t="shared" si="9"/>
        <v>0</v>
      </c>
      <c r="H635" s="39" t="s">
        <v>41</v>
      </c>
      <c r="J635" s="42"/>
    </row>
    <row r="636" spans="1:10" s="3" customFormat="1" x14ac:dyDescent="0.25">
      <c r="A636" s="20">
        <v>42070</v>
      </c>
      <c r="B636" s="21">
        <v>14146</v>
      </c>
      <c r="C636" s="14" t="s">
        <v>100</v>
      </c>
      <c r="D636" s="105">
        <v>2263</v>
      </c>
      <c r="E636" s="23">
        <v>42070</v>
      </c>
      <c r="F636" s="106">
        <v>2263</v>
      </c>
      <c r="G636" s="31">
        <f t="shared" si="9"/>
        <v>0</v>
      </c>
      <c r="H636" s="39" t="s">
        <v>9</v>
      </c>
      <c r="J636" s="42"/>
    </row>
    <row r="637" spans="1:10" s="3" customFormat="1" x14ac:dyDescent="0.25">
      <c r="A637" s="20">
        <v>42070</v>
      </c>
      <c r="B637" s="21">
        <v>14147</v>
      </c>
      <c r="C637" s="14" t="s">
        <v>100</v>
      </c>
      <c r="D637" s="105">
        <v>140.19999999999999</v>
      </c>
      <c r="E637" s="23">
        <v>42070</v>
      </c>
      <c r="F637" s="106">
        <v>140.19999999999999</v>
      </c>
      <c r="G637" s="31">
        <f t="shared" si="9"/>
        <v>0</v>
      </c>
      <c r="H637" s="39" t="s">
        <v>62</v>
      </c>
      <c r="J637" s="42"/>
    </row>
    <row r="638" spans="1:10" s="3" customFormat="1" x14ac:dyDescent="0.25">
      <c r="A638" s="20">
        <v>42070</v>
      </c>
      <c r="B638" s="21">
        <v>14148</v>
      </c>
      <c r="C638" s="14" t="s">
        <v>102</v>
      </c>
      <c r="D638" s="105">
        <v>2846.4</v>
      </c>
      <c r="E638" s="23">
        <v>42070</v>
      </c>
      <c r="F638" s="106">
        <v>2846.4</v>
      </c>
      <c r="G638" s="31">
        <f t="shared" si="9"/>
        <v>0</v>
      </c>
      <c r="H638" s="39" t="s">
        <v>9</v>
      </c>
      <c r="J638" s="42"/>
    </row>
    <row r="639" spans="1:10" s="3" customFormat="1" x14ac:dyDescent="0.25">
      <c r="A639" s="20">
        <v>42070</v>
      </c>
      <c r="B639" s="21">
        <v>14149</v>
      </c>
      <c r="C639" s="14" t="s">
        <v>141</v>
      </c>
      <c r="D639" s="105">
        <v>3645.2</v>
      </c>
      <c r="E639" s="29" t="s">
        <v>813</v>
      </c>
      <c r="F639" s="106">
        <f>2000+1645.2</f>
        <v>3645.2</v>
      </c>
      <c r="G639" s="31">
        <f t="shared" si="9"/>
        <v>0</v>
      </c>
      <c r="H639" s="39" t="s">
        <v>9</v>
      </c>
      <c r="J639" s="42"/>
    </row>
    <row r="640" spans="1:10" s="3" customFormat="1" x14ac:dyDescent="0.25">
      <c r="A640" s="20">
        <v>42070</v>
      </c>
      <c r="B640" s="21">
        <v>14150</v>
      </c>
      <c r="C640" s="14" t="s">
        <v>236</v>
      </c>
      <c r="D640" s="105">
        <v>36847</v>
      </c>
      <c r="E640" s="29" t="s">
        <v>814</v>
      </c>
      <c r="F640" s="106">
        <f>36292.26+554.74</f>
        <v>36847</v>
      </c>
      <c r="G640" s="31">
        <f t="shared" si="9"/>
        <v>0</v>
      </c>
      <c r="H640" s="39" t="s">
        <v>19</v>
      </c>
      <c r="J640" s="42"/>
    </row>
    <row r="641" spans="1:10" s="3" customFormat="1" x14ac:dyDescent="0.25">
      <c r="A641" s="20">
        <v>42070</v>
      </c>
      <c r="B641" s="21">
        <v>14151</v>
      </c>
      <c r="C641" s="14" t="s">
        <v>112</v>
      </c>
      <c r="D641" s="105">
        <v>15741</v>
      </c>
      <c r="E641" s="29" t="s">
        <v>815</v>
      </c>
      <c r="F641" s="106">
        <f>11000+4741</f>
        <v>15741</v>
      </c>
      <c r="G641" s="31">
        <f t="shared" si="9"/>
        <v>0</v>
      </c>
      <c r="H641" s="39" t="s">
        <v>9</v>
      </c>
      <c r="J641" s="42"/>
    </row>
    <row r="642" spans="1:10" s="3" customFormat="1" x14ac:dyDescent="0.25">
      <c r="A642" s="20">
        <v>42070</v>
      </c>
      <c r="B642" s="21">
        <v>14152</v>
      </c>
      <c r="C642" s="14" t="s">
        <v>102</v>
      </c>
      <c r="D642" s="105">
        <v>80</v>
      </c>
      <c r="E642" s="23">
        <v>42070</v>
      </c>
      <c r="F642" s="106">
        <v>80</v>
      </c>
      <c r="G642" s="31">
        <f t="shared" si="9"/>
        <v>0</v>
      </c>
      <c r="H642" s="39" t="s">
        <v>9</v>
      </c>
      <c r="J642" s="42"/>
    </row>
    <row r="643" spans="1:10" s="3" customFormat="1" x14ac:dyDescent="0.25">
      <c r="A643" s="20">
        <v>42070</v>
      </c>
      <c r="B643" s="21">
        <v>14153</v>
      </c>
      <c r="C643" s="14" t="s">
        <v>60</v>
      </c>
      <c r="D643" s="105">
        <v>5808.8</v>
      </c>
      <c r="E643" s="23">
        <v>42070</v>
      </c>
      <c r="F643" s="106">
        <v>5808.8</v>
      </c>
      <c r="G643" s="31">
        <f t="shared" ref="G643:G706" si="10">D643-F643</f>
        <v>0</v>
      </c>
      <c r="H643" s="39" t="s">
        <v>9</v>
      </c>
      <c r="I643" s="4"/>
      <c r="J643" s="43"/>
    </row>
    <row r="644" spans="1:10" s="3" customFormat="1" x14ac:dyDescent="0.25">
      <c r="A644" s="20">
        <v>42070</v>
      </c>
      <c r="B644" s="21">
        <v>14154</v>
      </c>
      <c r="C644" s="14" t="s">
        <v>256</v>
      </c>
      <c r="D644" s="105">
        <v>5957.2</v>
      </c>
      <c r="E644" s="23">
        <v>42070</v>
      </c>
      <c r="F644" s="106">
        <v>5957.2</v>
      </c>
      <c r="G644" s="31">
        <f t="shared" si="10"/>
        <v>0</v>
      </c>
      <c r="H644" s="39" t="s">
        <v>773</v>
      </c>
      <c r="I644" s="4"/>
      <c r="J644" s="43"/>
    </row>
    <row r="645" spans="1:10" s="3" customFormat="1" x14ac:dyDescent="0.25">
      <c r="A645" s="20">
        <v>42070</v>
      </c>
      <c r="B645" s="21">
        <v>14155</v>
      </c>
      <c r="C645" s="14" t="s">
        <v>60</v>
      </c>
      <c r="D645" s="105">
        <v>639.6</v>
      </c>
      <c r="E645" s="23">
        <v>42070</v>
      </c>
      <c r="F645" s="106">
        <v>639.6</v>
      </c>
      <c r="G645" s="31">
        <f t="shared" si="10"/>
        <v>0</v>
      </c>
      <c r="H645" s="39" t="s">
        <v>9</v>
      </c>
      <c r="I645" s="4"/>
      <c r="J645" s="43"/>
    </row>
    <row r="646" spans="1:10" s="3" customFormat="1" x14ac:dyDescent="0.25">
      <c r="A646" s="20">
        <v>42070</v>
      </c>
      <c r="B646" s="21">
        <v>14156</v>
      </c>
      <c r="C646" s="14" t="s">
        <v>89</v>
      </c>
      <c r="D646" s="105">
        <v>4824.2</v>
      </c>
      <c r="E646" s="23">
        <v>42070</v>
      </c>
      <c r="F646" s="106">
        <v>4824.2</v>
      </c>
      <c r="G646" s="31">
        <f t="shared" si="10"/>
        <v>0</v>
      </c>
      <c r="H646" s="39" t="s">
        <v>9</v>
      </c>
      <c r="I646" s="4"/>
      <c r="J646" s="43"/>
    </row>
    <row r="647" spans="1:10" s="3" customFormat="1" x14ac:dyDescent="0.25">
      <c r="A647" s="20">
        <v>42070</v>
      </c>
      <c r="B647" s="21">
        <v>14157</v>
      </c>
      <c r="C647" s="14" t="s">
        <v>55</v>
      </c>
      <c r="D647" s="105">
        <v>2664</v>
      </c>
      <c r="E647" s="23">
        <v>42070</v>
      </c>
      <c r="F647" s="106">
        <v>2664</v>
      </c>
      <c r="G647" s="31">
        <f t="shared" si="10"/>
        <v>0</v>
      </c>
      <c r="H647" s="39" t="s">
        <v>773</v>
      </c>
      <c r="I647" s="4"/>
      <c r="J647" s="43"/>
    </row>
    <row r="648" spans="1:10" s="3" customFormat="1" x14ac:dyDescent="0.25">
      <c r="A648" s="20">
        <v>42070</v>
      </c>
      <c r="B648" s="21">
        <v>14158</v>
      </c>
      <c r="C648" s="14" t="s">
        <v>47</v>
      </c>
      <c r="D648" s="105">
        <v>17541.599999999999</v>
      </c>
      <c r="E648" s="23">
        <v>42070</v>
      </c>
      <c r="F648" s="106">
        <v>17541.599999999999</v>
      </c>
      <c r="G648" s="31">
        <f t="shared" si="10"/>
        <v>0</v>
      </c>
      <c r="H648" s="39" t="s">
        <v>773</v>
      </c>
      <c r="I648" s="4"/>
      <c r="J648" s="43"/>
    </row>
    <row r="649" spans="1:10" s="3" customFormat="1" x14ac:dyDescent="0.25">
      <c r="A649" s="20">
        <v>42070</v>
      </c>
      <c r="B649" s="21">
        <v>14159</v>
      </c>
      <c r="C649" s="14" t="s">
        <v>35</v>
      </c>
      <c r="D649" s="105">
        <v>23279.71</v>
      </c>
      <c r="E649" s="23">
        <v>42070</v>
      </c>
      <c r="F649" s="106">
        <v>23279.71</v>
      </c>
      <c r="G649" s="31">
        <f t="shared" si="10"/>
        <v>0</v>
      </c>
      <c r="H649" s="39" t="s">
        <v>773</v>
      </c>
      <c r="I649" s="4"/>
      <c r="J649" s="107"/>
    </row>
    <row r="650" spans="1:10" s="3" customFormat="1" x14ac:dyDescent="0.25">
      <c r="A650" s="20">
        <v>42070</v>
      </c>
      <c r="B650" s="21">
        <v>14160</v>
      </c>
      <c r="C650" s="14" t="s">
        <v>435</v>
      </c>
      <c r="D650" s="105">
        <v>1846.4</v>
      </c>
      <c r="E650" s="23">
        <v>42070</v>
      </c>
      <c r="F650" s="106">
        <v>1846.4</v>
      </c>
      <c r="G650" s="31">
        <f t="shared" si="10"/>
        <v>0</v>
      </c>
      <c r="H650" s="39" t="s">
        <v>9</v>
      </c>
      <c r="I650" s="4"/>
      <c r="J650" s="43"/>
    </row>
    <row r="651" spans="1:10" s="3" customFormat="1" x14ac:dyDescent="0.25">
      <c r="A651" s="20">
        <v>42070</v>
      </c>
      <c r="B651" s="21">
        <v>14161</v>
      </c>
      <c r="C651" s="14" t="s">
        <v>136</v>
      </c>
      <c r="D651" s="105">
        <v>4260.2</v>
      </c>
      <c r="E651" s="23">
        <v>42070</v>
      </c>
      <c r="F651" s="106">
        <v>4260.2</v>
      </c>
      <c r="G651" s="31">
        <f t="shared" si="10"/>
        <v>0</v>
      </c>
      <c r="H651" s="39" t="s">
        <v>9</v>
      </c>
      <c r="I651" s="4"/>
      <c r="J651" s="43"/>
    </row>
    <row r="652" spans="1:10" s="3" customFormat="1" x14ac:dyDescent="0.25">
      <c r="A652" s="20">
        <v>42070</v>
      </c>
      <c r="B652" s="21">
        <v>14162</v>
      </c>
      <c r="C652" s="14" t="s">
        <v>37</v>
      </c>
      <c r="D652" s="105">
        <v>7513.2</v>
      </c>
      <c r="E652" s="23">
        <v>42070</v>
      </c>
      <c r="F652" s="106">
        <v>7513.2</v>
      </c>
      <c r="G652" s="31">
        <f t="shared" si="10"/>
        <v>0</v>
      </c>
      <c r="H652" s="39" t="s">
        <v>9</v>
      </c>
      <c r="I652" s="4"/>
      <c r="J652" s="43"/>
    </row>
    <row r="653" spans="1:10" s="3" customFormat="1" x14ac:dyDescent="0.25">
      <c r="A653" s="20">
        <v>42070</v>
      </c>
      <c r="B653" s="21">
        <v>14163</v>
      </c>
      <c r="C653" s="14" t="s">
        <v>375</v>
      </c>
      <c r="D653" s="105">
        <v>78</v>
      </c>
      <c r="E653" s="23">
        <v>42070</v>
      </c>
      <c r="F653" s="106">
        <v>78</v>
      </c>
      <c r="G653" s="31">
        <f t="shared" si="10"/>
        <v>0</v>
      </c>
      <c r="H653" s="39" t="s">
        <v>9</v>
      </c>
      <c r="I653" s="4"/>
      <c r="J653" s="43"/>
    </row>
    <row r="654" spans="1:10" s="3" customFormat="1" x14ac:dyDescent="0.25">
      <c r="A654" s="20">
        <v>42070</v>
      </c>
      <c r="B654" s="21">
        <v>14164</v>
      </c>
      <c r="C654" s="14" t="s">
        <v>136</v>
      </c>
      <c r="D654" s="105">
        <v>35684.400000000001</v>
      </c>
      <c r="E654" s="23">
        <v>42074</v>
      </c>
      <c r="F654" s="106">
        <v>35684.400000000001</v>
      </c>
      <c r="G654" s="31">
        <f t="shared" si="10"/>
        <v>0</v>
      </c>
      <c r="H654" s="39" t="s">
        <v>9</v>
      </c>
      <c r="I654" s="4"/>
      <c r="J654" s="43"/>
    </row>
    <row r="655" spans="1:10" s="3" customFormat="1" x14ac:dyDescent="0.25">
      <c r="A655" s="20">
        <v>42070</v>
      </c>
      <c r="B655" s="21">
        <v>14165</v>
      </c>
      <c r="C655" s="14" t="s">
        <v>191</v>
      </c>
      <c r="D655" s="105">
        <v>15004</v>
      </c>
      <c r="E655" s="23">
        <v>42070</v>
      </c>
      <c r="F655" s="106">
        <v>15004</v>
      </c>
      <c r="G655" s="31">
        <f t="shared" si="10"/>
        <v>0</v>
      </c>
      <c r="H655" s="39" t="s">
        <v>9</v>
      </c>
      <c r="I655" s="4"/>
      <c r="J655" s="43"/>
    </row>
    <row r="656" spans="1:10" s="3" customFormat="1" x14ac:dyDescent="0.25">
      <c r="A656" s="20">
        <v>42070</v>
      </c>
      <c r="B656" s="21">
        <v>14166</v>
      </c>
      <c r="C656" s="14" t="s">
        <v>110</v>
      </c>
      <c r="D656" s="105">
        <v>83166</v>
      </c>
      <c r="E656" s="23">
        <v>42077</v>
      </c>
      <c r="F656" s="106">
        <v>83166</v>
      </c>
      <c r="G656" s="31">
        <f t="shared" si="10"/>
        <v>0</v>
      </c>
      <c r="H656" s="39" t="s">
        <v>149</v>
      </c>
      <c r="I656" s="4"/>
      <c r="J656" s="43"/>
    </row>
    <row r="657" spans="1:10" s="3" customFormat="1" x14ac:dyDescent="0.25">
      <c r="A657" s="20">
        <v>42070</v>
      </c>
      <c r="B657" s="21">
        <v>14167</v>
      </c>
      <c r="C657" s="14" t="s">
        <v>128</v>
      </c>
      <c r="D657" s="105">
        <v>5720</v>
      </c>
      <c r="E657" s="23">
        <v>42073</v>
      </c>
      <c r="F657" s="106">
        <v>5720</v>
      </c>
      <c r="G657" s="31">
        <f t="shared" si="10"/>
        <v>0</v>
      </c>
      <c r="H657" s="39" t="s">
        <v>9</v>
      </c>
      <c r="I657" s="4"/>
      <c r="J657" s="43"/>
    </row>
    <row r="658" spans="1:10" s="3" customFormat="1" x14ac:dyDescent="0.25">
      <c r="A658" s="20">
        <v>42070</v>
      </c>
      <c r="B658" s="21">
        <v>14168</v>
      </c>
      <c r="C658" s="14" t="s">
        <v>438</v>
      </c>
      <c r="D658" s="105">
        <v>12100</v>
      </c>
      <c r="E658" s="23">
        <v>42077</v>
      </c>
      <c r="F658" s="106">
        <v>12100</v>
      </c>
      <c r="G658" s="31">
        <f t="shared" si="10"/>
        <v>0</v>
      </c>
      <c r="H658" s="39" t="s">
        <v>9</v>
      </c>
      <c r="I658" s="4"/>
      <c r="J658" s="43"/>
    </row>
    <row r="659" spans="1:10" s="3" customFormat="1" x14ac:dyDescent="0.25">
      <c r="A659" s="20">
        <v>42070</v>
      </c>
      <c r="B659" s="21">
        <v>14169</v>
      </c>
      <c r="C659" s="26" t="s">
        <v>218</v>
      </c>
      <c r="D659" s="108">
        <v>0</v>
      </c>
      <c r="E659" s="23"/>
      <c r="F659" s="106"/>
      <c r="G659" s="31">
        <f t="shared" si="10"/>
        <v>0</v>
      </c>
      <c r="H659" s="39" t="s">
        <v>13</v>
      </c>
      <c r="I659" s="4"/>
      <c r="J659" s="43"/>
    </row>
    <row r="660" spans="1:10" s="3" customFormat="1" x14ac:dyDescent="0.25">
      <c r="A660" s="20">
        <v>42070</v>
      </c>
      <c r="B660" s="21">
        <v>14170</v>
      </c>
      <c r="C660" s="14" t="s">
        <v>24</v>
      </c>
      <c r="D660" s="105">
        <v>237947.53</v>
      </c>
      <c r="E660" s="23">
        <v>42087</v>
      </c>
      <c r="F660" s="106">
        <v>237947.53</v>
      </c>
      <c r="G660" s="31">
        <f t="shared" si="10"/>
        <v>0</v>
      </c>
      <c r="H660" s="39" t="s">
        <v>46</v>
      </c>
      <c r="I660" s="4"/>
      <c r="J660" s="107"/>
    </row>
    <row r="661" spans="1:10" s="3" customFormat="1" x14ac:dyDescent="0.25">
      <c r="A661" s="20">
        <v>42070</v>
      </c>
      <c r="B661" s="21">
        <v>14171</v>
      </c>
      <c r="C661" s="14" t="s">
        <v>91</v>
      </c>
      <c r="D661" s="105">
        <v>38331.85</v>
      </c>
      <c r="E661" s="23">
        <v>42070</v>
      </c>
      <c r="F661" s="106">
        <v>38331.85</v>
      </c>
      <c r="G661" s="31">
        <f t="shared" si="10"/>
        <v>0</v>
      </c>
      <c r="H661" s="39" t="s">
        <v>41</v>
      </c>
      <c r="I661" s="4"/>
      <c r="J661" s="43"/>
    </row>
    <row r="662" spans="1:10" s="3" customFormat="1" x14ac:dyDescent="0.25">
      <c r="A662" s="20">
        <v>42070</v>
      </c>
      <c r="B662" s="21">
        <v>14172</v>
      </c>
      <c r="C662" s="14" t="s">
        <v>229</v>
      </c>
      <c r="D662" s="105">
        <v>5462.24</v>
      </c>
      <c r="E662" s="23">
        <v>42071</v>
      </c>
      <c r="F662" s="106">
        <v>5462.24</v>
      </c>
      <c r="G662" s="31">
        <f t="shared" si="10"/>
        <v>0</v>
      </c>
      <c r="H662" s="39" t="s">
        <v>94</v>
      </c>
      <c r="I662" s="4"/>
      <c r="J662" s="43"/>
    </row>
    <row r="663" spans="1:10" s="3" customFormat="1" x14ac:dyDescent="0.25">
      <c r="A663" s="20">
        <v>42070</v>
      </c>
      <c r="B663" s="21">
        <v>14173</v>
      </c>
      <c r="C663" s="14" t="s">
        <v>101</v>
      </c>
      <c r="D663" s="105">
        <v>907</v>
      </c>
      <c r="E663" s="23">
        <v>42071</v>
      </c>
      <c r="F663" s="106">
        <v>907</v>
      </c>
      <c r="G663" s="31">
        <f t="shared" si="10"/>
        <v>0</v>
      </c>
      <c r="H663" s="39" t="s">
        <v>94</v>
      </c>
      <c r="I663" s="4"/>
      <c r="J663" s="43"/>
    </row>
    <row r="664" spans="1:10" s="3" customFormat="1" x14ac:dyDescent="0.25">
      <c r="A664" s="20">
        <v>42070</v>
      </c>
      <c r="B664" s="21">
        <v>14174</v>
      </c>
      <c r="C664" s="14" t="s">
        <v>250</v>
      </c>
      <c r="D664" s="105">
        <v>1137.5999999999999</v>
      </c>
      <c r="E664" s="23">
        <v>42071</v>
      </c>
      <c r="F664" s="106">
        <v>1137.5999999999999</v>
      </c>
      <c r="G664" s="31">
        <f t="shared" si="10"/>
        <v>0</v>
      </c>
      <c r="H664" s="39" t="s">
        <v>94</v>
      </c>
      <c r="I664" s="4"/>
      <c r="J664" s="43"/>
    </row>
    <row r="665" spans="1:10" s="3" customFormat="1" x14ac:dyDescent="0.25">
      <c r="A665" s="20">
        <v>42070</v>
      </c>
      <c r="B665" s="21">
        <v>14175</v>
      </c>
      <c r="C665" s="14" t="s">
        <v>98</v>
      </c>
      <c r="D665" s="105">
        <v>1492.55</v>
      </c>
      <c r="E665" s="23">
        <v>42071</v>
      </c>
      <c r="F665" s="106">
        <v>1492.55</v>
      </c>
      <c r="G665" s="31">
        <f t="shared" si="10"/>
        <v>0</v>
      </c>
      <c r="H665" s="39" t="s">
        <v>94</v>
      </c>
      <c r="I665" s="4"/>
      <c r="J665" s="43"/>
    </row>
    <row r="666" spans="1:10" s="3" customFormat="1" x14ac:dyDescent="0.25">
      <c r="A666" s="20">
        <v>42070</v>
      </c>
      <c r="B666" s="21">
        <v>14176</v>
      </c>
      <c r="C666" s="14" t="s">
        <v>95</v>
      </c>
      <c r="D666" s="105">
        <v>1727.2</v>
      </c>
      <c r="E666" s="23">
        <v>42071</v>
      </c>
      <c r="F666" s="106">
        <v>1727.2</v>
      </c>
      <c r="G666" s="31">
        <f t="shared" si="10"/>
        <v>0</v>
      </c>
      <c r="H666" s="19" t="s">
        <v>94</v>
      </c>
      <c r="I666" s="4"/>
      <c r="J666" s="43"/>
    </row>
    <row r="667" spans="1:10" s="3" customFormat="1" x14ac:dyDescent="0.25">
      <c r="A667" s="20">
        <v>42070</v>
      </c>
      <c r="B667" s="21">
        <v>14177</v>
      </c>
      <c r="C667" s="14" t="s">
        <v>93</v>
      </c>
      <c r="D667" s="105">
        <v>1693.2</v>
      </c>
      <c r="E667" s="23">
        <v>42071</v>
      </c>
      <c r="F667" s="106">
        <v>1693.2</v>
      </c>
      <c r="G667" s="31">
        <f t="shared" si="10"/>
        <v>0</v>
      </c>
      <c r="H667" s="19" t="s">
        <v>94</v>
      </c>
      <c r="I667" s="4"/>
      <c r="J667" s="43"/>
    </row>
    <row r="668" spans="1:10" s="3" customFormat="1" x14ac:dyDescent="0.25">
      <c r="A668" s="20">
        <v>42070</v>
      </c>
      <c r="B668" s="21">
        <v>14178</v>
      </c>
      <c r="C668" s="14" t="s">
        <v>96</v>
      </c>
      <c r="D668" s="105">
        <v>2553</v>
      </c>
      <c r="E668" s="23">
        <v>42071</v>
      </c>
      <c r="F668" s="106">
        <v>2553</v>
      </c>
      <c r="G668" s="31">
        <f t="shared" si="10"/>
        <v>0</v>
      </c>
      <c r="H668" s="19" t="s">
        <v>94</v>
      </c>
      <c r="I668" s="4"/>
      <c r="J668" s="43"/>
    </row>
    <row r="669" spans="1:10" s="3" customFormat="1" x14ac:dyDescent="0.25">
      <c r="A669" s="20">
        <v>42070</v>
      </c>
      <c r="B669" s="21">
        <v>14179</v>
      </c>
      <c r="C669" s="14" t="s">
        <v>108</v>
      </c>
      <c r="D669" s="105">
        <v>13465.2</v>
      </c>
      <c r="E669" s="23">
        <v>42070</v>
      </c>
      <c r="F669" s="106">
        <v>13465.2</v>
      </c>
      <c r="G669" s="31">
        <f t="shared" si="10"/>
        <v>0</v>
      </c>
      <c r="H669" s="19" t="s">
        <v>19</v>
      </c>
      <c r="I669" s="4"/>
      <c r="J669" s="43"/>
    </row>
    <row r="670" spans="1:10" s="3" customFormat="1" x14ac:dyDescent="0.25">
      <c r="A670" s="20">
        <v>42070</v>
      </c>
      <c r="B670" s="21">
        <v>14180</v>
      </c>
      <c r="C670" s="14" t="s">
        <v>14</v>
      </c>
      <c r="D670" s="105">
        <v>25597.34</v>
      </c>
      <c r="E670" s="23">
        <v>42075</v>
      </c>
      <c r="F670" s="106">
        <v>25597.34</v>
      </c>
      <c r="G670" s="31">
        <f t="shared" si="10"/>
        <v>0</v>
      </c>
      <c r="H670" s="19" t="s">
        <v>15</v>
      </c>
      <c r="I670" s="4"/>
      <c r="J670" s="43"/>
    </row>
    <row r="671" spans="1:10" s="3" customFormat="1" x14ac:dyDescent="0.25">
      <c r="A671" s="20">
        <v>42070</v>
      </c>
      <c r="B671" s="21">
        <v>14181</v>
      </c>
      <c r="C671" s="14" t="s">
        <v>102</v>
      </c>
      <c r="D671" s="105">
        <v>3603.6</v>
      </c>
      <c r="E671" s="23">
        <v>42070</v>
      </c>
      <c r="F671" s="106">
        <v>3603.6</v>
      </c>
      <c r="G671" s="31">
        <f t="shared" si="10"/>
        <v>0</v>
      </c>
      <c r="H671" s="19" t="s">
        <v>9</v>
      </c>
      <c r="I671" s="4"/>
      <c r="J671" s="43"/>
    </row>
    <row r="672" spans="1:10" s="3" customFormat="1" x14ac:dyDescent="0.25">
      <c r="A672" s="20">
        <v>42070</v>
      </c>
      <c r="B672" s="21">
        <v>14182</v>
      </c>
      <c r="C672" s="14" t="s">
        <v>136</v>
      </c>
      <c r="D672" s="105">
        <v>648</v>
      </c>
      <c r="E672" s="23">
        <v>42070</v>
      </c>
      <c r="F672" s="106">
        <v>648</v>
      </c>
      <c r="G672" s="31">
        <f t="shared" si="10"/>
        <v>0</v>
      </c>
      <c r="H672" s="19" t="s">
        <v>9</v>
      </c>
      <c r="I672" s="4"/>
      <c r="J672" s="43"/>
    </row>
    <row r="673" spans="1:10" s="3" customFormat="1" x14ac:dyDescent="0.25">
      <c r="A673" s="20">
        <v>42070</v>
      </c>
      <c r="B673" s="21">
        <v>14183</v>
      </c>
      <c r="C673" s="14" t="s">
        <v>234</v>
      </c>
      <c r="D673" s="105">
        <v>302.8</v>
      </c>
      <c r="E673" s="23">
        <v>42070</v>
      </c>
      <c r="F673" s="106">
        <v>302.8</v>
      </c>
      <c r="G673" s="31">
        <f t="shared" si="10"/>
        <v>0</v>
      </c>
      <c r="H673" s="19" t="s">
        <v>9</v>
      </c>
      <c r="I673" s="4"/>
      <c r="J673" s="43"/>
    </row>
    <row r="674" spans="1:10" s="3" customFormat="1" x14ac:dyDescent="0.25">
      <c r="A674" s="20">
        <v>42070</v>
      </c>
      <c r="B674" s="21">
        <v>14184</v>
      </c>
      <c r="C674" s="14" t="s">
        <v>235</v>
      </c>
      <c r="D674" s="105">
        <v>1998.8</v>
      </c>
      <c r="E674" s="23">
        <v>42073</v>
      </c>
      <c r="F674" s="106">
        <v>1998.8</v>
      </c>
      <c r="G674" s="31">
        <f t="shared" si="10"/>
        <v>0</v>
      </c>
      <c r="H674" s="19" t="s">
        <v>17</v>
      </c>
      <c r="I674" s="4"/>
      <c r="J674" s="43"/>
    </row>
    <row r="675" spans="1:10" s="3" customFormat="1" x14ac:dyDescent="0.25">
      <c r="A675" s="20">
        <v>42070</v>
      </c>
      <c r="B675" s="21">
        <v>14185</v>
      </c>
      <c r="C675" s="14" t="s">
        <v>111</v>
      </c>
      <c r="D675" s="105">
        <v>334120</v>
      </c>
      <c r="E675" s="23">
        <v>42075</v>
      </c>
      <c r="F675" s="106">
        <v>334120</v>
      </c>
      <c r="G675" s="31">
        <f t="shared" si="10"/>
        <v>0</v>
      </c>
      <c r="H675" s="19" t="s">
        <v>17</v>
      </c>
      <c r="J675" s="42"/>
    </row>
    <row r="676" spans="1:10" s="3" customFormat="1" x14ac:dyDescent="0.25">
      <c r="A676" s="20">
        <v>42070</v>
      </c>
      <c r="B676" s="21">
        <v>14186</v>
      </c>
      <c r="C676" s="14" t="s">
        <v>267</v>
      </c>
      <c r="D676" s="105">
        <v>4214.96</v>
      </c>
      <c r="E676" s="23">
        <v>42070</v>
      </c>
      <c r="F676" s="106">
        <v>4214.96</v>
      </c>
      <c r="G676" s="31">
        <f t="shared" si="10"/>
        <v>0</v>
      </c>
      <c r="H676" s="19" t="s">
        <v>59</v>
      </c>
      <c r="J676" s="42"/>
    </row>
    <row r="677" spans="1:10" s="3" customFormat="1" x14ac:dyDescent="0.25">
      <c r="A677" s="20">
        <v>42070</v>
      </c>
      <c r="B677" s="21">
        <v>14187</v>
      </c>
      <c r="C677" s="14" t="s">
        <v>42</v>
      </c>
      <c r="D677" s="105">
        <v>480.7</v>
      </c>
      <c r="E677" s="23">
        <v>42070</v>
      </c>
      <c r="F677" s="106">
        <v>480.7</v>
      </c>
      <c r="G677" s="31">
        <f t="shared" si="10"/>
        <v>0</v>
      </c>
      <c r="H677" s="19" t="s">
        <v>9</v>
      </c>
      <c r="J677" s="42"/>
    </row>
    <row r="678" spans="1:10" s="3" customFormat="1" x14ac:dyDescent="0.25">
      <c r="A678" s="20">
        <v>42070</v>
      </c>
      <c r="B678" s="21">
        <v>14188</v>
      </c>
      <c r="C678" s="14" t="s">
        <v>145</v>
      </c>
      <c r="D678" s="105">
        <v>2865.6</v>
      </c>
      <c r="E678" s="23">
        <v>42070</v>
      </c>
      <c r="F678" s="106">
        <v>2865.6</v>
      </c>
      <c r="G678" s="31">
        <f t="shared" si="10"/>
        <v>0</v>
      </c>
      <c r="H678" s="19" t="s">
        <v>9</v>
      </c>
      <c r="J678" s="42"/>
    </row>
    <row r="679" spans="1:10" s="3" customFormat="1" x14ac:dyDescent="0.25">
      <c r="A679" s="20">
        <v>42071</v>
      </c>
      <c r="B679" s="21">
        <v>14189</v>
      </c>
      <c r="C679" s="14" t="s">
        <v>21</v>
      </c>
      <c r="D679" s="105">
        <v>7382.2</v>
      </c>
      <c r="E679" s="23">
        <v>42071</v>
      </c>
      <c r="F679" s="106">
        <v>7382.2</v>
      </c>
      <c r="G679" s="31">
        <f t="shared" si="10"/>
        <v>0</v>
      </c>
      <c r="H679" s="19" t="s">
        <v>9</v>
      </c>
      <c r="J679" s="42"/>
    </row>
    <row r="680" spans="1:10" s="3" customFormat="1" x14ac:dyDescent="0.25">
      <c r="A680" s="20">
        <v>42071</v>
      </c>
      <c r="B680" s="21">
        <v>14190</v>
      </c>
      <c r="C680" s="14" t="s">
        <v>720</v>
      </c>
      <c r="D680" s="105">
        <v>13134.2</v>
      </c>
      <c r="E680" s="23">
        <v>42071</v>
      </c>
      <c r="F680" s="106">
        <v>13134.2</v>
      </c>
      <c r="G680" s="31">
        <f t="shared" si="10"/>
        <v>0</v>
      </c>
      <c r="H680" s="19" t="s">
        <v>9</v>
      </c>
      <c r="J680" s="42"/>
    </row>
    <row r="681" spans="1:10" s="3" customFormat="1" x14ac:dyDescent="0.25">
      <c r="A681" s="20">
        <v>42071</v>
      </c>
      <c r="B681" s="21">
        <v>14191</v>
      </c>
      <c r="C681" s="14" t="s">
        <v>121</v>
      </c>
      <c r="D681" s="105">
        <v>2163.8000000000002</v>
      </c>
      <c r="E681" s="23">
        <v>42071</v>
      </c>
      <c r="F681" s="106">
        <v>2163.8000000000002</v>
      </c>
      <c r="G681" s="31">
        <f t="shared" si="10"/>
        <v>0</v>
      </c>
      <c r="H681" s="19" t="s">
        <v>9</v>
      </c>
      <c r="J681" s="42"/>
    </row>
    <row r="682" spans="1:10" s="3" customFormat="1" x14ac:dyDescent="0.25">
      <c r="A682" s="20">
        <v>42071</v>
      </c>
      <c r="B682" s="21">
        <v>14192</v>
      </c>
      <c r="C682" s="14" t="s">
        <v>16</v>
      </c>
      <c r="D682" s="105">
        <v>7040</v>
      </c>
      <c r="E682" s="23">
        <v>42071</v>
      </c>
      <c r="F682" s="106">
        <v>7040</v>
      </c>
      <c r="G682" s="31">
        <f t="shared" si="10"/>
        <v>0</v>
      </c>
      <c r="H682" s="19" t="s">
        <v>17</v>
      </c>
      <c r="J682" s="42"/>
    </row>
    <row r="683" spans="1:10" s="3" customFormat="1" x14ac:dyDescent="0.25">
      <c r="A683" s="20">
        <v>42071</v>
      </c>
      <c r="B683" s="21">
        <v>14193</v>
      </c>
      <c r="C683" s="14" t="s">
        <v>148</v>
      </c>
      <c r="D683" s="105">
        <v>3814.2</v>
      </c>
      <c r="E683" s="23">
        <v>42071</v>
      </c>
      <c r="F683" s="106">
        <v>3814.2</v>
      </c>
      <c r="G683" s="31">
        <f t="shared" si="10"/>
        <v>0</v>
      </c>
      <c r="H683" s="19" t="s">
        <v>59</v>
      </c>
      <c r="J683" s="42"/>
    </row>
    <row r="684" spans="1:10" s="3" customFormat="1" x14ac:dyDescent="0.25">
      <c r="A684" s="20">
        <v>42071</v>
      </c>
      <c r="B684" s="21">
        <v>14194</v>
      </c>
      <c r="C684" s="14" t="s">
        <v>148</v>
      </c>
      <c r="D684" s="105">
        <v>339.3</v>
      </c>
      <c r="E684" s="23">
        <v>42071</v>
      </c>
      <c r="F684" s="106">
        <v>339.3</v>
      </c>
      <c r="G684" s="31">
        <f t="shared" si="10"/>
        <v>0</v>
      </c>
      <c r="H684" s="19" t="s">
        <v>9</v>
      </c>
      <c r="J684" s="42"/>
    </row>
    <row r="685" spans="1:10" s="3" customFormat="1" x14ac:dyDescent="0.25">
      <c r="A685" s="20">
        <v>42071</v>
      </c>
      <c r="B685" s="21">
        <v>14195</v>
      </c>
      <c r="C685" s="14" t="s">
        <v>18</v>
      </c>
      <c r="D685" s="105">
        <v>2860.4</v>
      </c>
      <c r="E685" s="23">
        <v>42071</v>
      </c>
      <c r="F685" s="106">
        <v>2860.4</v>
      </c>
      <c r="G685" s="31">
        <f t="shared" si="10"/>
        <v>0</v>
      </c>
      <c r="H685" s="19" t="s">
        <v>9</v>
      </c>
      <c r="J685" s="42"/>
    </row>
    <row r="686" spans="1:10" s="3" customFormat="1" x14ac:dyDescent="0.25">
      <c r="A686" s="20">
        <v>42071</v>
      </c>
      <c r="B686" s="21">
        <v>14196</v>
      </c>
      <c r="C686" s="14" t="s">
        <v>20</v>
      </c>
      <c r="D686" s="105">
        <v>9280</v>
      </c>
      <c r="E686" s="23">
        <v>42071</v>
      </c>
      <c r="F686" s="106">
        <v>9280</v>
      </c>
      <c r="G686" s="31">
        <f t="shared" si="10"/>
        <v>0</v>
      </c>
      <c r="H686" s="19" t="s">
        <v>94</v>
      </c>
      <c r="J686" s="42"/>
    </row>
    <row r="687" spans="1:10" s="3" customFormat="1" x14ac:dyDescent="0.25">
      <c r="A687" s="20">
        <v>42071</v>
      </c>
      <c r="B687" s="21">
        <v>14197</v>
      </c>
      <c r="C687" s="14" t="s">
        <v>685</v>
      </c>
      <c r="D687" s="105">
        <v>690.3</v>
      </c>
      <c r="E687" s="23">
        <v>42071</v>
      </c>
      <c r="F687" s="106">
        <v>690.3</v>
      </c>
      <c r="G687" s="31">
        <f t="shared" si="10"/>
        <v>0</v>
      </c>
      <c r="H687" s="19" t="s">
        <v>59</v>
      </c>
      <c r="J687" s="42"/>
    </row>
    <row r="688" spans="1:10" s="3" customFormat="1" x14ac:dyDescent="0.25">
      <c r="A688" s="20">
        <v>42071</v>
      </c>
      <c r="B688" s="21">
        <v>14198</v>
      </c>
      <c r="C688" s="14" t="s">
        <v>114</v>
      </c>
      <c r="D688" s="105">
        <v>1440</v>
      </c>
      <c r="E688" s="23">
        <v>42071</v>
      </c>
      <c r="F688" s="106">
        <v>1440</v>
      </c>
      <c r="G688" s="31">
        <f t="shared" si="10"/>
        <v>0</v>
      </c>
      <c r="H688" s="19" t="s">
        <v>9</v>
      </c>
      <c r="J688" s="42"/>
    </row>
    <row r="689" spans="1:10" s="3" customFormat="1" x14ac:dyDescent="0.25">
      <c r="A689" s="20">
        <v>42071</v>
      </c>
      <c r="B689" s="21">
        <v>14199</v>
      </c>
      <c r="C689" s="14" t="s">
        <v>35</v>
      </c>
      <c r="D689" s="105">
        <v>22427.25</v>
      </c>
      <c r="E689" s="23">
        <v>42071</v>
      </c>
      <c r="F689" s="106">
        <v>22427.25</v>
      </c>
      <c r="G689" s="31">
        <f t="shared" si="10"/>
        <v>0</v>
      </c>
      <c r="H689" s="19" t="s">
        <v>773</v>
      </c>
      <c r="J689" s="42"/>
    </row>
    <row r="690" spans="1:10" s="3" customFormat="1" x14ac:dyDescent="0.25">
      <c r="A690" s="20">
        <v>42071</v>
      </c>
      <c r="B690" s="21">
        <v>14200</v>
      </c>
      <c r="C690" s="14" t="s">
        <v>120</v>
      </c>
      <c r="D690" s="105">
        <v>1677</v>
      </c>
      <c r="E690" s="23">
        <v>42071</v>
      </c>
      <c r="F690" s="106">
        <v>1677</v>
      </c>
      <c r="G690" s="31">
        <f t="shared" si="10"/>
        <v>0</v>
      </c>
      <c r="H690" s="19" t="s">
        <v>59</v>
      </c>
      <c r="J690" s="42"/>
    </row>
    <row r="691" spans="1:10" s="3" customFormat="1" x14ac:dyDescent="0.25">
      <c r="A691" s="20">
        <v>42071</v>
      </c>
      <c r="B691" s="21">
        <v>14201</v>
      </c>
      <c r="C691" s="14" t="s">
        <v>82</v>
      </c>
      <c r="D691" s="105">
        <v>4043.2</v>
      </c>
      <c r="E691" s="23">
        <v>42071</v>
      </c>
      <c r="F691" s="106">
        <v>4043.2</v>
      </c>
      <c r="G691" s="31">
        <f t="shared" si="10"/>
        <v>0</v>
      </c>
      <c r="H691" s="19" t="s">
        <v>59</v>
      </c>
      <c r="J691" s="42"/>
    </row>
    <row r="692" spans="1:10" s="3" customFormat="1" x14ac:dyDescent="0.25">
      <c r="A692" s="20">
        <v>42071</v>
      </c>
      <c r="B692" s="21">
        <v>14202</v>
      </c>
      <c r="C692" s="14" t="s">
        <v>256</v>
      </c>
      <c r="D692" s="105">
        <v>7738</v>
      </c>
      <c r="E692" s="23">
        <v>42071</v>
      </c>
      <c r="F692" s="106">
        <v>7738</v>
      </c>
      <c r="G692" s="31">
        <f t="shared" si="10"/>
        <v>0</v>
      </c>
      <c r="H692" s="19" t="s">
        <v>9</v>
      </c>
      <c r="J692" s="42"/>
    </row>
    <row r="693" spans="1:10" s="3" customFormat="1" x14ac:dyDescent="0.25">
      <c r="A693" s="20">
        <v>42071</v>
      </c>
      <c r="B693" s="21">
        <v>14203</v>
      </c>
      <c r="C693" s="14" t="s">
        <v>375</v>
      </c>
      <c r="D693" s="105">
        <v>2559</v>
      </c>
      <c r="E693" s="23">
        <v>42071</v>
      </c>
      <c r="F693" s="106">
        <v>2559</v>
      </c>
      <c r="G693" s="31">
        <f t="shared" si="10"/>
        <v>0</v>
      </c>
      <c r="H693" s="19" t="s">
        <v>9</v>
      </c>
      <c r="J693" s="42"/>
    </row>
    <row r="694" spans="1:10" s="3" customFormat="1" x14ac:dyDescent="0.25">
      <c r="A694" s="20">
        <v>42071</v>
      </c>
      <c r="B694" s="21">
        <v>14204</v>
      </c>
      <c r="C694" s="14" t="s">
        <v>55</v>
      </c>
      <c r="D694" s="105">
        <v>23329.95</v>
      </c>
      <c r="E694" s="23">
        <v>42071</v>
      </c>
      <c r="F694" s="106">
        <v>23329.95</v>
      </c>
      <c r="G694" s="31">
        <f t="shared" si="10"/>
        <v>0</v>
      </c>
      <c r="H694" s="19" t="s">
        <v>9</v>
      </c>
      <c r="J694" s="42"/>
    </row>
    <row r="695" spans="1:10" s="3" customFormat="1" x14ac:dyDescent="0.25">
      <c r="A695" s="20">
        <v>42071</v>
      </c>
      <c r="B695" s="21">
        <v>14205</v>
      </c>
      <c r="C695" s="14" t="s">
        <v>791</v>
      </c>
      <c r="D695" s="105">
        <v>4644.2</v>
      </c>
      <c r="E695" s="23">
        <v>42071</v>
      </c>
      <c r="F695" s="106">
        <v>4644.2</v>
      </c>
      <c r="G695" s="31">
        <f t="shared" si="10"/>
        <v>0</v>
      </c>
      <c r="H695" s="19" t="s">
        <v>9</v>
      </c>
      <c r="J695" s="42"/>
    </row>
    <row r="696" spans="1:10" s="3" customFormat="1" x14ac:dyDescent="0.25">
      <c r="A696" s="20">
        <v>42071</v>
      </c>
      <c r="B696" s="21">
        <v>14206</v>
      </c>
      <c r="C696" s="14" t="s">
        <v>134</v>
      </c>
      <c r="D696" s="105">
        <v>6611.5</v>
      </c>
      <c r="E696" s="23">
        <v>42071</v>
      </c>
      <c r="F696" s="106">
        <v>6611.5</v>
      </c>
      <c r="G696" s="31">
        <f t="shared" si="10"/>
        <v>0</v>
      </c>
      <c r="H696" s="19" t="s">
        <v>773</v>
      </c>
      <c r="J696" s="42"/>
    </row>
    <row r="697" spans="1:10" s="3" customFormat="1" x14ac:dyDescent="0.25">
      <c r="A697" s="20">
        <v>42071</v>
      </c>
      <c r="B697" s="21">
        <v>14207</v>
      </c>
      <c r="C697" s="14" t="s">
        <v>56</v>
      </c>
      <c r="D697" s="105">
        <v>11101.3</v>
      </c>
      <c r="E697" s="23">
        <v>42071</v>
      </c>
      <c r="F697" s="106">
        <v>11101.3</v>
      </c>
      <c r="G697" s="31">
        <f t="shared" si="10"/>
        <v>0</v>
      </c>
      <c r="H697" s="19" t="s">
        <v>773</v>
      </c>
      <c r="J697" s="42"/>
    </row>
    <row r="698" spans="1:10" s="3" customFormat="1" x14ac:dyDescent="0.25">
      <c r="A698" s="20">
        <v>42071</v>
      </c>
      <c r="B698" s="21">
        <v>14208</v>
      </c>
      <c r="C698" s="14" t="s">
        <v>158</v>
      </c>
      <c r="D698" s="105">
        <v>9754.4</v>
      </c>
      <c r="E698" s="23">
        <v>42071</v>
      </c>
      <c r="F698" s="106">
        <v>9754.4</v>
      </c>
      <c r="G698" s="31">
        <f t="shared" si="10"/>
        <v>0</v>
      </c>
      <c r="H698" s="19" t="s">
        <v>9</v>
      </c>
      <c r="J698" s="42"/>
    </row>
    <row r="699" spans="1:10" s="3" customFormat="1" x14ac:dyDescent="0.25">
      <c r="A699" s="20">
        <v>42071</v>
      </c>
      <c r="B699" s="21">
        <v>14209</v>
      </c>
      <c r="C699" s="14" t="s">
        <v>152</v>
      </c>
      <c r="D699" s="105">
        <v>9878</v>
      </c>
      <c r="E699" s="23">
        <v>42071</v>
      </c>
      <c r="F699" s="106">
        <v>9878</v>
      </c>
      <c r="G699" s="31">
        <f t="shared" si="10"/>
        <v>0</v>
      </c>
      <c r="H699" s="19" t="s">
        <v>59</v>
      </c>
      <c r="J699" s="42"/>
    </row>
    <row r="700" spans="1:10" s="3" customFormat="1" x14ac:dyDescent="0.25">
      <c r="A700" s="20">
        <v>42071</v>
      </c>
      <c r="B700" s="21">
        <v>14210</v>
      </c>
      <c r="C700" s="14" t="s">
        <v>53</v>
      </c>
      <c r="D700" s="105">
        <v>1312.4</v>
      </c>
      <c r="E700" s="23">
        <v>42071</v>
      </c>
      <c r="F700" s="106">
        <v>1312.4</v>
      </c>
      <c r="G700" s="31">
        <f t="shared" si="10"/>
        <v>0</v>
      </c>
      <c r="H700" s="19" t="s">
        <v>59</v>
      </c>
      <c r="J700" s="42"/>
    </row>
    <row r="701" spans="1:10" s="3" customFormat="1" x14ac:dyDescent="0.25">
      <c r="A701" s="20">
        <v>42071</v>
      </c>
      <c r="B701" s="21">
        <v>14211</v>
      </c>
      <c r="C701" s="14" t="s">
        <v>215</v>
      </c>
      <c r="D701" s="105">
        <v>367.5</v>
      </c>
      <c r="E701" s="23">
        <v>42071</v>
      </c>
      <c r="F701" s="106">
        <v>367.5</v>
      </c>
      <c r="G701" s="31">
        <f t="shared" si="10"/>
        <v>0</v>
      </c>
      <c r="H701" s="19" t="s">
        <v>9</v>
      </c>
      <c r="J701" s="42"/>
    </row>
    <row r="702" spans="1:10" s="3" customFormat="1" x14ac:dyDescent="0.25">
      <c r="A702" s="20">
        <v>42071</v>
      </c>
      <c r="B702" s="21">
        <v>14212</v>
      </c>
      <c r="C702" s="14" t="s">
        <v>675</v>
      </c>
      <c r="D702" s="105">
        <v>555</v>
      </c>
      <c r="E702" s="23">
        <v>42071</v>
      </c>
      <c r="F702" s="106">
        <v>555</v>
      </c>
      <c r="G702" s="31">
        <f t="shared" si="10"/>
        <v>0</v>
      </c>
      <c r="H702" s="19" t="s">
        <v>9</v>
      </c>
      <c r="J702" s="42"/>
    </row>
    <row r="703" spans="1:10" s="3" customFormat="1" x14ac:dyDescent="0.25">
      <c r="A703" s="20">
        <v>42071</v>
      </c>
      <c r="B703" s="21">
        <v>14213</v>
      </c>
      <c r="C703" s="14" t="s">
        <v>292</v>
      </c>
      <c r="D703" s="105">
        <v>1809.6</v>
      </c>
      <c r="E703" s="23">
        <v>42071</v>
      </c>
      <c r="F703" s="106">
        <v>1809.6</v>
      </c>
      <c r="G703" s="31">
        <f t="shared" si="10"/>
        <v>0</v>
      </c>
      <c r="H703" s="19" t="s">
        <v>59</v>
      </c>
      <c r="J703" s="42"/>
    </row>
    <row r="704" spans="1:10" s="3" customFormat="1" x14ac:dyDescent="0.25">
      <c r="A704" s="20">
        <v>42071</v>
      </c>
      <c r="B704" s="21">
        <v>14214</v>
      </c>
      <c r="C704" s="110">
        <v>105</v>
      </c>
      <c r="D704" s="105">
        <v>1688</v>
      </c>
      <c r="E704" s="23">
        <v>42071</v>
      </c>
      <c r="F704" s="106">
        <v>1688</v>
      </c>
      <c r="G704" s="31">
        <f t="shared" si="10"/>
        <v>0</v>
      </c>
      <c r="H704" s="19" t="s">
        <v>27</v>
      </c>
      <c r="J704" s="42"/>
    </row>
    <row r="705" spans="1:10" s="3" customFormat="1" x14ac:dyDescent="0.25">
      <c r="A705" s="20">
        <v>42071</v>
      </c>
      <c r="B705" s="21">
        <v>14215</v>
      </c>
      <c r="C705" s="14" t="s">
        <v>214</v>
      </c>
      <c r="D705" s="105">
        <v>2160</v>
      </c>
      <c r="E705" s="23">
        <v>42071</v>
      </c>
      <c r="F705" s="106">
        <v>2160</v>
      </c>
      <c r="G705" s="31">
        <f t="shared" si="10"/>
        <v>0</v>
      </c>
      <c r="H705" s="19" t="s">
        <v>59</v>
      </c>
      <c r="J705" s="42"/>
    </row>
    <row r="706" spans="1:10" s="3" customFormat="1" x14ac:dyDescent="0.25">
      <c r="A706" s="20">
        <v>42071</v>
      </c>
      <c r="B706" s="21">
        <v>14216</v>
      </c>
      <c r="C706" s="14" t="s">
        <v>45</v>
      </c>
      <c r="D706" s="105">
        <v>10093.799999999999</v>
      </c>
      <c r="E706" s="23">
        <v>42074</v>
      </c>
      <c r="F706" s="106">
        <v>10093.799999999999</v>
      </c>
      <c r="G706" s="31">
        <f t="shared" si="10"/>
        <v>0</v>
      </c>
      <c r="H706" s="19" t="s">
        <v>59</v>
      </c>
      <c r="J706" s="42"/>
    </row>
    <row r="707" spans="1:10" s="3" customFormat="1" x14ac:dyDescent="0.25">
      <c r="A707" s="20">
        <v>42071</v>
      </c>
      <c r="B707" s="21">
        <v>14217</v>
      </c>
      <c r="C707" s="14" t="s">
        <v>375</v>
      </c>
      <c r="D707" s="105">
        <v>2307</v>
      </c>
      <c r="E707" s="23">
        <v>42071</v>
      </c>
      <c r="F707" s="106">
        <v>2307</v>
      </c>
      <c r="G707" s="31">
        <f t="shared" ref="G707:G770" si="11">D707-F707</f>
        <v>0</v>
      </c>
      <c r="H707" s="19" t="s">
        <v>9</v>
      </c>
      <c r="J707" s="42"/>
    </row>
    <row r="708" spans="1:10" s="3" customFormat="1" x14ac:dyDescent="0.25">
      <c r="A708" s="20">
        <v>42071</v>
      </c>
      <c r="B708" s="21">
        <v>14218</v>
      </c>
      <c r="C708" s="14" t="s">
        <v>151</v>
      </c>
      <c r="D708" s="105">
        <v>3856.8</v>
      </c>
      <c r="E708" s="23">
        <v>42071</v>
      </c>
      <c r="F708" s="106">
        <v>3856.8</v>
      </c>
      <c r="G708" s="31">
        <f t="shared" si="11"/>
        <v>0</v>
      </c>
      <c r="H708" s="19" t="s">
        <v>9</v>
      </c>
      <c r="J708" s="42"/>
    </row>
    <row r="709" spans="1:10" s="3" customFormat="1" x14ac:dyDescent="0.25">
      <c r="A709" s="20">
        <v>42071</v>
      </c>
      <c r="B709" s="21">
        <v>14219</v>
      </c>
      <c r="C709" s="14" t="s">
        <v>435</v>
      </c>
      <c r="D709" s="105">
        <v>2313.4</v>
      </c>
      <c r="E709" s="23">
        <v>42071</v>
      </c>
      <c r="F709" s="106">
        <v>2313.4</v>
      </c>
      <c r="G709" s="31">
        <f t="shared" si="11"/>
        <v>0</v>
      </c>
      <c r="H709" s="19" t="s">
        <v>62</v>
      </c>
      <c r="J709" s="42"/>
    </row>
    <row r="710" spans="1:10" s="3" customFormat="1" x14ac:dyDescent="0.25">
      <c r="A710" s="20">
        <v>42071</v>
      </c>
      <c r="B710" s="21">
        <v>14220</v>
      </c>
      <c r="C710" s="14" t="s">
        <v>165</v>
      </c>
      <c r="D710" s="105">
        <v>2194.8000000000002</v>
      </c>
      <c r="E710" s="23">
        <v>42073</v>
      </c>
      <c r="F710" s="106">
        <v>2194.8000000000002</v>
      </c>
      <c r="G710" s="31">
        <f t="shared" si="11"/>
        <v>0</v>
      </c>
      <c r="H710" s="19" t="s">
        <v>9</v>
      </c>
      <c r="J710" s="42"/>
    </row>
    <row r="711" spans="1:10" s="3" customFormat="1" x14ac:dyDescent="0.25">
      <c r="A711" s="20">
        <v>42071</v>
      </c>
      <c r="B711" s="21">
        <v>14221</v>
      </c>
      <c r="C711" s="14" t="s">
        <v>125</v>
      </c>
      <c r="D711" s="105">
        <v>35257.800000000003</v>
      </c>
      <c r="E711" s="23">
        <v>42071</v>
      </c>
      <c r="F711" s="106">
        <v>35257.800000000003</v>
      </c>
      <c r="G711" s="31">
        <f t="shared" si="11"/>
        <v>0</v>
      </c>
      <c r="H711" s="19" t="s">
        <v>9</v>
      </c>
      <c r="J711" s="42"/>
    </row>
    <row r="712" spans="1:10" s="3" customFormat="1" x14ac:dyDescent="0.25">
      <c r="A712" s="20">
        <v>42071</v>
      </c>
      <c r="B712" s="21">
        <v>14222</v>
      </c>
      <c r="C712" s="14" t="s">
        <v>30</v>
      </c>
      <c r="D712" s="105">
        <v>683.7</v>
      </c>
      <c r="E712" s="23">
        <v>42071</v>
      </c>
      <c r="F712" s="106">
        <v>683.7</v>
      </c>
      <c r="G712" s="31">
        <f t="shared" si="11"/>
        <v>0</v>
      </c>
      <c r="H712" s="19" t="s">
        <v>9</v>
      </c>
      <c r="J712" s="42"/>
    </row>
    <row r="713" spans="1:10" s="3" customFormat="1" x14ac:dyDescent="0.25">
      <c r="A713" s="20">
        <v>42071</v>
      </c>
      <c r="B713" s="21">
        <v>14223</v>
      </c>
      <c r="C713" s="14" t="s">
        <v>34</v>
      </c>
      <c r="D713" s="105">
        <v>1800</v>
      </c>
      <c r="E713" s="23">
        <v>42071</v>
      </c>
      <c r="F713" s="106">
        <v>1800</v>
      </c>
      <c r="G713" s="31">
        <f t="shared" si="11"/>
        <v>0</v>
      </c>
      <c r="H713" s="19" t="s">
        <v>312</v>
      </c>
      <c r="J713" s="42"/>
    </row>
    <row r="714" spans="1:10" s="3" customFormat="1" x14ac:dyDescent="0.25">
      <c r="A714" s="20">
        <v>42071</v>
      </c>
      <c r="B714" s="21">
        <v>14224</v>
      </c>
      <c r="C714" s="14" t="s">
        <v>215</v>
      </c>
      <c r="D714" s="105">
        <v>14921.4</v>
      </c>
      <c r="E714" s="23">
        <v>42073</v>
      </c>
      <c r="F714" s="106">
        <v>14921.4</v>
      </c>
      <c r="G714" s="31">
        <f t="shared" si="11"/>
        <v>0</v>
      </c>
      <c r="H714" s="19" t="s">
        <v>17</v>
      </c>
      <c r="J714" s="42"/>
    </row>
    <row r="715" spans="1:10" s="3" customFormat="1" x14ac:dyDescent="0.25">
      <c r="A715" s="20">
        <v>42071</v>
      </c>
      <c r="B715" s="21">
        <v>14225</v>
      </c>
      <c r="C715" s="14" t="s">
        <v>130</v>
      </c>
      <c r="D715" s="105">
        <v>7211.4</v>
      </c>
      <c r="E715" s="23">
        <v>42073</v>
      </c>
      <c r="F715" s="106">
        <v>7211.4</v>
      </c>
      <c r="G715" s="31">
        <f t="shared" si="11"/>
        <v>0</v>
      </c>
      <c r="H715" s="19" t="s">
        <v>17</v>
      </c>
      <c r="J715" s="42"/>
    </row>
    <row r="716" spans="1:10" s="3" customFormat="1" x14ac:dyDescent="0.25">
      <c r="A716" s="20">
        <v>42071</v>
      </c>
      <c r="B716" s="21">
        <v>14226</v>
      </c>
      <c r="C716" s="14" t="s">
        <v>131</v>
      </c>
      <c r="D716" s="105">
        <v>11592.55</v>
      </c>
      <c r="E716" s="23">
        <v>42074</v>
      </c>
      <c r="F716" s="106">
        <v>11592.55</v>
      </c>
      <c r="G716" s="31">
        <f t="shared" si="11"/>
        <v>0</v>
      </c>
      <c r="H716" s="19" t="s">
        <v>17</v>
      </c>
      <c r="J716" s="42"/>
    </row>
    <row r="717" spans="1:10" s="3" customFormat="1" x14ac:dyDescent="0.25">
      <c r="A717" s="20">
        <v>42071</v>
      </c>
      <c r="B717" s="21">
        <v>14227</v>
      </c>
      <c r="C717" s="14" t="s">
        <v>102</v>
      </c>
      <c r="D717" s="105">
        <v>910</v>
      </c>
      <c r="E717" s="23">
        <v>42071</v>
      </c>
      <c r="F717" s="106">
        <v>910</v>
      </c>
      <c r="G717" s="31">
        <f t="shared" si="11"/>
        <v>0</v>
      </c>
      <c r="H717" s="19" t="s">
        <v>9</v>
      </c>
      <c r="J717" s="42"/>
    </row>
    <row r="718" spans="1:10" s="3" customFormat="1" x14ac:dyDescent="0.25">
      <c r="A718" s="20">
        <v>42071</v>
      </c>
      <c r="B718" s="21">
        <v>14228</v>
      </c>
      <c r="C718" s="14" t="s">
        <v>137</v>
      </c>
      <c r="D718" s="105">
        <v>370.3</v>
      </c>
      <c r="E718" s="23">
        <v>42071</v>
      </c>
      <c r="F718" s="106">
        <v>370.3</v>
      </c>
      <c r="G718" s="31">
        <f t="shared" si="11"/>
        <v>0</v>
      </c>
      <c r="H718" s="19" t="s">
        <v>9</v>
      </c>
      <c r="J718" s="42"/>
    </row>
    <row r="719" spans="1:10" s="3" customFormat="1" x14ac:dyDescent="0.25">
      <c r="A719" s="20">
        <v>42071</v>
      </c>
      <c r="B719" s="21">
        <v>14229</v>
      </c>
      <c r="C719" s="14" t="s">
        <v>285</v>
      </c>
      <c r="D719" s="105">
        <v>976.25</v>
      </c>
      <c r="E719" s="23">
        <v>42075</v>
      </c>
      <c r="F719" s="106">
        <v>976.25</v>
      </c>
      <c r="G719" s="31">
        <f t="shared" si="11"/>
        <v>0</v>
      </c>
      <c r="H719" s="19" t="s">
        <v>312</v>
      </c>
      <c r="J719" s="42"/>
    </row>
    <row r="720" spans="1:10" s="3" customFormat="1" x14ac:dyDescent="0.25">
      <c r="A720" s="20">
        <v>42071</v>
      </c>
      <c r="B720" s="21">
        <v>14230</v>
      </c>
      <c r="C720" s="14" t="s">
        <v>100</v>
      </c>
      <c r="D720" s="105">
        <v>1938</v>
      </c>
      <c r="E720" s="23">
        <v>42071</v>
      </c>
      <c r="F720" s="106">
        <v>1938</v>
      </c>
      <c r="G720" s="31">
        <f t="shared" si="11"/>
        <v>0</v>
      </c>
      <c r="H720" s="19" t="s">
        <v>9</v>
      </c>
      <c r="J720" s="42"/>
    </row>
    <row r="721" spans="1:10" s="3" customFormat="1" x14ac:dyDescent="0.25">
      <c r="A721" s="20">
        <v>42071</v>
      </c>
      <c r="B721" s="21">
        <v>14231</v>
      </c>
      <c r="C721" s="14" t="s">
        <v>32</v>
      </c>
      <c r="D721" s="105">
        <v>868.2</v>
      </c>
      <c r="E721" s="23">
        <v>42089</v>
      </c>
      <c r="F721" s="106">
        <v>868.2</v>
      </c>
      <c r="G721" s="31">
        <f t="shared" si="11"/>
        <v>0</v>
      </c>
      <c r="H721" s="19" t="s">
        <v>9</v>
      </c>
      <c r="J721" s="42"/>
    </row>
    <row r="722" spans="1:10" s="3" customFormat="1" x14ac:dyDescent="0.25">
      <c r="A722" s="20">
        <v>42071</v>
      </c>
      <c r="B722" s="21">
        <v>14232</v>
      </c>
      <c r="C722" s="14" t="s">
        <v>375</v>
      </c>
      <c r="D722" s="105">
        <v>2124</v>
      </c>
      <c r="E722" s="23">
        <v>42071</v>
      </c>
      <c r="F722" s="106">
        <v>2124</v>
      </c>
      <c r="G722" s="31">
        <f t="shared" si="11"/>
        <v>0</v>
      </c>
      <c r="H722" s="19" t="s">
        <v>9</v>
      </c>
      <c r="J722" s="42"/>
    </row>
    <row r="723" spans="1:10" s="3" customFormat="1" x14ac:dyDescent="0.25">
      <c r="A723" s="20">
        <v>42071</v>
      </c>
      <c r="B723" s="21">
        <v>14233</v>
      </c>
      <c r="C723" s="14" t="s">
        <v>136</v>
      </c>
      <c r="D723" s="105">
        <v>432</v>
      </c>
      <c r="E723" s="23">
        <v>42071</v>
      </c>
      <c r="F723" s="106">
        <v>432</v>
      </c>
      <c r="G723" s="31">
        <f t="shared" si="11"/>
        <v>0</v>
      </c>
      <c r="H723" s="19" t="s">
        <v>9</v>
      </c>
      <c r="J723" s="42"/>
    </row>
    <row r="724" spans="1:10" s="3" customFormat="1" x14ac:dyDescent="0.25">
      <c r="A724" s="20">
        <v>42071</v>
      </c>
      <c r="B724" s="21">
        <v>14234</v>
      </c>
      <c r="C724" s="26" t="s">
        <v>218</v>
      </c>
      <c r="D724" s="108">
        <v>0</v>
      </c>
      <c r="E724" s="47"/>
      <c r="F724" s="106"/>
      <c r="G724" s="31">
        <f t="shared" si="11"/>
        <v>0</v>
      </c>
      <c r="H724" s="19" t="s">
        <v>94</v>
      </c>
      <c r="J724" s="42"/>
    </row>
    <row r="725" spans="1:10" s="3" customFormat="1" x14ac:dyDescent="0.25">
      <c r="A725" s="20">
        <v>42071</v>
      </c>
      <c r="B725" s="21">
        <v>14235</v>
      </c>
      <c r="C725" s="14" t="s">
        <v>24</v>
      </c>
      <c r="D725" s="105">
        <v>40504.1</v>
      </c>
      <c r="E725" s="23">
        <v>42081</v>
      </c>
      <c r="F725" s="106">
        <v>40504.1</v>
      </c>
      <c r="G725" s="31">
        <f t="shared" si="11"/>
        <v>0</v>
      </c>
      <c r="H725" s="19" t="s">
        <v>9</v>
      </c>
      <c r="J725" s="42"/>
    </row>
    <row r="726" spans="1:10" s="3" customFormat="1" x14ac:dyDescent="0.25">
      <c r="A726" s="20">
        <v>42071</v>
      </c>
      <c r="B726" s="21">
        <v>14236</v>
      </c>
      <c r="C726" s="14" t="s">
        <v>135</v>
      </c>
      <c r="D726" s="105">
        <v>2109.6</v>
      </c>
      <c r="E726" s="23">
        <v>42071</v>
      </c>
      <c r="F726" s="106">
        <v>2109.6</v>
      </c>
      <c r="G726" s="31">
        <f t="shared" si="11"/>
        <v>0</v>
      </c>
      <c r="H726" s="19" t="s">
        <v>9</v>
      </c>
      <c r="J726" s="42"/>
    </row>
    <row r="727" spans="1:10" s="3" customFormat="1" x14ac:dyDescent="0.25">
      <c r="A727" s="20">
        <v>42071</v>
      </c>
      <c r="B727" s="21">
        <v>14237</v>
      </c>
      <c r="C727" s="14" t="s">
        <v>720</v>
      </c>
      <c r="D727" s="105">
        <v>144</v>
      </c>
      <c r="E727" s="23">
        <v>42071</v>
      </c>
      <c r="F727" s="106">
        <v>144</v>
      </c>
      <c r="G727" s="31">
        <f t="shared" si="11"/>
        <v>0</v>
      </c>
      <c r="H727" s="19" t="s">
        <v>9</v>
      </c>
      <c r="J727" s="42"/>
    </row>
    <row r="728" spans="1:10" s="3" customFormat="1" x14ac:dyDescent="0.25">
      <c r="A728" s="20">
        <v>42071</v>
      </c>
      <c r="B728" s="21">
        <v>14238</v>
      </c>
      <c r="C728" s="14" t="s">
        <v>141</v>
      </c>
      <c r="D728" s="105">
        <v>825.7</v>
      </c>
      <c r="E728" s="23">
        <v>42071</v>
      </c>
      <c r="F728" s="106">
        <v>825.7</v>
      </c>
      <c r="G728" s="31">
        <f t="shared" si="11"/>
        <v>0</v>
      </c>
      <c r="H728" s="19" t="s">
        <v>9</v>
      </c>
      <c r="J728" s="42"/>
    </row>
    <row r="729" spans="1:10" s="3" customFormat="1" x14ac:dyDescent="0.25">
      <c r="A729" s="20">
        <v>42071</v>
      </c>
      <c r="B729" s="21">
        <v>14239</v>
      </c>
      <c r="C729" s="14" t="s">
        <v>305</v>
      </c>
      <c r="D729" s="105">
        <v>2000</v>
      </c>
      <c r="E729" s="23">
        <v>42071</v>
      </c>
      <c r="F729" s="106">
        <v>2000</v>
      </c>
      <c r="G729" s="31">
        <f t="shared" si="11"/>
        <v>0</v>
      </c>
      <c r="H729" s="19" t="s">
        <v>9</v>
      </c>
      <c r="J729" s="42"/>
    </row>
    <row r="730" spans="1:10" s="3" customFormat="1" x14ac:dyDescent="0.25">
      <c r="A730" s="20">
        <v>42071</v>
      </c>
      <c r="B730" s="21">
        <v>14240</v>
      </c>
      <c r="C730" s="14" t="s">
        <v>66</v>
      </c>
      <c r="D730" s="105">
        <v>1295</v>
      </c>
      <c r="E730" s="23">
        <v>42071</v>
      </c>
      <c r="F730" s="106">
        <v>1295</v>
      </c>
      <c r="G730" s="31">
        <f t="shared" si="11"/>
        <v>0</v>
      </c>
      <c r="H730" s="19" t="s">
        <v>62</v>
      </c>
      <c r="J730" s="42"/>
    </row>
    <row r="731" spans="1:10" s="3" customFormat="1" x14ac:dyDescent="0.25">
      <c r="A731" s="20">
        <v>42071</v>
      </c>
      <c r="B731" s="21">
        <v>14241</v>
      </c>
      <c r="C731" s="14" t="s">
        <v>138</v>
      </c>
      <c r="D731" s="105">
        <v>3504.8</v>
      </c>
      <c r="E731" s="23">
        <v>42073</v>
      </c>
      <c r="F731" s="106">
        <v>3504.8</v>
      </c>
      <c r="G731" s="31">
        <f t="shared" si="11"/>
        <v>0</v>
      </c>
      <c r="H731" s="19" t="s">
        <v>17</v>
      </c>
      <c r="J731" s="42"/>
    </row>
    <row r="732" spans="1:10" s="3" customFormat="1" x14ac:dyDescent="0.25">
      <c r="A732" s="20">
        <v>42071</v>
      </c>
      <c r="B732" s="21">
        <v>14242</v>
      </c>
      <c r="C732" s="14" t="s">
        <v>131</v>
      </c>
      <c r="D732" s="105">
        <v>2904</v>
      </c>
      <c r="E732" s="23">
        <v>42073</v>
      </c>
      <c r="F732" s="106">
        <v>2904</v>
      </c>
      <c r="G732" s="31">
        <f t="shared" si="11"/>
        <v>0</v>
      </c>
      <c r="H732" s="19" t="s">
        <v>17</v>
      </c>
      <c r="J732" s="42"/>
    </row>
    <row r="733" spans="1:10" s="3" customFormat="1" x14ac:dyDescent="0.25">
      <c r="A733" s="20">
        <v>42071</v>
      </c>
      <c r="B733" s="21">
        <v>14243</v>
      </c>
      <c r="C733" s="14" t="s">
        <v>26</v>
      </c>
      <c r="D733" s="105">
        <v>580</v>
      </c>
      <c r="E733" s="23">
        <v>42073</v>
      </c>
      <c r="F733" s="106">
        <v>580</v>
      </c>
      <c r="G733" s="31">
        <f t="shared" si="11"/>
        <v>0</v>
      </c>
      <c r="H733" s="39" t="s">
        <v>9</v>
      </c>
      <c r="J733" s="42"/>
    </row>
    <row r="734" spans="1:10" s="3" customFormat="1" x14ac:dyDescent="0.25">
      <c r="A734" s="20">
        <v>42071</v>
      </c>
      <c r="B734" s="21">
        <v>14244</v>
      </c>
      <c r="C734" s="14" t="s">
        <v>80</v>
      </c>
      <c r="D734" s="105">
        <v>7587</v>
      </c>
      <c r="E734" s="23">
        <v>42071</v>
      </c>
      <c r="F734" s="106">
        <v>7587</v>
      </c>
      <c r="G734" s="31">
        <f t="shared" si="11"/>
        <v>0</v>
      </c>
      <c r="H734" s="39" t="s">
        <v>9</v>
      </c>
      <c r="J734" s="42"/>
    </row>
    <row r="735" spans="1:10" s="3" customFormat="1" x14ac:dyDescent="0.25">
      <c r="A735" s="20">
        <v>42071</v>
      </c>
      <c r="B735" s="21">
        <v>14245</v>
      </c>
      <c r="C735" s="14" t="s">
        <v>122</v>
      </c>
      <c r="D735" s="105">
        <v>10160</v>
      </c>
      <c r="E735" s="23">
        <v>42071</v>
      </c>
      <c r="F735" s="106">
        <v>10160</v>
      </c>
      <c r="G735" s="31">
        <f t="shared" si="11"/>
        <v>0</v>
      </c>
      <c r="H735" s="39" t="s">
        <v>9</v>
      </c>
      <c r="J735" s="42"/>
    </row>
    <row r="736" spans="1:10" s="3" customFormat="1" x14ac:dyDescent="0.25">
      <c r="A736" s="20">
        <v>42071</v>
      </c>
      <c r="B736" s="21">
        <v>14246</v>
      </c>
      <c r="C736" s="14" t="s">
        <v>110</v>
      </c>
      <c r="D736" s="105">
        <v>40816.800000000003</v>
      </c>
      <c r="E736" s="29" t="s">
        <v>816</v>
      </c>
      <c r="F736" s="106">
        <f>25311.7+7850.01+7655.09</f>
        <v>40816.800000000003</v>
      </c>
      <c r="G736" s="31">
        <f t="shared" si="11"/>
        <v>0</v>
      </c>
      <c r="H736" s="39" t="s">
        <v>9</v>
      </c>
      <c r="J736" s="42"/>
    </row>
    <row r="737" spans="1:10" s="3" customFormat="1" x14ac:dyDescent="0.25">
      <c r="A737" s="20">
        <v>42071</v>
      </c>
      <c r="B737" s="21">
        <v>14247</v>
      </c>
      <c r="C737" s="14" t="s">
        <v>24</v>
      </c>
      <c r="D737" s="105">
        <v>53976.9</v>
      </c>
      <c r="E737" s="23">
        <v>42087</v>
      </c>
      <c r="F737" s="106">
        <v>53976.9</v>
      </c>
      <c r="G737" s="31">
        <f t="shared" si="11"/>
        <v>0</v>
      </c>
      <c r="H737" s="39" t="s">
        <v>62</v>
      </c>
      <c r="J737" s="42"/>
    </row>
    <row r="738" spans="1:10" s="3" customFormat="1" x14ac:dyDescent="0.25">
      <c r="A738" s="20">
        <v>42071</v>
      </c>
      <c r="B738" s="21">
        <v>14248</v>
      </c>
      <c r="C738" s="14" t="s">
        <v>24</v>
      </c>
      <c r="D738" s="105">
        <v>68230.350000000006</v>
      </c>
      <c r="E738" s="23">
        <v>42087</v>
      </c>
      <c r="F738" s="106">
        <v>68230.350000000006</v>
      </c>
      <c r="G738" s="31">
        <f t="shared" si="11"/>
        <v>0</v>
      </c>
      <c r="H738" s="39" t="s">
        <v>9</v>
      </c>
      <c r="J738" s="42"/>
    </row>
    <row r="739" spans="1:10" s="3" customFormat="1" x14ac:dyDescent="0.25">
      <c r="A739" s="20">
        <v>42071</v>
      </c>
      <c r="B739" s="21">
        <v>14249</v>
      </c>
      <c r="C739" s="14" t="s">
        <v>234</v>
      </c>
      <c r="D739" s="105">
        <v>230</v>
      </c>
      <c r="E739" s="23">
        <v>42071</v>
      </c>
      <c r="F739" s="106">
        <v>230</v>
      </c>
      <c r="G739" s="31">
        <f t="shared" si="11"/>
        <v>0</v>
      </c>
      <c r="H739" s="39" t="s">
        <v>9</v>
      </c>
      <c r="J739" s="42"/>
    </row>
    <row r="740" spans="1:10" s="3" customFormat="1" x14ac:dyDescent="0.25">
      <c r="A740" s="20">
        <v>42072</v>
      </c>
      <c r="B740" s="21">
        <v>14250</v>
      </c>
      <c r="C740" s="14" t="s">
        <v>158</v>
      </c>
      <c r="D740" s="105">
        <v>2072.8000000000002</v>
      </c>
      <c r="E740" s="23">
        <v>42072</v>
      </c>
      <c r="F740" s="106">
        <v>2072.8000000000002</v>
      </c>
      <c r="G740" s="31">
        <f t="shared" si="11"/>
        <v>0</v>
      </c>
      <c r="H740" s="39" t="s">
        <v>9</v>
      </c>
      <c r="J740" s="42"/>
    </row>
    <row r="741" spans="1:10" s="3" customFormat="1" x14ac:dyDescent="0.25">
      <c r="A741" s="20">
        <v>42072</v>
      </c>
      <c r="B741" s="21">
        <v>14251</v>
      </c>
      <c r="C741" s="14" t="s">
        <v>720</v>
      </c>
      <c r="D741" s="105">
        <v>13894</v>
      </c>
      <c r="E741" s="23">
        <v>42072</v>
      </c>
      <c r="F741" s="106">
        <v>13894</v>
      </c>
      <c r="G741" s="31">
        <f t="shared" si="11"/>
        <v>0</v>
      </c>
      <c r="H741" s="39" t="s">
        <v>9</v>
      </c>
      <c r="J741" s="42"/>
    </row>
    <row r="742" spans="1:10" s="3" customFormat="1" x14ac:dyDescent="0.25">
      <c r="A742" s="20">
        <v>42072</v>
      </c>
      <c r="B742" s="21">
        <v>14252</v>
      </c>
      <c r="C742" s="14" t="s">
        <v>16</v>
      </c>
      <c r="D742" s="105">
        <v>3699.2</v>
      </c>
      <c r="E742" s="23">
        <v>42072</v>
      </c>
      <c r="F742" s="106">
        <v>3699.2</v>
      </c>
      <c r="G742" s="31">
        <f t="shared" si="11"/>
        <v>0</v>
      </c>
      <c r="H742" s="39" t="s">
        <v>17</v>
      </c>
      <c r="J742" s="42"/>
    </row>
    <row r="743" spans="1:10" s="3" customFormat="1" x14ac:dyDescent="0.25">
      <c r="A743" s="20">
        <v>42072</v>
      </c>
      <c r="B743" s="21">
        <v>14253</v>
      </c>
      <c r="C743" s="14" t="s">
        <v>267</v>
      </c>
      <c r="D743" s="105">
        <v>1207.8</v>
      </c>
      <c r="E743" s="23">
        <v>42073</v>
      </c>
      <c r="F743" s="106">
        <v>1207.8</v>
      </c>
      <c r="G743" s="31">
        <f t="shared" si="11"/>
        <v>0</v>
      </c>
      <c r="H743" s="39" t="s">
        <v>17</v>
      </c>
      <c r="J743" s="42"/>
    </row>
    <row r="744" spans="1:10" s="3" customFormat="1" x14ac:dyDescent="0.25">
      <c r="A744" s="20">
        <v>42072</v>
      </c>
      <c r="B744" s="21">
        <v>14254</v>
      </c>
      <c r="C744" s="14" t="s">
        <v>14</v>
      </c>
      <c r="D744" s="105">
        <v>27239.200000000001</v>
      </c>
      <c r="E744" s="23">
        <v>42075</v>
      </c>
      <c r="F744" s="106">
        <v>27239.200000000001</v>
      </c>
      <c r="G744" s="31">
        <f t="shared" si="11"/>
        <v>0</v>
      </c>
      <c r="H744" s="39" t="s">
        <v>15</v>
      </c>
      <c r="J744" s="42"/>
    </row>
    <row r="745" spans="1:10" s="3" customFormat="1" x14ac:dyDescent="0.25">
      <c r="A745" s="20">
        <v>42072</v>
      </c>
      <c r="B745" s="21">
        <v>14255</v>
      </c>
      <c r="C745" s="14" t="s">
        <v>32</v>
      </c>
      <c r="D745" s="105">
        <v>98483.51</v>
      </c>
      <c r="E745" s="23">
        <v>42089</v>
      </c>
      <c r="F745" s="106">
        <v>98483.51</v>
      </c>
      <c r="G745" s="31">
        <f t="shared" si="11"/>
        <v>0</v>
      </c>
      <c r="H745" s="39" t="s">
        <v>9</v>
      </c>
      <c r="J745" s="42"/>
    </row>
    <row r="746" spans="1:10" s="3" customFormat="1" x14ac:dyDescent="0.25">
      <c r="A746" s="20">
        <v>42072</v>
      </c>
      <c r="B746" s="21">
        <v>14256</v>
      </c>
      <c r="C746" s="14" t="s">
        <v>21</v>
      </c>
      <c r="D746" s="105">
        <v>7216.8</v>
      </c>
      <c r="E746" s="23">
        <v>42072</v>
      </c>
      <c r="F746" s="106">
        <v>7216.8</v>
      </c>
      <c r="G746" s="31">
        <f t="shared" si="11"/>
        <v>0</v>
      </c>
      <c r="H746" s="39" t="s">
        <v>9</v>
      </c>
      <c r="J746" s="42"/>
    </row>
    <row r="747" spans="1:10" s="3" customFormat="1" x14ac:dyDescent="0.25">
      <c r="A747" s="20">
        <v>42072</v>
      </c>
      <c r="B747" s="21">
        <v>14257</v>
      </c>
      <c r="C747" s="14" t="s">
        <v>20</v>
      </c>
      <c r="D747" s="105">
        <v>14009.9</v>
      </c>
      <c r="E747" s="23">
        <v>42072</v>
      </c>
      <c r="F747" s="106">
        <v>14009.9</v>
      </c>
      <c r="G747" s="31">
        <f t="shared" si="11"/>
        <v>0</v>
      </c>
      <c r="H747" s="39" t="s">
        <v>94</v>
      </c>
      <c r="J747" s="42"/>
    </row>
    <row r="748" spans="1:10" s="3" customFormat="1" x14ac:dyDescent="0.25">
      <c r="A748" s="20">
        <v>42072</v>
      </c>
      <c r="B748" s="21">
        <v>14258</v>
      </c>
      <c r="C748" s="14" t="s">
        <v>31</v>
      </c>
      <c r="D748" s="105">
        <v>2393.6</v>
      </c>
      <c r="E748" s="23">
        <v>42073</v>
      </c>
      <c r="F748" s="106">
        <v>2393.6</v>
      </c>
      <c r="G748" s="31">
        <f t="shared" si="11"/>
        <v>0</v>
      </c>
      <c r="H748" s="39" t="s">
        <v>17</v>
      </c>
      <c r="J748" s="42"/>
    </row>
    <row r="749" spans="1:10" s="3" customFormat="1" x14ac:dyDescent="0.25">
      <c r="A749" s="20">
        <v>42072</v>
      </c>
      <c r="B749" s="21">
        <v>14259</v>
      </c>
      <c r="C749" s="14" t="s">
        <v>74</v>
      </c>
      <c r="D749" s="105">
        <v>1278.8</v>
      </c>
      <c r="E749" s="23">
        <v>42072</v>
      </c>
      <c r="F749" s="106">
        <v>1278.8</v>
      </c>
      <c r="G749" s="31">
        <f t="shared" si="11"/>
        <v>0</v>
      </c>
      <c r="H749" s="39" t="s">
        <v>9</v>
      </c>
      <c r="J749" s="42"/>
    </row>
    <row r="750" spans="1:10" s="3" customFormat="1" x14ac:dyDescent="0.25">
      <c r="A750" s="20">
        <v>42072</v>
      </c>
      <c r="B750" s="21">
        <v>14260</v>
      </c>
      <c r="C750" s="150" t="s">
        <v>114</v>
      </c>
      <c r="D750" s="105">
        <v>1912.8</v>
      </c>
      <c r="E750" s="23">
        <v>42072</v>
      </c>
      <c r="F750" s="106">
        <v>1912.8</v>
      </c>
      <c r="G750" s="31">
        <f t="shared" si="11"/>
        <v>0</v>
      </c>
      <c r="H750" s="39" t="s">
        <v>9</v>
      </c>
      <c r="J750" s="42"/>
    </row>
    <row r="751" spans="1:10" s="3" customFormat="1" x14ac:dyDescent="0.25">
      <c r="A751" s="20">
        <v>42072</v>
      </c>
      <c r="B751" s="21">
        <v>14261</v>
      </c>
      <c r="C751" s="14" t="s">
        <v>658</v>
      </c>
      <c r="D751" s="105">
        <v>3114.6</v>
      </c>
      <c r="E751" s="23">
        <v>42072</v>
      </c>
      <c r="F751" s="106">
        <v>3114.6</v>
      </c>
      <c r="G751" s="31">
        <f t="shared" si="11"/>
        <v>0</v>
      </c>
      <c r="H751" s="39" t="s">
        <v>9</v>
      </c>
      <c r="J751" s="42"/>
    </row>
    <row r="752" spans="1:10" s="3" customFormat="1" x14ac:dyDescent="0.25">
      <c r="A752" s="20">
        <v>42072</v>
      </c>
      <c r="B752" s="21">
        <v>14262</v>
      </c>
      <c r="C752" s="14" t="s">
        <v>135</v>
      </c>
      <c r="D752" s="105">
        <v>4437.8999999999996</v>
      </c>
      <c r="E752" s="23">
        <v>42072</v>
      </c>
      <c r="F752" s="106">
        <v>4437.8999999999996</v>
      </c>
      <c r="G752" s="31">
        <f t="shared" si="11"/>
        <v>0</v>
      </c>
      <c r="H752" s="39" t="s">
        <v>9</v>
      </c>
      <c r="J752" s="42"/>
    </row>
    <row r="753" spans="1:10" s="3" customFormat="1" x14ac:dyDescent="0.25">
      <c r="A753" s="20">
        <v>42072</v>
      </c>
      <c r="B753" s="21">
        <v>14263</v>
      </c>
      <c r="C753" s="14" t="s">
        <v>45</v>
      </c>
      <c r="D753" s="105">
        <v>24086.45</v>
      </c>
      <c r="E753" s="29" t="s">
        <v>817</v>
      </c>
      <c r="F753" s="106">
        <f>1448.64+22637.81</f>
        <v>24086.45</v>
      </c>
      <c r="G753" s="31">
        <f t="shared" si="11"/>
        <v>0</v>
      </c>
      <c r="H753" s="39" t="s">
        <v>149</v>
      </c>
      <c r="J753" s="42"/>
    </row>
    <row r="754" spans="1:10" s="3" customFormat="1" x14ac:dyDescent="0.25">
      <c r="A754" s="20">
        <v>42072</v>
      </c>
      <c r="B754" s="21">
        <v>14264</v>
      </c>
      <c r="C754" s="14" t="s">
        <v>375</v>
      </c>
      <c r="D754" s="105">
        <v>1671.9</v>
      </c>
      <c r="E754" s="23">
        <v>42072</v>
      </c>
      <c r="F754" s="106">
        <v>1671.9</v>
      </c>
      <c r="G754" s="31">
        <f t="shared" si="11"/>
        <v>0</v>
      </c>
      <c r="H754" s="39" t="s">
        <v>9</v>
      </c>
      <c r="J754" s="42"/>
    </row>
    <row r="755" spans="1:10" s="3" customFormat="1" x14ac:dyDescent="0.25">
      <c r="A755" s="20">
        <v>42072</v>
      </c>
      <c r="B755" s="21">
        <v>14265</v>
      </c>
      <c r="C755" s="14" t="s">
        <v>135</v>
      </c>
      <c r="D755" s="105">
        <v>8790.4</v>
      </c>
      <c r="E755" s="23">
        <v>42072</v>
      </c>
      <c r="F755" s="106">
        <v>8790.4</v>
      </c>
      <c r="G755" s="31">
        <f t="shared" si="11"/>
        <v>0</v>
      </c>
      <c r="H755" s="39" t="s">
        <v>9</v>
      </c>
      <c r="J755" s="42"/>
    </row>
    <row r="756" spans="1:10" s="3" customFormat="1" x14ac:dyDescent="0.25">
      <c r="A756" s="20">
        <v>42072</v>
      </c>
      <c r="B756" s="21">
        <v>14266</v>
      </c>
      <c r="C756" s="14" t="s">
        <v>125</v>
      </c>
      <c r="D756" s="105">
        <v>8102.6</v>
      </c>
      <c r="E756" s="23">
        <v>42072</v>
      </c>
      <c r="F756" s="106">
        <v>8102.6</v>
      </c>
      <c r="G756" s="31">
        <f t="shared" si="11"/>
        <v>0</v>
      </c>
      <c r="H756" s="39" t="s">
        <v>9</v>
      </c>
      <c r="J756" s="42"/>
    </row>
    <row r="757" spans="1:10" s="3" customFormat="1" x14ac:dyDescent="0.25">
      <c r="A757" s="20">
        <v>42072</v>
      </c>
      <c r="B757" s="21">
        <v>14267</v>
      </c>
      <c r="C757" s="14" t="s">
        <v>102</v>
      </c>
      <c r="D757" s="105">
        <v>1195.2</v>
      </c>
      <c r="E757" s="23">
        <v>42072</v>
      </c>
      <c r="F757" s="106">
        <v>1195.2</v>
      </c>
      <c r="G757" s="31">
        <f t="shared" si="11"/>
        <v>0</v>
      </c>
      <c r="H757" s="39" t="s">
        <v>9</v>
      </c>
      <c r="J757" s="42"/>
    </row>
    <row r="758" spans="1:10" s="3" customFormat="1" x14ac:dyDescent="0.25">
      <c r="A758" s="20">
        <v>42072</v>
      </c>
      <c r="B758" s="21">
        <v>14268</v>
      </c>
      <c r="C758" s="14" t="s">
        <v>78</v>
      </c>
      <c r="D758" s="105">
        <v>7938</v>
      </c>
      <c r="E758" s="23">
        <v>42073</v>
      </c>
      <c r="F758" s="106">
        <v>7938</v>
      </c>
      <c r="G758" s="31">
        <f t="shared" si="11"/>
        <v>0</v>
      </c>
      <c r="H758" s="39" t="s">
        <v>62</v>
      </c>
      <c r="J758" s="42"/>
    </row>
    <row r="759" spans="1:10" s="3" customFormat="1" x14ac:dyDescent="0.25">
      <c r="A759" s="20">
        <v>42072</v>
      </c>
      <c r="B759" s="21">
        <v>14269</v>
      </c>
      <c r="C759" s="14" t="s">
        <v>67</v>
      </c>
      <c r="D759" s="105">
        <v>3171.6</v>
      </c>
      <c r="E759" s="23">
        <v>42073</v>
      </c>
      <c r="F759" s="106">
        <v>3171.6</v>
      </c>
      <c r="G759" s="31">
        <f t="shared" si="11"/>
        <v>0</v>
      </c>
      <c r="H759" s="39" t="s">
        <v>62</v>
      </c>
      <c r="J759" s="42"/>
    </row>
    <row r="760" spans="1:10" s="3" customFormat="1" x14ac:dyDescent="0.25">
      <c r="A760" s="20">
        <v>42072</v>
      </c>
      <c r="B760" s="21">
        <v>14270</v>
      </c>
      <c r="C760" s="14" t="s">
        <v>170</v>
      </c>
      <c r="D760" s="105">
        <v>6244.2</v>
      </c>
      <c r="E760" s="23">
        <v>42073</v>
      </c>
      <c r="F760" s="106">
        <v>6244.2</v>
      </c>
      <c r="G760" s="31">
        <f t="shared" si="11"/>
        <v>0</v>
      </c>
      <c r="H760" s="39" t="s">
        <v>62</v>
      </c>
      <c r="J760" s="42"/>
    </row>
    <row r="761" spans="1:10" s="3" customFormat="1" x14ac:dyDescent="0.25">
      <c r="A761" s="20">
        <v>42072</v>
      </c>
      <c r="B761" s="21">
        <v>14271</v>
      </c>
      <c r="C761" s="14" t="s">
        <v>83</v>
      </c>
      <c r="D761" s="105">
        <v>3685.6</v>
      </c>
      <c r="E761" s="23">
        <v>42072</v>
      </c>
      <c r="F761" s="106">
        <v>3685.6</v>
      </c>
      <c r="G761" s="31">
        <f t="shared" si="11"/>
        <v>0</v>
      </c>
      <c r="H761" s="19" t="s">
        <v>59</v>
      </c>
      <c r="J761" s="42"/>
    </row>
    <row r="762" spans="1:10" s="3" customFormat="1" x14ac:dyDescent="0.25">
      <c r="A762" s="20">
        <v>42072</v>
      </c>
      <c r="B762" s="21">
        <v>14272</v>
      </c>
      <c r="C762" s="14" t="s">
        <v>151</v>
      </c>
      <c r="D762" s="105">
        <v>6876.7</v>
      </c>
      <c r="E762" s="23">
        <v>42073</v>
      </c>
      <c r="F762" s="106">
        <v>6876.7</v>
      </c>
      <c r="G762" s="31">
        <f t="shared" si="11"/>
        <v>0</v>
      </c>
      <c r="H762" s="19" t="s">
        <v>9</v>
      </c>
      <c r="J762" s="42"/>
    </row>
    <row r="763" spans="1:10" s="3" customFormat="1" x14ac:dyDescent="0.25">
      <c r="A763" s="20">
        <v>42072</v>
      </c>
      <c r="B763" s="21">
        <v>14273</v>
      </c>
      <c r="C763" s="14" t="s">
        <v>818</v>
      </c>
      <c r="D763" s="105">
        <v>9288</v>
      </c>
      <c r="E763" s="23">
        <v>42072</v>
      </c>
      <c r="F763" s="106">
        <v>9288</v>
      </c>
      <c r="G763" s="31">
        <f t="shared" si="11"/>
        <v>0</v>
      </c>
      <c r="H763" s="19" t="s">
        <v>9</v>
      </c>
      <c r="J763" s="42"/>
    </row>
    <row r="764" spans="1:10" s="3" customFormat="1" x14ac:dyDescent="0.25">
      <c r="A764" s="20">
        <v>42072</v>
      </c>
      <c r="B764" s="21">
        <v>14274</v>
      </c>
      <c r="C764" s="14" t="s">
        <v>53</v>
      </c>
      <c r="D764" s="105">
        <v>714</v>
      </c>
      <c r="E764" s="23">
        <v>42072</v>
      </c>
      <c r="F764" s="106">
        <v>714</v>
      </c>
      <c r="G764" s="31">
        <f t="shared" si="11"/>
        <v>0</v>
      </c>
      <c r="H764" s="19" t="s">
        <v>59</v>
      </c>
      <c r="J764" s="42"/>
    </row>
    <row r="765" spans="1:10" s="3" customFormat="1" x14ac:dyDescent="0.25">
      <c r="A765" s="20">
        <v>42072</v>
      </c>
      <c r="B765" s="21">
        <v>14275</v>
      </c>
      <c r="C765" s="14" t="s">
        <v>81</v>
      </c>
      <c r="D765" s="105">
        <v>1414.6</v>
      </c>
      <c r="E765" s="23">
        <v>42072</v>
      </c>
      <c r="F765" s="106">
        <v>1414.6</v>
      </c>
      <c r="G765" s="31">
        <f t="shared" si="11"/>
        <v>0</v>
      </c>
      <c r="H765" s="19" t="s">
        <v>59</v>
      </c>
      <c r="J765" s="42"/>
    </row>
    <row r="766" spans="1:10" s="3" customFormat="1" x14ac:dyDescent="0.25">
      <c r="A766" s="20">
        <v>42072</v>
      </c>
      <c r="B766" s="21">
        <v>14276</v>
      </c>
      <c r="C766" s="14" t="s">
        <v>82</v>
      </c>
      <c r="D766" s="105">
        <v>7744.5</v>
      </c>
      <c r="E766" s="23">
        <v>42072</v>
      </c>
      <c r="F766" s="106">
        <v>7744.5</v>
      </c>
      <c r="G766" s="31">
        <f t="shared" si="11"/>
        <v>0</v>
      </c>
      <c r="H766" s="19" t="s">
        <v>59</v>
      </c>
      <c r="J766" s="42"/>
    </row>
    <row r="767" spans="1:10" s="3" customFormat="1" x14ac:dyDescent="0.25">
      <c r="A767" s="20">
        <v>42072</v>
      </c>
      <c r="B767" s="21">
        <v>14277</v>
      </c>
      <c r="C767" s="14" t="s">
        <v>664</v>
      </c>
      <c r="D767" s="105">
        <v>1139.5999999999999</v>
      </c>
      <c r="E767" s="23">
        <v>42072</v>
      </c>
      <c r="F767" s="106">
        <v>1139.5999999999999</v>
      </c>
      <c r="G767" s="31">
        <f t="shared" si="11"/>
        <v>0</v>
      </c>
      <c r="H767" s="19" t="s">
        <v>59</v>
      </c>
      <c r="J767" s="42"/>
    </row>
    <row r="768" spans="1:10" s="3" customFormat="1" x14ac:dyDescent="0.25">
      <c r="A768" s="20">
        <v>42072</v>
      </c>
      <c r="B768" s="21">
        <v>14278</v>
      </c>
      <c r="C768" s="14" t="s">
        <v>664</v>
      </c>
      <c r="D768" s="105">
        <v>1553.2</v>
      </c>
      <c r="E768" s="23">
        <v>42072</v>
      </c>
      <c r="F768" s="106">
        <v>1553.2</v>
      </c>
      <c r="G768" s="31">
        <f t="shared" si="11"/>
        <v>0</v>
      </c>
      <c r="H768" s="19" t="s">
        <v>59</v>
      </c>
      <c r="J768" s="42"/>
    </row>
    <row r="769" spans="1:10" s="3" customFormat="1" x14ac:dyDescent="0.25">
      <c r="A769" s="20">
        <v>42072</v>
      </c>
      <c r="B769" s="21">
        <v>14279</v>
      </c>
      <c r="C769" s="14" t="s">
        <v>173</v>
      </c>
      <c r="D769" s="105">
        <v>33068.65</v>
      </c>
      <c r="E769" s="30" t="s">
        <v>796</v>
      </c>
      <c r="F769" s="106">
        <v>33068.65</v>
      </c>
      <c r="G769" s="31">
        <f t="shared" si="11"/>
        <v>0</v>
      </c>
      <c r="H769" s="19" t="s">
        <v>62</v>
      </c>
      <c r="J769" s="42"/>
    </row>
    <row r="770" spans="1:10" s="3" customFormat="1" x14ac:dyDescent="0.25">
      <c r="A770" s="20">
        <v>42072</v>
      </c>
      <c r="B770" s="21">
        <v>14280</v>
      </c>
      <c r="C770" s="14" t="s">
        <v>294</v>
      </c>
      <c r="D770" s="105">
        <v>2135</v>
      </c>
      <c r="E770" s="23">
        <v>42072</v>
      </c>
      <c r="F770" s="106">
        <v>2135</v>
      </c>
      <c r="G770" s="31">
        <f t="shared" si="11"/>
        <v>0</v>
      </c>
      <c r="H770" s="19" t="s">
        <v>9</v>
      </c>
      <c r="J770" s="42"/>
    </row>
    <row r="771" spans="1:10" s="3" customFormat="1" x14ac:dyDescent="0.25">
      <c r="A771" s="20">
        <v>42072</v>
      </c>
      <c r="B771" s="21">
        <v>14281</v>
      </c>
      <c r="C771" s="14" t="s">
        <v>400</v>
      </c>
      <c r="D771" s="105">
        <v>1094.4000000000001</v>
      </c>
      <c r="E771" s="23">
        <v>42072</v>
      </c>
      <c r="F771" s="106">
        <v>1094.4000000000001</v>
      </c>
      <c r="G771" s="31">
        <f t="shared" ref="G771:G834" si="12">D771-F771</f>
        <v>0</v>
      </c>
      <c r="H771" s="19" t="s">
        <v>9</v>
      </c>
      <c r="I771" s="4"/>
      <c r="J771" s="43"/>
    </row>
    <row r="772" spans="1:10" s="3" customFormat="1" x14ac:dyDescent="0.25">
      <c r="A772" s="20">
        <v>42072</v>
      </c>
      <c r="B772" s="21">
        <v>14282</v>
      </c>
      <c r="C772" s="14" t="s">
        <v>57</v>
      </c>
      <c r="D772" s="105">
        <v>1260</v>
      </c>
      <c r="E772" s="23">
        <v>42072</v>
      </c>
      <c r="F772" s="106">
        <v>1260</v>
      </c>
      <c r="G772" s="31">
        <f t="shared" si="12"/>
        <v>0</v>
      </c>
      <c r="H772" s="19" t="s">
        <v>59</v>
      </c>
      <c r="I772" s="4"/>
      <c r="J772" s="43"/>
    </row>
    <row r="773" spans="1:10" s="3" customFormat="1" x14ac:dyDescent="0.25">
      <c r="A773" s="20">
        <v>42072</v>
      </c>
      <c r="B773" s="21">
        <v>14283</v>
      </c>
      <c r="C773" s="14" t="s">
        <v>137</v>
      </c>
      <c r="D773" s="105">
        <v>673.75</v>
      </c>
      <c r="E773" s="23">
        <v>42072</v>
      </c>
      <c r="F773" s="106">
        <v>673.75</v>
      </c>
      <c r="G773" s="31">
        <f t="shared" si="12"/>
        <v>0</v>
      </c>
      <c r="H773" s="19" t="s">
        <v>9</v>
      </c>
      <c r="I773" s="4"/>
      <c r="J773" s="43"/>
    </row>
    <row r="774" spans="1:10" s="3" customFormat="1" x14ac:dyDescent="0.25">
      <c r="A774" s="20">
        <v>42072</v>
      </c>
      <c r="B774" s="21">
        <v>14284</v>
      </c>
      <c r="C774" s="14" t="s">
        <v>221</v>
      </c>
      <c r="D774" s="105">
        <v>1399.2</v>
      </c>
      <c r="E774" s="23">
        <v>42072</v>
      </c>
      <c r="F774" s="106">
        <v>1399.2</v>
      </c>
      <c r="G774" s="31">
        <f t="shared" si="12"/>
        <v>0</v>
      </c>
      <c r="H774" s="19" t="s">
        <v>59</v>
      </c>
      <c r="I774" s="4"/>
      <c r="J774" s="43"/>
    </row>
    <row r="775" spans="1:10" s="3" customFormat="1" x14ac:dyDescent="0.25">
      <c r="A775" s="20">
        <v>42072</v>
      </c>
      <c r="B775" s="21">
        <v>14285</v>
      </c>
      <c r="C775" s="14" t="s">
        <v>84</v>
      </c>
      <c r="D775" s="105">
        <v>40701.1</v>
      </c>
      <c r="E775" s="23">
        <v>42085</v>
      </c>
      <c r="F775" s="106">
        <v>40701.1</v>
      </c>
      <c r="G775" s="31">
        <f t="shared" si="12"/>
        <v>0</v>
      </c>
      <c r="H775" s="19" t="s">
        <v>62</v>
      </c>
      <c r="I775" s="4"/>
      <c r="J775" s="43"/>
    </row>
    <row r="776" spans="1:10" s="3" customFormat="1" x14ac:dyDescent="0.25">
      <c r="A776" s="20">
        <v>42072</v>
      </c>
      <c r="B776" s="21">
        <v>14286</v>
      </c>
      <c r="C776" s="110">
        <v>105</v>
      </c>
      <c r="D776" s="105">
        <v>1008</v>
      </c>
      <c r="E776" s="23">
        <v>42072</v>
      </c>
      <c r="F776" s="106">
        <v>1008</v>
      </c>
      <c r="G776" s="31">
        <f t="shared" si="12"/>
        <v>0</v>
      </c>
      <c r="H776" s="19" t="s">
        <v>62</v>
      </c>
      <c r="I776" s="4"/>
      <c r="J776" s="43"/>
    </row>
    <row r="777" spans="1:10" s="3" customFormat="1" x14ac:dyDescent="0.25">
      <c r="A777" s="20">
        <v>42072</v>
      </c>
      <c r="B777" s="21">
        <v>14287</v>
      </c>
      <c r="C777" s="14" t="s">
        <v>91</v>
      </c>
      <c r="D777" s="105">
        <v>1750</v>
      </c>
      <c r="E777" s="23">
        <v>42072</v>
      </c>
      <c r="F777" s="106">
        <v>1750</v>
      </c>
      <c r="G777" s="31">
        <f t="shared" si="12"/>
        <v>0</v>
      </c>
      <c r="H777" s="19" t="s">
        <v>59</v>
      </c>
      <c r="I777" s="4"/>
      <c r="J777" s="43"/>
    </row>
    <row r="778" spans="1:10" s="3" customFormat="1" x14ac:dyDescent="0.25">
      <c r="A778" s="20">
        <v>42072</v>
      </c>
      <c r="B778" s="21">
        <v>14288</v>
      </c>
      <c r="C778" s="14" t="s">
        <v>65</v>
      </c>
      <c r="D778" s="105">
        <v>21212.400000000001</v>
      </c>
      <c r="E778" s="23">
        <v>42073</v>
      </c>
      <c r="F778" s="106">
        <v>21212.400000000001</v>
      </c>
      <c r="G778" s="31">
        <f t="shared" si="12"/>
        <v>0</v>
      </c>
      <c r="H778" s="19" t="s">
        <v>62</v>
      </c>
      <c r="I778" s="4"/>
      <c r="J778" s="43"/>
    </row>
    <row r="779" spans="1:10" s="3" customFormat="1" x14ac:dyDescent="0.25">
      <c r="A779" s="20">
        <v>42072</v>
      </c>
      <c r="B779" s="21">
        <v>14289</v>
      </c>
      <c r="C779" s="14" t="s">
        <v>75</v>
      </c>
      <c r="D779" s="105">
        <v>16408.8</v>
      </c>
      <c r="E779" s="23">
        <v>42073</v>
      </c>
      <c r="F779" s="106">
        <v>16408.8</v>
      </c>
      <c r="G779" s="31">
        <f t="shared" si="12"/>
        <v>0</v>
      </c>
      <c r="H779" s="19" t="s">
        <v>62</v>
      </c>
      <c r="I779" s="4"/>
      <c r="J779" s="107"/>
    </row>
    <row r="780" spans="1:10" s="3" customFormat="1" x14ac:dyDescent="0.25">
      <c r="A780" s="20">
        <v>42072</v>
      </c>
      <c r="B780" s="21">
        <v>14290</v>
      </c>
      <c r="C780" s="14" t="s">
        <v>72</v>
      </c>
      <c r="D780" s="105">
        <v>14757.4</v>
      </c>
      <c r="E780" s="30" t="s">
        <v>968</v>
      </c>
      <c r="F780" s="106">
        <v>14757.4</v>
      </c>
      <c r="G780" s="31">
        <f t="shared" si="12"/>
        <v>0</v>
      </c>
      <c r="H780" s="19" t="s">
        <v>62</v>
      </c>
      <c r="I780" s="4"/>
      <c r="J780" s="43"/>
    </row>
    <row r="781" spans="1:10" s="3" customFormat="1" x14ac:dyDescent="0.25">
      <c r="A781" s="20">
        <v>42072</v>
      </c>
      <c r="B781" s="21">
        <v>14291</v>
      </c>
      <c r="C781" s="14" t="s">
        <v>34</v>
      </c>
      <c r="D781" s="105">
        <v>3621.6</v>
      </c>
      <c r="E781" s="23">
        <v>42072</v>
      </c>
      <c r="F781" s="106">
        <v>3621.6</v>
      </c>
      <c r="G781" s="31">
        <f t="shared" si="12"/>
        <v>0</v>
      </c>
      <c r="H781" s="19" t="s">
        <v>9</v>
      </c>
      <c r="I781" s="4"/>
      <c r="J781" s="43"/>
    </row>
    <row r="782" spans="1:10" s="3" customFormat="1" x14ac:dyDescent="0.25">
      <c r="A782" s="20">
        <v>42072</v>
      </c>
      <c r="B782" s="21">
        <v>14292</v>
      </c>
      <c r="C782" s="26" t="s">
        <v>218</v>
      </c>
      <c r="D782" s="108">
        <v>0</v>
      </c>
      <c r="E782" s="23"/>
      <c r="F782" s="106"/>
      <c r="G782" s="31">
        <f t="shared" si="12"/>
        <v>0</v>
      </c>
      <c r="H782" s="19" t="s">
        <v>13</v>
      </c>
      <c r="I782" s="4"/>
      <c r="J782" s="43"/>
    </row>
    <row r="783" spans="1:10" s="3" customFormat="1" x14ac:dyDescent="0.25">
      <c r="A783" s="20">
        <v>42072</v>
      </c>
      <c r="B783" s="21">
        <v>14293</v>
      </c>
      <c r="C783" s="14" t="s">
        <v>79</v>
      </c>
      <c r="D783" s="105">
        <v>1253.04</v>
      </c>
      <c r="E783" s="23">
        <v>42073</v>
      </c>
      <c r="F783" s="106">
        <v>1253.04</v>
      </c>
      <c r="G783" s="31">
        <f t="shared" si="12"/>
        <v>0</v>
      </c>
      <c r="H783" s="19" t="s">
        <v>62</v>
      </c>
      <c r="I783" s="4"/>
      <c r="J783" s="43"/>
    </row>
    <row r="784" spans="1:10" s="3" customFormat="1" x14ac:dyDescent="0.25">
      <c r="A784" s="20">
        <v>42072</v>
      </c>
      <c r="B784" s="21">
        <v>14294</v>
      </c>
      <c r="C784" s="14" t="s">
        <v>225</v>
      </c>
      <c r="D784" s="105">
        <v>3026.4</v>
      </c>
      <c r="E784" s="23">
        <v>42072</v>
      </c>
      <c r="F784" s="106">
        <v>3026.4</v>
      </c>
      <c r="G784" s="31">
        <f t="shared" si="12"/>
        <v>0</v>
      </c>
      <c r="H784" s="19" t="s">
        <v>9</v>
      </c>
      <c r="I784" s="4"/>
      <c r="J784" s="43"/>
    </row>
    <row r="785" spans="1:10" s="3" customFormat="1" x14ac:dyDescent="0.25">
      <c r="A785" s="20">
        <v>42072</v>
      </c>
      <c r="B785" s="21">
        <v>14295</v>
      </c>
      <c r="C785" s="14" t="s">
        <v>26</v>
      </c>
      <c r="D785" s="105">
        <v>2192</v>
      </c>
      <c r="E785" s="23">
        <v>42072</v>
      </c>
      <c r="F785" s="106">
        <v>2192</v>
      </c>
      <c r="G785" s="31">
        <f t="shared" si="12"/>
        <v>0</v>
      </c>
      <c r="H785" s="19" t="s">
        <v>27</v>
      </c>
      <c r="I785" s="4"/>
      <c r="J785" s="43"/>
    </row>
    <row r="786" spans="1:10" s="3" customFormat="1" x14ac:dyDescent="0.25">
      <c r="A786" s="20">
        <v>42072</v>
      </c>
      <c r="B786" s="21">
        <v>14296</v>
      </c>
      <c r="C786" s="14" t="s">
        <v>178</v>
      </c>
      <c r="D786" s="105">
        <v>720</v>
      </c>
      <c r="E786" s="23">
        <v>42073</v>
      </c>
      <c r="F786" s="106">
        <v>720</v>
      </c>
      <c r="G786" s="31">
        <f t="shared" si="12"/>
        <v>0</v>
      </c>
      <c r="H786" s="19" t="s">
        <v>62</v>
      </c>
      <c r="I786" s="4"/>
      <c r="J786" s="43"/>
    </row>
    <row r="787" spans="1:10" s="3" customFormat="1" x14ac:dyDescent="0.25">
      <c r="A787" s="20">
        <v>42072</v>
      </c>
      <c r="B787" s="21">
        <v>14297</v>
      </c>
      <c r="C787" s="14" t="s">
        <v>176</v>
      </c>
      <c r="D787" s="105">
        <v>3892.2</v>
      </c>
      <c r="E787" s="30" t="s">
        <v>819</v>
      </c>
      <c r="F787" s="106">
        <v>3892.2</v>
      </c>
      <c r="G787" s="31">
        <f t="shared" si="12"/>
        <v>0</v>
      </c>
      <c r="H787" s="19" t="s">
        <v>62</v>
      </c>
      <c r="I787" s="4"/>
      <c r="J787" s="43"/>
    </row>
    <row r="788" spans="1:10" s="3" customFormat="1" x14ac:dyDescent="0.25">
      <c r="A788" s="20">
        <v>42072</v>
      </c>
      <c r="B788" s="21">
        <v>14298</v>
      </c>
      <c r="C788" s="14" t="s">
        <v>131</v>
      </c>
      <c r="D788" s="105">
        <v>8232</v>
      </c>
      <c r="E788" s="23">
        <v>42072</v>
      </c>
      <c r="F788" s="106">
        <v>8232</v>
      </c>
      <c r="G788" s="31">
        <f t="shared" si="12"/>
        <v>0</v>
      </c>
      <c r="H788" s="19" t="s">
        <v>9</v>
      </c>
      <c r="I788" s="4"/>
      <c r="J788" s="107"/>
    </row>
    <row r="789" spans="1:10" s="3" customFormat="1" x14ac:dyDescent="0.25">
      <c r="A789" s="20">
        <v>42072</v>
      </c>
      <c r="B789" s="21">
        <v>14299</v>
      </c>
      <c r="C789" s="14" t="s">
        <v>426</v>
      </c>
      <c r="D789" s="105">
        <v>2523.4</v>
      </c>
      <c r="E789" s="23">
        <v>42073</v>
      </c>
      <c r="F789" s="106">
        <v>2523.4</v>
      </c>
      <c r="G789" s="31">
        <f t="shared" si="12"/>
        <v>0</v>
      </c>
      <c r="H789" s="19" t="s">
        <v>62</v>
      </c>
      <c r="I789" s="4"/>
      <c r="J789" s="43"/>
    </row>
    <row r="790" spans="1:10" s="3" customFormat="1" x14ac:dyDescent="0.25">
      <c r="A790" s="20">
        <v>42072</v>
      </c>
      <c r="B790" s="21">
        <v>14300</v>
      </c>
      <c r="C790" s="14" t="s">
        <v>71</v>
      </c>
      <c r="D790" s="105">
        <v>5839.06</v>
      </c>
      <c r="E790" s="23">
        <v>42072</v>
      </c>
      <c r="F790" s="106">
        <v>5839.06</v>
      </c>
      <c r="G790" s="31">
        <f t="shared" si="12"/>
        <v>0</v>
      </c>
      <c r="H790" s="19" t="s">
        <v>9</v>
      </c>
      <c r="I790" s="4"/>
      <c r="J790" s="43"/>
    </row>
    <row r="791" spans="1:10" s="3" customFormat="1" x14ac:dyDescent="0.25">
      <c r="A791" s="20">
        <v>42072</v>
      </c>
      <c r="B791" s="21">
        <v>14301</v>
      </c>
      <c r="C791" s="14" t="s">
        <v>121</v>
      </c>
      <c r="D791" s="105">
        <v>2760</v>
      </c>
      <c r="E791" s="23">
        <v>42072</v>
      </c>
      <c r="F791" s="106">
        <v>2760</v>
      </c>
      <c r="G791" s="31">
        <f t="shared" si="12"/>
        <v>0</v>
      </c>
      <c r="H791" s="19" t="s">
        <v>9</v>
      </c>
      <c r="I791" s="4"/>
      <c r="J791" s="43"/>
    </row>
    <row r="792" spans="1:10" s="3" customFormat="1" x14ac:dyDescent="0.25">
      <c r="A792" s="20">
        <v>42072</v>
      </c>
      <c r="B792" s="21">
        <v>14302</v>
      </c>
      <c r="C792" s="14" t="s">
        <v>49</v>
      </c>
      <c r="D792" s="105">
        <v>1333.2</v>
      </c>
      <c r="E792" s="23">
        <v>42073</v>
      </c>
      <c r="F792" s="106">
        <v>1333.2</v>
      </c>
      <c r="G792" s="31">
        <f t="shared" si="12"/>
        <v>0</v>
      </c>
      <c r="H792" s="19" t="s">
        <v>94</v>
      </c>
      <c r="I792" s="4"/>
      <c r="J792" s="43"/>
    </row>
    <row r="793" spans="1:10" s="3" customFormat="1" x14ac:dyDescent="0.25">
      <c r="A793" s="20">
        <v>42072</v>
      </c>
      <c r="B793" s="21">
        <v>14303</v>
      </c>
      <c r="C793" s="14" t="s">
        <v>104</v>
      </c>
      <c r="D793" s="105">
        <v>18036</v>
      </c>
      <c r="E793" s="23">
        <v>42073</v>
      </c>
      <c r="F793" s="106">
        <v>18036</v>
      </c>
      <c r="G793" s="31">
        <f t="shared" si="12"/>
        <v>0</v>
      </c>
      <c r="H793" s="19" t="s">
        <v>94</v>
      </c>
      <c r="I793" s="4"/>
      <c r="J793" s="43"/>
    </row>
    <row r="794" spans="1:10" s="3" customFormat="1" x14ac:dyDescent="0.25">
      <c r="A794" s="20">
        <v>42072</v>
      </c>
      <c r="B794" s="21">
        <v>14304</v>
      </c>
      <c r="C794" s="14" t="s">
        <v>16</v>
      </c>
      <c r="D794" s="105">
        <v>6470.4</v>
      </c>
      <c r="E794" s="23">
        <v>42072</v>
      </c>
      <c r="F794" s="106">
        <v>6470.4</v>
      </c>
      <c r="G794" s="31">
        <f t="shared" si="12"/>
        <v>0</v>
      </c>
      <c r="H794" s="19" t="s">
        <v>9</v>
      </c>
      <c r="I794" s="4"/>
      <c r="J794" s="43"/>
    </row>
    <row r="795" spans="1:10" s="3" customFormat="1" x14ac:dyDescent="0.25">
      <c r="A795" s="20">
        <v>42072</v>
      </c>
      <c r="B795" s="21">
        <v>14305</v>
      </c>
      <c r="C795" s="14" t="s">
        <v>104</v>
      </c>
      <c r="D795" s="105">
        <v>1747.2</v>
      </c>
      <c r="E795" s="23">
        <v>42073</v>
      </c>
      <c r="F795" s="106">
        <v>1747.2</v>
      </c>
      <c r="G795" s="31">
        <f t="shared" si="12"/>
        <v>0</v>
      </c>
      <c r="H795" s="19" t="s">
        <v>94</v>
      </c>
      <c r="I795" s="4"/>
      <c r="J795" s="43"/>
    </row>
    <row r="796" spans="1:10" s="3" customFormat="1" x14ac:dyDescent="0.25">
      <c r="A796" s="20">
        <v>42072</v>
      </c>
      <c r="B796" s="21">
        <v>14306</v>
      </c>
      <c r="C796" s="14" t="s">
        <v>112</v>
      </c>
      <c r="D796" s="105">
        <v>15926.8</v>
      </c>
      <c r="E796" s="29" t="s">
        <v>820</v>
      </c>
      <c r="F796" s="106">
        <f>5000+10926.8</f>
        <v>15926.8</v>
      </c>
      <c r="G796" s="31">
        <f t="shared" si="12"/>
        <v>0</v>
      </c>
      <c r="H796" s="19" t="s">
        <v>9</v>
      </c>
      <c r="I796" s="4"/>
      <c r="J796" s="43"/>
    </row>
    <row r="797" spans="1:10" s="3" customFormat="1" x14ac:dyDescent="0.25">
      <c r="A797" s="20">
        <v>42072</v>
      </c>
      <c r="B797" s="21">
        <v>14307</v>
      </c>
      <c r="C797" s="14" t="s">
        <v>229</v>
      </c>
      <c r="D797" s="105">
        <v>1084</v>
      </c>
      <c r="E797" s="23">
        <v>42073</v>
      </c>
      <c r="F797" s="106">
        <v>1084</v>
      </c>
      <c r="G797" s="31">
        <f t="shared" si="12"/>
        <v>0</v>
      </c>
      <c r="H797" s="19" t="s">
        <v>94</v>
      </c>
      <c r="I797" s="4"/>
      <c r="J797" s="43"/>
    </row>
    <row r="798" spans="1:10" s="3" customFormat="1" x14ac:dyDescent="0.25">
      <c r="A798" s="20">
        <v>42072</v>
      </c>
      <c r="B798" s="21">
        <v>14308</v>
      </c>
      <c r="C798" s="14" t="s">
        <v>256</v>
      </c>
      <c r="D798" s="105">
        <v>3780</v>
      </c>
      <c r="E798" s="23">
        <v>42074</v>
      </c>
      <c r="F798" s="106">
        <v>3780</v>
      </c>
      <c r="G798" s="31">
        <f t="shared" si="12"/>
        <v>0</v>
      </c>
      <c r="H798" s="19" t="s">
        <v>773</v>
      </c>
      <c r="I798" s="4"/>
      <c r="J798" s="43"/>
    </row>
    <row r="799" spans="1:10" s="3" customFormat="1" x14ac:dyDescent="0.25">
      <c r="A799" s="20">
        <v>42072</v>
      </c>
      <c r="B799" s="21">
        <v>14309</v>
      </c>
      <c r="C799" s="14" t="s">
        <v>233</v>
      </c>
      <c r="D799" s="105">
        <v>8710</v>
      </c>
      <c r="E799" s="23">
        <v>42074</v>
      </c>
      <c r="F799" s="106">
        <v>8710</v>
      </c>
      <c r="G799" s="31">
        <f t="shared" si="12"/>
        <v>0</v>
      </c>
      <c r="H799" s="19" t="s">
        <v>773</v>
      </c>
      <c r="I799" s="4"/>
      <c r="J799" s="43"/>
    </row>
    <row r="800" spans="1:10" s="3" customFormat="1" x14ac:dyDescent="0.25">
      <c r="A800" s="20">
        <v>42072</v>
      </c>
      <c r="B800" s="21">
        <v>14310</v>
      </c>
      <c r="C800" s="14" t="s">
        <v>100</v>
      </c>
      <c r="D800" s="105">
        <v>2702.3</v>
      </c>
      <c r="E800" s="23">
        <v>42072</v>
      </c>
      <c r="F800" s="106">
        <v>2702.3</v>
      </c>
      <c r="G800" s="31">
        <f t="shared" si="12"/>
        <v>0</v>
      </c>
      <c r="H800" s="19" t="s">
        <v>9</v>
      </c>
      <c r="I800" s="4"/>
      <c r="J800" s="43"/>
    </row>
    <row r="801" spans="1:10" s="3" customFormat="1" x14ac:dyDescent="0.25">
      <c r="A801" s="20">
        <v>42072</v>
      </c>
      <c r="B801" s="21">
        <v>14311</v>
      </c>
      <c r="C801" s="14" t="s">
        <v>64</v>
      </c>
      <c r="D801" s="105">
        <v>2111.5</v>
      </c>
      <c r="E801" s="23">
        <v>42072</v>
      </c>
      <c r="F801" s="106">
        <v>2111.5</v>
      </c>
      <c r="G801" s="31">
        <f t="shared" si="12"/>
        <v>0</v>
      </c>
      <c r="H801" s="19" t="s">
        <v>9</v>
      </c>
      <c r="I801" s="4"/>
      <c r="J801" s="43"/>
    </row>
    <row r="802" spans="1:10" s="3" customFormat="1" x14ac:dyDescent="0.25">
      <c r="A802" s="20">
        <v>42072</v>
      </c>
      <c r="B802" s="21">
        <v>14312</v>
      </c>
      <c r="C802" s="14" t="s">
        <v>37</v>
      </c>
      <c r="D802" s="105">
        <v>23467.65</v>
      </c>
      <c r="E802" s="23">
        <v>42081</v>
      </c>
      <c r="F802" s="106">
        <v>23467.65</v>
      </c>
      <c r="G802" s="31">
        <f t="shared" si="12"/>
        <v>0</v>
      </c>
      <c r="H802" s="19" t="s">
        <v>773</v>
      </c>
      <c r="J802" s="42"/>
    </row>
    <row r="803" spans="1:10" s="3" customFormat="1" x14ac:dyDescent="0.25">
      <c r="A803" s="20">
        <v>42072</v>
      </c>
      <c r="B803" s="21">
        <v>14313</v>
      </c>
      <c r="C803" s="14" t="s">
        <v>55</v>
      </c>
      <c r="D803" s="105">
        <v>22162.05</v>
      </c>
      <c r="E803" s="23">
        <v>42074</v>
      </c>
      <c r="F803" s="106">
        <v>22162.05</v>
      </c>
      <c r="G803" s="31">
        <f t="shared" si="12"/>
        <v>0</v>
      </c>
      <c r="H803" s="19" t="s">
        <v>773</v>
      </c>
      <c r="J803" s="42"/>
    </row>
    <row r="804" spans="1:10" s="3" customFormat="1" x14ac:dyDescent="0.25">
      <c r="A804" s="20">
        <v>42072</v>
      </c>
      <c r="B804" s="21">
        <v>14314</v>
      </c>
      <c r="C804" s="14" t="s">
        <v>97</v>
      </c>
      <c r="D804" s="105">
        <v>3810.1</v>
      </c>
      <c r="E804" s="23">
        <v>42073</v>
      </c>
      <c r="F804" s="106">
        <v>3810.1</v>
      </c>
      <c r="G804" s="31">
        <f t="shared" si="12"/>
        <v>0</v>
      </c>
      <c r="H804" s="19" t="s">
        <v>94</v>
      </c>
      <c r="J804" s="42"/>
    </row>
    <row r="805" spans="1:10" s="3" customFormat="1" x14ac:dyDescent="0.25">
      <c r="A805" s="20">
        <v>42072</v>
      </c>
      <c r="B805" s="21">
        <v>14315</v>
      </c>
      <c r="C805" s="14" t="s">
        <v>821</v>
      </c>
      <c r="D805" s="105">
        <v>14498.4</v>
      </c>
      <c r="E805" s="23">
        <v>42074</v>
      </c>
      <c r="F805" s="106">
        <v>14498.4</v>
      </c>
      <c r="G805" s="31">
        <f t="shared" si="12"/>
        <v>0</v>
      </c>
      <c r="H805" s="19" t="s">
        <v>773</v>
      </c>
      <c r="J805" s="42"/>
    </row>
    <row r="806" spans="1:10" s="3" customFormat="1" x14ac:dyDescent="0.25">
      <c r="A806" s="20">
        <v>42072</v>
      </c>
      <c r="B806" s="21">
        <v>14316</v>
      </c>
      <c r="C806" s="14" t="s">
        <v>98</v>
      </c>
      <c r="D806" s="105">
        <v>2371.3000000000002</v>
      </c>
      <c r="E806" s="23">
        <v>42073</v>
      </c>
      <c r="F806" s="106">
        <v>2371.3000000000002</v>
      </c>
      <c r="G806" s="31">
        <f t="shared" si="12"/>
        <v>0</v>
      </c>
      <c r="H806" s="19" t="s">
        <v>94</v>
      </c>
      <c r="J806" s="42"/>
    </row>
    <row r="807" spans="1:10" s="3" customFormat="1" x14ac:dyDescent="0.25">
      <c r="A807" s="20">
        <v>42072</v>
      </c>
      <c r="B807" s="21">
        <v>14317</v>
      </c>
      <c r="C807" s="14" t="s">
        <v>100</v>
      </c>
      <c r="D807" s="105">
        <v>1451.6</v>
      </c>
      <c r="E807" s="23">
        <v>42072</v>
      </c>
      <c r="F807" s="106">
        <v>1451.6</v>
      </c>
      <c r="G807" s="31">
        <f t="shared" si="12"/>
        <v>0</v>
      </c>
      <c r="H807" s="19" t="s">
        <v>9</v>
      </c>
      <c r="J807" s="42"/>
    </row>
    <row r="808" spans="1:10" s="3" customFormat="1" x14ac:dyDescent="0.25">
      <c r="A808" s="20">
        <v>42072</v>
      </c>
      <c r="B808" s="21">
        <v>14318</v>
      </c>
      <c r="C808" s="14" t="s">
        <v>95</v>
      </c>
      <c r="D808" s="105">
        <v>2930.8</v>
      </c>
      <c r="E808" s="23">
        <v>42073</v>
      </c>
      <c r="F808" s="106">
        <v>2930.8</v>
      </c>
      <c r="G808" s="31">
        <f t="shared" si="12"/>
        <v>0</v>
      </c>
      <c r="H808" s="19" t="s">
        <v>94</v>
      </c>
      <c r="J808" s="42"/>
    </row>
    <row r="809" spans="1:10" s="3" customFormat="1" x14ac:dyDescent="0.25">
      <c r="A809" s="20">
        <v>42072</v>
      </c>
      <c r="B809" s="21">
        <v>14319</v>
      </c>
      <c r="C809" s="14" t="s">
        <v>93</v>
      </c>
      <c r="D809" s="105">
        <v>1700</v>
      </c>
      <c r="E809" s="23">
        <v>42073</v>
      </c>
      <c r="F809" s="106">
        <v>1700</v>
      </c>
      <c r="G809" s="31">
        <f t="shared" si="12"/>
        <v>0</v>
      </c>
      <c r="H809" s="19" t="s">
        <v>94</v>
      </c>
      <c r="J809" s="42"/>
    </row>
    <row r="810" spans="1:10" s="3" customFormat="1" x14ac:dyDescent="0.25">
      <c r="A810" s="20">
        <v>42072</v>
      </c>
      <c r="B810" s="21">
        <v>14320</v>
      </c>
      <c r="C810" s="14" t="s">
        <v>87</v>
      </c>
      <c r="D810" s="105">
        <v>2112.8000000000002</v>
      </c>
      <c r="E810" s="23">
        <v>42073</v>
      </c>
      <c r="F810" s="106">
        <v>2112.8000000000002</v>
      </c>
      <c r="G810" s="31">
        <f t="shared" si="12"/>
        <v>0</v>
      </c>
      <c r="H810" s="19" t="s">
        <v>94</v>
      </c>
      <c r="J810" s="42"/>
    </row>
    <row r="811" spans="1:10" s="3" customFormat="1" x14ac:dyDescent="0.25">
      <c r="A811" s="20">
        <v>42072</v>
      </c>
      <c r="B811" s="21">
        <v>14321</v>
      </c>
      <c r="C811" s="14" t="s">
        <v>141</v>
      </c>
      <c r="D811" s="105">
        <v>6831.2</v>
      </c>
      <c r="E811" s="23">
        <v>42073</v>
      </c>
      <c r="F811" s="106">
        <v>6831.2</v>
      </c>
      <c r="G811" s="31">
        <f t="shared" si="12"/>
        <v>0</v>
      </c>
      <c r="H811" s="19" t="s">
        <v>9</v>
      </c>
      <c r="J811" s="42"/>
    </row>
    <row r="812" spans="1:10" s="3" customFormat="1" x14ac:dyDescent="0.25">
      <c r="A812" s="20">
        <v>42072</v>
      </c>
      <c r="B812" s="21">
        <v>14322</v>
      </c>
      <c r="C812" s="14" t="s">
        <v>110</v>
      </c>
      <c r="D812" s="105">
        <v>9189.5</v>
      </c>
      <c r="E812" s="23">
        <v>42087</v>
      </c>
      <c r="F812" s="106">
        <v>9189.5</v>
      </c>
      <c r="G812" s="31">
        <f t="shared" si="12"/>
        <v>0</v>
      </c>
      <c r="H812" s="19" t="s">
        <v>41</v>
      </c>
      <c r="J812" s="42"/>
    </row>
    <row r="813" spans="1:10" s="3" customFormat="1" x14ac:dyDescent="0.25">
      <c r="A813" s="20">
        <v>42072</v>
      </c>
      <c r="B813" s="21">
        <v>14323</v>
      </c>
      <c r="C813" s="14" t="s">
        <v>822</v>
      </c>
      <c r="D813" s="105">
        <v>4024.8</v>
      </c>
      <c r="E813" s="23">
        <v>42072</v>
      </c>
      <c r="F813" s="106">
        <v>4024.8</v>
      </c>
      <c r="G813" s="31">
        <f t="shared" si="12"/>
        <v>0</v>
      </c>
      <c r="H813" s="19" t="s">
        <v>15</v>
      </c>
      <c r="J813" s="42"/>
    </row>
    <row r="814" spans="1:10" s="3" customFormat="1" x14ac:dyDescent="0.25">
      <c r="A814" s="20">
        <v>42072</v>
      </c>
      <c r="B814" s="21">
        <v>14324</v>
      </c>
      <c r="C814" s="14" t="s">
        <v>285</v>
      </c>
      <c r="D814" s="105">
        <v>690.25</v>
      </c>
      <c r="E814" s="23">
        <v>42072</v>
      </c>
      <c r="F814" s="106">
        <v>690.25</v>
      </c>
      <c r="G814" s="31">
        <f t="shared" si="12"/>
        <v>0</v>
      </c>
      <c r="H814" s="19" t="s">
        <v>15</v>
      </c>
      <c r="J814" s="42"/>
    </row>
    <row r="815" spans="1:10" s="3" customFormat="1" x14ac:dyDescent="0.25">
      <c r="A815" s="20">
        <v>42072</v>
      </c>
      <c r="B815" s="21">
        <v>14325</v>
      </c>
      <c r="C815" s="14" t="s">
        <v>179</v>
      </c>
      <c r="D815" s="105">
        <v>4170</v>
      </c>
      <c r="E815" s="23">
        <v>42072</v>
      </c>
      <c r="F815" s="106">
        <v>4170</v>
      </c>
      <c r="G815" s="31">
        <f t="shared" si="12"/>
        <v>0</v>
      </c>
      <c r="H815" s="19" t="s">
        <v>15</v>
      </c>
      <c r="J815" s="42"/>
    </row>
    <row r="816" spans="1:10" s="3" customFormat="1" x14ac:dyDescent="0.25">
      <c r="A816" s="20">
        <v>42072</v>
      </c>
      <c r="B816" s="21">
        <v>14326</v>
      </c>
      <c r="C816" s="14" t="s">
        <v>325</v>
      </c>
      <c r="D816" s="105">
        <v>904.8</v>
      </c>
      <c r="E816" s="23">
        <v>42072</v>
      </c>
      <c r="F816" s="106">
        <v>904.8</v>
      </c>
      <c r="G816" s="31">
        <f t="shared" si="12"/>
        <v>0</v>
      </c>
      <c r="H816" s="19" t="s">
        <v>41</v>
      </c>
      <c r="J816" s="42"/>
    </row>
    <row r="817" spans="1:10" s="3" customFormat="1" x14ac:dyDescent="0.25">
      <c r="A817" s="20">
        <v>42072</v>
      </c>
      <c r="B817" s="21">
        <v>14327</v>
      </c>
      <c r="C817" s="14" t="s">
        <v>141</v>
      </c>
      <c r="D817" s="105">
        <v>59.4</v>
      </c>
      <c r="E817" s="23">
        <v>42072</v>
      </c>
      <c r="F817" s="106">
        <v>59.4</v>
      </c>
      <c r="G817" s="31">
        <f t="shared" si="12"/>
        <v>0</v>
      </c>
      <c r="H817" s="19" t="s">
        <v>9</v>
      </c>
      <c r="J817" s="42"/>
    </row>
    <row r="818" spans="1:10" s="3" customFormat="1" x14ac:dyDescent="0.25">
      <c r="A818" s="20">
        <v>42072</v>
      </c>
      <c r="B818" s="21">
        <v>14328</v>
      </c>
      <c r="C818" s="150" t="s">
        <v>335</v>
      </c>
      <c r="D818" s="105">
        <v>448.8</v>
      </c>
      <c r="E818" s="23">
        <v>42072</v>
      </c>
      <c r="F818" s="106">
        <v>448.8</v>
      </c>
      <c r="G818" s="31">
        <f t="shared" si="12"/>
        <v>0</v>
      </c>
      <c r="H818" s="19" t="s">
        <v>9</v>
      </c>
      <c r="I818" s="4"/>
      <c r="J818" s="107"/>
    </row>
    <row r="819" spans="1:10" s="3" customFormat="1" x14ac:dyDescent="0.25">
      <c r="A819" s="20">
        <v>42072</v>
      </c>
      <c r="B819" s="21">
        <v>14329</v>
      </c>
      <c r="C819" s="14" t="s">
        <v>32</v>
      </c>
      <c r="D819" s="105">
        <v>3264</v>
      </c>
      <c r="E819" s="23">
        <v>42089</v>
      </c>
      <c r="F819" s="106">
        <v>3264</v>
      </c>
      <c r="G819" s="31">
        <f t="shared" si="12"/>
        <v>0</v>
      </c>
      <c r="H819" s="19" t="s">
        <v>15</v>
      </c>
      <c r="I819" s="4"/>
      <c r="J819" s="43"/>
    </row>
    <row r="820" spans="1:10" s="3" customFormat="1" x14ac:dyDescent="0.25">
      <c r="A820" s="20">
        <v>42072</v>
      </c>
      <c r="B820" s="21">
        <v>14330</v>
      </c>
      <c r="C820" s="14" t="s">
        <v>108</v>
      </c>
      <c r="D820" s="105">
        <v>16161.6</v>
      </c>
      <c r="E820" s="23">
        <v>42073</v>
      </c>
      <c r="F820" s="106">
        <v>16161.6</v>
      </c>
      <c r="G820" s="31">
        <f t="shared" si="12"/>
        <v>0</v>
      </c>
      <c r="H820" s="19" t="s">
        <v>17</v>
      </c>
      <c r="I820" s="4"/>
      <c r="J820" s="43"/>
    </row>
    <row r="821" spans="1:10" s="3" customFormat="1" x14ac:dyDescent="0.25">
      <c r="A821" s="20">
        <v>42072</v>
      </c>
      <c r="B821" s="21">
        <v>14331</v>
      </c>
      <c r="C821" s="14" t="s">
        <v>143</v>
      </c>
      <c r="D821" s="105">
        <v>12645.4</v>
      </c>
      <c r="E821" s="23">
        <v>42073</v>
      </c>
      <c r="F821" s="106">
        <v>12645.4</v>
      </c>
      <c r="G821" s="31">
        <f t="shared" si="12"/>
        <v>0</v>
      </c>
      <c r="H821" s="19" t="s">
        <v>17</v>
      </c>
      <c r="I821" s="4"/>
      <c r="J821" s="43"/>
    </row>
    <row r="822" spans="1:10" s="3" customFormat="1" x14ac:dyDescent="0.25">
      <c r="A822" s="20">
        <v>42072</v>
      </c>
      <c r="B822" s="21">
        <v>14332</v>
      </c>
      <c r="C822" s="14" t="s">
        <v>165</v>
      </c>
      <c r="D822" s="105">
        <v>3108.3</v>
      </c>
      <c r="E822" s="23">
        <v>42073</v>
      </c>
      <c r="F822" s="106">
        <v>3108.3</v>
      </c>
      <c r="G822" s="31">
        <f t="shared" si="12"/>
        <v>0</v>
      </c>
      <c r="H822" s="19" t="s">
        <v>17</v>
      </c>
      <c r="I822" s="4"/>
      <c r="J822" s="43"/>
    </row>
    <row r="823" spans="1:10" s="3" customFormat="1" x14ac:dyDescent="0.25">
      <c r="A823" s="20">
        <v>42072</v>
      </c>
      <c r="B823" s="21">
        <v>14333</v>
      </c>
      <c r="C823" s="14" t="s">
        <v>130</v>
      </c>
      <c r="D823" s="105">
        <v>6266.7</v>
      </c>
      <c r="E823" s="23">
        <v>42073</v>
      </c>
      <c r="F823" s="106">
        <v>6266.7</v>
      </c>
      <c r="G823" s="31">
        <f t="shared" si="12"/>
        <v>0</v>
      </c>
      <c r="H823" s="19" t="s">
        <v>17</v>
      </c>
      <c r="I823" s="4"/>
      <c r="J823" s="43"/>
    </row>
    <row r="824" spans="1:10" s="3" customFormat="1" x14ac:dyDescent="0.25">
      <c r="A824" s="20">
        <v>42072</v>
      </c>
      <c r="B824" s="21">
        <v>14334</v>
      </c>
      <c r="C824" s="14" t="s">
        <v>89</v>
      </c>
      <c r="D824" s="105">
        <v>3175</v>
      </c>
      <c r="E824" s="23">
        <v>42072</v>
      </c>
      <c r="F824" s="106">
        <v>3175</v>
      </c>
      <c r="G824" s="31">
        <f t="shared" si="12"/>
        <v>0</v>
      </c>
      <c r="H824" s="19" t="s">
        <v>9</v>
      </c>
      <c r="I824" s="4"/>
      <c r="J824" s="43"/>
    </row>
    <row r="825" spans="1:10" s="3" customFormat="1" x14ac:dyDescent="0.25">
      <c r="A825" s="20">
        <v>42072</v>
      </c>
      <c r="B825" s="21">
        <v>14335</v>
      </c>
      <c r="C825" s="14" t="s">
        <v>427</v>
      </c>
      <c r="D825" s="105">
        <v>4149.6000000000004</v>
      </c>
      <c r="E825" s="23">
        <v>42073</v>
      </c>
      <c r="F825" s="106">
        <v>4149.6000000000004</v>
      </c>
      <c r="G825" s="31">
        <f t="shared" si="12"/>
        <v>0</v>
      </c>
      <c r="H825" s="19" t="s">
        <v>17</v>
      </c>
      <c r="I825" s="4"/>
      <c r="J825" s="43"/>
    </row>
    <row r="826" spans="1:10" s="3" customFormat="1" x14ac:dyDescent="0.25">
      <c r="A826" s="20">
        <v>42072</v>
      </c>
      <c r="B826" s="21">
        <v>14336</v>
      </c>
      <c r="C826" s="14" t="s">
        <v>180</v>
      </c>
      <c r="D826" s="105">
        <v>5855.8</v>
      </c>
      <c r="E826" s="23">
        <v>42072</v>
      </c>
      <c r="F826" s="106">
        <v>5855.8</v>
      </c>
      <c r="G826" s="31">
        <f t="shared" si="12"/>
        <v>0</v>
      </c>
      <c r="H826" s="19" t="s">
        <v>9</v>
      </c>
      <c r="I826" s="4"/>
      <c r="J826" s="43"/>
    </row>
    <row r="827" spans="1:10" s="3" customFormat="1" x14ac:dyDescent="0.25">
      <c r="A827" s="20">
        <v>42072</v>
      </c>
      <c r="B827" s="21">
        <v>14337</v>
      </c>
      <c r="C827" s="14" t="s">
        <v>252</v>
      </c>
      <c r="D827" s="105">
        <v>8439</v>
      </c>
      <c r="E827" s="23">
        <v>42072</v>
      </c>
      <c r="F827" s="106">
        <v>8439</v>
      </c>
      <c r="G827" s="31">
        <f t="shared" si="12"/>
        <v>0</v>
      </c>
      <c r="H827" s="19" t="s">
        <v>9</v>
      </c>
      <c r="I827" s="4"/>
      <c r="J827" s="43"/>
    </row>
    <row r="828" spans="1:10" s="3" customFormat="1" x14ac:dyDescent="0.25">
      <c r="A828" s="20">
        <v>42072</v>
      </c>
      <c r="B828" s="21">
        <v>14338</v>
      </c>
      <c r="C828" s="14" t="s">
        <v>128</v>
      </c>
      <c r="D828" s="105">
        <v>3890</v>
      </c>
      <c r="E828" s="23">
        <v>42073</v>
      </c>
      <c r="F828" s="106">
        <v>3890</v>
      </c>
      <c r="G828" s="31">
        <f t="shared" si="12"/>
        <v>0</v>
      </c>
      <c r="H828" s="19" t="s">
        <v>17</v>
      </c>
      <c r="I828" s="4"/>
      <c r="J828" s="43"/>
    </row>
    <row r="829" spans="1:10" s="3" customFormat="1" x14ac:dyDescent="0.25">
      <c r="A829" s="20">
        <v>42072</v>
      </c>
      <c r="B829" s="21">
        <v>14339</v>
      </c>
      <c r="C829" s="14" t="s">
        <v>136</v>
      </c>
      <c r="D829" s="105">
        <v>17289</v>
      </c>
      <c r="E829" s="23">
        <v>42072</v>
      </c>
      <c r="F829" s="106">
        <v>17289</v>
      </c>
      <c r="G829" s="31">
        <f t="shared" si="12"/>
        <v>0</v>
      </c>
      <c r="H829" s="19" t="s">
        <v>9</v>
      </c>
      <c r="I829" s="4"/>
      <c r="J829" s="107"/>
    </row>
    <row r="830" spans="1:10" s="3" customFormat="1" x14ac:dyDescent="0.25">
      <c r="A830" s="20">
        <v>42072</v>
      </c>
      <c r="B830" s="21">
        <v>14340</v>
      </c>
      <c r="C830" s="14" t="s">
        <v>391</v>
      </c>
      <c r="D830" s="105">
        <v>3208.8</v>
      </c>
      <c r="E830" s="23">
        <v>42072</v>
      </c>
      <c r="F830" s="106">
        <v>3208.8</v>
      </c>
      <c r="G830" s="31">
        <f t="shared" si="12"/>
        <v>0</v>
      </c>
      <c r="H830" s="19" t="s">
        <v>9</v>
      </c>
      <c r="I830" s="4"/>
      <c r="J830" s="43"/>
    </row>
    <row r="831" spans="1:10" s="3" customFormat="1" x14ac:dyDescent="0.25">
      <c r="A831" s="20">
        <v>42072</v>
      </c>
      <c r="B831" s="21">
        <v>14341</v>
      </c>
      <c r="C831" s="14" t="s">
        <v>185</v>
      </c>
      <c r="D831" s="105">
        <v>56322</v>
      </c>
      <c r="E831" s="23">
        <v>42072</v>
      </c>
      <c r="F831" s="106">
        <v>56322</v>
      </c>
      <c r="G831" s="31">
        <f t="shared" si="12"/>
        <v>0</v>
      </c>
      <c r="H831" s="19" t="s">
        <v>19</v>
      </c>
      <c r="I831" s="4"/>
      <c r="J831" s="43"/>
    </row>
    <row r="832" spans="1:10" s="3" customFormat="1" x14ac:dyDescent="0.25">
      <c r="A832" s="20">
        <v>42072</v>
      </c>
      <c r="B832" s="21">
        <v>14342</v>
      </c>
      <c r="C832" s="14" t="s">
        <v>24</v>
      </c>
      <c r="D832" s="105">
        <v>145.6</v>
      </c>
      <c r="E832" s="23">
        <v>42093</v>
      </c>
      <c r="F832" s="106">
        <v>145.6</v>
      </c>
      <c r="G832" s="31">
        <f t="shared" si="12"/>
        <v>0</v>
      </c>
      <c r="H832" s="19" t="s">
        <v>9</v>
      </c>
      <c r="I832" s="4"/>
      <c r="J832" s="43"/>
    </row>
    <row r="833" spans="1:10" s="3" customFormat="1" x14ac:dyDescent="0.25">
      <c r="A833" s="20">
        <v>42072</v>
      </c>
      <c r="B833" s="21">
        <v>14343</v>
      </c>
      <c r="C833" s="14" t="s">
        <v>24</v>
      </c>
      <c r="D833" s="105">
        <v>2440.1999999999998</v>
      </c>
      <c r="E833" s="23">
        <v>42093</v>
      </c>
      <c r="F833" s="106">
        <v>2440.1999999999998</v>
      </c>
      <c r="G833" s="31">
        <f t="shared" si="12"/>
        <v>0</v>
      </c>
      <c r="H833" s="19" t="s">
        <v>9</v>
      </c>
      <c r="I833" s="4"/>
      <c r="J833" s="43"/>
    </row>
    <row r="834" spans="1:10" s="3" customFormat="1" x14ac:dyDescent="0.25">
      <c r="A834" s="20">
        <v>42072</v>
      </c>
      <c r="B834" s="21">
        <v>14344</v>
      </c>
      <c r="C834" s="14" t="s">
        <v>305</v>
      </c>
      <c r="D834" s="105">
        <v>2040</v>
      </c>
      <c r="E834" s="23">
        <v>42072</v>
      </c>
      <c r="F834" s="106">
        <v>2040</v>
      </c>
      <c r="G834" s="31">
        <f t="shared" si="12"/>
        <v>0</v>
      </c>
      <c r="H834" s="19" t="s">
        <v>9</v>
      </c>
      <c r="I834" s="4"/>
      <c r="J834" s="43"/>
    </row>
    <row r="835" spans="1:10" s="3" customFormat="1" x14ac:dyDescent="0.25">
      <c r="A835" s="20">
        <v>42072</v>
      </c>
      <c r="B835" s="21">
        <v>14345</v>
      </c>
      <c r="C835" s="14" t="s">
        <v>47</v>
      </c>
      <c r="D835" s="105">
        <v>6199.2</v>
      </c>
      <c r="E835" s="23">
        <v>42074</v>
      </c>
      <c r="F835" s="106">
        <v>6199.2</v>
      </c>
      <c r="G835" s="31">
        <f t="shared" ref="G835:G898" si="13">D835-F835</f>
        <v>0</v>
      </c>
      <c r="H835" s="19" t="s">
        <v>9</v>
      </c>
      <c r="J835" s="42"/>
    </row>
    <row r="836" spans="1:10" s="3" customFormat="1" x14ac:dyDescent="0.25">
      <c r="A836" s="20">
        <v>42072</v>
      </c>
      <c r="B836" s="21">
        <v>14346</v>
      </c>
      <c r="C836" s="14" t="s">
        <v>375</v>
      </c>
      <c r="D836" s="105">
        <v>148.80000000000001</v>
      </c>
      <c r="E836" s="23">
        <v>42072</v>
      </c>
      <c r="F836" s="106">
        <v>148.80000000000001</v>
      </c>
      <c r="G836" s="31">
        <f t="shared" si="13"/>
        <v>0</v>
      </c>
      <c r="H836" s="19" t="s">
        <v>9</v>
      </c>
      <c r="J836" s="42"/>
    </row>
    <row r="837" spans="1:10" s="3" customFormat="1" x14ac:dyDescent="0.25">
      <c r="A837" s="20">
        <v>42072</v>
      </c>
      <c r="B837" s="21">
        <v>14347</v>
      </c>
      <c r="C837" s="14" t="s">
        <v>199</v>
      </c>
      <c r="D837" s="105">
        <v>17606.599999999999</v>
      </c>
      <c r="E837" s="23">
        <v>42074</v>
      </c>
      <c r="F837" s="106">
        <v>17606.599999999999</v>
      </c>
      <c r="G837" s="31">
        <f t="shared" si="13"/>
        <v>0</v>
      </c>
      <c r="H837" s="19" t="s">
        <v>149</v>
      </c>
      <c r="J837" s="42"/>
    </row>
    <row r="838" spans="1:10" s="3" customFormat="1" x14ac:dyDescent="0.25">
      <c r="A838" s="20">
        <v>42072</v>
      </c>
      <c r="B838" s="21">
        <v>14348</v>
      </c>
      <c r="C838" s="14" t="s">
        <v>204</v>
      </c>
      <c r="D838" s="105">
        <v>7706.6</v>
      </c>
      <c r="E838" s="23">
        <v>42074</v>
      </c>
      <c r="F838" s="106">
        <v>7706.6</v>
      </c>
      <c r="G838" s="31">
        <f t="shared" si="13"/>
        <v>0</v>
      </c>
      <c r="H838" s="19" t="s">
        <v>149</v>
      </c>
      <c r="J838" s="42"/>
    </row>
    <row r="839" spans="1:10" s="3" customFormat="1" x14ac:dyDescent="0.25">
      <c r="A839" s="20">
        <v>42072</v>
      </c>
      <c r="B839" s="21">
        <v>14349</v>
      </c>
      <c r="C839" s="14" t="s">
        <v>210</v>
      </c>
      <c r="D839" s="105">
        <v>1348</v>
      </c>
      <c r="E839" s="23">
        <v>42074</v>
      </c>
      <c r="F839" s="106">
        <v>1348</v>
      </c>
      <c r="G839" s="31">
        <f t="shared" si="13"/>
        <v>0</v>
      </c>
      <c r="H839" s="19" t="s">
        <v>149</v>
      </c>
      <c r="J839" s="42"/>
    </row>
    <row r="840" spans="1:10" s="3" customFormat="1" x14ac:dyDescent="0.25">
      <c r="A840" s="20">
        <v>42072</v>
      </c>
      <c r="B840" s="21">
        <v>14350</v>
      </c>
      <c r="C840" s="14" t="s">
        <v>262</v>
      </c>
      <c r="D840" s="105">
        <v>8006.4</v>
      </c>
      <c r="E840" s="23">
        <v>42074</v>
      </c>
      <c r="F840" s="106">
        <v>8006.4</v>
      </c>
      <c r="G840" s="31">
        <f t="shared" si="13"/>
        <v>0</v>
      </c>
      <c r="H840" s="19" t="s">
        <v>149</v>
      </c>
      <c r="J840" s="42"/>
    </row>
    <row r="841" spans="1:10" s="3" customFormat="1" x14ac:dyDescent="0.25">
      <c r="A841" s="20">
        <v>42072</v>
      </c>
      <c r="B841" s="21">
        <v>14351</v>
      </c>
      <c r="C841" s="14" t="s">
        <v>200</v>
      </c>
      <c r="D841" s="105">
        <v>417.6</v>
      </c>
      <c r="E841" s="23">
        <v>42074</v>
      </c>
      <c r="F841" s="106">
        <v>417.6</v>
      </c>
      <c r="G841" s="31">
        <f t="shared" si="13"/>
        <v>0</v>
      </c>
      <c r="H841" s="19" t="s">
        <v>149</v>
      </c>
      <c r="J841" s="42"/>
    </row>
    <row r="842" spans="1:10" s="3" customFormat="1" x14ac:dyDescent="0.25">
      <c r="A842" s="20">
        <v>42072</v>
      </c>
      <c r="B842" s="21">
        <v>14352</v>
      </c>
      <c r="C842" s="14" t="s">
        <v>68</v>
      </c>
      <c r="D842" s="105">
        <v>6379.8</v>
      </c>
      <c r="E842" s="23">
        <v>42074</v>
      </c>
      <c r="F842" s="106">
        <v>6379.8</v>
      </c>
      <c r="G842" s="31">
        <f t="shared" si="13"/>
        <v>0</v>
      </c>
      <c r="H842" s="19" t="s">
        <v>149</v>
      </c>
      <c r="J842" s="42"/>
    </row>
    <row r="843" spans="1:10" s="3" customFormat="1" x14ac:dyDescent="0.25">
      <c r="A843" s="20">
        <v>42072</v>
      </c>
      <c r="B843" s="21">
        <v>14353</v>
      </c>
      <c r="C843" s="14" t="s">
        <v>207</v>
      </c>
      <c r="D843" s="105">
        <v>34441.699999999997</v>
      </c>
      <c r="E843" s="23">
        <v>42079</v>
      </c>
      <c r="F843" s="106">
        <v>34441.699999999997</v>
      </c>
      <c r="G843" s="31">
        <f t="shared" si="13"/>
        <v>0</v>
      </c>
      <c r="H843" s="19" t="s">
        <v>149</v>
      </c>
      <c r="J843" s="42"/>
    </row>
    <row r="844" spans="1:10" s="3" customFormat="1" x14ac:dyDescent="0.25">
      <c r="A844" s="20">
        <v>42072</v>
      </c>
      <c r="B844" s="21">
        <v>14354</v>
      </c>
      <c r="C844" s="14" t="s">
        <v>198</v>
      </c>
      <c r="D844" s="105">
        <v>2993.16</v>
      </c>
      <c r="E844" s="23">
        <v>42074</v>
      </c>
      <c r="F844" s="106">
        <v>2993.16</v>
      </c>
      <c r="G844" s="31">
        <f t="shared" si="13"/>
        <v>0</v>
      </c>
      <c r="H844" s="19" t="s">
        <v>149</v>
      </c>
      <c r="J844" s="42"/>
    </row>
    <row r="845" spans="1:10" s="3" customFormat="1" x14ac:dyDescent="0.25">
      <c r="A845" s="20">
        <v>42072</v>
      </c>
      <c r="B845" s="21">
        <v>14355</v>
      </c>
      <c r="C845" s="14" t="s">
        <v>90</v>
      </c>
      <c r="D845" s="105">
        <v>1127.2</v>
      </c>
      <c r="E845" s="23">
        <v>42072</v>
      </c>
      <c r="F845" s="106">
        <v>1127.2</v>
      </c>
      <c r="G845" s="31">
        <f t="shared" si="13"/>
        <v>0</v>
      </c>
      <c r="H845" s="19" t="s">
        <v>9</v>
      </c>
      <c r="J845" s="42"/>
    </row>
    <row r="846" spans="1:10" s="3" customFormat="1" x14ac:dyDescent="0.25">
      <c r="A846" s="20">
        <v>42072</v>
      </c>
      <c r="B846" s="21">
        <v>14356</v>
      </c>
      <c r="C846" s="14" t="s">
        <v>196</v>
      </c>
      <c r="D846" s="105">
        <v>544.79999999999995</v>
      </c>
      <c r="E846" s="23">
        <v>42074</v>
      </c>
      <c r="F846" s="106">
        <v>544.79999999999995</v>
      </c>
      <c r="G846" s="31">
        <f t="shared" si="13"/>
        <v>0</v>
      </c>
      <c r="H846" s="19" t="s">
        <v>149</v>
      </c>
      <c r="J846" s="42"/>
    </row>
    <row r="847" spans="1:10" s="3" customFormat="1" x14ac:dyDescent="0.25">
      <c r="A847" s="20">
        <v>42072</v>
      </c>
      <c r="B847" s="21">
        <v>14357</v>
      </c>
      <c r="C847" s="14" t="s">
        <v>205</v>
      </c>
      <c r="D847" s="105">
        <v>8910.7999999999993</v>
      </c>
      <c r="E847" s="23">
        <v>42075</v>
      </c>
      <c r="F847" s="106">
        <v>8910.7999999999993</v>
      </c>
      <c r="G847" s="31">
        <f t="shared" si="13"/>
        <v>0</v>
      </c>
      <c r="H847" s="19" t="s">
        <v>149</v>
      </c>
      <c r="J847" s="42"/>
    </row>
    <row r="848" spans="1:10" s="3" customFormat="1" x14ac:dyDescent="0.25">
      <c r="A848" s="20">
        <v>42072</v>
      </c>
      <c r="B848" s="21">
        <v>14358</v>
      </c>
      <c r="C848" s="14" t="s">
        <v>136</v>
      </c>
      <c r="D848" s="105">
        <v>432</v>
      </c>
      <c r="E848" s="23">
        <v>42072</v>
      </c>
      <c r="F848" s="106">
        <v>432</v>
      </c>
      <c r="G848" s="31">
        <f t="shared" si="13"/>
        <v>0</v>
      </c>
      <c r="H848" s="19" t="s">
        <v>9</v>
      </c>
      <c r="J848" s="42"/>
    </row>
    <row r="849" spans="1:10" s="3" customFormat="1" x14ac:dyDescent="0.25">
      <c r="A849" s="20">
        <v>42072</v>
      </c>
      <c r="B849" s="21">
        <v>14359</v>
      </c>
      <c r="C849" s="14" t="s">
        <v>733</v>
      </c>
      <c r="D849" s="105">
        <v>4876</v>
      </c>
      <c r="E849" s="23">
        <v>42074</v>
      </c>
      <c r="F849" s="106">
        <v>4876</v>
      </c>
      <c r="G849" s="31">
        <f t="shared" si="13"/>
        <v>0</v>
      </c>
      <c r="H849" s="19" t="s">
        <v>149</v>
      </c>
      <c r="J849" s="42"/>
    </row>
    <row r="850" spans="1:10" s="3" customFormat="1" x14ac:dyDescent="0.25">
      <c r="A850" s="20">
        <v>42072</v>
      </c>
      <c r="B850" s="21">
        <v>14360</v>
      </c>
      <c r="C850" s="14" t="s">
        <v>420</v>
      </c>
      <c r="D850" s="105">
        <v>4065</v>
      </c>
      <c r="E850" s="23">
        <v>42074</v>
      </c>
      <c r="F850" s="106">
        <v>4065</v>
      </c>
      <c r="G850" s="31">
        <f t="shared" si="13"/>
        <v>0</v>
      </c>
      <c r="H850" s="19" t="s">
        <v>149</v>
      </c>
      <c r="J850" s="42"/>
    </row>
    <row r="851" spans="1:10" s="3" customFormat="1" x14ac:dyDescent="0.25">
      <c r="A851" s="20">
        <v>42072</v>
      </c>
      <c r="B851" s="21">
        <v>14361</v>
      </c>
      <c r="C851" s="14" t="s">
        <v>137</v>
      </c>
      <c r="D851" s="105">
        <v>80</v>
      </c>
      <c r="E851" s="23">
        <v>42072</v>
      </c>
      <c r="F851" s="106">
        <v>80</v>
      </c>
      <c r="G851" s="31">
        <f t="shared" si="13"/>
        <v>0</v>
      </c>
      <c r="H851" s="19" t="s">
        <v>9</v>
      </c>
      <c r="I851" s="4"/>
      <c r="J851" s="107"/>
    </row>
    <row r="852" spans="1:10" s="3" customFormat="1" x14ac:dyDescent="0.25">
      <c r="A852" s="20">
        <v>42072</v>
      </c>
      <c r="B852" s="21">
        <v>14362</v>
      </c>
      <c r="C852" s="14" t="s">
        <v>823</v>
      </c>
      <c r="D852" s="105">
        <v>5168</v>
      </c>
      <c r="E852" s="23">
        <v>42072</v>
      </c>
      <c r="F852" s="106">
        <v>5168</v>
      </c>
      <c r="G852" s="31">
        <f t="shared" si="13"/>
        <v>0</v>
      </c>
      <c r="H852" s="19" t="s">
        <v>9</v>
      </c>
      <c r="I852" s="4"/>
      <c r="J852" s="43"/>
    </row>
    <row r="853" spans="1:10" s="3" customFormat="1" x14ac:dyDescent="0.25">
      <c r="A853" s="20">
        <v>42072</v>
      </c>
      <c r="B853" s="21">
        <v>14363</v>
      </c>
      <c r="C853" s="14" t="s">
        <v>806</v>
      </c>
      <c r="D853" s="105">
        <v>22447.599999999999</v>
      </c>
      <c r="E853" s="23">
        <v>42074</v>
      </c>
      <c r="F853" s="106">
        <v>22447.599999999999</v>
      </c>
      <c r="G853" s="31">
        <f t="shared" si="13"/>
        <v>0</v>
      </c>
      <c r="H853" s="19" t="s">
        <v>9</v>
      </c>
      <c r="I853" s="4"/>
      <c r="J853" s="43"/>
    </row>
    <row r="854" spans="1:10" s="3" customFormat="1" x14ac:dyDescent="0.25">
      <c r="A854" s="20">
        <v>42072</v>
      </c>
      <c r="B854" s="21">
        <v>14364</v>
      </c>
      <c r="C854" s="14" t="s">
        <v>136</v>
      </c>
      <c r="D854" s="105">
        <v>216</v>
      </c>
      <c r="E854" s="23">
        <v>42072</v>
      </c>
      <c r="F854" s="106">
        <v>216</v>
      </c>
      <c r="G854" s="31">
        <f t="shared" si="13"/>
        <v>0</v>
      </c>
      <c r="H854" s="19" t="s">
        <v>9</v>
      </c>
      <c r="I854" s="4"/>
      <c r="J854" s="43"/>
    </row>
    <row r="855" spans="1:10" s="3" customFormat="1" x14ac:dyDescent="0.25">
      <c r="A855" s="20">
        <v>42072</v>
      </c>
      <c r="B855" s="21">
        <v>14365</v>
      </c>
      <c r="C855" s="14" t="s">
        <v>38</v>
      </c>
      <c r="D855" s="105">
        <v>34170</v>
      </c>
      <c r="E855" s="23">
        <v>42082</v>
      </c>
      <c r="F855" s="106">
        <v>34170</v>
      </c>
      <c r="G855" s="31">
        <f t="shared" si="13"/>
        <v>0</v>
      </c>
      <c r="H855" s="19" t="s">
        <v>41</v>
      </c>
      <c r="I855" s="4"/>
      <c r="J855" s="43"/>
    </row>
    <row r="856" spans="1:10" s="3" customFormat="1" x14ac:dyDescent="0.25">
      <c r="A856" s="20">
        <v>42072</v>
      </c>
      <c r="B856" s="21">
        <v>14366</v>
      </c>
      <c r="C856" s="14" t="s">
        <v>440</v>
      </c>
      <c r="D856" s="105">
        <v>5758.5</v>
      </c>
      <c r="E856" s="23">
        <v>42072</v>
      </c>
      <c r="F856" s="106">
        <v>5758.5</v>
      </c>
      <c r="G856" s="31">
        <f t="shared" si="13"/>
        <v>0</v>
      </c>
      <c r="H856" s="19" t="s">
        <v>9</v>
      </c>
      <c r="I856" s="4"/>
      <c r="J856" s="107"/>
    </row>
    <row r="857" spans="1:10" s="3" customFormat="1" x14ac:dyDescent="0.25">
      <c r="A857" s="20">
        <v>42072</v>
      </c>
      <c r="B857" s="21">
        <v>14367</v>
      </c>
      <c r="C857" s="14" t="s">
        <v>45</v>
      </c>
      <c r="D857" s="105">
        <v>31493.25</v>
      </c>
      <c r="E857" s="23">
        <v>42081</v>
      </c>
      <c r="F857" s="106">
        <v>31493.25</v>
      </c>
      <c r="G857" s="31">
        <f t="shared" si="13"/>
        <v>0</v>
      </c>
      <c r="H857" s="19" t="s">
        <v>9</v>
      </c>
      <c r="I857" s="4"/>
      <c r="J857" s="43"/>
    </row>
    <row r="858" spans="1:10" s="3" customFormat="1" x14ac:dyDescent="0.25">
      <c r="A858" s="20">
        <v>42072</v>
      </c>
      <c r="B858" s="21">
        <v>14368</v>
      </c>
      <c r="C858" s="14" t="s">
        <v>286</v>
      </c>
      <c r="D858" s="105">
        <v>96</v>
      </c>
      <c r="E858" s="23">
        <v>42072</v>
      </c>
      <c r="F858" s="106">
        <v>96</v>
      </c>
      <c r="G858" s="31">
        <f t="shared" si="13"/>
        <v>0</v>
      </c>
      <c r="H858" s="19" t="s">
        <v>9</v>
      </c>
      <c r="I858" s="4"/>
      <c r="J858" s="43"/>
    </row>
    <row r="859" spans="1:10" s="3" customFormat="1" x14ac:dyDescent="0.25">
      <c r="A859" s="20">
        <v>42072</v>
      </c>
      <c r="B859" s="21">
        <v>14369</v>
      </c>
      <c r="C859" s="14" t="s">
        <v>24</v>
      </c>
      <c r="D859" s="105">
        <v>192693.87</v>
      </c>
      <c r="E859" s="30" t="s">
        <v>998</v>
      </c>
      <c r="F859" s="144">
        <f>30074.15+162619.72</f>
        <v>192693.87</v>
      </c>
      <c r="G859" s="31">
        <f t="shared" si="13"/>
        <v>0</v>
      </c>
      <c r="H859" s="19" t="s">
        <v>9</v>
      </c>
      <c r="I859" s="4"/>
      <c r="J859" s="43"/>
    </row>
    <row r="860" spans="1:10" s="3" customFormat="1" x14ac:dyDescent="0.25">
      <c r="A860" s="20">
        <v>42072</v>
      </c>
      <c r="B860" s="21">
        <v>14370</v>
      </c>
      <c r="C860" s="14" t="s">
        <v>375</v>
      </c>
      <c r="D860" s="105">
        <v>794.4</v>
      </c>
      <c r="E860" s="23">
        <v>42072</v>
      </c>
      <c r="F860" s="106">
        <v>794.4</v>
      </c>
      <c r="G860" s="31">
        <f t="shared" si="13"/>
        <v>0</v>
      </c>
      <c r="H860" s="19" t="s">
        <v>9</v>
      </c>
      <c r="I860" s="4"/>
      <c r="J860" s="43"/>
    </row>
    <row r="861" spans="1:10" s="3" customFormat="1" x14ac:dyDescent="0.25">
      <c r="A861" s="20">
        <v>42072</v>
      </c>
      <c r="B861" s="21">
        <v>14371</v>
      </c>
      <c r="C861" s="14" t="s">
        <v>195</v>
      </c>
      <c r="D861" s="105">
        <v>143601.41</v>
      </c>
      <c r="E861" s="30" t="s">
        <v>824</v>
      </c>
      <c r="F861" s="106">
        <v>143601.41</v>
      </c>
      <c r="G861" s="31">
        <f t="shared" si="13"/>
        <v>0</v>
      </c>
      <c r="H861" s="19" t="s">
        <v>149</v>
      </c>
      <c r="I861" s="4"/>
      <c r="J861" s="43"/>
    </row>
    <row r="862" spans="1:10" s="3" customFormat="1" x14ac:dyDescent="0.25">
      <c r="A862" s="20">
        <v>42072</v>
      </c>
      <c r="B862" s="21">
        <v>14372</v>
      </c>
      <c r="C862" s="14" t="s">
        <v>552</v>
      </c>
      <c r="D862" s="105">
        <v>14965.1</v>
      </c>
      <c r="E862" s="23">
        <v>42074</v>
      </c>
      <c r="F862" s="106">
        <v>14965.1</v>
      </c>
      <c r="G862" s="31">
        <f t="shared" si="13"/>
        <v>0</v>
      </c>
      <c r="H862" s="19" t="s">
        <v>149</v>
      </c>
      <c r="I862" s="4"/>
      <c r="J862" s="43"/>
    </row>
    <row r="863" spans="1:10" s="3" customFormat="1" x14ac:dyDescent="0.25">
      <c r="A863" s="20">
        <v>42072</v>
      </c>
      <c r="B863" s="21">
        <v>14373</v>
      </c>
      <c r="C863" s="14" t="s">
        <v>80</v>
      </c>
      <c r="D863" s="105">
        <v>7269.2</v>
      </c>
      <c r="E863" s="23">
        <v>42072</v>
      </c>
      <c r="F863" s="106">
        <v>7269.2</v>
      </c>
      <c r="G863" s="31">
        <f t="shared" si="13"/>
        <v>0</v>
      </c>
      <c r="H863" s="19" t="s">
        <v>9</v>
      </c>
      <c r="I863" s="4"/>
      <c r="J863" s="43"/>
    </row>
    <row r="864" spans="1:10" s="3" customFormat="1" x14ac:dyDescent="0.25">
      <c r="A864" s="20">
        <v>42072</v>
      </c>
      <c r="B864" s="21">
        <v>14374</v>
      </c>
      <c r="C864" s="14" t="s">
        <v>24</v>
      </c>
      <c r="D864" s="105">
        <v>59072.4</v>
      </c>
      <c r="E864" s="30">
        <v>42095</v>
      </c>
      <c r="F864" s="144">
        <v>59072.4</v>
      </c>
      <c r="G864" s="31">
        <f t="shared" si="13"/>
        <v>0</v>
      </c>
      <c r="H864" s="19" t="s">
        <v>46</v>
      </c>
      <c r="I864" s="4"/>
      <c r="J864" s="43"/>
    </row>
    <row r="865" spans="1:10" s="3" customFormat="1" x14ac:dyDescent="0.25">
      <c r="A865" s="20">
        <v>42072</v>
      </c>
      <c r="B865" s="21">
        <v>14375</v>
      </c>
      <c r="C865" s="14" t="s">
        <v>825</v>
      </c>
      <c r="D865" s="105">
        <v>7583.28</v>
      </c>
      <c r="E865" s="30" t="s">
        <v>826</v>
      </c>
      <c r="F865" s="106">
        <v>7583.28</v>
      </c>
      <c r="G865" s="31">
        <f t="shared" si="13"/>
        <v>0</v>
      </c>
      <c r="H865" s="19" t="s">
        <v>9</v>
      </c>
      <c r="I865" s="4"/>
      <c r="J865" s="43"/>
    </row>
    <row r="866" spans="1:10" s="3" customFormat="1" x14ac:dyDescent="0.25">
      <c r="A866" s="20">
        <v>42072</v>
      </c>
      <c r="B866" s="21">
        <v>14376</v>
      </c>
      <c r="C866" s="14" t="s">
        <v>406</v>
      </c>
      <c r="D866" s="105">
        <v>10036</v>
      </c>
      <c r="E866" s="23">
        <v>42072</v>
      </c>
      <c r="F866" s="106">
        <v>10036</v>
      </c>
      <c r="G866" s="31">
        <f t="shared" si="13"/>
        <v>0</v>
      </c>
      <c r="H866" s="19" t="s">
        <v>9</v>
      </c>
      <c r="I866" s="4"/>
      <c r="J866" s="43"/>
    </row>
    <row r="867" spans="1:10" s="3" customFormat="1" x14ac:dyDescent="0.25">
      <c r="A867" s="20">
        <v>42072</v>
      </c>
      <c r="B867" s="21">
        <v>14377</v>
      </c>
      <c r="C867" s="14" t="s">
        <v>59</v>
      </c>
      <c r="D867" s="105">
        <v>201.6</v>
      </c>
      <c r="E867" s="23">
        <v>42072</v>
      </c>
      <c r="F867" s="106">
        <v>201.6</v>
      </c>
      <c r="G867" s="31">
        <f t="shared" si="13"/>
        <v>0</v>
      </c>
      <c r="H867" s="19" t="s">
        <v>9</v>
      </c>
      <c r="J867" s="42"/>
    </row>
    <row r="868" spans="1:10" s="3" customFormat="1" x14ac:dyDescent="0.25">
      <c r="A868" s="20">
        <v>42072</v>
      </c>
      <c r="B868" s="21">
        <v>14378</v>
      </c>
      <c r="C868" s="14" t="s">
        <v>827</v>
      </c>
      <c r="D868" s="105">
        <v>4872.6000000000004</v>
      </c>
      <c r="E868" s="23">
        <v>42073</v>
      </c>
      <c r="F868" s="106">
        <v>4872.6000000000004</v>
      </c>
      <c r="G868" s="31">
        <f t="shared" si="13"/>
        <v>0</v>
      </c>
      <c r="H868" s="19" t="s">
        <v>41</v>
      </c>
      <c r="J868" s="42"/>
    </row>
    <row r="869" spans="1:10" s="3" customFormat="1" x14ac:dyDescent="0.25">
      <c r="A869" s="20">
        <v>42072</v>
      </c>
      <c r="B869" s="21">
        <v>14379</v>
      </c>
      <c r="C869" s="14" t="s">
        <v>411</v>
      </c>
      <c r="D869" s="105">
        <v>1610</v>
      </c>
      <c r="E869" s="23">
        <v>42073</v>
      </c>
      <c r="F869" s="106">
        <v>1610</v>
      </c>
      <c r="G869" s="31">
        <f t="shared" si="13"/>
        <v>0</v>
      </c>
      <c r="H869" s="19" t="s">
        <v>9</v>
      </c>
      <c r="J869" s="42"/>
    </row>
    <row r="870" spans="1:10" s="3" customFormat="1" x14ac:dyDescent="0.25">
      <c r="A870" s="20">
        <v>42072</v>
      </c>
      <c r="B870" s="21">
        <v>14380</v>
      </c>
      <c r="C870" s="14" t="s">
        <v>141</v>
      </c>
      <c r="D870" s="105">
        <v>1220.7</v>
      </c>
      <c r="E870" s="23">
        <v>42077</v>
      </c>
      <c r="F870" s="106">
        <v>1220.7</v>
      </c>
      <c r="G870" s="31">
        <f t="shared" si="13"/>
        <v>0</v>
      </c>
      <c r="H870" s="19" t="s">
        <v>9</v>
      </c>
      <c r="J870" s="42"/>
    </row>
    <row r="871" spans="1:10" s="3" customFormat="1" x14ac:dyDescent="0.25">
      <c r="A871" s="20">
        <v>42072</v>
      </c>
      <c r="B871" s="21">
        <v>14381</v>
      </c>
      <c r="C871" s="14" t="s">
        <v>471</v>
      </c>
      <c r="D871" s="105">
        <v>2056.1999999999998</v>
      </c>
      <c r="E871" s="23">
        <v>42074</v>
      </c>
      <c r="F871" s="106">
        <v>2056.1999999999998</v>
      </c>
      <c r="G871" s="31">
        <f t="shared" si="13"/>
        <v>0</v>
      </c>
      <c r="H871" s="19" t="s">
        <v>149</v>
      </c>
      <c r="J871" s="42"/>
    </row>
    <row r="872" spans="1:10" s="3" customFormat="1" x14ac:dyDescent="0.25">
      <c r="A872" s="20">
        <v>42072</v>
      </c>
      <c r="B872" s="21">
        <v>14382</v>
      </c>
      <c r="C872" s="14" t="s">
        <v>111</v>
      </c>
      <c r="D872" s="105">
        <v>111360</v>
      </c>
      <c r="E872" s="23">
        <v>42077</v>
      </c>
      <c r="F872" s="106">
        <v>111360</v>
      </c>
      <c r="G872" s="31">
        <f t="shared" si="13"/>
        <v>0</v>
      </c>
      <c r="H872" s="19" t="s">
        <v>9</v>
      </c>
      <c r="J872" s="42"/>
    </row>
    <row r="873" spans="1:10" s="3" customFormat="1" x14ac:dyDescent="0.25">
      <c r="A873" s="20">
        <v>42073</v>
      </c>
      <c r="B873" s="21">
        <v>14383</v>
      </c>
      <c r="C873" s="14" t="s">
        <v>18</v>
      </c>
      <c r="D873" s="105">
        <v>2436</v>
      </c>
      <c r="E873" s="23">
        <v>42073</v>
      </c>
      <c r="F873" s="106">
        <v>2436</v>
      </c>
      <c r="G873" s="31">
        <f t="shared" si="13"/>
        <v>0</v>
      </c>
      <c r="H873" s="19" t="s">
        <v>9</v>
      </c>
      <c r="J873" s="42"/>
    </row>
    <row r="874" spans="1:10" s="3" customFormat="1" x14ac:dyDescent="0.25">
      <c r="A874" s="20">
        <v>42073</v>
      </c>
      <c r="B874" s="21">
        <v>14384</v>
      </c>
      <c r="C874" s="14" t="s">
        <v>799</v>
      </c>
      <c r="D874" s="105">
        <v>65718.05</v>
      </c>
      <c r="E874" s="23">
        <v>42073</v>
      </c>
      <c r="F874" s="106">
        <v>65718.05</v>
      </c>
      <c r="G874" s="31">
        <f t="shared" si="13"/>
        <v>0</v>
      </c>
      <c r="H874" s="19" t="s">
        <v>9</v>
      </c>
      <c r="J874" s="42"/>
    </row>
    <row r="875" spans="1:10" s="3" customFormat="1" x14ac:dyDescent="0.25">
      <c r="A875" s="20">
        <v>42073</v>
      </c>
      <c r="B875" s="21">
        <v>14385</v>
      </c>
      <c r="C875" s="14" t="s">
        <v>267</v>
      </c>
      <c r="D875" s="105">
        <v>1195.9000000000001</v>
      </c>
      <c r="E875" s="23">
        <v>42073</v>
      </c>
      <c r="F875" s="106">
        <v>1195.9000000000001</v>
      </c>
      <c r="G875" s="31">
        <f t="shared" si="13"/>
        <v>0</v>
      </c>
      <c r="H875" s="19" t="s">
        <v>187</v>
      </c>
      <c r="J875" s="42"/>
    </row>
    <row r="876" spans="1:10" s="3" customFormat="1" x14ac:dyDescent="0.25">
      <c r="A876" s="20">
        <v>42073</v>
      </c>
      <c r="B876" s="21">
        <v>14386</v>
      </c>
      <c r="C876" s="14" t="s">
        <v>14</v>
      </c>
      <c r="D876" s="105">
        <v>16274.8</v>
      </c>
      <c r="E876" s="23">
        <v>42075</v>
      </c>
      <c r="F876" s="106">
        <v>16274.8</v>
      </c>
      <c r="G876" s="31">
        <f t="shared" si="13"/>
        <v>0</v>
      </c>
      <c r="H876" s="19" t="s">
        <v>15</v>
      </c>
      <c r="J876" s="42"/>
    </row>
    <row r="877" spans="1:10" s="3" customFormat="1" x14ac:dyDescent="0.25">
      <c r="A877" s="20">
        <v>42073</v>
      </c>
      <c r="B877" s="21">
        <v>14387</v>
      </c>
      <c r="C877" s="14" t="s">
        <v>16</v>
      </c>
      <c r="D877" s="105">
        <v>5585.6</v>
      </c>
      <c r="E877" s="23">
        <v>42073</v>
      </c>
      <c r="F877" s="106">
        <v>5585.6</v>
      </c>
      <c r="G877" s="31">
        <f t="shared" si="13"/>
        <v>0</v>
      </c>
      <c r="H877" s="19" t="s">
        <v>17</v>
      </c>
      <c r="J877" s="42"/>
    </row>
    <row r="878" spans="1:10" s="3" customFormat="1" x14ac:dyDescent="0.25">
      <c r="A878" s="20">
        <v>42073</v>
      </c>
      <c r="B878" s="21">
        <v>14388</v>
      </c>
      <c r="C878" s="14" t="s">
        <v>20</v>
      </c>
      <c r="D878" s="105">
        <v>10161.6</v>
      </c>
      <c r="E878" s="23">
        <v>42073</v>
      </c>
      <c r="F878" s="106">
        <v>10161.6</v>
      </c>
      <c r="G878" s="31">
        <f t="shared" si="13"/>
        <v>0</v>
      </c>
      <c r="H878" s="19" t="s">
        <v>94</v>
      </c>
      <c r="J878" s="42"/>
    </row>
    <row r="879" spans="1:10" s="3" customFormat="1" x14ac:dyDescent="0.25">
      <c r="A879" s="20">
        <v>42073</v>
      </c>
      <c r="B879" s="21">
        <v>14389</v>
      </c>
      <c r="C879" s="14" t="s">
        <v>121</v>
      </c>
      <c r="D879" s="105">
        <v>2160</v>
      </c>
      <c r="E879" s="23">
        <v>42073</v>
      </c>
      <c r="F879" s="106">
        <v>2160</v>
      </c>
      <c r="G879" s="31">
        <f t="shared" si="13"/>
        <v>0</v>
      </c>
      <c r="H879" s="19" t="s">
        <v>9</v>
      </c>
      <c r="J879" s="42"/>
    </row>
    <row r="880" spans="1:10" s="3" customFormat="1" x14ac:dyDescent="0.25">
      <c r="A880" s="20">
        <v>42073</v>
      </c>
      <c r="B880" s="21">
        <v>14390</v>
      </c>
      <c r="C880" s="14" t="s">
        <v>26</v>
      </c>
      <c r="D880" s="105">
        <v>1644</v>
      </c>
      <c r="E880" s="23">
        <v>42073</v>
      </c>
      <c r="F880" s="106">
        <v>1644</v>
      </c>
      <c r="G880" s="31">
        <f t="shared" si="13"/>
        <v>0</v>
      </c>
      <c r="H880" s="19" t="s">
        <v>27</v>
      </c>
      <c r="J880" s="42"/>
    </row>
    <row r="881" spans="1:10" s="3" customFormat="1" x14ac:dyDescent="0.25">
      <c r="A881" s="20">
        <v>42073</v>
      </c>
      <c r="B881" s="21">
        <v>14391</v>
      </c>
      <c r="C881" s="14" t="s">
        <v>720</v>
      </c>
      <c r="D881" s="105">
        <v>8434.7999999999993</v>
      </c>
      <c r="E881" s="23">
        <v>42073</v>
      </c>
      <c r="F881" s="106">
        <v>8434.7999999999993</v>
      </c>
      <c r="G881" s="31">
        <f t="shared" si="13"/>
        <v>0</v>
      </c>
      <c r="H881" s="19" t="s">
        <v>9</v>
      </c>
      <c r="J881" s="42"/>
    </row>
    <row r="882" spans="1:10" s="3" customFormat="1" x14ac:dyDescent="0.25">
      <c r="A882" s="20">
        <v>42073</v>
      </c>
      <c r="B882" s="21">
        <v>14392</v>
      </c>
      <c r="C882" s="110">
        <v>105</v>
      </c>
      <c r="D882" s="105">
        <v>1008</v>
      </c>
      <c r="E882" s="23">
        <v>42073</v>
      </c>
      <c r="F882" s="106">
        <v>1008</v>
      </c>
      <c r="G882" s="31">
        <f t="shared" si="13"/>
        <v>0</v>
      </c>
      <c r="H882" s="19" t="s">
        <v>59</v>
      </c>
      <c r="J882" s="42"/>
    </row>
    <row r="883" spans="1:10" s="3" customFormat="1" x14ac:dyDescent="0.25">
      <c r="A883" s="20">
        <v>42073</v>
      </c>
      <c r="B883" s="21">
        <v>14393</v>
      </c>
      <c r="C883" s="14" t="s">
        <v>239</v>
      </c>
      <c r="D883" s="105">
        <v>1415.25</v>
      </c>
      <c r="E883" s="23">
        <v>42078</v>
      </c>
      <c r="F883" s="106">
        <v>1415.25</v>
      </c>
      <c r="G883" s="31">
        <f t="shared" si="13"/>
        <v>0</v>
      </c>
      <c r="H883" s="19" t="s">
        <v>9</v>
      </c>
      <c r="I883" s="4"/>
      <c r="J883" s="43"/>
    </row>
    <row r="884" spans="1:10" s="3" customFormat="1" x14ac:dyDescent="0.25">
      <c r="A884" s="20">
        <v>42073</v>
      </c>
      <c r="B884" s="21">
        <v>14394</v>
      </c>
      <c r="C884" s="14" t="s">
        <v>21</v>
      </c>
      <c r="D884" s="105">
        <v>8124.8</v>
      </c>
      <c r="E884" s="23">
        <v>42073</v>
      </c>
      <c r="F884" s="106">
        <v>8124.8</v>
      </c>
      <c r="G884" s="31">
        <f t="shared" si="13"/>
        <v>0</v>
      </c>
      <c r="H884" s="19" t="s">
        <v>9</v>
      </c>
      <c r="I884" s="4"/>
      <c r="J884" s="43"/>
    </row>
    <row r="885" spans="1:10" s="3" customFormat="1" x14ac:dyDescent="0.25">
      <c r="A885" s="20">
        <v>42073</v>
      </c>
      <c r="B885" s="21">
        <v>14395</v>
      </c>
      <c r="C885" s="14" t="s">
        <v>214</v>
      </c>
      <c r="D885" s="105">
        <v>1440</v>
      </c>
      <c r="E885" s="23">
        <v>42073</v>
      </c>
      <c r="F885" s="106">
        <v>1440</v>
      </c>
      <c r="G885" s="31">
        <f t="shared" si="13"/>
        <v>0</v>
      </c>
      <c r="H885" s="19" t="s">
        <v>59</v>
      </c>
      <c r="I885" s="4"/>
      <c r="J885" s="43"/>
    </row>
    <row r="886" spans="1:10" s="3" customFormat="1" x14ac:dyDescent="0.25">
      <c r="A886" s="20">
        <v>42073</v>
      </c>
      <c r="B886" s="21">
        <v>14396</v>
      </c>
      <c r="C886" s="14" t="s">
        <v>22</v>
      </c>
      <c r="D886" s="105">
        <v>2865.6</v>
      </c>
      <c r="E886" s="23">
        <v>42073</v>
      </c>
      <c r="F886" s="106">
        <v>2865.6</v>
      </c>
      <c r="G886" s="31">
        <f t="shared" si="13"/>
        <v>0</v>
      </c>
      <c r="H886" s="19" t="s">
        <v>9</v>
      </c>
      <c r="I886" s="4"/>
      <c r="J886" s="43"/>
    </row>
    <row r="887" spans="1:10" s="3" customFormat="1" x14ac:dyDescent="0.25">
      <c r="A887" s="20">
        <v>42073</v>
      </c>
      <c r="B887" s="21">
        <v>14397</v>
      </c>
      <c r="C887" s="14" t="s">
        <v>114</v>
      </c>
      <c r="D887" s="105">
        <v>1680</v>
      </c>
      <c r="E887" s="23">
        <v>42073</v>
      </c>
      <c r="F887" s="106">
        <v>1680</v>
      </c>
      <c r="G887" s="31">
        <f t="shared" si="13"/>
        <v>0</v>
      </c>
      <c r="H887" s="19" t="s">
        <v>9</v>
      </c>
      <c r="I887" s="4"/>
      <c r="J887" s="43"/>
    </row>
    <row r="888" spans="1:10" s="3" customFormat="1" x14ac:dyDescent="0.25">
      <c r="A888" s="20">
        <v>42073</v>
      </c>
      <c r="B888" s="21">
        <v>14398</v>
      </c>
      <c r="C888" s="14" t="s">
        <v>32</v>
      </c>
      <c r="D888" s="105">
        <v>148181.29999999999</v>
      </c>
      <c r="E888" s="23">
        <v>42089</v>
      </c>
      <c r="F888" s="106">
        <v>148181.29999999999</v>
      </c>
      <c r="G888" s="31">
        <f t="shared" si="13"/>
        <v>0</v>
      </c>
      <c r="H888" s="19" t="s">
        <v>19</v>
      </c>
      <c r="I888" s="4"/>
      <c r="J888" s="43"/>
    </row>
    <row r="889" spans="1:10" s="3" customFormat="1" x14ac:dyDescent="0.25">
      <c r="A889" s="20">
        <v>42073</v>
      </c>
      <c r="B889" s="21">
        <v>14399</v>
      </c>
      <c r="C889" s="14" t="s">
        <v>137</v>
      </c>
      <c r="D889" s="105">
        <v>3282.8</v>
      </c>
      <c r="E889" s="23">
        <v>42073</v>
      </c>
      <c r="F889" s="106">
        <v>3282.8</v>
      </c>
      <c r="G889" s="31">
        <f t="shared" si="13"/>
        <v>0</v>
      </c>
      <c r="H889" s="19" t="s">
        <v>9</v>
      </c>
      <c r="I889" s="4"/>
      <c r="J889" s="43"/>
    </row>
    <row r="890" spans="1:10" s="3" customFormat="1" x14ac:dyDescent="0.25">
      <c r="A890" s="20">
        <v>42073</v>
      </c>
      <c r="B890" s="21">
        <v>14400</v>
      </c>
      <c r="C890" s="14" t="s">
        <v>604</v>
      </c>
      <c r="D890" s="105">
        <v>2022.6</v>
      </c>
      <c r="E890" s="23">
        <v>42073</v>
      </c>
      <c r="F890" s="106">
        <v>2022.6</v>
      </c>
      <c r="G890" s="31">
        <f t="shared" si="13"/>
        <v>0</v>
      </c>
      <c r="H890" s="19" t="s">
        <v>9</v>
      </c>
      <c r="I890" s="4"/>
      <c r="J890" s="43"/>
    </row>
    <row r="891" spans="1:10" s="3" customFormat="1" x14ac:dyDescent="0.25">
      <c r="A891" s="20">
        <v>42073</v>
      </c>
      <c r="B891" s="21">
        <v>14401</v>
      </c>
      <c r="C891" s="14" t="s">
        <v>155</v>
      </c>
      <c r="D891" s="105">
        <v>1876.8</v>
      </c>
      <c r="E891" s="23">
        <v>42073</v>
      </c>
      <c r="F891" s="106">
        <v>1876.8</v>
      </c>
      <c r="G891" s="31">
        <f t="shared" si="13"/>
        <v>0</v>
      </c>
      <c r="H891" s="19" t="s">
        <v>59</v>
      </c>
      <c r="I891" s="4"/>
      <c r="J891" s="43"/>
    </row>
    <row r="892" spans="1:10" s="3" customFormat="1" x14ac:dyDescent="0.25">
      <c r="A892" s="20">
        <v>42073</v>
      </c>
      <c r="B892" s="21">
        <v>14402</v>
      </c>
      <c r="C892" s="14" t="s">
        <v>828</v>
      </c>
      <c r="D892" s="105">
        <v>9541</v>
      </c>
      <c r="E892" s="23">
        <v>42087</v>
      </c>
      <c r="F892" s="106">
        <v>9541</v>
      </c>
      <c r="G892" s="31">
        <f t="shared" si="13"/>
        <v>0</v>
      </c>
      <c r="H892" s="19" t="s">
        <v>59</v>
      </c>
      <c r="I892" s="4"/>
      <c r="J892" s="43"/>
    </row>
    <row r="893" spans="1:10" s="3" customFormat="1" x14ac:dyDescent="0.25">
      <c r="A893" s="20">
        <v>42073</v>
      </c>
      <c r="B893" s="21">
        <v>14403</v>
      </c>
      <c r="C893" s="14" t="s">
        <v>367</v>
      </c>
      <c r="D893" s="105">
        <v>4498.2</v>
      </c>
      <c r="E893" s="23">
        <v>42088</v>
      </c>
      <c r="F893" s="106">
        <v>4498.2</v>
      </c>
      <c r="G893" s="31">
        <f t="shared" si="13"/>
        <v>0</v>
      </c>
      <c r="H893" s="19" t="s">
        <v>9</v>
      </c>
      <c r="I893" s="4"/>
      <c r="J893" s="107"/>
    </row>
    <row r="894" spans="1:10" s="3" customFormat="1" x14ac:dyDescent="0.25">
      <c r="A894" s="20">
        <v>42073</v>
      </c>
      <c r="B894" s="21">
        <v>14404</v>
      </c>
      <c r="C894" s="14" t="s">
        <v>292</v>
      </c>
      <c r="D894" s="105">
        <v>2035.8</v>
      </c>
      <c r="E894" s="23">
        <v>42073</v>
      </c>
      <c r="F894" s="106">
        <v>2035.8</v>
      </c>
      <c r="G894" s="31">
        <f t="shared" si="13"/>
        <v>0</v>
      </c>
      <c r="H894" s="19" t="s">
        <v>59</v>
      </c>
      <c r="I894" s="4"/>
      <c r="J894" s="43"/>
    </row>
    <row r="895" spans="1:10" s="3" customFormat="1" x14ac:dyDescent="0.25">
      <c r="A895" s="20">
        <v>42073</v>
      </c>
      <c r="B895" s="21">
        <v>14405</v>
      </c>
      <c r="C895" s="14" t="s">
        <v>168</v>
      </c>
      <c r="D895" s="105">
        <v>1394.6</v>
      </c>
      <c r="E895" s="23">
        <v>42073</v>
      </c>
      <c r="F895" s="106">
        <v>1394.6</v>
      </c>
      <c r="G895" s="31">
        <f t="shared" si="13"/>
        <v>0</v>
      </c>
      <c r="H895" s="19" t="s">
        <v>59</v>
      </c>
      <c r="I895" s="4"/>
      <c r="J895" s="43"/>
    </row>
    <row r="896" spans="1:10" s="3" customFormat="1" x14ac:dyDescent="0.25">
      <c r="A896" s="20">
        <v>42073</v>
      </c>
      <c r="B896" s="21">
        <v>14406</v>
      </c>
      <c r="C896" s="14" t="s">
        <v>53</v>
      </c>
      <c r="D896" s="105">
        <v>697</v>
      </c>
      <c r="E896" s="23">
        <v>42073</v>
      </c>
      <c r="F896" s="106">
        <v>697</v>
      </c>
      <c r="G896" s="31">
        <f t="shared" si="13"/>
        <v>0</v>
      </c>
      <c r="H896" s="39" t="s">
        <v>59</v>
      </c>
      <c r="I896" s="4"/>
      <c r="J896" s="43"/>
    </row>
    <row r="897" spans="1:10" s="3" customFormat="1" x14ac:dyDescent="0.25">
      <c r="A897" s="20">
        <v>42073</v>
      </c>
      <c r="B897" s="21">
        <v>14407</v>
      </c>
      <c r="C897" s="14" t="s">
        <v>81</v>
      </c>
      <c r="D897" s="105">
        <v>1231.5999999999999</v>
      </c>
      <c r="E897" s="23">
        <v>42073</v>
      </c>
      <c r="F897" s="106">
        <v>1231.5999999999999</v>
      </c>
      <c r="G897" s="31">
        <f t="shared" si="13"/>
        <v>0</v>
      </c>
      <c r="H897" s="39" t="s">
        <v>59</v>
      </c>
      <c r="I897" s="4"/>
      <c r="J897" s="43"/>
    </row>
    <row r="898" spans="1:10" s="3" customFormat="1" x14ac:dyDescent="0.25">
      <c r="A898" s="20">
        <v>42073</v>
      </c>
      <c r="B898" s="21">
        <v>14408</v>
      </c>
      <c r="C898" s="14" t="s">
        <v>45</v>
      </c>
      <c r="D898" s="105">
        <v>55955</v>
      </c>
      <c r="E898" s="23">
        <v>42081</v>
      </c>
      <c r="F898" s="106">
        <v>55955</v>
      </c>
      <c r="G898" s="31">
        <f t="shared" si="13"/>
        <v>0</v>
      </c>
      <c r="H898" s="39" t="s">
        <v>183</v>
      </c>
      <c r="I898" s="4"/>
      <c r="J898" s="43"/>
    </row>
    <row r="899" spans="1:10" s="3" customFormat="1" x14ac:dyDescent="0.25">
      <c r="A899" s="20">
        <v>42073</v>
      </c>
      <c r="B899" s="21">
        <v>14409</v>
      </c>
      <c r="C899" s="14" t="s">
        <v>82</v>
      </c>
      <c r="D899" s="105">
        <v>5365</v>
      </c>
      <c r="E899" s="23">
        <v>42073</v>
      </c>
      <c r="F899" s="106">
        <v>5365</v>
      </c>
      <c r="G899" s="31">
        <f t="shared" ref="G899:G962" si="14">D899-F899</f>
        <v>0</v>
      </c>
      <c r="H899" s="39" t="s">
        <v>59</v>
      </c>
      <c r="J899" s="42"/>
    </row>
    <row r="900" spans="1:10" s="3" customFormat="1" x14ac:dyDescent="0.25">
      <c r="A900" s="20">
        <v>42073</v>
      </c>
      <c r="B900" s="21">
        <v>14410</v>
      </c>
      <c r="C900" s="14" t="s">
        <v>57</v>
      </c>
      <c r="D900" s="105">
        <v>900</v>
      </c>
      <c r="E900" s="23">
        <v>42073</v>
      </c>
      <c r="F900" s="106">
        <v>900</v>
      </c>
      <c r="G900" s="31">
        <f t="shared" si="14"/>
        <v>0</v>
      </c>
      <c r="H900" s="39" t="s">
        <v>59</v>
      </c>
      <c r="J900" s="42"/>
    </row>
    <row r="901" spans="1:10" s="3" customFormat="1" x14ac:dyDescent="0.25">
      <c r="A901" s="20">
        <v>42073</v>
      </c>
      <c r="B901" s="21">
        <v>14411</v>
      </c>
      <c r="C901" s="14" t="s">
        <v>57</v>
      </c>
      <c r="D901" s="105">
        <v>50.6</v>
      </c>
      <c r="E901" s="23">
        <v>42073</v>
      </c>
      <c r="F901" s="106">
        <v>50.6</v>
      </c>
      <c r="G901" s="31">
        <f t="shared" si="14"/>
        <v>0</v>
      </c>
      <c r="H901" s="39" t="s">
        <v>187</v>
      </c>
      <c r="J901" s="42"/>
    </row>
    <row r="902" spans="1:10" s="3" customFormat="1" x14ac:dyDescent="0.25">
      <c r="A902" s="20">
        <v>42073</v>
      </c>
      <c r="B902" s="21">
        <v>14412</v>
      </c>
      <c r="C902" s="14" t="s">
        <v>828</v>
      </c>
      <c r="D902" s="105">
        <v>1412</v>
      </c>
      <c r="E902" s="23">
        <v>42087</v>
      </c>
      <c r="F902" s="106">
        <v>1412</v>
      </c>
      <c r="G902" s="31">
        <f t="shared" si="14"/>
        <v>0</v>
      </c>
      <c r="H902" s="39" t="s">
        <v>59</v>
      </c>
      <c r="J902" s="42"/>
    </row>
    <row r="903" spans="1:10" s="3" customFormat="1" x14ac:dyDescent="0.25">
      <c r="A903" s="20">
        <v>42073</v>
      </c>
      <c r="B903" s="21">
        <v>14413</v>
      </c>
      <c r="C903" s="14" t="s">
        <v>829</v>
      </c>
      <c r="D903" s="105">
        <v>2689.5</v>
      </c>
      <c r="E903" s="23">
        <v>42073</v>
      </c>
      <c r="F903" s="106">
        <v>2689.5</v>
      </c>
      <c r="G903" s="31">
        <f t="shared" si="14"/>
        <v>0</v>
      </c>
      <c r="H903" s="39" t="s">
        <v>9</v>
      </c>
      <c r="J903" s="42"/>
    </row>
    <row r="904" spans="1:10" s="3" customFormat="1" x14ac:dyDescent="0.25">
      <c r="A904" s="20">
        <v>42073</v>
      </c>
      <c r="B904" s="21">
        <v>14414</v>
      </c>
      <c r="C904" s="14" t="s">
        <v>24</v>
      </c>
      <c r="D904" s="105">
        <v>21687.8</v>
      </c>
      <c r="E904" s="23">
        <v>42087</v>
      </c>
      <c r="F904" s="106">
        <v>21687.8</v>
      </c>
      <c r="G904" s="31">
        <f t="shared" si="14"/>
        <v>0</v>
      </c>
      <c r="H904" s="39" t="s">
        <v>187</v>
      </c>
      <c r="J904" s="42"/>
    </row>
    <row r="905" spans="1:10" s="3" customFormat="1" x14ac:dyDescent="0.25">
      <c r="A905" s="20">
        <v>42073</v>
      </c>
      <c r="B905" s="21">
        <v>14415</v>
      </c>
      <c r="C905" s="14" t="s">
        <v>151</v>
      </c>
      <c r="D905" s="105">
        <v>3612.1</v>
      </c>
      <c r="E905" s="23">
        <v>42074</v>
      </c>
      <c r="F905" s="106">
        <v>3612.1</v>
      </c>
      <c r="G905" s="31">
        <f t="shared" si="14"/>
        <v>0</v>
      </c>
      <c r="H905" s="39" t="s">
        <v>9</v>
      </c>
      <c r="J905" s="42"/>
    </row>
    <row r="906" spans="1:10" s="3" customFormat="1" x14ac:dyDescent="0.25">
      <c r="A906" s="20">
        <v>42073</v>
      </c>
      <c r="B906" s="21">
        <v>14416</v>
      </c>
      <c r="C906" s="14" t="s">
        <v>169</v>
      </c>
      <c r="D906" s="105">
        <v>1337.6</v>
      </c>
      <c r="E906" s="23">
        <v>42073</v>
      </c>
      <c r="F906" s="106">
        <v>1337.6</v>
      </c>
      <c r="G906" s="31">
        <f t="shared" si="14"/>
        <v>0</v>
      </c>
      <c r="H906" s="39" t="s">
        <v>59</v>
      </c>
      <c r="J906" s="42"/>
    </row>
    <row r="907" spans="1:10" s="3" customFormat="1" x14ac:dyDescent="0.25">
      <c r="A907" s="20">
        <v>42073</v>
      </c>
      <c r="B907" s="21">
        <v>14417</v>
      </c>
      <c r="C907" s="14" t="s">
        <v>675</v>
      </c>
      <c r="D907" s="105">
        <v>1080</v>
      </c>
      <c r="E907" s="23">
        <v>42073</v>
      </c>
      <c r="F907" s="106">
        <v>1080</v>
      </c>
      <c r="G907" s="31">
        <f t="shared" si="14"/>
        <v>0</v>
      </c>
      <c r="H907" s="39" t="s">
        <v>9</v>
      </c>
      <c r="J907" s="42"/>
    </row>
    <row r="908" spans="1:10" s="3" customFormat="1" x14ac:dyDescent="0.25">
      <c r="A908" s="20">
        <v>42073</v>
      </c>
      <c r="B908" s="21">
        <v>14418</v>
      </c>
      <c r="C908" s="14" t="s">
        <v>270</v>
      </c>
      <c r="D908" s="105">
        <v>808.8</v>
      </c>
      <c r="E908" s="23">
        <v>42073</v>
      </c>
      <c r="F908" s="106">
        <v>808.8</v>
      </c>
      <c r="G908" s="31">
        <f t="shared" si="14"/>
        <v>0</v>
      </c>
      <c r="H908" s="39" t="s">
        <v>9</v>
      </c>
      <c r="J908" s="42"/>
    </row>
    <row r="909" spans="1:10" s="3" customFormat="1" x14ac:dyDescent="0.25">
      <c r="A909" s="20">
        <v>42073</v>
      </c>
      <c r="B909" s="21">
        <v>14419</v>
      </c>
      <c r="C909" s="14" t="s">
        <v>714</v>
      </c>
      <c r="D909" s="105">
        <v>1370.25</v>
      </c>
      <c r="E909" s="23">
        <v>42073</v>
      </c>
      <c r="F909" s="106">
        <v>1370.25</v>
      </c>
      <c r="G909" s="31">
        <f t="shared" si="14"/>
        <v>0</v>
      </c>
      <c r="H909" s="39" t="s">
        <v>9</v>
      </c>
      <c r="J909" s="42"/>
    </row>
    <row r="910" spans="1:10" s="3" customFormat="1" x14ac:dyDescent="0.25">
      <c r="A910" s="20">
        <v>42073</v>
      </c>
      <c r="B910" s="21">
        <v>14420</v>
      </c>
      <c r="C910" s="14" t="s">
        <v>435</v>
      </c>
      <c r="D910" s="105">
        <v>756</v>
      </c>
      <c r="E910" s="23">
        <v>42073</v>
      </c>
      <c r="F910" s="106">
        <v>756</v>
      </c>
      <c r="G910" s="31">
        <f t="shared" si="14"/>
        <v>0</v>
      </c>
      <c r="H910" s="39" t="s">
        <v>9</v>
      </c>
      <c r="J910" s="42"/>
    </row>
    <row r="911" spans="1:10" s="3" customFormat="1" x14ac:dyDescent="0.25">
      <c r="A911" s="20">
        <v>42073</v>
      </c>
      <c r="B911" s="21">
        <v>14421</v>
      </c>
      <c r="C911" s="14" t="s">
        <v>34</v>
      </c>
      <c r="D911" s="105">
        <v>2160</v>
      </c>
      <c r="E911" s="23">
        <v>42073</v>
      </c>
      <c r="F911" s="106">
        <v>2160</v>
      </c>
      <c r="G911" s="31">
        <f t="shared" si="14"/>
        <v>0</v>
      </c>
      <c r="H911" s="19" t="s">
        <v>9</v>
      </c>
      <c r="J911" s="42"/>
    </row>
    <row r="912" spans="1:10" s="3" customFormat="1" x14ac:dyDescent="0.25">
      <c r="A912" s="20">
        <v>42073</v>
      </c>
      <c r="B912" s="21">
        <v>14422</v>
      </c>
      <c r="C912" s="14" t="s">
        <v>110</v>
      </c>
      <c r="D912" s="105">
        <v>10440.5</v>
      </c>
      <c r="E912" s="23">
        <v>42087</v>
      </c>
      <c r="F912" s="106">
        <v>10440.5</v>
      </c>
      <c r="G912" s="31">
        <f t="shared" si="14"/>
        <v>0</v>
      </c>
      <c r="H912" s="19" t="s">
        <v>187</v>
      </c>
      <c r="J912" s="42"/>
    </row>
    <row r="913" spans="1:10" s="3" customFormat="1" x14ac:dyDescent="0.25">
      <c r="A913" s="20">
        <v>42073</v>
      </c>
      <c r="B913" s="21">
        <v>14423</v>
      </c>
      <c r="C913" s="14" t="s">
        <v>110</v>
      </c>
      <c r="D913" s="105">
        <v>1446.4</v>
      </c>
      <c r="E913" s="23">
        <v>42087</v>
      </c>
      <c r="F913" s="106">
        <v>1446.4</v>
      </c>
      <c r="G913" s="31">
        <f t="shared" si="14"/>
        <v>0</v>
      </c>
      <c r="H913" s="19" t="s">
        <v>187</v>
      </c>
      <c r="J913" s="42"/>
    </row>
    <row r="914" spans="1:10" s="3" customFormat="1" x14ac:dyDescent="0.25">
      <c r="A914" s="20">
        <v>42073</v>
      </c>
      <c r="B914" s="21">
        <v>14424</v>
      </c>
      <c r="C914" s="14" t="s">
        <v>229</v>
      </c>
      <c r="D914" s="105">
        <v>6124.7</v>
      </c>
      <c r="E914" s="23">
        <v>42073</v>
      </c>
      <c r="F914" s="106">
        <v>6124.7</v>
      </c>
      <c r="G914" s="31">
        <f t="shared" si="14"/>
        <v>0</v>
      </c>
      <c r="H914" s="19" t="s">
        <v>9</v>
      </c>
      <c r="J914" s="42"/>
    </row>
    <row r="915" spans="1:10" s="3" customFormat="1" x14ac:dyDescent="0.25">
      <c r="A915" s="20">
        <v>42073</v>
      </c>
      <c r="B915" s="21">
        <v>14425</v>
      </c>
      <c r="C915" s="14" t="s">
        <v>131</v>
      </c>
      <c r="D915" s="105">
        <v>6652.8</v>
      </c>
      <c r="E915" s="23">
        <v>42073</v>
      </c>
      <c r="F915" s="106">
        <v>6652.8</v>
      </c>
      <c r="G915" s="31">
        <f t="shared" si="14"/>
        <v>0</v>
      </c>
      <c r="H915" s="19" t="s">
        <v>17</v>
      </c>
      <c r="I915" s="4"/>
      <c r="J915" s="43"/>
    </row>
    <row r="916" spans="1:10" s="3" customFormat="1" x14ac:dyDescent="0.25">
      <c r="A916" s="20">
        <v>42073</v>
      </c>
      <c r="B916" s="21">
        <v>14426</v>
      </c>
      <c r="C916" s="26" t="s">
        <v>218</v>
      </c>
      <c r="D916" s="108">
        <v>0</v>
      </c>
      <c r="E916" s="23"/>
      <c r="F916" s="106"/>
      <c r="G916" s="31">
        <f t="shared" si="14"/>
        <v>0</v>
      </c>
      <c r="H916" s="19" t="s">
        <v>13</v>
      </c>
      <c r="I916" s="4"/>
      <c r="J916" s="43"/>
    </row>
    <row r="917" spans="1:10" s="3" customFormat="1" x14ac:dyDescent="0.25">
      <c r="A917" s="20">
        <v>42073</v>
      </c>
      <c r="B917" s="21">
        <v>14427</v>
      </c>
      <c r="C917" s="14" t="s">
        <v>795</v>
      </c>
      <c r="D917" s="105">
        <v>43047.199999999997</v>
      </c>
      <c r="E917" s="23">
        <v>42073</v>
      </c>
      <c r="F917" s="106">
        <v>43047.199999999997</v>
      </c>
      <c r="G917" s="31">
        <f t="shared" si="14"/>
        <v>0</v>
      </c>
      <c r="H917" s="19" t="s">
        <v>46</v>
      </c>
      <c r="I917" s="4"/>
      <c r="J917" s="43"/>
    </row>
    <row r="918" spans="1:10" s="3" customFormat="1" x14ac:dyDescent="0.25">
      <c r="A918" s="20">
        <v>42073</v>
      </c>
      <c r="B918" s="21">
        <v>14428</v>
      </c>
      <c r="C918" s="14" t="s">
        <v>185</v>
      </c>
      <c r="D918" s="105">
        <v>55727</v>
      </c>
      <c r="E918" s="23">
        <v>42073</v>
      </c>
      <c r="F918" s="106">
        <v>55727</v>
      </c>
      <c r="G918" s="31">
        <f t="shared" si="14"/>
        <v>0</v>
      </c>
      <c r="H918" s="19" t="s">
        <v>46</v>
      </c>
      <c r="I918" s="4"/>
      <c r="J918" s="43"/>
    </row>
    <row r="919" spans="1:10" s="3" customFormat="1" x14ac:dyDescent="0.25">
      <c r="A919" s="20">
        <v>42073</v>
      </c>
      <c r="B919" s="21">
        <v>14429</v>
      </c>
      <c r="C919" s="14" t="s">
        <v>375</v>
      </c>
      <c r="D919" s="105">
        <v>2610</v>
      </c>
      <c r="E919" s="23">
        <v>42073</v>
      </c>
      <c r="F919" s="106">
        <v>2610</v>
      </c>
      <c r="G919" s="31">
        <f t="shared" si="14"/>
        <v>0</v>
      </c>
      <c r="H919" s="19" t="s">
        <v>9</v>
      </c>
      <c r="I919" s="4"/>
      <c r="J919" s="43"/>
    </row>
    <row r="920" spans="1:10" s="3" customFormat="1" x14ac:dyDescent="0.25">
      <c r="A920" s="20">
        <v>42073</v>
      </c>
      <c r="B920" s="21">
        <v>14430</v>
      </c>
      <c r="C920" s="14" t="s">
        <v>38</v>
      </c>
      <c r="D920" s="105">
        <v>34000</v>
      </c>
      <c r="E920" s="23">
        <v>42082</v>
      </c>
      <c r="F920" s="106">
        <v>34000</v>
      </c>
      <c r="G920" s="31">
        <f t="shared" si="14"/>
        <v>0</v>
      </c>
      <c r="H920" s="19" t="s">
        <v>17</v>
      </c>
      <c r="I920" s="4"/>
      <c r="J920" s="43"/>
    </row>
    <row r="921" spans="1:10" s="3" customFormat="1" x14ac:dyDescent="0.25">
      <c r="A921" s="20">
        <v>42073</v>
      </c>
      <c r="B921" s="21">
        <v>14431</v>
      </c>
      <c r="C921" s="14" t="s">
        <v>143</v>
      </c>
      <c r="D921" s="105">
        <v>5722.4</v>
      </c>
      <c r="E921" s="30" t="s">
        <v>830</v>
      </c>
      <c r="F921" s="106">
        <v>5722.4</v>
      </c>
      <c r="G921" s="31">
        <f t="shared" si="14"/>
        <v>0</v>
      </c>
      <c r="H921" s="19" t="s">
        <v>17</v>
      </c>
      <c r="I921" s="4"/>
      <c r="J921" s="107"/>
    </row>
    <row r="922" spans="1:10" s="3" customFormat="1" x14ac:dyDescent="0.25">
      <c r="A922" s="20">
        <v>42073</v>
      </c>
      <c r="B922" s="21">
        <v>14432</v>
      </c>
      <c r="C922" s="14" t="s">
        <v>130</v>
      </c>
      <c r="D922" s="105">
        <v>3382.1</v>
      </c>
      <c r="E922" s="29" t="s">
        <v>831</v>
      </c>
      <c r="F922" s="106">
        <f>2957.5+424.6</f>
        <v>3382.1</v>
      </c>
      <c r="G922" s="31">
        <f t="shared" si="14"/>
        <v>0</v>
      </c>
      <c r="H922" s="19" t="s">
        <v>17</v>
      </c>
      <c r="I922" s="4"/>
      <c r="J922" s="107"/>
    </row>
    <row r="923" spans="1:10" s="3" customFormat="1" x14ac:dyDescent="0.25">
      <c r="A923" s="20">
        <v>42073</v>
      </c>
      <c r="B923" s="21">
        <v>14433</v>
      </c>
      <c r="C923" s="14" t="s">
        <v>35</v>
      </c>
      <c r="D923" s="105">
        <v>24350.25</v>
      </c>
      <c r="E923" s="23">
        <v>42073</v>
      </c>
      <c r="F923" s="106">
        <v>24350.25</v>
      </c>
      <c r="G923" s="31">
        <f t="shared" si="14"/>
        <v>0</v>
      </c>
      <c r="H923" s="19" t="s">
        <v>94</v>
      </c>
      <c r="I923" s="4"/>
      <c r="J923" s="43"/>
    </row>
    <row r="924" spans="1:10" s="3" customFormat="1" x14ac:dyDescent="0.25">
      <c r="A924" s="20">
        <v>42073</v>
      </c>
      <c r="B924" s="21">
        <v>14434</v>
      </c>
      <c r="C924" s="14" t="s">
        <v>128</v>
      </c>
      <c r="D924" s="105">
        <v>10630</v>
      </c>
      <c r="E924" s="23">
        <v>42073</v>
      </c>
      <c r="F924" s="106">
        <v>10630</v>
      </c>
      <c r="G924" s="31">
        <f t="shared" si="14"/>
        <v>0</v>
      </c>
      <c r="H924" s="19" t="s">
        <v>17</v>
      </c>
      <c r="I924" s="4"/>
      <c r="J924" s="43"/>
    </row>
    <row r="925" spans="1:10" s="3" customFormat="1" x14ac:dyDescent="0.25">
      <c r="A925" s="20">
        <v>42073</v>
      </c>
      <c r="B925" s="21">
        <v>14435</v>
      </c>
      <c r="C925" s="14" t="s">
        <v>299</v>
      </c>
      <c r="D925" s="105">
        <v>2430</v>
      </c>
      <c r="E925" s="23">
        <v>42073</v>
      </c>
      <c r="F925" s="106">
        <v>2430</v>
      </c>
      <c r="G925" s="31">
        <f t="shared" si="14"/>
        <v>0</v>
      </c>
      <c r="H925" s="19" t="s">
        <v>17</v>
      </c>
      <c r="I925" s="4"/>
      <c r="J925" s="43"/>
    </row>
    <row r="926" spans="1:10" s="3" customFormat="1" x14ac:dyDescent="0.25">
      <c r="A926" s="20">
        <v>42073</v>
      </c>
      <c r="B926" s="21">
        <v>14436</v>
      </c>
      <c r="C926" s="14" t="s">
        <v>56</v>
      </c>
      <c r="D926" s="105">
        <v>12138.8</v>
      </c>
      <c r="E926" s="23">
        <v>42073</v>
      </c>
      <c r="F926" s="106">
        <v>12138.8</v>
      </c>
      <c r="G926" s="31">
        <f t="shared" si="14"/>
        <v>0</v>
      </c>
      <c r="H926" s="19" t="s">
        <v>94</v>
      </c>
      <c r="I926" s="4"/>
      <c r="J926" s="43"/>
    </row>
    <row r="927" spans="1:10" s="3" customFormat="1" x14ac:dyDescent="0.25">
      <c r="A927" s="20">
        <v>42073</v>
      </c>
      <c r="B927" s="21">
        <v>14437</v>
      </c>
      <c r="C927" s="14" t="s">
        <v>100</v>
      </c>
      <c r="D927" s="105">
        <v>3187.8</v>
      </c>
      <c r="E927" s="23">
        <v>42073</v>
      </c>
      <c r="F927" s="106">
        <v>3187.8</v>
      </c>
      <c r="G927" s="31">
        <f t="shared" si="14"/>
        <v>0</v>
      </c>
      <c r="H927" s="19" t="s">
        <v>9</v>
      </c>
      <c r="I927" s="4"/>
      <c r="J927" s="43"/>
    </row>
    <row r="928" spans="1:10" s="3" customFormat="1" x14ac:dyDescent="0.25">
      <c r="A928" s="20">
        <v>42073</v>
      </c>
      <c r="B928" s="21">
        <v>14438</v>
      </c>
      <c r="C928" s="26" t="s">
        <v>832</v>
      </c>
      <c r="D928" s="108">
        <v>0</v>
      </c>
      <c r="E928" s="45">
        <v>42075</v>
      </c>
      <c r="F928" s="106"/>
      <c r="G928" s="31">
        <f t="shared" si="14"/>
        <v>0</v>
      </c>
      <c r="H928" s="19" t="s">
        <v>15</v>
      </c>
      <c r="I928" s="4"/>
      <c r="J928" s="43"/>
    </row>
    <row r="929" spans="1:10" s="3" customFormat="1" x14ac:dyDescent="0.25">
      <c r="A929" s="20">
        <v>42073</v>
      </c>
      <c r="B929" s="21">
        <v>14439</v>
      </c>
      <c r="C929" s="14" t="s">
        <v>99</v>
      </c>
      <c r="D929" s="105">
        <v>858</v>
      </c>
      <c r="E929" s="23">
        <v>42074</v>
      </c>
      <c r="F929" s="106">
        <v>858</v>
      </c>
      <c r="G929" s="31">
        <f t="shared" si="14"/>
        <v>0</v>
      </c>
      <c r="H929" s="19" t="s">
        <v>15</v>
      </c>
      <c r="I929" s="4"/>
      <c r="J929" s="43"/>
    </row>
    <row r="930" spans="1:10" s="3" customFormat="1" x14ac:dyDescent="0.25">
      <c r="A930" s="20">
        <v>42073</v>
      </c>
      <c r="B930" s="21">
        <v>14440</v>
      </c>
      <c r="C930" s="14" t="s">
        <v>833</v>
      </c>
      <c r="D930" s="105">
        <v>4000</v>
      </c>
      <c r="E930" s="23">
        <v>42075</v>
      </c>
      <c r="F930" s="106">
        <v>4000</v>
      </c>
      <c r="G930" s="31">
        <f t="shared" si="14"/>
        <v>0</v>
      </c>
      <c r="H930" s="19" t="s">
        <v>15</v>
      </c>
      <c r="I930" s="4"/>
      <c r="J930" s="43"/>
    </row>
    <row r="931" spans="1:10" s="3" customFormat="1" x14ac:dyDescent="0.25">
      <c r="A931" s="20">
        <v>42073</v>
      </c>
      <c r="B931" s="21">
        <v>14441</v>
      </c>
      <c r="C931" s="14" t="s">
        <v>106</v>
      </c>
      <c r="D931" s="105">
        <v>2432</v>
      </c>
      <c r="E931" s="23">
        <v>42075</v>
      </c>
      <c r="F931" s="106">
        <v>2432</v>
      </c>
      <c r="G931" s="31">
        <f t="shared" si="14"/>
        <v>0</v>
      </c>
      <c r="H931" s="19" t="s">
        <v>15</v>
      </c>
      <c r="I931" s="4"/>
      <c r="J931" s="107"/>
    </row>
    <row r="932" spans="1:10" s="3" customFormat="1" x14ac:dyDescent="0.25">
      <c r="A932" s="20">
        <v>42073</v>
      </c>
      <c r="B932" s="21">
        <v>14442</v>
      </c>
      <c r="C932" s="14" t="s">
        <v>14</v>
      </c>
      <c r="D932" s="105">
        <v>16146</v>
      </c>
      <c r="E932" s="23">
        <v>42075</v>
      </c>
      <c r="F932" s="106">
        <v>16146</v>
      </c>
      <c r="G932" s="31">
        <f t="shared" si="14"/>
        <v>0</v>
      </c>
      <c r="H932" s="19" t="s">
        <v>9</v>
      </c>
      <c r="I932" s="4"/>
      <c r="J932" s="43"/>
    </row>
    <row r="933" spans="1:10" s="3" customFormat="1" x14ac:dyDescent="0.25">
      <c r="A933" s="20">
        <v>42073</v>
      </c>
      <c r="B933" s="21">
        <v>14443</v>
      </c>
      <c r="C933" s="14" t="s">
        <v>256</v>
      </c>
      <c r="D933" s="105">
        <v>4287.6000000000004</v>
      </c>
      <c r="E933" s="23">
        <v>42073</v>
      </c>
      <c r="F933" s="106">
        <v>4287.6000000000004</v>
      </c>
      <c r="G933" s="31">
        <f t="shared" si="14"/>
        <v>0</v>
      </c>
      <c r="H933" s="19" t="s">
        <v>94</v>
      </c>
      <c r="I933" s="4"/>
      <c r="J933" s="43"/>
    </row>
    <row r="934" spans="1:10" s="3" customFormat="1" x14ac:dyDescent="0.25">
      <c r="A934" s="20">
        <v>42073</v>
      </c>
      <c r="B934" s="21">
        <v>14444</v>
      </c>
      <c r="C934" s="14" t="s">
        <v>43</v>
      </c>
      <c r="D934" s="105">
        <v>4536</v>
      </c>
      <c r="E934" s="23">
        <v>42073</v>
      </c>
      <c r="F934" s="106">
        <v>4536</v>
      </c>
      <c r="G934" s="31">
        <f t="shared" si="14"/>
        <v>0</v>
      </c>
      <c r="H934" s="19" t="s">
        <v>9</v>
      </c>
      <c r="I934" s="4"/>
      <c r="J934" s="43"/>
    </row>
    <row r="935" spans="1:10" s="3" customFormat="1" x14ac:dyDescent="0.25">
      <c r="A935" s="20">
        <v>42073</v>
      </c>
      <c r="B935" s="21">
        <v>14445</v>
      </c>
      <c r="C935" s="14" t="s">
        <v>14</v>
      </c>
      <c r="D935" s="105">
        <v>243250.34</v>
      </c>
      <c r="E935" s="23">
        <v>42089</v>
      </c>
      <c r="F935" s="106">
        <v>243250.34</v>
      </c>
      <c r="G935" s="31">
        <f t="shared" si="14"/>
        <v>0</v>
      </c>
      <c r="H935" s="19" t="s">
        <v>9</v>
      </c>
      <c r="I935" s="4"/>
      <c r="J935" s="43"/>
    </row>
    <row r="936" spans="1:10" s="3" customFormat="1" x14ac:dyDescent="0.25">
      <c r="A936" s="20">
        <v>42073</v>
      </c>
      <c r="B936" s="21">
        <v>14446</v>
      </c>
      <c r="C936" s="14" t="s">
        <v>89</v>
      </c>
      <c r="D936" s="105">
        <v>2819.4</v>
      </c>
      <c r="E936" s="23">
        <v>42073</v>
      </c>
      <c r="F936" s="106">
        <v>2819.4</v>
      </c>
      <c r="G936" s="31">
        <f t="shared" si="14"/>
        <v>0</v>
      </c>
      <c r="H936" s="19" t="s">
        <v>9</v>
      </c>
      <c r="I936" s="4"/>
      <c r="J936" s="43"/>
    </row>
    <row r="937" spans="1:10" s="3" customFormat="1" x14ac:dyDescent="0.25">
      <c r="A937" s="20">
        <v>42073</v>
      </c>
      <c r="B937" s="21">
        <v>14447</v>
      </c>
      <c r="C937" s="14" t="s">
        <v>335</v>
      </c>
      <c r="D937" s="105">
        <v>503.4</v>
      </c>
      <c r="E937" s="23">
        <v>42073</v>
      </c>
      <c r="F937" s="106">
        <v>503.4</v>
      </c>
      <c r="G937" s="31">
        <f t="shared" si="14"/>
        <v>0</v>
      </c>
      <c r="H937" s="19" t="s">
        <v>9</v>
      </c>
      <c r="I937" s="4"/>
      <c r="J937" s="43"/>
    </row>
    <row r="938" spans="1:10" s="3" customFormat="1" x14ac:dyDescent="0.25">
      <c r="A938" s="20">
        <v>42073</v>
      </c>
      <c r="B938" s="21">
        <v>14448</v>
      </c>
      <c r="C938" s="14" t="s">
        <v>136</v>
      </c>
      <c r="D938" s="105">
        <v>17149.599999999999</v>
      </c>
      <c r="E938" s="23">
        <v>42073</v>
      </c>
      <c r="F938" s="106">
        <v>17149.599999999999</v>
      </c>
      <c r="G938" s="31">
        <f t="shared" si="14"/>
        <v>0</v>
      </c>
      <c r="H938" s="19" t="s">
        <v>9</v>
      </c>
      <c r="I938" s="4"/>
      <c r="J938" s="43"/>
    </row>
    <row r="939" spans="1:10" s="3" customFormat="1" x14ac:dyDescent="0.25">
      <c r="A939" s="20">
        <v>42073</v>
      </c>
      <c r="B939" s="21">
        <v>14449</v>
      </c>
      <c r="C939" s="14" t="s">
        <v>102</v>
      </c>
      <c r="D939" s="105">
        <v>1083.5</v>
      </c>
      <c r="E939" s="23">
        <v>42073</v>
      </c>
      <c r="F939" s="106">
        <v>1083.5</v>
      </c>
      <c r="G939" s="31">
        <f t="shared" si="14"/>
        <v>0</v>
      </c>
      <c r="H939" s="19" t="s">
        <v>9</v>
      </c>
      <c r="I939" s="4"/>
      <c r="J939" s="43"/>
    </row>
    <row r="940" spans="1:10" s="3" customFormat="1" x14ac:dyDescent="0.25">
      <c r="A940" s="20">
        <v>42073</v>
      </c>
      <c r="B940" s="21">
        <v>14450</v>
      </c>
      <c r="C940" s="14" t="s">
        <v>141</v>
      </c>
      <c r="D940" s="105">
        <v>4425.3</v>
      </c>
      <c r="E940" s="23">
        <v>42074</v>
      </c>
      <c r="F940" s="106">
        <v>4425.3</v>
      </c>
      <c r="G940" s="31">
        <f t="shared" si="14"/>
        <v>0</v>
      </c>
      <c r="H940" s="19" t="s">
        <v>9</v>
      </c>
      <c r="I940" s="4"/>
      <c r="J940" s="107"/>
    </row>
    <row r="941" spans="1:10" s="3" customFormat="1" x14ac:dyDescent="0.25">
      <c r="A941" s="20">
        <v>42073</v>
      </c>
      <c r="B941" s="21">
        <v>14451</v>
      </c>
      <c r="C941" s="14" t="s">
        <v>190</v>
      </c>
      <c r="D941" s="105">
        <v>8450</v>
      </c>
      <c r="E941" s="23">
        <v>42074</v>
      </c>
      <c r="F941" s="106">
        <v>8450</v>
      </c>
      <c r="G941" s="31">
        <f t="shared" si="14"/>
        <v>0</v>
      </c>
      <c r="H941" s="19" t="s">
        <v>19</v>
      </c>
      <c r="I941" s="4"/>
      <c r="J941" s="43"/>
    </row>
    <row r="942" spans="1:10" s="3" customFormat="1" x14ac:dyDescent="0.25">
      <c r="A942" s="20">
        <v>42073</v>
      </c>
      <c r="B942" s="21">
        <v>14452</v>
      </c>
      <c r="C942" s="14" t="s">
        <v>93</v>
      </c>
      <c r="D942" s="105">
        <v>1339.6</v>
      </c>
      <c r="E942" s="23">
        <v>42074</v>
      </c>
      <c r="F942" s="106">
        <v>1339.6</v>
      </c>
      <c r="G942" s="31">
        <f t="shared" si="14"/>
        <v>0</v>
      </c>
      <c r="H942" s="19" t="s">
        <v>9</v>
      </c>
      <c r="I942" s="4"/>
      <c r="J942" s="43"/>
    </row>
    <row r="943" spans="1:10" s="3" customFormat="1" x14ac:dyDescent="0.25">
      <c r="A943" s="20">
        <v>42073</v>
      </c>
      <c r="B943" s="21">
        <v>14453</v>
      </c>
      <c r="C943" s="14" t="s">
        <v>95</v>
      </c>
      <c r="D943" s="105">
        <v>1910.8</v>
      </c>
      <c r="E943" s="23">
        <v>42074</v>
      </c>
      <c r="F943" s="106">
        <v>1910.8</v>
      </c>
      <c r="G943" s="31">
        <f t="shared" si="14"/>
        <v>0</v>
      </c>
      <c r="H943" s="19" t="s">
        <v>19</v>
      </c>
      <c r="I943" s="4"/>
      <c r="J943" s="43"/>
    </row>
    <row r="944" spans="1:10" s="3" customFormat="1" x14ac:dyDescent="0.25">
      <c r="A944" s="20">
        <v>42073</v>
      </c>
      <c r="B944" s="21">
        <v>14454</v>
      </c>
      <c r="C944" s="14" t="s">
        <v>98</v>
      </c>
      <c r="D944" s="105">
        <v>3302.7</v>
      </c>
      <c r="E944" s="23">
        <v>42074</v>
      </c>
      <c r="F944" s="106">
        <v>3302.7</v>
      </c>
      <c r="G944" s="31">
        <f t="shared" si="14"/>
        <v>0</v>
      </c>
      <c r="H944" s="19" t="s">
        <v>19</v>
      </c>
      <c r="I944" s="4"/>
      <c r="J944" s="43"/>
    </row>
    <row r="945" spans="1:10" s="3" customFormat="1" x14ac:dyDescent="0.25">
      <c r="A945" s="20">
        <v>42073</v>
      </c>
      <c r="B945" s="21">
        <v>14455</v>
      </c>
      <c r="C945" s="14" t="s">
        <v>229</v>
      </c>
      <c r="D945" s="105">
        <v>1086</v>
      </c>
      <c r="E945" s="23">
        <v>42074</v>
      </c>
      <c r="F945" s="106">
        <v>1086</v>
      </c>
      <c r="G945" s="31">
        <f t="shared" si="14"/>
        <v>0</v>
      </c>
      <c r="H945" s="19" t="s">
        <v>19</v>
      </c>
      <c r="I945" s="4"/>
      <c r="J945" s="43"/>
    </row>
    <row r="946" spans="1:10" s="3" customFormat="1" x14ac:dyDescent="0.25">
      <c r="A946" s="20">
        <v>42073</v>
      </c>
      <c r="B946" s="21">
        <v>14456</v>
      </c>
      <c r="C946" s="14" t="s">
        <v>96</v>
      </c>
      <c r="D946" s="105">
        <v>2698</v>
      </c>
      <c r="E946" s="23">
        <v>42074</v>
      </c>
      <c r="F946" s="106">
        <v>2698</v>
      </c>
      <c r="G946" s="31">
        <f t="shared" si="14"/>
        <v>0</v>
      </c>
      <c r="H946" s="19" t="s">
        <v>19</v>
      </c>
      <c r="I946" s="4"/>
      <c r="J946" s="43"/>
    </row>
    <row r="947" spans="1:10" s="3" customFormat="1" x14ac:dyDescent="0.25">
      <c r="A947" s="20">
        <v>42073</v>
      </c>
      <c r="B947" s="21">
        <v>14457</v>
      </c>
      <c r="C947" s="14" t="s">
        <v>96</v>
      </c>
      <c r="D947" s="105">
        <v>1789.5</v>
      </c>
      <c r="E947" s="23">
        <v>42074</v>
      </c>
      <c r="F947" s="106">
        <v>1789.5</v>
      </c>
      <c r="G947" s="31">
        <f t="shared" si="14"/>
        <v>0</v>
      </c>
      <c r="H947" s="19" t="s">
        <v>19</v>
      </c>
      <c r="J947" s="42"/>
    </row>
    <row r="948" spans="1:10" s="3" customFormat="1" x14ac:dyDescent="0.25">
      <c r="A948" s="20">
        <v>42073</v>
      </c>
      <c r="B948" s="21">
        <v>14458</v>
      </c>
      <c r="C948" s="14" t="s">
        <v>112</v>
      </c>
      <c r="D948" s="105">
        <v>5128.2</v>
      </c>
      <c r="E948" s="23">
        <v>42073</v>
      </c>
      <c r="F948" s="106">
        <v>5128.2</v>
      </c>
      <c r="G948" s="31">
        <f t="shared" si="14"/>
        <v>0</v>
      </c>
      <c r="H948" s="19" t="s">
        <v>9</v>
      </c>
      <c r="J948" s="42"/>
    </row>
    <row r="949" spans="1:10" s="3" customFormat="1" x14ac:dyDescent="0.25">
      <c r="A949" s="20">
        <v>42073</v>
      </c>
      <c r="B949" s="21">
        <v>14459</v>
      </c>
      <c r="C949" s="14" t="s">
        <v>112</v>
      </c>
      <c r="D949" s="105">
        <v>6226.2</v>
      </c>
      <c r="E949" s="23">
        <v>42073</v>
      </c>
      <c r="F949" s="106">
        <v>6226.2</v>
      </c>
      <c r="G949" s="31">
        <f t="shared" si="14"/>
        <v>0</v>
      </c>
      <c r="H949" s="19" t="s">
        <v>9</v>
      </c>
      <c r="J949" s="42"/>
    </row>
    <row r="950" spans="1:10" s="3" customFormat="1" x14ac:dyDescent="0.25">
      <c r="A950" s="20">
        <v>42073</v>
      </c>
      <c r="B950" s="21">
        <v>14460</v>
      </c>
      <c r="C950" s="14" t="s">
        <v>50</v>
      </c>
      <c r="D950" s="105">
        <v>2259.6</v>
      </c>
      <c r="E950" s="23">
        <v>42073</v>
      </c>
      <c r="F950" s="106">
        <v>2259.6</v>
      </c>
      <c r="G950" s="31">
        <f t="shared" si="14"/>
        <v>0</v>
      </c>
      <c r="H950" s="19" t="s">
        <v>59</v>
      </c>
      <c r="J950" s="42"/>
    </row>
    <row r="951" spans="1:10" s="3" customFormat="1" x14ac:dyDescent="0.25">
      <c r="A951" s="20">
        <v>42073</v>
      </c>
      <c r="B951" s="21">
        <v>14461</v>
      </c>
      <c r="C951" s="14" t="s">
        <v>100</v>
      </c>
      <c r="D951" s="105">
        <v>501</v>
      </c>
      <c r="E951" s="23">
        <v>42073</v>
      </c>
      <c r="F951" s="106">
        <v>501</v>
      </c>
      <c r="G951" s="31">
        <f t="shared" si="14"/>
        <v>0</v>
      </c>
      <c r="H951" s="19" t="s">
        <v>312</v>
      </c>
      <c r="J951" s="42"/>
    </row>
    <row r="952" spans="1:10" s="3" customFormat="1" x14ac:dyDescent="0.25">
      <c r="A952" s="20">
        <v>42073</v>
      </c>
      <c r="B952" s="21">
        <v>14462</v>
      </c>
      <c r="C952" s="14" t="s">
        <v>215</v>
      </c>
      <c r="D952" s="105">
        <v>26727.15</v>
      </c>
      <c r="E952" s="23">
        <v>42074</v>
      </c>
      <c r="F952" s="106">
        <v>26727.15</v>
      </c>
      <c r="G952" s="31">
        <f t="shared" si="14"/>
        <v>0</v>
      </c>
      <c r="H952" s="19" t="s">
        <v>17</v>
      </c>
      <c r="J952" s="42"/>
    </row>
    <row r="953" spans="1:10" s="3" customFormat="1" x14ac:dyDescent="0.25">
      <c r="A953" s="20">
        <v>42073</v>
      </c>
      <c r="B953" s="21">
        <v>14463</v>
      </c>
      <c r="C953" s="14" t="s">
        <v>234</v>
      </c>
      <c r="D953" s="105">
        <v>1333.8</v>
      </c>
      <c r="E953" s="23">
        <v>42073</v>
      </c>
      <c r="F953" s="106">
        <v>1333.8</v>
      </c>
      <c r="G953" s="31">
        <f t="shared" si="14"/>
        <v>0</v>
      </c>
      <c r="H953" s="19" t="s">
        <v>9</v>
      </c>
      <c r="J953" s="42"/>
    </row>
    <row r="954" spans="1:10" s="3" customFormat="1" x14ac:dyDescent="0.25">
      <c r="A954" s="20">
        <v>42073</v>
      </c>
      <c r="B954" s="21">
        <v>14464</v>
      </c>
      <c r="C954" s="14" t="s">
        <v>571</v>
      </c>
      <c r="D954" s="105">
        <v>13121</v>
      </c>
      <c r="E954" s="23">
        <v>42077</v>
      </c>
      <c r="F954" s="106">
        <v>13121</v>
      </c>
      <c r="G954" s="31">
        <f t="shared" si="14"/>
        <v>0</v>
      </c>
      <c r="H954" s="19" t="s">
        <v>94</v>
      </c>
      <c r="J954" s="42"/>
    </row>
    <row r="955" spans="1:10" s="3" customFormat="1" x14ac:dyDescent="0.25">
      <c r="A955" s="20">
        <v>42073</v>
      </c>
      <c r="B955" s="21">
        <v>14465</v>
      </c>
      <c r="C955" s="14" t="s">
        <v>18</v>
      </c>
      <c r="D955" s="105">
        <v>47144.4</v>
      </c>
      <c r="E955" s="23">
        <v>42078</v>
      </c>
      <c r="F955" s="106">
        <v>47144.4</v>
      </c>
      <c r="G955" s="31">
        <f t="shared" si="14"/>
        <v>0</v>
      </c>
      <c r="H955" s="19" t="s">
        <v>9</v>
      </c>
      <c r="J955" s="42"/>
    </row>
    <row r="956" spans="1:10" s="3" customFormat="1" x14ac:dyDescent="0.25">
      <c r="A956" s="20">
        <v>42073</v>
      </c>
      <c r="B956" s="21">
        <v>14466</v>
      </c>
      <c r="C956" s="14" t="s">
        <v>24</v>
      </c>
      <c r="D956" s="105">
        <v>182130.79</v>
      </c>
      <c r="E956" s="23">
        <v>42087</v>
      </c>
      <c r="F956" s="106">
        <v>182130.79</v>
      </c>
      <c r="G956" s="31">
        <f t="shared" si="14"/>
        <v>0</v>
      </c>
      <c r="H956" s="19" t="s">
        <v>46</v>
      </c>
      <c r="J956" s="42"/>
    </row>
    <row r="957" spans="1:10" s="3" customFormat="1" x14ac:dyDescent="0.25">
      <c r="A957" s="20">
        <v>42073</v>
      </c>
      <c r="B957" s="21">
        <v>14467</v>
      </c>
      <c r="C957" s="14" t="s">
        <v>141</v>
      </c>
      <c r="D957" s="105">
        <v>1194.8</v>
      </c>
      <c r="E957" s="23">
        <v>42074</v>
      </c>
      <c r="F957" s="106">
        <v>1194.8</v>
      </c>
      <c r="G957" s="31">
        <f t="shared" si="14"/>
        <v>0</v>
      </c>
      <c r="H957" s="19" t="s">
        <v>9</v>
      </c>
      <c r="J957" s="42"/>
    </row>
    <row r="958" spans="1:10" s="3" customFormat="1" x14ac:dyDescent="0.25">
      <c r="A958" s="20">
        <v>42074</v>
      </c>
      <c r="B958" s="21">
        <v>14468</v>
      </c>
      <c r="C958" s="14" t="s">
        <v>834</v>
      </c>
      <c r="D958" s="105">
        <v>3716.4</v>
      </c>
      <c r="E958" s="23">
        <v>42074</v>
      </c>
      <c r="F958" s="106">
        <v>3716.4</v>
      </c>
      <c r="G958" s="31">
        <f t="shared" si="14"/>
        <v>0</v>
      </c>
      <c r="H958" s="19" t="s">
        <v>9</v>
      </c>
      <c r="J958" s="42"/>
    </row>
    <row r="959" spans="1:10" s="3" customFormat="1" x14ac:dyDescent="0.25">
      <c r="A959" s="20">
        <v>42074</v>
      </c>
      <c r="B959" s="21">
        <v>14469</v>
      </c>
      <c r="C959" s="14" t="s">
        <v>14</v>
      </c>
      <c r="D959" s="105">
        <v>20485.3</v>
      </c>
      <c r="E959" s="23">
        <v>42075</v>
      </c>
      <c r="F959" s="106">
        <v>20485.3</v>
      </c>
      <c r="G959" s="31">
        <f t="shared" si="14"/>
        <v>0</v>
      </c>
      <c r="H959" s="19" t="s">
        <v>15</v>
      </c>
      <c r="J959" s="42"/>
    </row>
    <row r="960" spans="1:10" s="3" customFormat="1" x14ac:dyDescent="0.25">
      <c r="A960" s="20">
        <v>42074</v>
      </c>
      <c r="B960" s="21">
        <v>14470</v>
      </c>
      <c r="C960" s="14" t="s">
        <v>18</v>
      </c>
      <c r="D960" s="105">
        <v>47036.4</v>
      </c>
      <c r="E960" s="23">
        <v>42078</v>
      </c>
      <c r="F960" s="106">
        <v>47036.4</v>
      </c>
      <c r="G960" s="31">
        <f t="shared" si="14"/>
        <v>0</v>
      </c>
      <c r="H960" s="19" t="s">
        <v>9</v>
      </c>
      <c r="J960" s="42"/>
    </row>
    <row r="961" spans="1:10" s="3" customFormat="1" x14ac:dyDescent="0.25">
      <c r="A961" s="20">
        <v>42074</v>
      </c>
      <c r="B961" s="21">
        <v>14471</v>
      </c>
      <c r="C961" s="14" t="s">
        <v>136</v>
      </c>
      <c r="D961" s="105">
        <v>648</v>
      </c>
      <c r="E961" s="23">
        <v>42074</v>
      </c>
      <c r="F961" s="106">
        <v>648</v>
      </c>
      <c r="G961" s="31">
        <f t="shared" si="14"/>
        <v>0</v>
      </c>
      <c r="H961" s="19" t="s">
        <v>9</v>
      </c>
      <c r="J961" s="42"/>
    </row>
    <row r="962" spans="1:10" s="3" customFormat="1" x14ac:dyDescent="0.25">
      <c r="A962" s="20">
        <v>42074</v>
      </c>
      <c r="B962" s="21">
        <v>14472</v>
      </c>
      <c r="C962" s="14" t="s">
        <v>20</v>
      </c>
      <c r="D962" s="105">
        <v>9242.2999999999993</v>
      </c>
      <c r="E962" s="23">
        <v>42074</v>
      </c>
      <c r="F962" s="106">
        <v>9242.2999999999993</v>
      </c>
      <c r="G962" s="31">
        <f t="shared" si="14"/>
        <v>0</v>
      </c>
      <c r="H962" s="19" t="s">
        <v>94</v>
      </c>
      <c r="J962" s="42"/>
    </row>
    <row r="963" spans="1:10" s="3" customFormat="1" x14ac:dyDescent="0.25">
      <c r="A963" s="20">
        <v>42074</v>
      </c>
      <c r="B963" s="21">
        <v>14473</v>
      </c>
      <c r="C963" s="14" t="s">
        <v>236</v>
      </c>
      <c r="D963" s="105">
        <v>29171.599999999999</v>
      </c>
      <c r="E963" s="23">
        <v>42088</v>
      </c>
      <c r="F963" s="106">
        <v>29171.599999999999</v>
      </c>
      <c r="G963" s="31">
        <f t="shared" ref="G963:G1026" si="15">D963-F963</f>
        <v>0</v>
      </c>
      <c r="H963" s="19" t="s">
        <v>19</v>
      </c>
      <c r="I963" s="4"/>
      <c r="J963" s="43"/>
    </row>
    <row r="964" spans="1:10" s="3" customFormat="1" x14ac:dyDescent="0.25">
      <c r="A964" s="20">
        <v>42074</v>
      </c>
      <c r="B964" s="21">
        <v>14474</v>
      </c>
      <c r="C964" s="14" t="s">
        <v>16</v>
      </c>
      <c r="D964" s="105">
        <v>5318.4</v>
      </c>
      <c r="E964" s="23">
        <v>42074</v>
      </c>
      <c r="F964" s="106">
        <v>5318.4</v>
      </c>
      <c r="G964" s="31">
        <f t="shared" si="15"/>
        <v>0</v>
      </c>
      <c r="H964" s="19" t="s">
        <v>17</v>
      </c>
      <c r="I964" s="4"/>
      <c r="J964" s="43"/>
    </row>
    <row r="965" spans="1:10" s="3" customFormat="1" x14ac:dyDescent="0.25">
      <c r="A965" s="20">
        <v>42074</v>
      </c>
      <c r="B965" s="21">
        <v>14475</v>
      </c>
      <c r="C965" s="14" t="s">
        <v>290</v>
      </c>
      <c r="D965" s="105">
        <v>310</v>
      </c>
      <c r="E965" s="23">
        <v>42074</v>
      </c>
      <c r="F965" s="106">
        <v>310</v>
      </c>
      <c r="G965" s="31">
        <f t="shared" si="15"/>
        <v>0</v>
      </c>
      <c r="H965" s="19" t="s">
        <v>9</v>
      </c>
      <c r="I965" s="4"/>
      <c r="J965" s="107"/>
    </row>
    <row r="966" spans="1:10" s="3" customFormat="1" x14ac:dyDescent="0.25">
      <c r="A966" s="20">
        <v>42074</v>
      </c>
      <c r="B966" s="21">
        <v>14476</v>
      </c>
      <c r="C966" s="14" t="s">
        <v>114</v>
      </c>
      <c r="D966" s="105">
        <v>1878</v>
      </c>
      <c r="E966" s="23">
        <v>42074</v>
      </c>
      <c r="F966" s="106">
        <v>1878</v>
      </c>
      <c r="G966" s="31">
        <f t="shared" si="15"/>
        <v>0</v>
      </c>
      <c r="H966" s="19" t="s">
        <v>9</v>
      </c>
      <c r="I966" s="4"/>
      <c r="J966" s="43"/>
    </row>
    <row r="967" spans="1:10" s="3" customFormat="1" x14ac:dyDescent="0.25">
      <c r="A967" s="20">
        <v>42074</v>
      </c>
      <c r="B967" s="21">
        <v>14477</v>
      </c>
      <c r="C967" s="14" t="s">
        <v>24</v>
      </c>
      <c r="D967" s="105">
        <v>22703</v>
      </c>
      <c r="E967" s="23">
        <v>42087</v>
      </c>
      <c r="F967" s="106">
        <v>22703</v>
      </c>
      <c r="G967" s="31">
        <f t="shared" si="15"/>
        <v>0</v>
      </c>
      <c r="H967" s="19" t="s">
        <v>94</v>
      </c>
      <c r="I967" s="4"/>
      <c r="J967" s="43"/>
    </row>
    <row r="968" spans="1:10" s="3" customFormat="1" x14ac:dyDescent="0.25">
      <c r="A968" s="20">
        <v>42074</v>
      </c>
      <c r="B968" s="21">
        <v>14478</v>
      </c>
      <c r="C968" s="14" t="s">
        <v>158</v>
      </c>
      <c r="D968" s="105">
        <v>8485.2000000000007</v>
      </c>
      <c r="E968" s="23">
        <v>42074</v>
      </c>
      <c r="F968" s="106">
        <v>8485.2000000000007</v>
      </c>
      <c r="G968" s="31">
        <f t="shared" si="15"/>
        <v>0</v>
      </c>
      <c r="H968" s="19" t="s">
        <v>9</v>
      </c>
      <c r="I968" s="4"/>
      <c r="J968" s="43"/>
    </row>
    <row r="969" spans="1:10" s="3" customFormat="1" x14ac:dyDescent="0.25">
      <c r="A969" s="20">
        <v>42074</v>
      </c>
      <c r="B969" s="21">
        <v>14479</v>
      </c>
      <c r="C969" s="14" t="s">
        <v>720</v>
      </c>
      <c r="D969" s="105">
        <v>2532</v>
      </c>
      <c r="E969" s="23">
        <v>42074</v>
      </c>
      <c r="F969" s="106">
        <v>2532</v>
      </c>
      <c r="G969" s="31">
        <f t="shared" si="15"/>
        <v>0</v>
      </c>
      <c r="H969" s="19" t="s">
        <v>9</v>
      </c>
      <c r="I969" s="4"/>
      <c r="J969" s="107"/>
    </row>
    <row r="970" spans="1:10" s="3" customFormat="1" x14ac:dyDescent="0.25">
      <c r="A970" s="20">
        <v>42074</v>
      </c>
      <c r="B970" s="21">
        <v>14480</v>
      </c>
      <c r="C970" s="14" t="s">
        <v>21</v>
      </c>
      <c r="D970" s="105">
        <v>4986</v>
      </c>
      <c r="E970" s="23">
        <v>42074</v>
      </c>
      <c r="F970" s="106">
        <v>4986</v>
      </c>
      <c r="G970" s="31">
        <f t="shared" si="15"/>
        <v>0</v>
      </c>
      <c r="H970" s="19" t="s">
        <v>9</v>
      </c>
      <c r="I970" s="4"/>
      <c r="J970" s="43"/>
    </row>
    <row r="971" spans="1:10" s="3" customFormat="1" x14ac:dyDescent="0.25">
      <c r="A971" s="20">
        <v>42074</v>
      </c>
      <c r="B971" s="21">
        <v>14481</v>
      </c>
      <c r="C971" s="14" t="s">
        <v>251</v>
      </c>
      <c r="D971" s="105">
        <v>19497.8</v>
      </c>
      <c r="E971" s="23">
        <v>42074</v>
      </c>
      <c r="F971" s="106">
        <v>19497.8</v>
      </c>
      <c r="G971" s="31">
        <f t="shared" si="15"/>
        <v>0</v>
      </c>
      <c r="H971" s="19" t="s">
        <v>187</v>
      </c>
      <c r="I971" s="4"/>
      <c r="J971" s="43"/>
    </row>
    <row r="972" spans="1:10" s="3" customFormat="1" x14ac:dyDescent="0.25">
      <c r="A972" s="20">
        <v>42074</v>
      </c>
      <c r="B972" s="21">
        <v>14482</v>
      </c>
      <c r="C972" s="14" t="s">
        <v>658</v>
      </c>
      <c r="D972" s="105">
        <v>2725.4</v>
      </c>
      <c r="E972" s="23">
        <v>42074</v>
      </c>
      <c r="F972" s="106">
        <v>2725.4</v>
      </c>
      <c r="G972" s="31">
        <f t="shared" si="15"/>
        <v>0</v>
      </c>
      <c r="H972" s="19" t="s">
        <v>9</v>
      </c>
      <c r="I972" s="4"/>
      <c r="J972" s="107"/>
    </row>
    <row r="973" spans="1:10" s="3" customFormat="1" x14ac:dyDescent="0.25">
      <c r="A973" s="20">
        <v>42074</v>
      </c>
      <c r="B973" s="21">
        <v>14483</v>
      </c>
      <c r="C973" s="14" t="s">
        <v>26</v>
      </c>
      <c r="D973" s="105">
        <v>1644</v>
      </c>
      <c r="E973" s="23">
        <v>42074</v>
      </c>
      <c r="F973" s="106">
        <v>1644</v>
      </c>
      <c r="G973" s="31">
        <f t="shared" si="15"/>
        <v>0</v>
      </c>
      <c r="H973" s="19" t="s">
        <v>27</v>
      </c>
      <c r="I973" s="4"/>
      <c r="J973" s="43"/>
    </row>
    <row r="974" spans="1:10" s="3" customFormat="1" x14ac:dyDescent="0.25">
      <c r="A974" s="20">
        <v>42074</v>
      </c>
      <c r="B974" s="21">
        <v>14484</v>
      </c>
      <c r="C974" s="14" t="s">
        <v>294</v>
      </c>
      <c r="D974" s="105">
        <v>735.4</v>
      </c>
      <c r="E974" s="23">
        <v>42074</v>
      </c>
      <c r="F974" s="106">
        <v>735.4</v>
      </c>
      <c r="G974" s="31">
        <f t="shared" si="15"/>
        <v>0</v>
      </c>
      <c r="H974" s="19" t="s">
        <v>9</v>
      </c>
      <c r="I974" s="4"/>
      <c r="J974" s="43"/>
    </row>
    <row r="975" spans="1:10" s="3" customFormat="1" x14ac:dyDescent="0.25">
      <c r="A975" s="20">
        <v>42074</v>
      </c>
      <c r="B975" s="21">
        <v>14485</v>
      </c>
      <c r="C975" s="14" t="s">
        <v>23</v>
      </c>
      <c r="D975" s="105">
        <v>18526.240000000002</v>
      </c>
      <c r="E975" s="23">
        <v>42074</v>
      </c>
      <c r="F975" s="106">
        <v>18526.240000000002</v>
      </c>
      <c r="G975" s="31">
        <f t="shared" si="15"/>
        <v>0</v>
      </c>
      <c r="H975" s="19" t="s">
        <v>9</v>
      </c>
      <c r="I975" s="4"/>
      <c r="J975" s="43"/>
    </row>
    <row r="976" spans="1:10" s="3" customFormat="1" x14ac:dyDescent="0.25">
      <c r="A976" s="20">
        <v>42074</v>
      </c>
      <c r="B976" s="21">
        <v>14486</v>
      </c>
      <c r="C976" s="14" t="s">
        <v>18</v>
      </c>
      <c r="D976" s="105">
        <v>70395</v>
      </c>
      <c r="E976" s="23">
        <v>42078</v>
      </c>
      <c r="F976" s="106">
        <v>70395</v>
      </c>
      <c r="G976" s="31">
        <f t="shared" si="15"/>
        <v>0</v>
      </c>
      <c r="H976" s="19" t="s">
        <v>187</v>
      </c>
      <c r="I976" s="4"/>
      <c r="J976" s="43"/>
    </row>
    <row r="977" spans="1:10" s="3" customFormat="1" x14ac:dyDescent="0.25">
      <c r="A977" s="20">
        <v>42074</v>
      </c>
      <c r="B977" s="21">
        <v>14487</v>
      </c>
      <c r="C977" s="14" t="s">
        <v>835</v>
      </c>
      <c r="D977" s="105">
        <v>2698</v>
      </c>
      <c r="E977" s="23">
        <v>42074</v>
      </c>
      <c r="F977" s="106">
        <v>2698</v>
      </c>
      <c r="G977" s="31">
        <f t="shared" si="15"/>
        <v>0</v>
      </c>
      <c r="H977" s="19" t="s">
        <v>9</v>
      </c>
      <c r="I977" s="4"/>
      <c r="J977" s="43"/>
    </row>
    <row r="978" spans="1:10" s="3" customFormat="1" x14ac:dyDescent="0.25">
      <c r="A978" s="20">
        <v>42074</v>
      </c>
      <c r="B978" s="21">
        <v>14488</v>
      </c>
      <c r="C978" s="14" t="s">
        <v>78</v>
      </c>
      <c r="D978" s="105">
        <v>5997.6</v>
      </c>
      <c r="E978" s="23">
        <v>42074</v>
      </c>
      <c r="F978" s="106">
        <v>5997.6</v>
      </c>
      <c r="G978" s="31">
        <f t="shared" si="15"/>
        <v>0</v>
      </c>
      <c r="H978" s="19" t="s">
        <v>59</v>
      </c>
      <c r="I978" s="4"/>
      <c r="J978" s="43"/>
    </row>
    <row r="979" spans="1:10" s="3" customFormat="1" x14ac:dyDescent="0.25">
      <c r="A979" s="20">
        <v>42074</v>
      </c>
      <c r="B979" s="21">
        <v>14489</v>
      </c>
      <c r="C979" s="14" t="s">
        <v>67</v>
      </c>
      <c r="D979" s="105">
        <v>3196.8</v>
      </c>
      <c r="E979" s="23">
        <v>42074</v>
      </c>
      <c r="F979" s="106">
        <v>3196.8</v>
      </c>
      <c r="G979" s="31">
        <f t="shared" si="15"/>
        <v>0</v>
      </c>
      <c r="H979" s="19" t="s">
        <v>59</v>
      </c>
      <c r="J979" s="42"/>
    </row>
    <row r="980" spans="1:10" s="3" customFormat="1" x14ac:dyDescent="0.25">
      <c r="A980" s="20">
        <v>42074</v>
      </c>
      <c r="B980" s="21">
        <v>14490</v>
      </c>
      <c r="C980" s="14" t="s">
        <v>151</v>
      </c>
      <c r="D980" s="105">
        <v>10970.1</v>
      </c>
      <c r="E980" s="23">
        <v>42075</v>
      </c>
      <c r="F980" s="106">
        <v>10970.1</v>
      </c>
      <c r="G980" s="31">
        <f t="shared" si="15"/>
        <v>0</v>
      </c>
      <c r="H980" s="19" t="s">
        <v>9</v>
      </c>
      <c r="J980" s="42"/>
    </row>
    <row r="981" spans="1:10" s="3" customFormat="1" x14ac:dyDescent="0.25">
      <c r="A981" s="20">
        <v>42074</v>
      </c>
      <c r="B981" s="21">
        <v>14491</v>
      </c>
      <c r="C981" s="14" t="s">
        <v>75</v>
      </c>
      <c r="D981" s="105">
        <v>14910.1</v>
      </c>
      <c r="E981" s="23">
        <v>42074</v>
      </c>
      <c r="F981" s="106">
        <v>14910.1</v>
      </c>
      <c r="G981" s="31">
        <f t="shared" si="15"/>
        <v>0</v>
      </c>
      <c r="H981" s="19" t="s">
        <v>59</v>
      </c>
      <c r="J981" s="42"/>
    </row>
    <row r="982" spans="1:10" s="3" customFormat="1" x14ac:dyDescent="0.25">
      <c r="A982" s="20">
        <v>42074</v>
      </c>
      <c r="B982" s="21">
        <v>14492</v>
      </c>
      <c r="C982" s="14" t="s">
        <v>591</v>
      </c>
      <c r="D982" s="105">
        <v>10879</v>
      </c>
      <c r="E982" s="23">
        <v>42074</v>
      </c>
      <c r="F982" s="106">
        <v>10879</v>
      </c>
      <c r="G982" s="31">
        <f t="shared" si="15"/>
        <v>0</v>
      </c>
      <c r="H982" s="19" t="s">
        <v>773</v>
      </c>
      <c r="J982" s="42"/>
    </row>
    <row r="983" spans="1:10" s="3" customFormat="1" x14ac:dyDescent="0.25">
      <c r="A983" s="20">
        <v>42074</v>
      </c>
      <c r="B983" s="21">
        <v>14493</v>
      </c>
      <c r="C983" s="14" t="s">
        <v>675</v>
      </c>
      <c r="D983" s="105">
        <v>1348</v>
      </c>
      <c r="E983" s="23">
        <v>42074</v>
      </c>
      <c r="F983" s="106">
        <v>1348</v>
      </c>
      <c r="G983" s="31">
        <f t="shared" si="15"/>
        <v>0</v>
      </c>
      <c r="H983" s="19" t="s">
        <v>9</v>
      </c>
      <c r="J983" s="42"/>
    </row>
    <row r="984" spans="1:10" s="3" customFormat="1" x14ac:dyDescent="0.25">
      <c r="A984" s="20">
        <v>42074</v>
      </c>
      <c r="B984" s="21">
        <v>14494</v>
      </c>
      <c r="C984" s="14" t="s">
        <v>125</v>
      </c>
      <c r="D984" s="105">
        <v>12791.2</v>
      </c>
      <c r="E984" s="23">
        <v>42074</v>
      </c>
      <c r="F984" s="106">
        <v>12791.2</v>
      </c>
      <c r="G984" s="31">
        <f t="shared" si="15"/>
        <v>0</v>
      </c>
      <c r="H984" s="19" t="s">
        <v>9</v>
      </c>
      <c r="J984" s="42"/>
    </row>
    <row r="985" spans="1:10" s="3" customFormat="1" x14ac:dyDescent="0.25">
      <c r="A985" s="20">
        <v>42074</v>
      </c>
      <c r="B985" s="21">
        <v>14495</v>
      </c>
      <c r="C985" s="14" t="s">
        <v>256</v>
      </c>
      <c r="D985" s="105">
        <v>3601.8</v>
      </c>
      <c r="E985" s="23">
        <v>42074</v>
      </c>
      <c r="F985" s="106">
        <v>3601.8</v>
      </c>
      <c r="G985" s="31">
        <f t="shared" si="15"/>
        <v>0</v>
      </c>
      <c r="H985" s="19" t="s">
        <v>773</v>
      </c>
      <c r="J985" s="42"/>
    </row>
    <row r="986" spans="1:10" s="3" customFormat="1" x14ac:dyDescent="0.25">
      <c r="A986" s="20">
        <v>42074</v>
      </c>
      <c r="B986" s="21">
        <v>14496</v>
      </c>
      <c r="C986" s="14" t="s">
        <v>173</v>
      </c>
      <c r="D986" s="105">
        <v>27337</v>
      </c>
      <c r="E986" s="30" t="s">
        <v>796</v>
      </c>
      <c r="F986" s="106">
        <v>27337</v>
      </c>
      <c r="G986" s="31">
        <f t="shared" si="15"/>
        <v>0</v>
      </c>
      <c r="H986" s="19" t="s">
        <v>59</v>
      </c>
      <c r="J986" s="42"/>
    </row>
    <row r="987" spans="1:10" s="3" customFormat="1" x14ac:dyDescent="0.25">
      <c r="A987" s="20">
        <v>42074</v>
      </c>
      <c r="B987" s="21">
        <v>14497</v>
      </c>
      <c r="C987" s="14" t="s">
        <v>14</v>
      </c>
      <c r="D987" s="105">
        <v>118398.79</v>
      </c>
      <c r="E987" s="29" t="s">
        <v>836</v>
      </c>
      <c r="F987" s="106">
        <f>103293.71+15105.08</f>
        <v>118398.79000000001</v>
      </c>
      <c r="G987" s="31">
        <f t="shared" si="15"/>
        <v>0</v>
      </c>
      <c r="H987" s="19" t="s">
        <v>9</v>
      </c>
      <c r="J987" s="42"/>
    </row>
    <row r="988" spans="1:10" s="3" customFormat="1" x14ac:dyDescent="0.25">
      <c r="A988" s="20">
        <v>42074</v>
      </c>
      <c r="B988" s="21">
        <v>14498</v>
      </c>
      <c r="C988" s="14" t="s">
        <v>107</v>
      </c>
      <c r="D988" s="105">
        <v>2406.8000000000002</v>
      </c>
      <c r="E988" s="23">
        <v>42074</v>
      </c>
      <c r="F988" s="106">
        <v>2406.8000000000002</v>
      </c>
      <c r="G988" s="31">
        <f t="shared" si="15"/>
        <v>0</v>
      </c>
      <c r="H988" s="19" t="s">
        <v>773</v>
      </c>
      <c r="J988" s="42"/>
    </row>
    <row r="989" spans="1:10" s="3" customFormat="1" x14ac:dyDescent="0.25">
      <c r="A989" s="20">
        <v>42074</v>
      </c>
      <c r="B989" s="21">
        <v>14499</v>
      </c>
      <c r="C989" s="14" t="s">
        <v>170</v>
      </c>
      <c r="D989" s="105">
        <v>3801.6</v>
      </c>
      <c r="E989" s="23">
        <v>42074</v>
      </c>
      <c r="F989" s="106">
        <v>3801.6</v>
      </c>
      <c r="G989" s="31">
        <f t="shared" si="15"/>
        <v>0</v>
      </c>
      <c r="H989" s="19" t="s">
        <v>59</v>
      </c>
      <c r="J989" s="42"/>
    </row>
    <row r="990" spans="1:10" s="3" customFormat="1" x14ac:dyDescent="0.25">
      <c r="A990" s="20">
        <v>42074</v>
      </c>
      <c r="B990" s="21">
        <v>14500</v>
      </c>
      <c r="C990" s="14" t="s">
        <v>28</v>
      </c>
      <c r="D990" s="105">
        <v>3234</v>
      </c>
      <c r="E990" s="23">
        <v>42074</v>
      </c>
      <c r="F990" s="106">
        <v>3234</v>
      </c>
      <c r="G990" s="31">
        <f t="shared" si="15"/>
        <v>0</v>
      </c>
      <c r="H990" s="19" t="s">
        <v>773</v>
      </c>
      <c r="J990" s="42"/>
    </row>
    <row r="991" spans="1:10" s="3" customFormat="1" x14ac:dyDescent="0.25">
      <c r="A991" s="20">
        <v>42074</v>
      </c>
      <c r="B991" s="21">
        <v>14501</v>
      </c>
      <c r="C991" s="14" t="s">
        <v>135</v>
      </c>
      <c r="D991" s="105">
        <v>871.2</v>
      </c>
      <c r="E991" s="23">
        <v>42074</v>
      </c>
      <c r="F991" s="106">
        <v>871.2</v>
      </c>
      <c r="G991" s="31">
        <f t="shared" si="15"/>
        <v>0</v>
      </c>
      <c r="H991" s="19" t="s">
        <v>9</v>
      </c>
      <c r="J991" s="42"/>
    </row>
    <row r="992" spans="1:10" s="3" customFormat="1" x14ac:dyDescent="0.25">
      <c r="A992" s="20">
        <v>42074</v>
      </c>
      <c r="B992" s="21">
        <v>14502</v>
      </c>
      <c r="C992" s="14" t="s">
        <v>162</v>
      </c>
      <c r="D992" s="105">
        <v>1392.3</v>
      </c>
      <c r="E992" s="23">
        <v>42074</v>
      </c>
      <c r="F992" s="106">
        <v>1392.3</v>
      </c>
      <c r="G992" s="31">
        <f t="shared" si="15"/>
        <v>0</v>
      </c>
      <c r="H992" s="19" t="s">
        <v>773</v>
      </c>
      <c r="J992" s="42"/>
    </row>
    <row r="993" spans="1:10" s="3" customFormat="1" x14ac:dyDescent="0.25">
      <c r="A993" s="20">
        <v>42074</v>
      </c>
      <c r="B993" s="21">
        <v>14503</v>
      </c>
      <c r="C993" s="14" t="s">
        <v>134</v>
      </c>
      <c r="D993" s="105">
        <v>417.2</v>
      </c>
      <c r="E993" s="23">
        <v>42074</v>
      </c>
      <c r="F993" s="106">
        <v>417.2</v>
      </c>
      <c r="G993" s="31">
        <f t="shared" si="15"/>
        <v>0</v>
      </c>
      <c r="H993" s="19" t="s">
        <v>773</v>
      </c>
      <c r="J993" s="42"/>
    </row>
    <row r="994" spans="1:10" s="3" customFormat="1" x14ac:dyDescent="0.25">
      <c r="A994" s="20">
        <v>42074</v>
      </c>
      <c r="B994" s="21">
        <v>14504</v>
      </c>
      <c r="C994" s="14" t="s">
        <v>837</v>
      </c>
      <c r="D994" s="105">
        <v>283.2</v>
      </c>
      <c r="E994" s="23">
        <v>42074</v>
      </c>
      <c r="F994" s="106">
        <v>283.2</v>
      </c>
      <c r="G994" s="31">
        <f t="shared" si="15"/>
        <v>0</v>
      </c>
      <c r="H994" s="19" t="s">
        <v>9</v>
      </c>
      <c r="J994" s="42"/>
    </row>
    <row r="995" spans="1:10" s="3" customFormat="1" x14ac:dyDescent="0.25">
      <c r="A995" s="20">
        <v>42074</v>
      </c>
      <c r="B995" s="21">
        <v>14505</v>
      </c>
      <c r="C995" s="14" t="s">
        <v>176</v>
      </c>
      <c r="D995" s="105">
        <v>7116.2</v>
      </c>
      <c r="E995" s="30" t="s">
        <v>838</v>
      </c>
      <c r="F995" s="106">
        <v>7116.2</v>
      </c>
      <c r="G995" s="31">
        <f t="shared" si="15"/>
        <v>0</v>
      </c>
      <c r="H995" s="19" t="s">
        <v>59</v>
      </c>
      <c r="I995" s="4"/>
      <c r="J995" s="43"/>
    </row>
    <row r="996" spans="1:10" s="3" customFormat="1" x14ac:dyDescent="0.25">
      <c r="A996" s="20">
        <v>42074</v>
      </c>
      <c r="B996" s="21">
        <v>14506</v>
      </c>
      <c r="C996" s="14" t="s">
        <v>699</v>
      </c>
      <c r="D996" s="105">
        <v>1911</v>
      </c>
      <c r="E996" s="23">
        <v>42079</v>
      </c>
      <c r="F996" s="106">
        <v>1911</v>
      </c>
      <c r="G996" s="31">
        <f t="shared" si="15"/>
        <v>0</v>
      </c>
      <c r="H996" s="19" t="s">
        <v>9</v>
      </c>
      <c r="I996" s="4"/>
      <c r="J996" s="43"/>
    </row>
    <row r="997" spans="1:10" s="3" customFormat="1" x14ac:dyDescent="0.25">
      <c r="A997" s="20">
        <v>42074</v>
      </c>
      <c r="B997" s="21">
        <v>14507</v>
      </c>
      <c r="C997" s="14" t="s">
        <v>839</v>
      </c>
      <c r="D997" s="105">
        <v>9852.7000000000007</v>
      </c>
      <c r="E997" s="23">
        <v>42074</v>
      </c>
      <c r="F997" s="106">
        <v>9852.7000000000007</v>
      </c>
      <c r="G997" s="31">
        <f t="shared" si="15"/>
        <v>0</v>
      </c>
      <c r="H997" s="19" t="s">
        <v>15</v>
      </c>
      <c r="I997" s="4"/>
      <c r="J997" s="43"/>
    </row>
    <row r="998" spans="1:10" s="3" customFormat="1" x14ac:dyDescent="0.25">
      <c r="A998" s="20">
        <v>42074</v>
      </c>
      <c r="B998" s="21">
        <v>14508</v>
      </c>
      <c r="C998" s="14" t="s">
        <v>34</v>
      </c>
      <c r="D998" s="105">
        <v>2523.6</v>
      </c>
      <c r="E998" s="23">
        <v>42074</v>
      </c>
      <c r="F998" s="106">
        <v>2523.6</v>
      </c>
      <c r="G998" s="31">
        <f t="shared" si="15"/>
        <v>0</v>
      </c>
      <c r="H998" s="19" t="s">
        <v>9</v>
      </c>
      <c r="I998" s="4"/>
      <c r="J998" s="43"/>
    </row>
    <row r="999" spans="1:10" s="3" customFormat="1" x14ac:dyDescent="0.25">
      <c r="A999" s="20">
        <v>42074</v>
      </c>
      <c r="B999" s="21">
        <v>14509</v>
      </c>
      <c r="C999" s="14" t="s">
        <v>152</v>
      </c>
      <c r="D999" s="105">
        <v>4024.8</v>
      </c>
      <c r="E999" s="23">
        <v>42074</v>
      </c>
      <c r="F999" s="106">
        <v>4024.8</v>
      </c>
      <c r="G999" s="31">
        <f t="shared" si="15"/>
        <v>0</v>
      </c>
      <c r="H999" s="19" t="s">
        <v>17</v>
      </c>
      <c r="I999" s="4"/>
      <c r="J999" s="43"/>
    </row>
    <row r="1000" spans="1:10" s="3" customFormat="1" x14ac:dyDescent="0.25">
      <c r="A1000" s="20">
        <v>42074</v>
      </c>
      <c r="B1000" s="21">
        <v>14510</v>
      </c>
      <c r="C1000" s="14" t="s">
        <v>53</v>
      </c>
      <c r="D1000" s="105">
        <v>1727.2</v>
      </c>
      <c r="E1000" s="23">
        <v>42074</v>
      </c>
      <c r="F1000" s="106">
        <v>1727.2</v>
      </c>
      <c r="G1000" s="31">
        <f t="shared" si="15"/>
        <v>0</v>
      </c>
      <c r="H1000" s="19" t="s">
        <v>17</v>
      </c>
      <c r="I1000" s="4"/>
      <c r="J1000" s="107"/>
    </row>
    <row r="1001" spans="1:10" s="3" customFormat="1" x14ac:dyDescent="0.25">
      <c r="A1001" s="20">
        <v>42074</v>
      </c>
      <c r="B1001" s="21">
        <v>14511</v>
      </c>
      <c r="C1001" s="14" t="s">
        <v>729</v>
      </c>
      <c r="D1001" s="105">
        <v>1669.2</v>
      </c>
      <c r="E1001" s="23">
        <v>42074</v>
      </c>
      <c r="F1001" s="106">
        <v>1669.2</v>
      </c>
      <c r="G1001" s="31">
        <f t="shared" si="15"/>
        <v>0</v>
      </c>
      <c r="H1001" s="19" t="s">
        <v>17</v>
      </c>
      <c r="I1001" s="4"/>
      <c r="J1001" s="107"/>
    </row>
    <row r="1002" spans="1:10" s="3" customFormat="1" x14ac:dyDescent="0.25">
      <c r="A1002" s="20">
        <v>42074</v>
      </c>
      <c r="B1002" s="21">
        <v>14512</v>
      </c>
      <c r="C1002" s="14" t="s">
        <v>99</v>
      </c>
      <c r="D1002" s="105">
        <v>306</v>
      </c>
      <c r="E1002" s="23">
        <v>42074</v>
      </c>
      <c r="F1002" s="106">
        <v>306</v>
      </c>
      <c r="G1002" s="31">
        <f t="shared" si="15"/>
        <v>0</v>
      </c>
      <c r="H1002" s="19" t="s">
        <v>15</v>
      </c>
      <c r="I1002" s="4"/>
      <c r="J1002" s="43"/>
    </row>
    <row r="1003" spans="1:10" s="3" customFormat="1" x14ac:dyDescent="0.25">
      <c r="A1003" s="20">
        <v>42074</v>
      </c>
      <c r="B1003" s="21">
        <v>14513</v>
      </c>
      <c r="C1003" s="14" t="s">
        <v>81</v>
      </c>
      <c r="D1003" s="105">
        <v>1767.8</v>
      </c>
      <c r="E1003" s="23">
        <v>42074</v>
      </c>
      <c r="F1003" s="106">
        <v>1767.8</v>
      </c>
      <c r="G1003" s="31">
        <f t="shared" si="15"/>
        <v>0</v>
      </c>
      <c r="H1003" s="19" t="s">
        <v>17</v>
      </c>
      <c r="I1003" s="4"/>
      <c r="J1003" s="43"/>
    </row>
    <row r="1004" spans="1:10" s="3" customFormat="1" x14ac:dyDescent="0.25">
      <c r="A1004" s="20">
        <v>42074</v>
      </c>
      <c r="B1004" s="21">
        <v>14514</v>
      </c>
      <c r="C1004" s="14" t="s">
        <v>285</v>
      </c>
      <c r="D1004" s="105">
        <v>979.2</v>
      </c>
      <c r="E1004" s="23">
        <v>42074</v>
      </c>
      <c r="F1004" s="106">
        <v>979.2</v>
      </c>
      <c r="G1004" s="31">
        <f t="shared" si="15"/>
        <v>0</v>
      </c>
      <c r="H1004" s="19" t="s">
        <v>15</v>
      </c>
      <c r="I1004" s="4"/>
      <c r="J1004" s="43"/>
    </row>
    <row r="1005" spans="1:10" s="3" customFormat="1" x14ac:dyDescent="0.25">
      <c r="A1005" s="20">
        <v>42074</v>
      </c>
      <c r="B1005" s="21">
        <v>14515</v>
      </c>
      <c r="C1005" s="14" t="s">
        <v>57</v>
      </c>
      <c r="D1005" s="105">
        <v>742</v>
      </c>
      <c r="E1005" s="23">
        <v>42074</v>
      </c>
      <c r="F1005" s="106">
        <v>742</v>
      </c>
      <c r="G1005" s="31">
        <f t="shared" si="15"/>
        <v>0</v>
      </c>
      <c r="H1005" s="19" t="s">
        <v>17</v>
      </c>
      <c r="I1005" s="4"/>
      <c r="J1005" s="43"/>
    </row>
    <row r="1006" spans="1:10" s="3" customFormat="1" x14ac:dyDescent="0.25">
      <c r="A1006" s="20">
        <v>42074</v>
      </c>
      <c r="B1006" s="21">
        <v>14516</v>
      </c>
      <c r="C1006" s="14" t="s">
        <v>168</v>
      </c>
      <c r="D1006" s="105">
        <v>9010.2000000000007</v>
      </c>
      <c r="E1006" s="23">
        <v>42074</v>
      </c>
      <c r="F1006" s="106">
        <v>9010.2000000000007</v>
      </c>
      <c r="G1006" s="31">
        <f t="shared" si="15"/>
        <v>0</v>
      </c>
      <c r="H1006" s="19" t="s">
        <v>17</v>
      </c>
      <c r="I1006" s="4"/>
      <c r="J1006" s="43"/>
    </row>
    <row r="1007" spans="1:10" s="3" customFormat="1" x14ac:dyDescent="0.25">
      <c r="A1007" s="20">
        <v>42074</v>
      </c>
      <c r="B1007" s="21">
        <v>14517</v>
      </c>
      <c r="C1007" s="14" t="s">
        <v>18</v>
      </c>
      <c r="D1007" s="105">
        <v>78685.34</v>
      </c>
      <c r="E1007" s="23">
        <v>42078</v>
      </c>
      <c r="F1007" s="106">
        <v>78685.34</v>
      </c>
      <c r="G1007" s="31">
        <f t="shared" si="15"/>
        <v>0</v>
      </c>
      <c r="H1007" s="19" t="s">
        <v>183</v>
      </c>
      <c r="I1007" s="4"/>
      <c r="J1007" s="43"/>
    </row>
    <row r="1008" spans="1:10" s="3" customFormat="1" x14ac:dyDescent="0.25">
      <c r="A1008" s="20">
        <v>42074</v>
      </c>
      <c r="B1008" s="21">
        <v>14518</v>
      </c>
      <c r="C1008" s="14" t="s">
        <v>192</v>
      </c>
      <c r="D1008" s="105">
        <v>1656</v>
      </c>
      <c r="E1008" s="23">
        <v>42083</v>
      </c>
      <c r="F1008" s="106">
        <v>1656</v>
      </c>
      <c r="G1008" s="31">
        <f t="shared" si="15"/>
        <v>0</v>
      </c>
      <c r="H1008" s="39" t="s">
        <v>9</v>
      </c>
      <c r="I1008" s="4"/>
      <c r="J1008" s="43"/>
    </row>
    <row r="1009" spans="1:10" s="3" customFormat="1" x14ac:dyDescent="0.25">
      <c r="A1009" s="20">
        <v>42074</v>
      </c>
      <c r="B1009" s="21">
        <v>14519</v>
      </c>
      <c r="C1009" s="14" t="s">
        <v>106</v>
      </c>
      <c r="D1009" s="105">
        <v>43081</v>
      </c>
      <c r="E1009" s="30">
        <v>42101</v>
      </c>
      <c r="F1009" s="144">
        <v>43081</v>
      </c>
      <c r="G1009" s="31">
        <f t="shared" si="15"/>
        <v>0</v>
      </c>
      <c r="H1009" s="39" t="s">
        <v>183</v>
      </c>
      <c r="I1009" s="4"/>
      <c r="J1009" s="43"/>
    </row>
    <row r="1010" spans="1:10" s="3" customFormat="1" x14ac:dyDescent="0.25">
      <c r="A1010" s="20">
        <v>42074</v>
      </c>
      <c r="B1010" s="21">
        <v>14520</v>
      </c>
      <c r="C1010" s="14" t="s">
        <v>128</v>
      </c>
      <c r="D1010" s="105">
        <v>5894.4</v>
      </c>
      <c r="E1010" s="23">
        <v>42074</v>
      </c>
      <c r="F1010" s="106">
        <v>5894.4</v>
      </c>
      <c r="G1010" s="31">
        <f t="shared" si="15"/>
        <v>0</v>
      </c>
      <c r="H1010" s="39" t="s">
        <v>17</v>
      </c>
      <c r="I1010" s="4"/>
      <c r="J1010" s="43"/>
    </row>
    <row r="1011" spans="1:10" s="3" customFormat="1" x14ac:dyDescent="0.25">
      <c r="A1011" s="20">
        <v>42074</v>
      </c>
      <c r="B1011" s="21">
        <v>14521</v>
      </c>
      <c r="C1011" s="14" t="s">
        <v>131</v>
      </c>
      <c r="D1011" s="105">
        <v>6159.2</v>
      </c>
      <c r="E1011" s="29" t="s">
        <v>840</v>
      </c>
      <c r="F1011" s="106">
        <f>744.65+5414.55</f>
        <v>6159.2</v>
      </c>
      <c r="G1011" s="31">
        <f t="shared" si="15"/>
        <v>0</v>
      </c>
      <c r="H1011" s="39" t="s">
        <v>17</v>
      </c>
      <c r="I1011" s="4"/>
      <c r="J1011" s="43"/>
    </row>
    <row r="1012" spans="1:10" s="3" customFormat="1" x14ac:dyDescent="0.25">
      <c r="A1012" s="20">
        <v>42074</v>
      </c>
      <c r="B1012" s="21">
        <v>14522</v>
      </c>
      <c r="C1012" s="14" t="s">
        <v>130</v>
      </c>
      <c r="D1012" s="105">
        <v>2649.6</v>
      </c>
      <c r="E1012" s="23">
        <v>42074</v>
      </c>
      <c r="F1012" s="106">
        <v>2649.6</v>
      </c>
      <c r="G1012" s="31">
        <f t="shared" si="15"/>
        <v>0</v>
      </c>
      <c r="H1012" s="39" t="s">
        <v>17</v>
      </c>
      <c r="I1012" s="4"/>
      <c r="J1012" s="43"/>
    </row>
    <row r="1013" spans="1:10" s="3" customFormat="1" x14ac:dyDescent="0.25">
      <c r="A1013" s="20">
        <v>42074</v>
      </c>
      <c r="B1013" s="21">
        <v>14523</v>
      </c>
      <c r="C1013" s="14" t="s">
        <v>120</v>
      </c>
      <c r="D1013" s="105">
        <v>1232.4000000000001</v>
      </c>
      <c r="E1013" s="23">
        <v>42074</v>
      </c>
      <c r="F1013" s="106">
        <v>1232.4000000000001</v>
      </c>
      <c r="G1013" s="31">
        <f t="shared" si="15"/>
        <v>0</v>
      </c>
      <c r="H1013" s="39" t="s">
        <v>17</v>
      </c>
      <c r="I1013" s="4"/>
      <c r="J1013" s="43"/>
    </row>
    <row r="1014" spans="1:10" s="3" customFormat="1" x14ac:dyDescent="0.25">
      <c r="A1014" s="20">
        <v>42074</v>
      </c>
      <c r="B1014" s="21">
        <v>14524</v>
      </c>
      <c r="C1014" s="14" t="s">
        <v>299</v>
      </c>
      <c r="D1014" s="105">
        <v>2352</v>
      </c>
      <c r="E1014" s="23">
        <v>42074</v>
      </c>
      <c r="F1014" s="106">
        <v>2352</v>
      </c>
      <c r="G1014" s="31">
        <f t="shared" si="15"/>
        <v>0</v>
      </c>
      <c r="H1014" s="39" t="s">
        <v>17</v>
      </c>
      <c r="I1014" s="4"/>
      <c r="J1014" s="43"/>
    </row>
    <row r="1015" spans="1:10" s="3" customFormat="1" x14ac:dyDescent="0.25">
      <c r="A1015" s="20">
        <v>42074</v>
      </c>
      <c r="B1015" s="21">
        <v>14525</v>
      </c>
      <c r="C1015" s="14" t="s">
        <v>140</v>
      </c>
      <c r="D1015" s="105">
        <v>5257.2</v>
      </c>
      <c r="E1015" s="23">
        <v>42074</v>
      </c>
      <c r="F1015" s="106">
        <v>5257.2</v>
      </c>
      <c r="G1015" s="31">
        <f t="shared" si="15"/>
        <v>0</v>
      </c>
      <c r="H1015" s="39" t="s">
        <v>17</v>
      </c>
      <c r="I1015" s="4"/>
      <c r="J1015" s="43"/>
    </row>
    <row r="1016" spans="1:10" s="3" customFormat="1" x14ac:dyDescent="0.25">
      <c r="A1016" s="20">
        <v>42074</v>
      </c>
      <c r="B1016" s="21">
        <v>14526</v>
      </c>
      <c r="C1016" s="14" t="s">
        <v>49</v>
      </c>
      <c r="D1016" s="105">
        <v>1654.4</v>
      </c>
      <c r="E1016" s="23">
        <v>42074</v>
      </c>
      <c r="F1016" s="106">
        <v>1654.4</v>
      </c>
      <c r="G1016" s="31">
        <f t="shared" si="15"/>
        <v>0</v>
      </c>
      <c r="H1016" s="39" t="s">
        <v>94</v>
      </c>
      <c r="I1016" s="4"/>
      <c r="J1016" s="43"/>
    </row>
    <row r="1017" spans="1:10" s="3" customFormat="1" x14ac:dyDescent="0.25">
      <c r="A1017" s="20">
        <v>42074</v>
      </c>
      <c r="B1017" s="21">
        <v>14527</v>
      </c>
      <c r="C1017" s="14" t="s">
        <v>47</v>
      </c>
      <c r="D1017" s="105">
        <v>24068.2</v>
      </c>
      <c r="E1017" s="51">
        <v>42074</v>
      </c>
      <c r="F1017" s="106">
        <v>24068.2</v>
      </c>
      <c r="G1017" s="31">
        <f t="shared" si="15"/>
        <v>0</v>
      </c>
      <c r="H1017" s="39" t="s">
        <v>9</v>
      </c>
      <c r="I1017" s="4"/>
      <c r="J1017" s="43"/>
    </row>
    <row r="1018" spans="1:10" s="3" customFormat="1" x14ac:dyDescent="0.25">
      <c r="A1018" s="20">
        <v>42074</v>
      </c>
      <c r="B1018" s="21">
        <v>14528</v>
      </c>
      <c r="C1018" s="110">
        <v>105</v>
      </c>
      <c r="D1018" s="105">
        <v>1080</v>
      </c>
      <c r="E1018" s="23">
        <v>42074</v>
      </c>
      <c r="F1018" s="106">
        <v>1080</v>
      </c>
      <c r="G1018" s="31">
        <f t="shared" si="15"/>
        <v>0</v>
      </c>
      <c r="H1018" s="39" t="s">
        <v>17</v>
      </c>
      <c r="I1018" s="4"/>
      <c r="J1018" s="43"/>
    </row>
    <row r="1019" spans="1:10" s="3" customFormat="1" x14ac:dyDescent="0.25">
      <c r="A1019" s="20">
        <v>42074</v>
      </c>
      <c r="B1019" s="21">
        <v>14529</v>
      </c>
      <c r="C1019" s="14" t="s">
        <v>192</v>
      </c>
      <c r="D1019" s="105">
        <v>9104.2000000000007</v>
      </c>
      <c r="E1019" s="23">
        <v>42083</v>
      </c>
      <c r="F1019" s="106">
        <v>9104.2000000000007</v>
      </c>
      <c r="G1019" s="31">
        <f t="shared" si="15"/>
        <v>0</v>
      </c>
      <c r="H1019" s="39" t="s">
        <v>94</v>
      </c>
      <c r="I1019" s="4"/>
      <c r="J1019" s="43"/>
    </row>
    <row r="1020" spans="1:10" s="3" customFormat="1" x14ac:dyDescent="0.25">
      <c r="A1020" s="20">
        <v>42074</v>
      </c>
      <c r="B1020" s="21">
        <v>14530</v>
      </c>
      <c r="C1020" s="14" t="s">
        <v>214</v>
      </c>
      <c r="D1020" s="105">
        <v>1440</v>
      </c>
      <c r="E1020" s="23">
        <v>42076</v>
      </c>
      <c r="F1020" s="106">
        <v>1440</v>
      </c>
      <c r="G1020" s="31">
        <f t="shared" si="15"/>
        <v>0</v>
      </c>
      <c r="H1020" s="39" t="s">
        <v>17</v>
      </c>
      <c r="I1020" s="4"/>
      <c r="J1020" s="43"/>
    </row>
    <row r="1021" spans="1:10" s="3" customFormat="1" x14ac:dyDescent="0.25">
      <c r="A1021" s="20">
        <v>42074</v>
      </c>
      <c r="B1021" s="21">
        <v>14531</v>
      </c>
      <c r="C1021" s="14" t="s">
        <v>24</v>
      </c>
      <c r="D1021" s="105">
        <v>311.60000000000002</v>
      </c>
      <c r="E1021" s="23">
        <v>42087</v>
      </c>
      <c r="F1021" s="106">
        <v>311.60000000000002</v>
      </c>
      <c r="G1021" s="31">
        <f t="shared" si="15"/>
        <v>0</v>
      </c>
      <c r="H1021" s="56" t="s">
        <v>9</v>
      </c>
      <c r="I1021" s="4"/>
      <c r="J1021" s="43"/>
    </row>
    <row r="1022" spans="1:10" s="3" customFormat="1" x14ac:dyDescent="0.25">
      <c r="A1022" s="20">
        <v>42074</v>
      </c>
      <c r="B1022" s="21">
        <v>14532</v>
      </c>
      <c r="C1022" s="14" t="s">
        <v>332</v>
      </c>
      <c r="D1022" s="105">
        <v>2259.9</v>
      </c>
      <c r="E1022" s="23">
        <v>42074</v>
      </c>
      <c r="F1022" s="106">
        <v>2259.9</v>
      </c>
      <c r="G1022" s="31">
        <f t="shared" si="15"/>
        <v>0</v>
      </c>
      <c r="H1022" s="39" t="s">
        <v>9</v>
      </c>
      <c r="I1022" s="4"/>
      <c r="J1022" s="43"/>
    </row>
    <row r="1023" spans="1:10" s="3" customFormat="1" x14ac:dyDescent="0.25">
      <c r="A1023" s="20">
        <v>42074</v>
      </c>
      <c r="B1023" s="21">
        <v>14533</v>
      </c>
      <c r="C1023" s="14" t="s">
        <v>564</v>
      </c>
      <c r="D1023" s="105">
        <v>2898.48</v>
      </c>
      <c r="E1023" s="30" t="s">
        <v>841</v>
      </c>
      <c r="F1023" s="106">
        <v>2898.48</v>
      </c>
      <c r="G1023" s="31">
        <f t="shared" si="15"/>
        <v>0</v>
      </c>
      <c r="H1023" s="56" t="s">
        <v>9</v>
      </c>
      <c r="I1023" s="4"/>
      <c r="J1023" s="107"/>
    </row>
    <row r="1024" spans="1:10" s="3" customFormat="1" x14ac:dyDescent="0.25">
      <c r="A1024" s="20">
        <v>42074</v>
      </c>
      <c r="B1024" s="21">
        <v>14534</v>
      </c>
      <c r="C1024" s="14" t="s">
        <v>87</v>
      </c>
      <c r="D1024" s="105">
        <v>1953.2</v>
      </c>
      <c r="E1024" s="23">
        <v>42074</v>
      </c>
      <c r="F1024" s="106">
        <v>1953.2</v>
      </c>
      <c r="G1024" s="31">
        <f t="shared" si="15"/>
        <v>0</v>
      </c>
      <c r="H1024" s="56" t="s">
        <v>94</v>
      </c>
      <c r="I1024" s="4"/>
      <c r="J1024" s="107"/>
    </row>
    <row r="1025" spans="1:10" s="3" customFormat="1" x14ac:dyDescent="0.25">
      <c r="A1025" s="20">
        <v>42074</v>
      </c>
      <c r="B1025" s="21">
        <v>14535</v>
      </c>
      <c r="C1025" s="14" t="s">
        <v>100</v>
      </c>
      <c r="D1025" s="105">
        <v>1964.2</v>
      </c>
      <c r="E1025" s="23">
        <v>42074</v>
      </c>
      <c r="F1025" s="106">
        <v>1964.2</v>
      </c>
      <c r="G1025" s="31">
        <f t="shared" si="15"/>
        <v>0</v>
      </c>
      <c r="H1025" s="56" t="s">
        <v>9</v>
      </c>
      <c r="I1025" s="4"/>
      <c r="J1025" s="43"/>
    </row>
    <row r="1026" spans="1:10" s="3" customFormat="1" x14ac:dyDescent="0.25">
      <c r="A1026" s="20">
        <v>42074</v>
      </c>
      <c r="B1026" s="21">
        <v>14536</v>
      </c>
      <c r="C1026" s="14" t="s">
        <v>24</v>
      </c>
      <c r="D1026" s="105">
        <v>646.4</v>
      </c>
      <c r="E1026" s="23">
        <v>42087</v>
      </c>
      <c r="F1026" s="106">
        <v>646.4</v>
      </c>
      <c r="G1026" s="31">
        <f t="shared" si="15"/>
        <v>0</v>
      </c>
      <c r="H1026" s="56" t="s">
        <v>9</v>
      </c>
      <c r="I1026" s="4"/>
      <c r="J1026" s="43"/>
    </row>
    <row r="1027" spans="1:10" s="3" customFormat="1" x14ac:dyDescent="0.25">
      <c r="A1027" s="20">
        <v>42074</v>
      </c>
      <c r="B1027" s="21">
        <v>14537</v>
      </c>
      <c r="C1027" s="14" t="s">
        <v>136</v>
      </c>
      <c r="D1027" s="105">
        <v>34163.199999999997</v>
      </c>
      <c r="E1027" s="23">
        <v>42075</v>
      </c>
      <c r="F1027" s="106">
        <v>34163.199999999997</v>
      </c>
      <c r="G1027" s="31">
        <f t="shared" ref="G1027:G1090" si="16">D1027-F1027</f>
        <v>0</v>
      </c>
      <c r="H1027" s="56" t="s">
        <v>9</v>
      </c>
      <c r="J1027" s="42"/>
    </row>
    <row r="1028" spans="1:10" s="3" customFormat="1" x14ac:dyDescent="0.25">
      <c r="A1028" s="20">
        <v>42074</v>
      </c>
      <c r="B1028" s="21">
        <v>14538</v>
      </c>
      <c r="C1028" s="14" t="s">
        <v>239</v>
      </c>
      <c r="D1028" s="105">
        <v>1350.6</v>
      </c>
      <c r="E1028" s="23">
        <v>42074</v>
      </c>
      <c r="F1028" s="118">
        <v>1350.6</v>
      </c>
      <c r="G1028" s="31">
        <f t="shared" si="16"/>
        <v>0</v>
      </c>
      <c r="H1028" s="56" t="s">
        <v>9</v>
      </c>
      <c r="J1028" s="42"/>
    </row>
    <row r="1029" spans="1:10" s="3" customFormat="1" x14ac:dyDescent="0.25">
      <c r="A1029" s="20">
        <v>42074</v>
      </c>
      <c r="B1029" s="21">
        <v>14539</v>
      </c>
      <c r="C1029" s="14" t="s">
        <v>89</v>
      </c>
      <c r="D1029" s="105">
        <v>3049.8</v>
      </c>
      <c r="E1029" s="23">
        <v>42074</v>
      </c>
      <c r="F1029" s="118">
        <v>3049.8</v>
      </c>
      <c r="G1029" s="31">
        <f t="shared" si="16"/>
        <v>0</v>
      </c>
      <c r="H1029" s="56" t="s">
        <v>9</v>
      </c>
      <c r="J1029" s="42"/>
    </row>
    <row r="1030" spans="1:10" s="3" customFormat="1" x14ac:dyDescent="0.25">
      <c r="A1030" s="20">
        <v>42074</v>
      </c>
      <c r="B1030" s="21">
        <v>14540</v>
      </c>
      <c r="C1030" s="14" t="s">
        <v>141</v>
      </c>
      <c r="D1030" s="105">
        <v>6443.6</v>
      </c>
      <c r="E1030" s="23">
        <v>42075</v>
      </c>
      <c r="F1030" s="118">
        <v>6443.6</v>
      </c>
      <c r="G1030" s="31">
        <f t="shared" si="16"/>
        <v>0</v>
      </c>
      <c r="H1030" s="56" t="s">
        <v>9</v>
      </c>
      <c r="J1030" s="42"/>
    </row>
    <row r="1031" spans="1:10" s="3" customFormat="1" x14ac:dyDescent="0.25">
      <c r="A1031" s="20">
        <v>42074</v>
      </c>
      <c r="B1031" s="21">
        <v>14541</v>
      </c>
      <c r="C1031" s="14" t="s">
        <v>789</v>
      </c>
      <c r="D1031" s="105">
        <v>3251.2</v>
      </c>
      <c r="E1031" s="23">
        <v>42074</v>
      </c>
      <c r="F1031" s="118">
        <v>3251.2</v>
      </c>
      <c r="G1031" s="31">
        <f t="shared" si="16"/>
        <v>0</v>
      </c>
      <c r="H1031" s="56" t="s">
        <v>9</v>
      </c>
      <c r="J1031" s="42"/>
    </row>
    <row r="1032" spans="1:10" s="3" customFormat="1" x14ac:dyDescent="0.25">
      <c r="A1032" s="20">
        <v>42074</v>
      </c>
      <c r="B1032" s="21">
        <v>14542</v>
      </c>
      <c r="C1032" s="14" t="s">
        <v>179</v>
      </c>
      <c r="D1032" s="105">
        <v>3262.15</v>
      </c>
      <c r="E1032" s="23">
        <v>42074</v>
      </c>
      <c r="F1032" s="118">
        <v>3262.15</v>
      </c>
      <c r="G1032" s="31">
        <f t="shared" si="16"/>
        <v>0</v>
      </c>
      <c r="H1032" s="56" t="s">
        <v>19</v>
      </c>
      <c r="J1032" s="42"/>
    </row>
    <row r="1033" spans="1:10" s="3" customFormat="1" x14ac:dyDescent="0.25">
      <c r="A1033" s="20">
        <v>42074</v>
      </c>
      <c r="B1033" s="21">
        <v>14543</v>
      </c>
      <c r="C1033" s="14" t="s">
        <v>110</v>
      </c>
      <c r="D1033" s="105">
        <v>49899.29</v>
      </c>
      <c r="E1033" s="23">
        <v>42087</v>
      </c>
      <c r="F1033" s="118">
        <v>49899.29</v>
      </c>
      <c r="G1033" s="31">
        <f t="shared" si="16"/>
        <v>0</v>
      </c>
      <c r="H1033" s="56" t="s">
        <v>9</v>
      </c>
      <c r="J1033" s="42"/>
    </row>
    <row r="1034" spans="1:10" s="3" customFormat="1" x14ac:dyDescent="0.25">
      <c r="A1034" s="20">
        <v>42074</v>
      </c>
      <c r="B1034" s="21">
        <v>14544</v>
      </c>
      <c r="C1034" s="14" t="s">
        <v>107</v>
      </c>
      <c r="D1034" s="105">
        <v>3317.6</v>
      </c>
      <c r="E1034" s="23">
        <v>42074</v>
      </c>
      <c r="F1034" s="118">
        <v>3317.6</v>
      </c>
      <c r="G1034" s="31">
        <f t="shared" si="16"/>
        <v>0</v>
      </c>
      <c r="H1034" s="56" t="s">
        <v>9</v>
      </c>
      <c r="J1034" s="42"/>
    </row>
    <row r="1035" spans="1:10" s="3" customFormat="1" x14ac:dyDescent="0.25">
      <c r="A1035" s="20">
        <v>42074</v>
      </c>
      <c r="B1035" s="21">
        <v>14545</v>
      </c>
      <c r="C1035" s="14" t="s">
        <v>215</v>
      </c>
      <c r="D1035" s="105">
        <v>19636.78</v>
      </c>
      <c r="E1035" s="23">
        <v>42074</v>
      </c>
      <c r="F1035" s="118">
        <v>19636.78</v>
      </c>
      <c r="G1035" s="31">
        <f t="shared" si="16"/>
        <v>0</v>
      </c>
      <c r="H1035" s="56" t="s">
        <v>149</v>
      </c>
      <c r="J1035" s="42"/>
    </row>
    <row r="1036" spans="1:10" s="3" customFormat="1" x14ac:dyDescent="0.25">
      <c r="A1036" s="20">
        <v>42074</v>
      </c>
      <c r="B1036" s="21">
        <v>14546</v>
      </c>
      <c r="C1036" s="14" t="s">
        <v>842</v>
      </c>
      <c r="D1036" s="105">
        <v>1295.98</v>
      </c>
      <c r="E1036" s="23">
        <v>42074</v>
      </c>
      <c r="F1036" s="118">
        <v>1295.98</v>
      </c>
      <c r="G1036" s="31">
        <f t="shared" si="16"/>
        <v>0</v>
      </c>
      <c r="H1036" s="56" t="s">
        <v>9</v>
      </c>
      <c r="J1036" s="42"/>
    </row>
    <row r="1037" spans="1:10" s="3" customFormat="1" x14ac:dyDescent="0.25">
      <c r="A1037" s="20">
        <v>42074</v>
      </c>
      <c r="B1037" s="21">
        <v>14547</v>
      </c>
      <c r="C1037" s="14" t="s">
        <v>571</v>
      </c>
      <c r="D1037" s="105">
        <v>11661.3</v>
      </c>
      <c r="E1037" s="23">
        <v>42074</v>
      </c>
      <c r="F1037" s="118">
        <v>11661.3</v>
      </c>
      <c r="G1037" s="31">
        <f t="shared" si="16"/>
        <v>0</v>
      </c>
      <c r="H1037" s="56" t="s">
        <v>149</v>
      </c>
      <c r="J1037" s="42"/>
    </row>
    <row r="1038" spans="1:10" s="3" customFormat="1" x14ac:dyDescent="0.25">
      <c r="A1038" s="20">
        <v>42074</v>
      </c>
      <c r="B1038" s="21">
        <v>14548</v>
      </c>
      <c r="C1038" s="14" t="s">
        <v>111</v>
      </c>
      <c r="D1038" s="105">
        <v>164532</v>
      </c>
      <c r="E1038" s="23">
        <v>42075</v>
      </c>
      <c r="F1038" s="118">
        <v>164532</v>
      </c>
      <c r="G1038" s="31">
        <f t="shared" si="16"/>
        <v>0</v>
      </c>
      <c r="H1038" s="56" t="s">
        <v>149</v>
      </c>
      <c r="J1038" s="42"/>
    </row>
    <row r="1039" spans="1:10" s="3" customFormat="1" x14ac:dyDescent="0.25">
      <c r="A1039" s="20">
        <v>42074</v>
      </c>
      <c r="B1039" s="21">
        <v>14549</v>
      </c>
      <c r="C1039" s="14" t="s">
        <v>411</v>
      </c>
      <c r="D1039" s="105">
        <v>2378.1999999999998</v>
      </c>
      <c r="E1039" s="23">
        <v>42074</v>
      </c>
      <c r="F1039" s="118">
        <v>2378.1999999999998</v>
      </c>
      <c r="G1039" s="31">
        <f t="shared" si="16"/>
        <v>0</v>
      </c>
      <c r="H1039" s="56" t="s">
        <v>9</v>
      </c>
      <c r="J1039" s="42"/>
    </row>
    <row r="1040" spans="1:10" s="3" customFormat="1" x14ac:dyDescent="0.25">
      <c r="A1040" s="20">
        <v>42074</v>
      </c>
      <c r="B1040" s="21">
        <v>14550</v>
      </c>
      <c r="C1040" s="14" t="s">
        <v>331</v>
      </c>
      <c r="D1040" s="105">
        <v>7.2</v>
      </c>
      <c r="E1040" s="23">
        <v>42074</v>
      </c>
      <c r="F1040" s="118">
        <v>7.2</v>
      </c>
      <c r="G1040" s="31">
        <f t="shared" si="16"/>
        <v>0</v>
      </c>
      <c r="H1040" s="56" t="s">
        <v>9</v>
      </c>
      <c r="J1040" s="42"/>
    </row>
    <row r="1041" spans="1:10" s="3" customFormat="1" x14ac:dyDescent="0.25">
      <c r="A1041" s="20">
        <v>42074</v>
      </c>
      <c r="B1041" s="21">
        <v>14551</v>
      </c>
      <c r="C1041" s="26" t="s">
        <v>218</v>
      </c>
      <c r="D1041" s="108">
        <v>0</v>
      </c>
      <c r="E1041" s="23"/>
      <c r="F1041" s="118"/>
      <c r="G1041" s="31">
        <f t="shared" si="16"/>
        <v>0</v>
      </c>
      <c r="H1041" s="56" t="s">
        <v>13</v>
      </c>
      <c r="J1041" s="42"/>
    </row>
    <row r="1042" spans="1:10" s="3" customFormat="1" x14ac:dyDescent="0.25">
      <c r="A1042" s="20">
        <v>42074</v>
      </c>
      <c r="B1042" s="21">
        <v>14552</v>
      </c>
      <c r="C1042" s="14" t="s">
        <v>64</v>
      </c>
      <c r="D1042" s="105">
        <v>2115.6</v>
      </c>
      <c r="E1042" s="23">
        <v>42074</v>
      </c>
      <c r="F1042" s="118">
        <v>2115.6</v>
      </c>
      <c r="G1042" s="31">
        <f t="shared" si="16"/>
        <v>0</v>
      </c>
      <c r="H1042" s="56" t="s">
        <v>9</v>
      </c>
      <c r="J1042" s="42"/>
    </row>
    <row r="1043" spans="1:10" s="3" customFormat="1" x14ac:dyDescent="0.25">
      <c r="A1043" s="20">
        <v>42074</v>
      </c>
      <c r="B1043" s="21">
        <v>14553</v>
      </c>
      <c r="C1043" s="14" t="s">
        <v>651</v>
      </c>
      <c r="D1043" s="105">
        <v>49041</v>
      </c>
      <c r="E1043" s="23">
        <v>42074</v>
      </c>
      <c r="F1043" s="118">
        <v>49041</v>
      </c>
      <c r="G1043" s="31">
        <f t="shared" si="16"/>
        <v>0</v>
      </c>
      <c r="H1043" s="56" t="s">
        <v>187</v>
      </c>
      <c r="I1043" s="4"/>
      <c r="J1043" s="43"/>
    </row>
    <row r="1044" spans="1:10" s="3" customFormat="1" x14ac:dyDescent="0.25">
      <c r="A1044" s="20">
        <v>42074</v>
      </c>
      <c r="B1044" s="21">
        <v>14554</v>
      </c>
      <c r="C1044" s="14" t="s">
        <v>64</v>
      </c>
      <c r="D1044" s="105">
        <v>80</v>
      </c>
      <c r="E1044" s="23">
        <v>42074</v>
      </c>
      <c r="F1044" s="118">
        <v>80</v>
      </c>
      <c r="G1044" s="31">
        <f t="shared" si="16"/>
        <v>0</v>
      </c>
      <c r="H1044" s="56" t="s">
        <v>9</v>
      </c>
      <c r="I1044" s="4"/>
      <c r="J1044" s="43"/>
    </row>
    <row r="1045" spans="1:10" s="3" customFormat="1" x14ac:dyDescent="0.25">
      <c r="A1045" s="20">
        <v>42074</v>
      </c>
      <c r="B1045" s="21">
        <v>14555</v>
      </c>
      <c r="C1045" s="14" t="s">
        <v>352</v>
      </c>
      <c r="D1045" s="105">
        <v>16651.060000000001</v>
      </c>
      <c r="E1045" s="23">
        <v>42074</v>
      </c>
      <c r="F1045" s="118">
        <v>16651.060000000001</v>
      </c>
      <c r="G1045" s="31">
        <f t="shared" si="16"/>
        <v>0</v>
      </c>
      <c r="H1045" s="56" t="s">
        <v>9</v>
      </c>
      <c r="I1045" s="4"/>
      <c r="J1045" s="43"/>
    </row>
    <row r="1046" spans="1:10" s="3" customFormat="1" x14ac:dyDescent="0.25">
      <c r="A1046" s="20">
        <v>42074</v>
      </c>
      <c r="B1046" s="21">
        <v>14556</v>
      </c>
      <c r="C1046" s="14" t="s">
        <v>136</v>
      </c>
      <c r="D1046" s="105">
        <v>540</v>
      </c>
      <c r="E1046" s="23">
        <v>42074</v>
      </c>
      <c r="F1046" s="118">
        <v>540</v>
      </c>
      <c r="G1046" s="31">
        <f t="shared" si="16"/>
        <v>0</v>
      </c>
      <c r="H1046" s="56" t="s">
        <v>9</v>
      </c>
      <c r="I1046" s="4"/>
      <c r="J1046" s="43"/>
    </row>
    <row r="1047" spans="1:10" s="3" customFormat="1" x14ac:dyDescent="0.25">
      <c r="A1047" s="20">
        <v>42074</v>
      </c>
      <c r="B1047" s="21">
        <v>14557</v>
      </c>
      <c r="C1047" s="14" t="s">
        <v>24</v>
      </c>
      <c r="D1047" s="105">
        <v>148202.45000000001</v>
      </c>
      <c r="E1047" s="23">
        <v>42087</v>
      </c>
      <c r="F1047" s="118">
        <v>148202.45000000001</v>
      </c>
      <c r="G1047" s="31">
        <f t="shared" si="16"/>
        <v>0</v>
      </c>
      <c r="H1047" s="56" t="s">
        <v>9</v>
      </c>
      <c r="I1047" s="4"/>
      <c r="J1047" s="43"/>
    </row>
    <row r="1048" spans="1:10" s="3" customFormat="1" x14ac:dyDescent="0.25">
      <c r="A1048" s="20">
        <v>42074</v>
      </c>
      <c r="B1048" s="21">
        <v>14558</v>
      </c>
      <c r="C1048" s="14" t="s">
        <v>229</v>
      </c>
      <c r="D1048" s="105">
        <v>1124</v>
      </c>
      <c r="E1048" s="23">
        <v>42076</v>
      </c>
      <c r="F1048" s="118">
        <v>1124</v>
      </c>
      <c r="G1048" s="31">
        <f t="shared" si="16"/>
        <v>0</v>
      </c>
      <c r="H1048" s="56" t="s">
        <v>94</v>
      </c>
      <c r="I1048" s="4"/>
      <c r="J1048" s="43"/>
    </row>
    <row r="1049" spans="1:10" s="3" customFormat="1" x14ac:dyDescent="0.25">
      <c r="A1049" s="20">
        <v>42074</v>
      </c>
      <c r="B1049" s="21">
        <v>14559</v>
      </c>
      <c r="C1049" s="14" t="s">
        <v>80</v>
      </c>
      <c r="D1049" s="105">
        <v>8396</v>
      </c>
      <c r="E1049" s="23">
        <v>42074</v>
      </c>
      <c r="F1049" s="118">
        <v>8396</v>
      </c>
      <c r="G1049" s="31">
        <f t="shared" si="16"/>
        <v>0</v>
      </c>
      <c r="H1049" s="56" t="s">
        <v>9</v>
      </c>
      <c r="I1049" s="4"/>
      <c r="J1049" s="107"/>
    </row>
    <row r="1050" spans="1:10" s="3" customFormat="1" x14ac:dyDescent="0.25">
      <c r="A1050" s="20">
        <v>42074</v>
      </c>
      <c r="B1050" s="21">
        <v>14560</v>
      </c>
      <c r="C1050" s="14" t="s">
        <v>111</v>
      </c>
      <c r="D1050" s="105">
        <v>67624</v>
      </c>
      <c r="E1050" s="23">
        <v>42075</v>
      </c>
      <c r="F1050" s="118">
        <v>67624</v>
      </c>
      <c r="G1050" s="31">
        <f t="shared" si="16"/>
        <v>0</v>
      </c>
      <c r="H1050" s="56" t="s">
        <v>9</v>
      </c>
      <c r="I1050" s="4"/>
      <c r="J1050" s="43"/>
    </row>
    <row r="1051" spans="1:10" s="3" customFormat="1" x14ac:dyDescent="0.25">
      <c r="A1051" s="20">
        <v>42074</v>
      </c>
      <c r="B1051" s="21">
        <v>14561</v>
      </c>
      <c r="C1051" s="14" t="s">
        <v>141</v>
      </c>
      <c r="D1051" s="105">
        <v>320</v>
      </c>
      <c r="E1051" s="23">
        <v>42074</v>
      </c>
      <c r="F1051" s="118">
        <v>320</v>
      </c>
      <c r="G1051" s="31">
        <f t="shared" si="16"/>
        <v>0</v>
      </c>
      <c r="H1051" s="56" t="s">
        <v>9</v>
      </c>
      <c r="I1051" s="4"/>
      <c r="J1051" s="43"/>
    </row>
    <row r="1052" spans="1:10" s="3" customFormat="1" x14ac:dyDescent="0.25">
      <c r="A1052" s="20">
        <v>42075</v>
      </c>
      <c r="B1052" s="21">
        <v>14562</v>
      </c>
      <c r="C1052" s="14" t="s">
        <v>14</v>
      </c>
      <c r="D1052" s="105">
        <v>21262.2</v>
      </c>
      <c r="E1052" s="23">
        <v>42089</v>
      </c>
      <c r="F1052" s="118">
        <v>21262.2</v>
      </c>
      <c r="G1052" s="31">
        <f t="shared" si="16"/>
        <v>0</v>
      </c>
      <c r="H1052" s="56" t="s">
        <v>15</v>
      </c>
      <c r="I1052" s="4"/>
      <c r="J1052" s="43"/>
    </row>
    <row r="1053" spans="1:10" s="3" customFormat="1" x14ac:dyDescent="0.25">
      <c r="A1053" s="20">
        <v>42075</v>
      </c>
      <c r="B1053" s="21">
        <v>14563</v>
      </c>
      <c r="C1053" s="14" t="s">
        <v>799</v>
      </c>
      <c r="D1053" s="105">
        <v>66144.25</v>
      </c>
      <c r="E1053" s="23">
        <v>42077</v>
      </c>
      <c r="F1053" s="118">
        <v>66144.25</v>
      </c>
      <c r="G1053" s="31">
        <f t="shared" si="16"/>
        <v>0</v>
      </c>
      <c r="H1053" s="56" t="s">
        <v>9</v>
      </c>
      <c r="I1053" s="4"/>
      <c r="J1053" s="43"/>
    </row>
    <row r="1054" spans="1:10" s="3" customFormat="1" x14ac:dyDescent="0.25">
      <c r="A1054" s="20">
        <v>42075</v>
      </c>
      <c r="B1054" s="21">
        <v>14564</v>
      </c>
      <c r="C1054" s="14" t="s">
        <v>18</v>
      </c>
      <c r="D1054" s="105">
        <v>5945.2</v>
      </c>
      <c r="E1054" s="23">
        <v>42075</v>
      </c>
      <c r="F1054" s="118">
        <v>5945.2</v>
      </c>
      <c r="G1054" s="31">
        <f t="shared" si="16"/>
        <v>0</v>
      </c>
      <c r="H1054" s="56" t="s">
        <v>9</v>
      </c>
      <c r="I1054" s="4"/>
      <c r="J1054" s="43"/>
    </row>
    <row r="1055" spans="1:10" s="3" customFormat="1" x14ac:dyDescent="0.25">
      <c r="A1055" s="20">
        <v>42075</v>
      </c>
      <c r="B1055" s="21">
        <v>14565</v>
      </c>
      <c r="C1055" s="14" t="s">
        <v>267</v>
      </c>
      <c r="D1055" s="105">
        <v>1393</v>
      </c>
      <c r="E1055" s="23">
        <v>42079</v>
      </c>
      <c r="F1055" s="118">
        <v>1393</v>
      </c>
      <c r="G1055" s="31">
        <f t="shared" si="16"/>
        <v>0</v>
      </c>
      <c r="H1055" s="56" t="s">
        <v>15</v>
      </c>
      <c r="I1055" s="4"/>
      <c r="J1055" s="43"/>
    </row>
    <row r="1056" spans="1:10" s="3" customFormat="1" x14ac:dyDescent="0.25">
      <c r="A1056" s="20">
        <v>42075</v>
      </c>
      <c r="B1056" s="21">
        <v>14566</v>
      </c>
      <c r="C1056" s="14" t="s">
        <v>112</v>
      </c>
      <c r="D1056" s="105">
        <v>17843.2</v>
      </c>
      <c r="E1056" s="29" t="s">
        <v>843</v>
      </c>
      <c r="F1056" s="118">
        <f>8500+9343.2</f>
        <v>17843.2</v>
      </c>
      <c r="G1056" s="31">
        <f t="shared" si="16"/>
        <v>0</v>
      </c>
      <c r="H1056" s="56" t="s">
        <v>9</v>
      </c>
      <c r="I1056" s="4"/>
      <c r="J1056" s="43"/>
    </row>
    <row r="1057" spans="1:10" s="3" customFormat="1" x14ac:dyDescent="0.25">
      <c r="A1057" s="20">
        <v>42075</v>
      </c>
      <c r="B1057" s="21">
        <v>14567</v>
      </c>
      <c r="C1057" s="14" t="s">
        <v>16</v>
      </c>
      <c r="D1057" s="105">
        <v>7302.4</v>
      </c>
      <c r="E1057" s="23">
        <v>42075</v>
      </c>
      <c r="F1057" s="118">
        <v>7302.4</v>
      </c>
      <c r="G1057" s="31">
        <f t="shared" si="16"/>
        <v>0</v>
      </c>
      <c r="H1057" s="56" t="s">
        <v>17</v>
      </c>
      <c r="I1057" s="4"/>
      <c r="J1057" s="43"/>
    </row>
    <row r="1058" spans="1:10" s="3" customFormat="1" x14ac:dyDescent="0.25">
      <c r="A1058" s="20">
        <v>42075</v>
      </c>
      <c r="B1058" s="21">
        <v>14568</v>
      </c>
      <c r="C1058" s="14" t="s">
        <v>20</v>
      </c>
      <c r="D1058" s="105">
        <v>9216.9</v>
      </c>
      <c r="E1058" s="23">
        <v>42075</v>
      </c>
      <c r="F1058" s="118">
        <v>9216.9</v>
      </c>
      <c r="G1058" s="31">
        <f t="shared" si="16"/>
        <v>0</v>
      </c>
      <c r="H1058" s="56" t="s">
        <v>94</v>
      </c>
      <c r="I1058" s="4"/>
      <c r="J1058" s="43"/>
    </row>
    <row r="1059" spans="1:10" s="3" customFormat="1" x14ac:dyDescent="0.25">
      <c r="A1059" s="20">
        <v>42075</v>
      </c>
      <c r="B1059" s="21">
        <v>14569</v>
      </c>
      <c r="C1059" s="14" t="s">
        <v>158</v>
      </c>
      <c r="D1059" s="105">
        <v>2994.6</v>
      </c>
      <c r="E1059" s="23">
        <v>42075</v>
      </c>
      <c r="F1059" s="118">
        <v>2994.6</v>
      </c>
      <c r="G1059" s="31">
        <f t="shared" si="16"/>
        <v>0</v>
      </c>
      <c r="H1059" s="56" t="s">
        <v>9</v>
      </c>
      <c r="J1059" s="42"/>
    </row>
    <row r="1060" spans="1:10" s="3" customFormat="1" x14ac:dyDescent="0.25">
      <c r="A1060" s="20">
        <v>42075</v>
      </c>
      <c r="B1060" s="21">
        <v>14570</v>
      </c>
      <c r="C1060" s="14" t="s">
        <v>145</v>
      </c>
      <c r="D1060" s="105">
        <v>648</v>
      </c>
      <c r="E1060" s="23">
        <v>42075</v>
      </c>
      <c r="F1060" s="118">
        <v>648</v>
      </c>
      <c r="G1060" s="31">
        <f t="shared" si="16"/>
        <v>0</v>
      </c>
      <c r="H1060" s="56" t="s">
        <v>9</v>
      </c>
      <c r="J1060" s="42"/>
    </row>
    <row r="1061" spans="1:10" s="3" customFormat="1" x14ac:dyDescent="0.25">
      <c r="A1061" s="20">
        <v>42075</v>
      </c>
      <c r="B1061" s="21">
        <v>14571</v>
      </c>
      <c r="C1061" s="14" t="s">
        <v>24</v>
      </c>
      <c r="D1061" s="105">
        <v>656</v>
      </c>
      <c r="E1061" s="23">
        <v>42087</v>
      </c>
      <c r="F1061" s="118">
        <v>656</v>
      </c>
      <c r="G1061" s="31">
        <f t="shared" si="16"/>
        <v>0</v>
      </c>
      <c r="H1061" s="56" t="s">
        <v>94</v>
      </c>
      <c r="J1061" s="42"/>
    </row>
    <row r="1062" spans="1:10" s="3" customFormat="1" x14ac:dyDescent="0.25">
      <c r="A1062" s="20">
        <v>42075</v>
      </c>
      <c r="B1062" s="21">
        <v>14572</v>
      </c>
      <c r="C1062" s="14" t="s">
        <v>589</v>
      </c>
      <c r="D1062" s="105">
        <v>19183.75</v>
      </c>
      <c r="E1062" s="23">
        <v>42075</v>
      </c>
      <c r="F1062" s="118">
        <v>19183.75</v>
      </c>
      <c r="G1062" s="31">
        <f t="shared" si="16"/>
        <v>0</v>
      </c>
      <c r="H1062" s="56" t="s">
        <v>17</v>
      </c>
      <c r="J1062" s="42"/>
    </row>
    <row r="1063" spans="1:10" s="3" customFormat="1" x14ac:dyDescent="0.25">
      <c r="A1063" s="20">
        <v>42075</v>
      </c>
      <c r="B1063" s="21">
        <v>14573</v>
      </c>
      <c r="C1063" s="14" t="s">
        <v>254</v>
      </c>
      <c r="D1063" s="105">
        <v>5111</v>
      </c>
      <c r="E1063" s="23">
        <v>42075</v>
      </c>
      <c r="F1063" s="118">
        <v>5111</v>
      </c>
      <c r="G1063" s="31">
        <f t="shared" si="16"/>
        <v>0</v>
      </c>
      <c r="H1063" s="56" t="s">
        <v>9</v>
      </c>
      <c r="J1063" s="42"/>
    </row>
    <row r="1064" spans="1:10" s="3" customFormat="1" x14ac:dyDescent="0.25">
      <c r="A1064" s="20">
        <v>42075</v>
      </c>
      <c r="B1064" s="21">
        <v>14574</v>
      </c>
      <c r="C1064" s="14" t="s">
        <v>299</v>
      </c>
      <c r="D1064" s="105">
        <v>2442</v>
      </c>
      <c r="E1064" s="51">
        <v>42075</v>
      </c>
      <c r="F1064" s="118">
        <v>2442</v>
      </c>
      <c r="G1064" s="31">
        <f t="shared" si="16"/>
        <v>0</v>
      </c>
      <c r="H1064" s="56" t="s">
        <v>17</v>
      </c>
      <c r="J1064" s="42"/>
    </row>
    <row r="1065" spans="1:10" s="3" customFormat="1" x14ac:dyDescent="0.25">
      <c r="A1065" s="20">
        <v>42075</v>
      </c>
      <c r="B1065" s="21">
        <v>14575</v>
      </c>
      <c r="C1065" s="14" t="s">
        <v>130</v>
      </c>
      <c r="D1065" s="105">
        <v>2534.4</v>
      </c>
      <c r="E1065" s="23">
        <v>42078</v>
      </c>
      <c r="F1065" s="118">
        <v>2534.4</v>
      </c>
      <c r="G1065" s="31">
        <f t="shared" si="16"/>
        <v>0</v>
      </c>
      <c r="H1065" s="56" t="s">
        <v>17</v>
      </c>
      <c r="J1065" s="42"/>
    </row>
    <row r="1066" spans="1:10" s="3" customFormat="1" x14ac:dyDescent="0.25">
      <c r="A1066" s="20">
        <v>42075</v>
      </c>
      <c r="B1066" s="21">
        <v>14576</v>
      </c>
      <c r="C1066" s="14" t="s">
        <v>720</v>
      </c>
      <c r="D1066" s="105">
        <v>9528</v>
      </c>
      <c r="E1066" s="23">
        <v>42075</v>
      </c>
      <c r="F1066" s="118">
        <v>9528</v>
      </c>
      <c r="G1066" s="31">
        <f t="shared" si="16"/>
        <v>0</v>
      </c>
      <c r="H1066" s="56" t="s">
        <v>9</v>
      </c>
      <c r="J1066" s="42"/>
    </row>
    <row r="1067" spans="1:10" s="3" customFormat="1" x14ac:dyDescent="0.25">
      <c r="A1067" s="20">
        <v>42075</v>
      </c>
      <c r="B1067" s="21">
        <v>14577</v>
      </c>
      <c r="C1067" s="14" t="s">
        <v>88</v>
      </c>
      <c r="D1067" s="105">
        <v>309.60000000000002</v>
      </c>
      <c r="E1067" s="23">
        <v>42075</v>
      </c>
      <c r="F1067" s="106">
        <v>309.60000000000002</v>
      </c>
      <c r="G1067" s="31">
        <f t="shared" si="16"/>
        <v>0</v>
      </c>
      <c r="H1067" s="39" t="s">
        <v>9</v>
      </c>
      <c r="J1067" s="42"/>
    </row>
    <row r="1068" spans="1:10" s="3" customFormat="1" x14ac:dyDescent="0.25">
      <c r="A1068" s="20">
        <v>42075</v>
      </c>
      <c r="B1068" s="21">
        <v>14578</v>
      </c>
      <c r="C1068" s="14" t="s">
        <v>375</v>
      </c>
      <c r="D1068" s="105">
        <v>2648.4</v>
      </c>
      <c r="E1068" s="23">
        <v>42075</v>
      </c>
      <c r="F1068" s="106">
        <v>2648.4</v>
      </c>
      <c r="G1068" s="31">
        <f t="shared" si="16"/>
        <v>0</v>
      </c>
      <c r="H1068" s="39" t="s">
        <v>9</v>
      </c>
      <c r="J1068" s="42"/>
    </row>
    <row r="1069" spans="1:10" s="3" customFormat="1" x14ac:dyDescent="0.25">
      <c r="A1069" s="20">
        <v>42075</v>
      </c>
      <c r="B1069" s="21">
        <v>14579</v>
      </c>
      <c r="C1069" s="14" t="s">
        <v>151</v>
      </c>
      <c r="D1069" s="105">
        <v>22929.5</v>
      </c>
      <c r="E1069" s="23">
        <v>42075</v>
      </c>
      <c r="F1069" s="106">
        <v>22929.5</v>
      </c>
      <c r="G1069" s="31">
        <f t="shared" si="16"/>
        <v>0</v>
      </c>
      <c r="H1069" s="39" t="s">
        <v>9</v>
      </c>
      <c r="J1069" s="42"/>
    </row>
    <row r="1070" spans="1:10" s="3" customFormat="1" x14ac:dyDescent="0.25">
      <c r="A1070" s="20">
        <v>42075</v>
      </c>
      <c r="B1070" s="21">
        <v>14580</v>
      </c>
      <c r="C1070" s="14" t="s">
        <v>33</v>
      </c>
      <c r="D1070" s="105">
        <v>1374.8</v>
      </c>
      <c r="E1070" s="23">
        <v>42075</v>
      </c>
      <c r="F1070" s="106">
        <v>1374.8</v>
      </c>
      <c r="G1070" s="31">
        <f t="shared" si="16"/>
        <v>0</v>
      </c>
      <c r="H1070" s="39" t="s">
        <v>9</v>
      </c>
      <c r="J1070" s="42"/>
    </row>
    <row r="1071" spans="1:10" s="3" customFormat="1" x14ac:dyDescent="0.25">
      <c r="A1071" s="20">
        <v>42075</v>
      </c>
      <c r="B1071" s="21">
        <v>14581</v>
      </c>
      <c r="C1071" s="14" t="s">
        <v>97</v>
      </c>
      <c r="D1071" s="105">
        <v>5805.2</v>
      </c>
      <c r="E1071" s="23">
        <v>42075</v>
      </c>
      <c r="F1071" s="106">
        <v>5805.2</v>
      </c>
      <c r="G1071" s="31">
        <f t="shared" si="16"/>
        <v>0</v>
      </c>
      <c r="H1071" s="39" t="s">
        <v>9</v>
      </c>
      <c r="J1071" s="42"/>
    </row>
    <row r="1072" spans="1:10" s="3" customFormat="1" x14ac:dyDescent="0.25">
      <c r="A1072" s="20">
        <v>42075</v>
      </c>
      <c r="B1072" s="21">
        <v>14582</v>
      </c>
      <c r="C1072" s="14" t="s">
        <v>21</v>
      </c>
      <c r="D1072" s="105">
        <v>4616.8</v>
      </c>
      <c r="E1072" s="23">
        <v>42075</v>
      </c>
      <c r="F1072" s="106">
        <v>4616.8</v>
      </c>
      <c r="G1072" s="31">
        <f t="shared" si="16"/>
        <v>0</v>
      </c>
      <c r="H1072" s="39" t="s">
        <v>9</v>
      </c>
      <c r="J1072" s="42"/>
    </row>
    <row r="1073" spans="1:10" s="3" customFormat="1" x14ac:dyDescent="0.25">
      <c r="A1073" s="20">
        <v>42075</v>
      </c>
      <c r="B1073" s="21">
        <v>14583</v>
      </c>
      <c r="C1073" s="14" t="s">
        <v>125</v>
      </c>
      <c r="D1073" s="105">
        <v>7945.8</v>
      </c>
      <c r="E1073" s="23">
        <v>42075</v>
      </c>
      <c r="F1073" s="106">
        <v>7945.8</v>
      </c>
      <c r="G1073" s="31">
        <f t="shared" si="16"/>
        <v>0</v>
      </c>
      <c r="H1073" s="39" t="s">
        <v>9</v>
      </c>
      <c r="J1073" s="42"/>
    </row>
    <row r="1074" spans="1:10" s="3" customFormat="1" x14ac:dyDescent="0.25">
      <c r="A1074" s="20">
        <v>42075</v>
      </c>
      <c r="B1074" s="21">
        <v>14584</v>
      </c>
      <c r="C1074" s="110">
        <v>105</v>
      </c>
      <c r="D1074" s="105">
        <v>1008</v>
      </c>
      <c r="E1074" s="23">
        <v>42076</v>
      </c>
      <c r="F1074" s="106">
        <v>1008</v>
      </c>
      <c r="G1074" s="31">
        <f t="shared" si="16"/>
        <v>0</v>
      </c>
      <c r="H1074" s="39" t="s">
        <v>17</v>
      </c>
      <c r="J1074" s="42"/>
    </row>
    <row r="1075" spans="1:10" s="3" customFormat="1" x14ac:dyDescent="0.25">
      <c r="A1075" s="20">
        <v>42075</v>
      </c>
      <c r="B1075" s="21">
        <v>14585</v>
      </c>
      <c r="C1075" s="14" t="s">
        <v>214</v>
      </c>
      <c r="D1075" s="105">
        <v>1800</v>
      </c>
      <c r="E1075" s="23">
        <v>42076</v>
      </c>
      <c r="F1075" s="106">
        <v>1800</v>
      </c>
      <c r="G1075" s="31">
        <f t="shared" si="16"/>
        <v>0</v>
      </c>
      <c r="H1075" s="39" t="s">
        <v>17</v>
      </c>
      <c r="J1075" s="42"/>
    </row>
    <row r="1076" spans="1:10" s="3" customFormat="1" x14ac:dyDescent="0.25">
      <c r="A1076" s="20">
        <v>42075</v>
      </c>
      <c r="B1076" s="21">
        <v>14586</v>
      </c>
      <c r="C1076" s="14" t="s">
        <v>53</v>
      </c>
      <c r="D1076" s="105">
        <v>880.6</v>
      </c>
      <c r="E1076" s="23">
        <v>42076</v>
      </c>
      <c r="F1076" s="106">
        <v>880.6</v>
      </c>
      <c r="G1076" s="31">
        <f t="shared" si="16"/>
        <v>0</v>
      </c>
      <c r="H1076" s="39" t="s">
        <v>19</v>
      </c>
      <c r="J1076" s="42"/>
    </row>
    <row r="1077" spans="1:10" s="3" customFormat="1" x14ac:dyDescent="0.25">
      <c r="A1077" s="20">
        <v>42075</v>
      </c>
      <c r="B1077" s="21">
        <v>14587</v>
      </c>
      <c r="C1077" s="14" t="s">
        <v>137</v>
      </c>
      <c r="D1077" s="105">
        <v>400</v>
      </c>
      <c r="E1077" s="23">
        <v>42075</v>
      </c>
      <c r="F1077" s="106">
        <v>400</v>
      </c>
      <c r="G1077" s="31">
        <f t="shared" si="16"/>
        <v>0</v>
      </c>
      <c r="H1077" s="39" t="s">
        <v>9</v>
      </c>
      <c r="J1077" s="42"/>
    </row>
    <row r="1078" spans="1:10" s="3" customFormat="1" x14ac:dyDescent="0.25">
      <c r="A1078" s="20">
        <v>42075</v>
      </c>
      <c r="B1078" s="21">
        <v>14588</v>
      </c>
      <c r="C1078" s="14" t="s">
        <v>81</v>
      </c>
      <c r="D1078" s="105">
        <v>1692.4</v>
      </c>
      <c r="E1078" s="23">
        <v>42076</v>
      </c>
      <c r="F1078" s="106">
        <v>1692.4</v>
      </c>
      <c r="G1078" s="31">
        <f t="shared" si="16"/>
        <v>0</v>
      </c>
      <c r="H1078" s="39" t="s">
        <v>19</v>
      </c>
      <c r="J1078" s="42"/>
    </row>
    <row r="1079" spans="1:10" s="3" customFormat="1" x14ac:dyDescent="0.25">
      <c r="A1079" s="20">
        <v>42075</v>
      </c>
      <c r="B1079" s="21">
        <v>14589</v>
      </c>
      <c r="C1079" s="14" t="s">
        <v>57</v>
      </c>
      <c r="D1079" s="105">
        <v>944</v>
      </c>
      <c r="E1079" s="23">
        <v>42076</v>
      </c>
      <c r="F1079" s="106">
        <v>944</v>
      </c>
      <c r="G1079" s="31">
        <f t="shared" si="16"/>
        <v>0</v>
      </c>
      <c r="H1079" s="39" t="s">
        <v>19</v>
      </c>
      <c r="J1079" s="42"/>
    </row>
    <row r="1080" spans="1:10" s="3" customFormat="1" x14ac:dyDescent="0.25">
      <c r="A1080" s="20">
        <v>42075</v>
      </c>
      <c r="B1080" s="21">
        <v>14590</v>
      </c>
      <c r="C1080" s="14" t="s">
        <v>83</v>
      </c>
      <c r="D1080" s="105">
        <v>8071.6</v>
      </c>
      <c r="E1080" s="23">
        <v>42076</v>
      </c>
      <c r="F1080" s="106">
        <v>8071.6</v>
      </c>
      <c r="G1080" s="31">
        <f t="shared" si="16"/>
        <v>0</v>
      </c>
      <c r="H1080" s="39" t="s">
        <v>19</v>
      </c>
      <c r="J1080" s="42"/>
    </row>
    <row r="1081" spans="1:10" s="3" customFormat="1" x14ac:dyDescent="0.25">
      <c r="A1081" s="20">
        <v>42075</v>
      </c>
      <c r="B1081" s="21">
        <v>14591</v>
      </c>
      <c r="C1081" s="14" t="s">
        <v>55</v>
      </c>
      <c r="D1081" s="105">
        <v>20589.5</v>
      </c>
      <c r="E1081" s="23">
        <v>42075</v>
      </c>
      <c r="F1081" s="106">
        <v>20589.5</v>
      </c>
      <c r="G1081" s="31">
        <f t="shared" si="16"/>
        <v>0</v>
      </c>
      <c r="H1081" s="39" t="s">
        <v>773</v>
      </c>
      <c r="J1081" s="42"/>
    </row>
    <row r="1082" spans="1:10" s="3" customFormat="1" x14ac:dyDescent="0.25">
      <c r="A1082" s="20">
        <v>42075</v>
      </c>
      <c r="B1082" s="21">
        <v>14592</v>
      </c>
      <c r="C1082" s="14" t="s">
        <v>292</v>
      </c>
      <c r="D1082" s="105">
        <v>681.6</v>
      </c>
      <c r="E1082" s="23">
        <v>42076</v>
      </c>
      <c r="F1082" s="106">
        <v>681.6</v>
      </c>
      <c r="G1082" s="31">
        <f t="shared" si="16"/>
        <v>0</v>
      </c>
      <c r="H1082" s="39" t="s">
        <v>19</v>
      </c>
      <c r="J1082" s="42"/>
    </row>
    <row r="1083" spans="1:10" s="3" customFormat="1" x14ac:dyDescent="0.25">
      <c r="A1083" s="20">
        <v>42075</v>
      </c>
      <c r="B1083" s="21">
        <v>14593</v>
      </c>
      <c r="C1083" s="14" t="s">
        <v>835</v>
      </c>
      <c r="D1083" s="105">
        <v>39206.5</v>
      </c>
      <c r="E1083" s="23">
        <v>42081</v>
      </c>
      <c r="F1083" s="106">
        <v>39206.5</v>
      </c>
      <c r="G1083" s="31">
        <f t="shared" si="16"/>
        <v>0</v>
      </c>
      <c r="H1083" s="39" t="s">
        <v>773</v>
      </c>
      <c r="J1083" s="42"/>
    </row>
    <row r="1084" spans="1:10" s="3" customFormat="1" x14ac:dyDescent="0.25">
      <c r="A1084" s="20">
        <v>42075</v>
      </c>
      <c r="B1084" s="21">
        <v>14594</v>
      </c>
      <c r="C1084" s="14" t="s">
        <v>82</v>
      </c>
      <c r="D1084" s="105">
        <v>3024.3</v>
      </c>
      <c r="E1084" s="23">
        <v>42076</v>
      </c>
      <c r="F1084" s="106">
        <v>3024.3</v>
      </c>
      <c r="G1084" s="31">
        <f t="shared" si="16"/>
        <v>0</v>
      </c>
      <c r="H1084" s="39" t="s">
        <v>19</v>
      </c>
      <c r="J1084" s="42"/>
    </row>
    <row r="1085" spans="1:10" s="3" customFormat="1" x14ac:dyDescent="0.25">
      <c r="A1085" s="20">
        <v>42075</v>
      </c>
      <c r="B1085" s="21">
        <v>14595</v>
      </c>
      <c r="C1085" s="14" t="s">
        <v>828</v>
      </c>
      <c r="D1085" s="105">
        <v>6240</v>
      </c>
      <c r="E1085" s="23">
        <v>42087</v>
      </c>
      <c r="F1085" s="106">
        <v>6240</v>
      </c>
      <c r="G1085" s="31">
        <f t="shared" si="16"/>
        <v>0</v>
      </c>
      <c r="H1085" s="39" t="s">
        <v>19</v>
      </c>
      <c r="J1085" s="42"/>
    </row>
    <row r="1086" spans="1:10" s="3" customFormat="1" x14ac:dyDescent="0.25">
      <c r="A1086" s="20">
        <v>42075</v>
      </c>
      <c r="B1086" s="21">
        <v>14596</v>
      </c>
      <c r="C1086" s="14" t="s">
        <v>47</v>
      </c>
      <c r="D1086" s="105">
        <v>11214.8</v>
      </c>
      <c r="E1086" s="23">
        <v>42077</v>
      </c>
      <c r="F1086" s="106">
        <v>11214.8</v>
      </c>
      <c r="G1086" s="31">
        <f t="shared" si="16"/>
        <v>0</v>
      </c>
      <c r="H1086" s="39" t="s">
        <v>773</v>
      </c>
      <c r="J1086" s="42"/>
    </row>
    <row r="1087" spans="1:10" s="3" customFormat="1" x14ac:dyDescent="0.25">
      <c r="A1087" s="20">
        <v>42075</v>
      </c>
      <c r="B1087" s="21">
        <v>14597</v>
      </c>
      <c r="C1087" s="14" t="s">
        <v>256</v>
      </c>
      <c r="D1087" s="105">
        <v>5003.2</v>
      </c>
      <c r="E1087" s="23">
        <v>42075</v>
      </c>
      <c r="F1087" s="106">
        <v>5003.2</v>
      </c>
      <c r="G1087" s="31">
        <f t="shared" si="16"/>
        <v>0</v>
      </c>
      <c r="H1087" s="39" t="s">
        <v>773</v>
      </c>
      <c r="J1087" s="42"/>
    </row>
    <row r="1088" spans="1:10" s="3" customFormat="1" x14ac:dyDescent="0.25">
      <c r="A1088" s="20">
        <v>42075</v>
      </c>
      <c r="B1088" s="21">
        <v>14598</v>
      </c>
      <c r="C1088" s="14" t="s">
        <v>45</v>
      </c>
      <c r="D1088" s="105">
        <v>13589.2</v>
      </c>
      <c r="E1088" s="23">
        <v>42081</v>
      </c>
      <c r="F1088" s="106">
        <v>13589.2</v>
      </c>
      <c r="G1088" s="31">
        <f t="shared" si="16"/>
        <v>0</v>
      </c>
      <c r="H1088" s="39" t="s">
        <v>19</v>
      </c>
      <c r="J1088" s="42"/>
    </row>
    <row r="1089" spans="1:10" s="3" customFormat="1" x14ac:dyDescent="0.25">
      <c r="A1089" s="20">
        <v>42075</v>
      </c>
      <c r="B1089" s="21">
        <v>14599</v>
      </c>
      <c r="C1089" s="14" t="s">
        <v>155</v>
      </c>
      <c r="D1089" s="105">
        <v>1559.4</v>
      </c>
      <c r="E1089" s="23">
        <v>42076</v>
      </c>
      <c r="F1089" s="106">
        <v>1559.4</v>
      </c>
      <c r="G1089" s="31">
        <f t="shared" si="16"/>
        <v>0</v>
      </c>
      <c r="H1089" s="39" t="s">
        <v>19</v>
      </c>
      <c r="J1089" s="42"/>
    </row>
    <row r="1090" spans="1:10" s="3" customFormat="1" x14ac:dyDescent="0.25">
      <c r="A1090" s="20">
        <v>42075</v>
      </c>
      <c r="B1090" s="21">
        <v>14600</v>
      </c>
      <c r="C1090" s="14" t="s">
        <v>135</v>
      </c>
      <c r="D1090" s="105">
        <v>3759.8</v>
      </c>
      <c r="E1090" s="23">
        <v>42075</v>
      </c>
      <c r="F1090" s="106">
        <v>3759.8</v>
      </c>
      <c r="G1090" s="31">
        <f t="shared" si="16"/>
        <v>0</v>
      </c>
      <c r="H1090" s="39" t="s">
        <v>9</v>
      </c>
      <c r="J1090" s="42"/>
    </row>
    <row r="1091" spans="1:10" s="3" customFormat="1" x14ac:dyDescent="0.25">
      <c r="A1091" s="20">
        <v>42075</v>
      </c>
      <c r="B1091" s="21">
        <v>14601</v>
      </c>
      <c r="C1091" s="14" t="s">
        <v>110</v>
      </c>
      <c r="D1091" s="105">
        <v>62772</v>
      </c>
      <c r="E1091" s="23">
        <v>42087</v>
      </c>
      <c r="F1091" s="106">
        <v>62772</v>
      </c>
      <c r="G1091" s="31">
        <f t="shared" ref="G1091:G1154" si="17">D1091-F1091</f>
        <v>0</v>
      </c>
      <c r="H1091" s="39" t="s">
        <v>183</v>
      </c>
      <c r="I1091" s="4"/>
      <c r="J1091" s="43"/>
    </row>
    <row r="1092" spans="1:10" s="3" customFormat="1" x14ac:dyDescent="0.25">
      <c r="A1092" s="20">
        <v>42075</v>
      </c>
      <c r="B1092" s="21">
        <v>14602</v>
      </c>
      <c r="C1092" s="14" t="s">
        <v>694</v>
      </c>
      <c r="D1092" s="105">
        <v>1058.4000000000001</v>
      </c>
      <c r="E1092" s="23">
        <v>42075</v>
      </c>
      <c r="F1092" s="106">
        <v>1058.4000000000001</v>
      </c>
      <c r="G1092" s="31">
        <f t="shared" si="17"/>
        <v>0</v>
      </c>
      <c r="H1092" s="39" t="s">
        <v>9</v>
      </c>
      <c r="I1092" s="4"/>
      <c r="J1092" s="43"/>
    </row>
    <row r="1093" spans="1:10" s="3" customFormat="1" x14ac:dyDescent="0.25">
      <c r="A1093" s="20">
        <v>42075</v>
      </c>
      <c r="B1093" s="21">
        <v>14603</v>
      </c>
      <c r="C1093" s="150" t="s">
        <v>106</v>
      </c>
      <c r="D1093" s="105">
        <v>30950.799999999999</v>
      </c>
      <c r="E1093" s="30">
        <v>42101</v>
      </c>
      <c r="F1093" s="144">
        <v>30950.799999999999</v>
      </c>
      <c r="G1093" s="31">
        <f t="shared" si="17"/>
        <v>0</v>
      </c>
      <c r="H1093" s="39" t="s">
        <v>149</v>
      </c>
      <c r="I1093" s="4"/>
      <c r="J1093" s="43"/>
    </row>
    <row r="1094" spans="1:10" s="3" customFormat="1" x14ac:dyDescent="0.25">
      <c r="A1094" s="20">
        <v>42075</v>
      </c>
      <c r="B1094" s="21">
        <v>14604</v>
      </c>
      <c r="C1094" s="14" t="s">
        <v>675</v>
      </c>
      <c r="D1094" s="105">
        <v>540</v>
      </c>
      <c r="E1094" s="23">
        <v>42075</v>
      </c>
      <c r="F1094" s="106">
        <v>540</v>
      </c>
      <c r="G1094" s="31">
        <f t="shared" si="17"/>
        <v>0</v>
      </c>
      <c r="H1094" s="39" t="s">
        <v>9</v>
      </c>
      <c r="I1094" s="4"/>
      <c r="J1094" s="43"/>
    </row>
    <row r="1095" spans="1:10" s="3" customFormat="1" x14ac:dyDescent="0.25">
      <c r="A1095" s="20">
        <v>42075</v>
      </c>
      <c r="B1095" s="21">
        <v>14605</v>
      </c>
      <c r="C1095" s="14" t="s">
        <v>74</v>
      </c>
      <c r="D1095" s="105">
        <v>1890.6</v>
      </c>
      <c r="E1095" s="23">
        <v>42075</v>
      </c>
      <c r="F1095" s="106">
        <v>1890.6</v>
      </c>
      <c r="G1095" s="31">
        <f t="shared" si="17"/>
        <v>0</v>
      </c>
      <c r="H1095" s="39" t="s">
        <v>9</v>
      </c>
      <c r="I1095" s="4"/>
      <c r="J1095" s="43"/>
    </row>
    <row r="1096" spans="1:10" s="3" customFormat="1" x14ac:dyDescent="0.25">
      <c r="A1096" s="20">
        <v>42075</v>
      </c>
      <c r="B1096" s="21">
        <v>14606</v>
      </c>
      <c r="C1096" s="14" t="s">
        <v>110</v>
      </c>
      <c r="D1096" s="105">
        <v>6052</v>
      </c>
      <c r="E1096" s="23">
        <v>42087</v>
      </c>
      <c r="F1096" s="106">
        <v>6052</v>
      </c>
      <c r="G1096" s="31">
        <f t="shared" si="17"/>
        <v>0</v>
      </c>
      <c r="H1096" s="39" t="s">
        <v>183</v>
      </c>
      <c r="I1096" s="4"/>
      <c r="J1096" s="43"/>
    </row>
    <row r="1097" spans="1:10" s="3" customFormat="1" x14ac:dyDescent="0.25">
      <c r="A1097" s="20">
        <v>42075</v>
      </c>
      <c r="B1097" s="21">
        <v>14607</v>
      </c>
      <c r="C1097" s="14" t="s">
        <v>213</v>
      </c>
      <c r="D1097" s="105">
        <v>52671.199999999997</v>
      </c>
      <c r="E1097" s="30">
        <v>42153</v>
      </c>
      <c r="F1097" s="144">
        <v>52671.199999999997</v>
      </c>
      <c r="G1097" s="31">
        <f t="shared" si="17"/>
        <v>0</v>
      </c>
      <c r="H1097" s="39" t="s">
        <v>187</v>
      </c>
      <c r="I1097" s="4"/>
      <c r="J1097" s="43"/>
    </row>
    <row r="1098" spans="1:10" s="3" customFormat="1" x14ac:dyDescent="0.25">
      <c r="A1098" s="20">
        <v>42075</v>
      </c>
      <c r="B1098" s="21">
        <v>14608</v>
      </c>
      <c r="C1098" s="14" t="s">
        <v>26</v>
      </c>
      <c r="D1098" s="105">
        <v>1644</v>
      </c>
      <c r="E1098" s="23">
        <v>42075</v>
      </c>
      <c r="F1098" s="106">
        <v>1644</v>
      </c>
      <c r="G1098" s="31">
        <f t="shared" si="17"/>
        <v>0</v>
      </c>
      <c r="H1098" s="39" t="s">
        <v>9</v>
      </c>
      <c r="I1098" s="4"/>
      <c r="J1098" s="43"/>
    </row>
    <row r="1099" spans="1:10" s="3" customFormat="1" x14ac:dyDescent="0.25">
      <c r="A1099" s="20">
        <v>42075</v>
      </c>
      <c r="B1099" s="21">
        <v>14609</v>
      </c>
      <c r="C1099" s="14" t="s">
        <v>229</v>
      </c>
      <c r="D1099" s="105">
        <v>5786.4</v>
      </c>
      <c r="E1099" s="23">
        <v>42075</v>
      </c>
      <c r="F1099" s="106">
        <v>5786.4</v>
      </c>
      <c r="G1099" s="31">
        <f t="shared" si="17"/>
        <v>0</v>
      </c>
      <c r="H1099" s="39" t="s">
        <v>9</v>
      </c>
      <c r="I1099" s="4"/>
      <c r="J1099" s="43"/>
    </row>
    <row r="1100" spans="1:10" s="3" customFormat="1" x14ac:dyDescent="0.25">
      <c r="A1100" s="20">
        <v>42075</v>
      </c>
      <c r="B1100" s="21">
        <v>14610</v>
      </c>
      <c r="C1100" s="14" t="s">
        <v>239</v>
      </c>
      <c r="D1100" s="105">
        <v>679</v>
      </c>
      <c r="E1100" s="23">
        <v>42075</v>
      </c>
      <c r="F1100" s="106">
        <v>679</v>
      </c>
      <c r="G1100" s="31">
        <f t="shared" si="17"/>
        <v>0</v>
      </c>
      <c r="H1100" s="39" t="s">
        <v>9</v>
      </c>
      <c r="I1100" s="4"/>
      <c r="J1100" s="107"/>
    </row>
    <row r="1101" spans="1:10" s="3" customFormat="1" x14ac:dyDescent="0.25">
      <c r="A1101" s="20">
        <v>42075</v>
      </c>
      <c r="B1101" s="21">
        <v>14611</v>
      </c>
      <c r="C1101" s="14" t="s">
        <v>34</v>
      </c>
      <c r="D1101" s="105">
        <v>2880</v>
      </c>
      <c r="E1101" s="23">
        <v>42075</v>
      </c>
      <c r="F1101" s="106">
        <v>2880</v>
      </c>
      <c r="G1101" s="31">
        <f t="shared" si="17"/>
        <v>0</v>
      </c>
      <c r="H1101" s="39" t="s">
        <v>9</v>
      </c>
      <c r="I1101" s="4"/>
      <c r="J1101" s="107"/>
    </row>
    <row r="1102" spans="1:10" s="3" customFormat="1" x14ac:dyDescent="0.25">
      <c r="A1102" s="20">
        <v>42075</v>
      </c>
      <c r="B1102" s="21">
        <v>14612</v>
      </c>
      <c r="C1102" s="14" t="s">
        <v>229</v>
      </c>
      <c r="D1102" s="105">
        <v>1609.2</v>
      </c>
      <c r="E1102" s="23">
        <v>42075</v>
      </c>
      <c r="F1102" s="106">
        <v>1609.2</v>
      </c>
      <c r="G1102" s="31">
        <f t="shared" si="17"/>
        <v>0</v>
      </c>
      <c r="H1102" s="39" t="s">
        <v>9</v>
      </c>
      <c r="I1102" s="4"/>
      <c r="J1102" s="43"/>
    </row>
    <row r="1103" spans="1:10" s="3" customFormat="1" x14ac:dyDescent="0.25">
      <c r="A1103" s="20">
        <v>42075</v>
      </c>
      <c r="B1103" s="21">
        <v>14613</v>
      </c>
      <c r="C1103" s="14" t="s">
        <v>834</v>
      </c>
      <c r="D1103" s="105">
        <v>951.9</v>
      </c>
      <c r="E1103" s="23">
        <v>42075</v>
      </c>
      <c r="F1103" s="106">
        <v>951.9</v>
      </c>
      <c r="G1103" s="31">
        <f t="shared" si="17"/>
        <v>0</v>
      </c>
      <c r="H1103" s="39" t="s">
        <v>9</v>
      </c>
      <c r="I1103" s="4"/>
      <c r="J1103" s="43"/>
    </row>
    <row r="1104" spans="1:10" s="3" customFormat="1" x14ac:dyDescent="0.25">
      <c r="A1104" s="20">
        <v>42075</v>
      </c>
      <c r="B1104" s="21">
        <v>14614</v>
      </c>
      <c r="C1104" s="14" t="s">
        <v>215</v>
      </c>
      <c r="D1104" s="105">
        <v>12217.5</v>
      </c>
      <c r="E1104" s="23">
        <v>42075</v>
      </c>
      <c r="F1104" s="106">
        <v>12217.5</v>
      </c>
      <c r="G1104" s="31">
        <f t="shared" si="17"/>
        <v>0</v>
      </c>
      <c r="H1104" s="39" t="s">
        <v>94</v>
      </c>
      <c r="I1104" s="4"/>
      <c r="J1104" s="43"/>
    </row>
    <row r="1105" spans="1:10" s="3" customFormat="1" x14ac:dyDescent="0.25">
      <c r="A1105" s="20">
        <v>42075</v>
      </c>
      <c r="B1105" s="21">
        <v>14615</v>
      </c>
      <c r="C1105" s="14" t="s">
        <v>844</v>
      </c>
      <c r="D1105" s="105">
        <v>5548</v>
      </c>
      <c r="E1105" s="23">
        <v>42075</v>
      </c>
      <c r="F1105" s="106">
        <v>5548</v>
      </c>
      <c r="G1105" s="31">
        <f t="shared" si="17"/>
        <v>0</v>
      </c>
      <c r="H1105" s="39" t="s">
        <v>187</v>
      </c>
      <c r="I1105" s="4"/>
      <c r="J1105" s="43"/>
    </row>
    <row r="1106" spans="1:10" s="3" customFormat="1" x14ac:dyDescent="0.25">
      <c r="A1106" s="20">
        <v>42075</v>
      </c>
      <c r="B1106" s="21">
        <v>14616</v>
      </c>
      <c r="C1106" s="14" t="s">
        <v>14</v>
      </c>
      <c r="D1106" s="105">
        <v>4466.7</v>
      </c>
      <c r="E1106" s="23">
        <v>42089</v>
      </c>
      <c r="F1106" s="106">
        <v>4466.7</v>
      </c>
      <c r="G1106" s="31">
        <f t="shared" si="17"/>
        <v>0</v>
      </c>
      <c r="H1106" s="39" t="s">
        <v>15</v>
      </c>
      <c r="I1106" s="4"/>
      <c r="J1106" s="43"/>
    </row>
    <row r="1107" spans="1:10" s="3" customFormat="1" x14ac:dyDescent="0.25">
      <c r="A1107" s="20">
        <v>42075</v>
      </c>
      <c r="B1107" s="21">
        <v>14617</v>
      </c>
      <c r="C1107" s="14" t="s">
        <v>285</v>
      </c>
      <c r="D1107" s="105">
        <v>1269.5999999999999</v>
      </c>
      <c r="E1107" s="23">
        <v>42079</v>
      </c>
      <c r="F1107" s="106">
        <v>1269.5999999999999</v>
      </c>
      <c r="G1107" s="31">
        <f t="shared" si="17"/>
        <v>0</v>
      </c>
      <c r="H1107" s="39" t="s">
        <v>15</v>
      </c>
      <c r="J1107" s="42"/>
    </row>
    <row r="1108" spans="1:10" s="3" customFormat="1" x14ac:dyDescent="0.25">
      <c r="A1108" s="20">
        <v>42075</v>
      </c>
      <c r="B1108" s="21">
        <v>14618</v>
      </c>
      <c r="C1108" s="14" t="s">
        <v>571</v>
      </c>
      <c r="D1108" s="105">
        <v>9967.5</v>
      </c>
      <c r="E1108" s="23">
        <v>42075</v>
      </c>
      <c r="F1108" s="106">
        <v>9967.5</v>
      </c>
      <c r="G1108" s="31">
        <f t="shared" si="17"/>
        <v>0</v>
      </c>
      <c r="H1108" s="39" t="s">
        <v>187</v>
      </c>
      <c r="J1108" s="42"/>
    </row>
    <row r="1109" spans="1:10" s="3" customFormat="1" x14ac:dyDescent="0.25">
      <c r="A1109" s="20">
        <v>42075</v>
      </c>
      <c r="B1109" s="21">
        <v>14619</v>
      </c>
      <c r="C1109" s="14" t="s">
        <v>131</v>
      </c>
      <c r="D1109" s="105">
        <v>8744.7999999999993</v>
      </c>
      <c r="E1109" s="23">
        <v>42076</v>
      </c>
      <c r="F1109" s="106">
        <v>8744.7999999999993</v>
      </c>
      <c r="G1109" s="31">
        <f t="shared" si="17"/>
        <v>0</v>
      </c>
      <c r="H1109" s="39" t="s">
        <v>9</v>
      </c>
      <c r="J1109" s="42"/>
    </row>
    <row r="1110" spans="1:10" s="3" customFormat="1" x14ac:dyDescent="0.25">
      <c r="A1110" s="20">
        <v>42075</v>
      </c>
      <c r="B1110" s="21">
        <v>14620</v>
      </c>
      <c r="C1110" s="14" t="s">
        <v>157</v>
      </c>
      <c r="D1110" s="105">
        <v>1920.4</v>
      </c>
      <c r="E1110" s="23">
        <v>42075</v>
      </c>
      <c r="F1110" s="106">
        <v>1920.4</v>
      </c>
      <c r="G1110" s="31">
        <f t="shared" si="17"/>
        <v>0</v>
      </c>
      <c r="H1110" s="39" t="s">
        <v>9</v>
      </c>
      <c r="J1110" s="42"/>
    </row>
    <row r="1111" spans="1:10" s="3" customFormat="1" x14ac:dyDescent="0.25">
      <c r="A1111" s="20">
        <v>42075</v>
      </c>
      <c r="B1111" s="21">
        <v>14621</v>
      </c>
      <c r="C1111" s="14" t="s">
        <v>224</v>
      </c>
      <c r="D1111" s="105">
        <v>4106.2</v>
      </c>
      <c r="E1111" s="23">
        <v>42079</v>
      </c>
      <c r="F1111" s="106">
        <v>4106.2</v>
      </c>
      <c r="G1111" s="31">
        <f t="shared" si="17"/>
        <v>0</v>
      </c>
      <c r="H1111" s="39" t="s">
        <v>9</v>
      </c>
      <c r="J1111" s="42"/>
    </row>
    <row r="1112" spans="1:10" s="3" customFormat="1" x14ac:dyDescent="0.25">
      <c r="A1112" s="20">
        <v>42075</v>
      </c>
      <c r="B1112" s="21">
        <v>14622</v>
      </c>
      <c r="C1112" s="14" t="s">
        <v>45</v>
      </c>
      <c r="D1112" s="105">
        <v>111772.85</v>
      </c>
      <c r="E1112" s="23">
        <v>42081</v>
      </c>
      <c r="F1112" s="106">
        <v>111772.85</v>
      </c>
      <c r="G1112" s="31">
        <f t="shared" si="17"/>
        <v>0</v>
      </c>
      <c r="H1112" s="39" t="s">
        <v>46</v>
      </c>
      <c r="J1112" s="42"/>
    </row>
    <row r="1113" spans="1:10" s="3" customFormat="1" x14ac:dyDescent="0.25">
      <c r="A1113" s="20">
        <v>42075</v>
      </c>
      <c r="B1113" s="21">
        <v>14623</v>
      </c>
      <c r="C1113" s="14" t="s">
        <v>66</v>
      </c>
      <c r="D1113" s="105">
        <v>1159.2</v>
      </c>
      <c r="E1113" s="23">
        <v>42075</v>
      </c>
      <c r="F1113" s="106">
        <v>1159.2</v>
      </c>
      <c r="G1113" s="31">
        <f t="shared" si="17"/>
        <v>0</v>
      </c>
      <c r="H1113" s="39" t="s">
        <v>9</v>
      </c>
      <c r="J1113" s="42"/>
    </row>
    <row r="1114" spans="1:10" s="3" customFormat="1" x14ac:dyDescent="0.25">
      <c r="A1114" s="20">
        <v>42075</v>
      </c>
      <c r="B1114" s="21">
        <v>14624</v>
      </c>
      <c r="C1114" s="14" t="s">
        <v>720</v>
      </c>
      <c r="D1114" s="105">
        <v>1440</v>
      </c>
      <c r="E1114" s="23">
        <v>42075</v>
      </c>
      <c r="F1114" s="106">
        <v>1440</v>
      </c>
      <c r="G1114" s="31">
        <f t="shared" si="17"/>
        <v>0</v>
      </c>
      <c r="H1114" s="39" t="s">
        <v>41</v>
      </c>
      <c r="J1114" s="42"/>
    </row>
    <row r="1115" spans="1:10" s="3" customFormat="1" x14ac:dyDescent="0.25">
      <c r="A1115" s="20">
        <v>42075</v>
      </c>
      <c r="B1115" s="21">
        <v>14625</v>
      </c>
      <c r="C1115" s="14" t="s">
        <v>155</v>
      </c>
      <c r="D1115" s="105">
        <v>15832.75</v>
      </c>
      <c r="E1115" s="23">
        <v>42075</v>
      </c>
      <c r="F1115" s="106">
        <v>15832.75</v>
      </c>
      <c r="G1115" s="31">
        <f t="shared" si="17"/>
        <v>0</v>
      </c>
      <c r="H1115" s="39" t="s">
        <v>9</v>
      </c>
      <c r="J1115" s="42"/>
    </row>
    <row r="1116" spans="1:10" s="3" customFormat="1" x14ac:dyDescent="0.25">
      <c r="A1116" s="20">
        <v>42075</v>
      </c>
      <c r="B1116" s="21">
        <v>14626</v>
      </c>
      <c r="C1116" s="14" t="s">
        <v>136</v>
      </c>
      <c r="D1116" s="105">
        <v>21705</v>
      </c>
      <c r="E1116" s="29" t="s">
        <v>845</v>
      </c>
      <c r="F1116" s="106">
        <f>9500+12205</f>
        <v>21705</v>
      </c>
      <c r="G1116" s="31">
        <f t="shared" si="17"/>
        <v>0</v>
      </c>
      <c r="H1116" s="39" t="s">
        <v>9</v>
      </c>
      <c r="J1116" s="42"/>
    </row>
    <row r="1117" spans="1:10" s="3" customFormat="1" x14ac:dyDescent="0.25">
      <c r="A1117" s="20">
        <v>42075</v>
      </c>
      <c r="B1117" s="21">
        <v>14627</v>
      </c>
      <c r="C1117" s="26" t="s">
        <v>846</v>
      </c>
      <c r="D1117" s="108">
        <v>0</v>
      </c>
      <c r="E1117" s="45" t="s">
        <v>847</v>
      </c>
      <c r="F1117" s="106"/>
      <c r="G1117" s="31">
        <f t="shared" si="17"/>
        <v>0</v>
      </c>
      <c r="H1117" s="39" t="s">
        <v>17</v>
      </c>
      <c r="J1117" s="42"/>
    </row>
    <row r="1118" spans="1:10" s="3" customFormat="1" x14ac:dyDescent="0.25">
      <c r="A1118" s="20">
        <v>42075</v>
      </c>
      <c r="B1118" s="21">
        <v>14628</v>
      </c>
      <c r="C1118" s="14" t="s">
        <v>571</v>
      </c>
      <c r="D1118" s="105">
        <v>10924.2</v>
      </c>
      <c r="E1118" s="23">
        <v>42075</v>
      </c>
      <c r="F1118" s="106">
        <v>10924.2</v>
      </c>
      <c r="G1118" s="31">
        <f t="shared" si="17"/>
        <v>0</v>
      </c>
      <c r="H1118" s="39" t="s">
        <v>17</v>
      </c>
      <c r="J1118" s="42"/>
    </row>
    <row r="1119" spans="1:10" s="3" customFormat="1" x14ac:dyDescent="0.25">
      <c r="A1119" s="20">
        <v>42075</v>
      </c>
      <c r="B1119" s="21">
        <v>14629</v>
      </c>
      <c r="C1119" s="14" t="s">
        <v>249</v>
      </c>
      <c r="D1119" s="105">
        <v>4500</v>
      </c>
      <c r="E1119" s="23">
        <v>42076</v>
      </c>
      <c r="F1119" s="106">
        <v>4500</v>
      </c>
      <c r="G1119" s="31">
        <f t="shared" si="17"/>
        <v>0</v>
      </c>
      <c r="H1119" s="39" t="s">
        <v>9</v>
      </c>
      <c r="J1119" s="42"/>
    </row>
    <row r="1120" spans="1:10" s="3" customFormat="1" x14ac:dyDescent="0.25">
      <c r="A1120" s="20">
        <v>42075</v>
      </c>
      <c r="B1120" s="21">
        <v>14630</v>
      </c>
      <c r="C1120" s="14" t="s">
        <v>89</v>
      </c>
      <c r="D1120" s="105">
        <v>3857.6</v>
      </c>
      <c r="E1120" s="23">
        <v>42075</v>
      </c>
      <c r="F1120" s="106">
        <v>3857.6</v>
      </c>
      <c r="G1120" s="31">
        <f t="shared" si="17"/>
        <v>0</v>
      </c>
      <c r="H1120" s="39" t="s">
        <v>9</v>
      </c>
      <c r="J1120" s="42"/>
    </row>
    <row r="1121" spans="1:10" s="3" customFormat="1" x14ac:dyDescent="0.25">
      <c r="A1121" s="20">
        <v>42075</v>
      </c>
      <c r="B1121" s="21">
        <v>14631</v>
      </c>
      <c r="C1121" s="14" t="s">
        <v>104</v>
      </c>
      <c r="D1121" s="105">
        <v>933.6</v>
      </c>
      <c r="E1121" s="23">
        <v>42076</v>
      </c>
      <c r="F1121" s="106">
        <v>933.6</v>
      </c>
      <c r="G1121" s="31">
        <f t="shared" si="17"/>
        <v>0</v>
      </c>
      <c r="H1121" s="39" t="s">
        <v>94</v>
      </c>
      <c r="J1121" s="42"/>
    </row>
    <row r="1122" spans="1:10" s="3" customFormat="1" x14ac:dyDescent="0.25">
      <c r="A1122" s="20">
        <v>42075</v>
      </c>
      <c r="B1122" s="21">
        <v>14632</v>
      </c>
      <c r="C1122" s="14" t="s">
        <v>93</v>
      </c>
      <c r="D1122" s="105">
        <v>1448.4</v>
      </c>
      <c r="E1122" s="23">
        <v>42076</v>
      </c>
      <c r="F1122" s="106">
        <v>1448.4</v>
      </c>
      <c r="G1122" s="31">
        <f t="shared" si="17"/>
        <v>0</v>
      </c>
      <c r="H1122" s="39" t="s">
        <v>94</v>
      </c>
      <c r="J1122" s="42"/>
    </row>
    <row r="1123" spans="1:10" s="3" customFormat="1" x14ac:dyDescent="0.25">
      <c r="A1123" s="20">
        <v>42075</v>
      </c>
      <c r="B1123" s="21">
        <v>14633</v>
      </c>
      <c r="C1123" s="14" t="s">
        <v>95</v>
      </c>
      <c r="D1123" s="105">
        <v>3005.6</v>
      </c>
      <c r="E1123" s="23">
        <v>42076</v>
      </c>
      <c r="F1123" s="106">
        <v>3005.6</v>
      </c>
      <c r="G1123" s="31">
        <f t="shared" si="17"/>
        <v>0</v>
      </c>
      <c r="H1123" s="39" t="s">
        <v>94</v>
      </c>
      <c r="J1123" s="42"/>
    </row>
    <row r="1124" spans="1:10" s="3" customFormat="1" x14ac:dyDescent="0.25">
      <c r="A1124" s="20">
        <v>42075</v>
      </c>
      <c r="B1124" s="21">
        <v>14634</v>
      </c>
      <c r="C1124" s="14" t="s">
        <v>96</v>
      </c>
      <c r="D1124" s="105">
        <v>2555.5</v>
      </c>
      <c r="E1124" s="23">
        <v>42076</v>
      </c>
      <c r="F1124" s="106">
        <v>2555.5</v>
      </c>
      <c r="G1124" s="31">
        <f t="shared" si="17"/>
        <v>0</v>
      </c>
      <c r="H1124" s="39" t="s">
        <v>94</v>
      </c>
      <c r="J1124" s="42"/>
    </row>
    <row r="1125" spans="1:10" s="3" customFormat="1" x14ac:dyDescent="0.25">
      <c r="A1125" s="20">
        <v>42075</v>
      </c>
      <c r="B1125" s="21">
        <v>14635</v>
      </c>
      <c r="C1125" s="14" t="s">
        <v>190</v>
      </c>
      <c r="D1125" s="105">
        <v>5766.4</v>
      </c>
      <c r="E1125" s="23">
        <v>42076</v>
      </c>
      <c r="F1125" s="106">
        <v>5766.4</v>
      </c>
      <c r="G1125" s="31">
        <f t="shared" si="17"/>
        <v>0</v>
      </c>
      <c r="H1125" s="39" t="s">
        <v>94</v>
      </c>
      <c r="J1125" s="42"/>
    </row>
    <row r="1126" spans="1:10" s="3" customFormat="1" x14ac:dyDescent="0.25">
      <c r="A1126" s="20">
        <v>42075</v>
      </c>
      <c r="B1126" s="21">
        <v>14636</v>
      </c>
      <c r="C1126" s="14" t="s">
        <v>234</v>
      </c>
      <c r="D1126" s="105">
        <v>1900.8</v>
      </c>
      <c r="E1126" s="23">
        <v>42075</v>
      </c>
      <c r="F1126" s="106">
        <v>1900.8</v>
      </c>
      <c r="G1126" s="31">
        <f t="shared" si="17"/>
        <v>0</v>
      </c>
      <c r="H1126" s="39" t="s">
        <v>9</v>
      </c>
      <c r="J1126" s="42"/>
    </row>
    <row r="1127" spans="1:10" s="3" customFormat="1" x14ac:dyDescent="0.25">
      <c r="A1127" s="20">
        <v>42075</v>
      </c>
      <c r="B1127" s="21">
        <v>14637</v>
      </c>
      <c r="C1127" s="14" t="s">
        <v>571</v>
      </c>
      <c r="D1127" s="105">
        <v>13065.6</v>
      </c>
      <c r="E1127" s="23">
        <v>42075</v>
      </c>
      <c r="F1127" s="106">
        <v>13065.6</v>
      </c>
      <c r="G1127" s="31">
        <f t="shared" si="17"/>
        <v>0</v>
      </c>
      <c r="H1127" s="39" t="s">
        <v>17</v>
      </c>
      <c r="J1127" s="42"/>
    </row>
    <row r="1128" spans="1:10" s="3" customFormat="1" x14ac:dyDescent="0.25">
      <c r="A1128" s="20">
        <v>42075</v>
      </c>
      <c r="B1128" s="21">
        <v>14638</v>
      </c>
      <c r="C1128" s="14" t="s">
        <v>111</v>
      </c>
      <c r="D1128" s="105">
        <v>129714</v>
      </c>
      <c r="E1128" s="23">
        <v>42077</v>
      </c>
      <c r="F1128" s="106">
        <v>129714</v>
      </c>
      <c r="G1128" s="31">
        <f t="shared" si="17"/>
        <v>0</v>
      </c>
      <c r="H1128" s="39" t="s">
        <v>9</v>
      </c>
      <c r="J1128" s="42"/>
    </row>
    <row r="1129" spans="1:10" s="3" customFormat="1" x14ac:dyDescent="0.25">
      <c r="A1129" s="20">
        <v>42075</v>
      </c>
      <c r="B1129" s="21">
        <v>14639</v>
      </c>
      <c r="C1129" s="14" t="s">
        <v>111</v>
      </c>
      <c r="D1129" s="105">
        <v>14536.2</v>
      </c>
      <c r="E1129" s="23">
        <v>42077</v>
      </c>
      <c r="F1129" s="106">
        <v>14536.2</v>
      </c>
      <c r="G1129" s="31">
        <f t="shared" si="17"/>
        <v>0</v>
      </c>
      <c r="H1129" s="39" t="s">
        <v>9</v>
      </c>
      <c r="J1129" s="42"/>
    </row>
    <row r="1130" spans="1:10" s="3" customFormat="1" x14ac:dyDescent="0.25">
      <c r="A1130" s="20">
        <v>42075</v>
      </c>
      <c r="B1130" s="21">
        <v>14640</v>
      </c>
      <c r="C1130" s="14" t="s">
        <v>235</v>
      </c>
      <c r="D1130" s="105">
        <v>1723.8</v>
      </c>
      <c r="E1130" s="23">
        <v>42075</v>
      </c>
      <c r="F1130" s="106">
        <v>1723.8</v>
      </c>
      <c r="G1130" s="31">
        <f t="shared" si="17"/>
        <v>0</v>
      </c>
      <c r="H1130" s="39" t="s">
        <v>9</v>
      </c>
      <c r="J1130" s="42"/>
    </row>
    <row r="1131" spans="1:10" s="3" customFormat="1" x14ac:dyDescent="0.25">
      <c r="A1131" s="20">
        <v>42075</v>
      </c>
      <c r="B1131" s="21">
        <v>14641</v>
      </c>
      <c r="C1131" s="14" t="s">
        <v>112</v>
      </c>
      <c r="D1131" s="105">
        <v>780</v>
      </c>
      <c r="E1131" s="23">
        <v>42075</v>
      </c>
      <c r="F1131" s="106">
        <v>780</v>
      </c>
      <c r="G1131" s="31">
        <f t="shared" si="17"/>
        <v>0</v>
      </c>
      <c r="H1131" s="39" t="s">
        <v>9</v>
      </c>
      <c r="J1131" s="42"/>
    </row>
    <row r="1132" spans="1:10" s="3" customFormat="1" x14ac:dyDescent="0.25">
      <c r="A1132" s="20">
        <v>42075</v>
      </c>
      <c r="B1132" s="21">
        <v>14642</v>
      </c>
      <c r="C1132" s="14" t="s">
        <v>68</v>
      </c>
      <c r="D1132" s="105">
        <v>1480</v>
      </c>
      <c r="E1132" s="23">
        <v>42079</v>
      </c>
      <c r="F1132" s="106">
        <v>1480</v>
      </c>
      <c r="G1132" s="31">
        <f t="shared" si="17"/>
        <v>0</v>
      </c>
      <c r="H1132" s="39" t="s">
        <v>149</v>
      </c>
      <c r="J1132" s="42"/>
    </row>
    <row r="1133" spans="1:10" s="3" customFormat="1" x14ac:dyDescent="0.25">
      <c r="A1133" s="20">
        <v>42075</v>
      </c>
      <c r="B1133" s="21">
        <v>14643</v>
      </c>
      <c r="C1133" s="14" t="s">
        <v>552</v>
      </c>
      <c r="D1133" s="105">
        <v>1040.4000000000001</v>
      </c>
      <c r="E1133" s="23">
        <v>42079</v>
      </c>
      <c r="F1133" s="106">
        <v>1040.4000000000001</v>
      </c>
      <c r="G1133" s="31">
        <f t="shared" si="17"/>
        <v>0</v>
      </c>
      <c r="H1133" s="39" t="s">
        <v>149</v>
      </c>
      <c r="J1133" s="42"/>
    </row>
    <row r="1134" spans="1:10" s="3" customFormat="1" x14ac:dyDescent="0.25">
      <c r="A1134" s="20">
        <v>42075</v>
      </c>
      <c r="B1134" s="21">
        <v>14644</v>
      </c>
      <c r="C1134" s="14" t="s">
        <v>195</v>
      </c>
      <c r="D1134" s="105">
        <v>121511.33</v>
      </c>
      <c r="E1134" s="30" t="s">
        <v>848</v>
      </c>
      <c r="F1134" s="106">
        <f>41424.5+80086.83</f>
        <v>121511.33</v>
      </c>
      <c r="G1134" s="31">
        <f t="shared" si="17"/>
        <v>0</v>
      </c>
      <c r="H1134" s="19" t="s">
        <v>149</v>
      </c>
      <c r="J1134" s="42"/>
    </row>
    <row r="1135" spans="1:10" s="3" customFormat="1" x14ac:dyDescent="0.25">
      <c r="A1135" s="20">
        <v>42075</v>
      </c>
      <c r="B1135" s="21">
        <v>14645</v>
      </c>
      <c r="C1135" s="14" t="s">
        <v>207</v>
      </c>
      <c r="D1135" s="105">
        <v>30913.25</v>
      </c>
      <c r="E1135" s="23">
        <v>42081</v>
      </c>
      <c r="F1135" s="106">
        <v>30913.25</v>
      </c>
      <c r="G1135" s="31">
        <f t="shared" si="17"/>
        <v>0</v>
      </c>
      <c r="H1135" s="19" t="s">
        <v>149</v>
      </c>
      <c r="J1135" s="42"/>
    </row>
    <row r="1136" spans="1:10" s="3" customFormat="1" x14ac:dyDescent="0.25">
      <c r="A1136" s="20">
        <v>42075</v>
      </c>
      <c r="B1136" s="21">
        <v>14646</v>
      </c>
      <c r="C1136" s="14" t="s">
        <v>204</v>
      </c>
      <c r="D1136" s="105">
        <v>1243.2</v>
      </c>
      <c r="E1136" s="23">
        <v>42079</v>
      </c>
      <c r="F1136" s="106">
        <v>1243.2</v>
      </c>
      <c r="G1136" s="31">
        <f t="shared" si="17"/>
        <v>0</v>
      </c>
      <c r="H1136" s="19" t="s">
        <v>149</v>
      </c>
      <c r="J1136" s="42"/>
    </row>
    <row r="1137" spans="1:10" s="3" customFormat="1" x14ac:dyDescent="0.25">
      <c r="A1137" s="20">
        <v>42075</v>
      </c>
      <c r="B1137" s="21">
        <v>14647</v>
      </c>
      <c r="C1137" s="14" t="s">
        <v>552</v>
      </c>
      <c r="D1137" s="105">
        <v>16533.34</v>
      </c>
      <c r="E1137" s="23">
        <v>42079</v>
      </c>
      <c r="F1137" s="106">
        <v>16533.34</v>
      </c>
      <c r="G1137" s="31">
        <f t="shared" si="17"/>
        <v>0</v>
      </c>
      <c r="H1137" s="19" t="s">
        <v>149</v>
      </c>
      <c r="J1137" s="42"/>
    </row>
    <row r="1138" spans="1:10" s="3" customFormat="1" x14ac:dyDescent="0.25">
      <c r="A1138" s="20">
        <v>42075</v>
      </c>
      <c r="B1138" s="21">
        <v>14648</v>
      </c>
      <c r="C1138" s="14" t="s">
        <v>349</v>
      </c>
      <c r="D1138" s="105">
        <v>6938.34</v>
      </c>
      <c r="E1138" s="23">
        <v>42079</v>
      </c>
      <c r="F1138" s="106">
        <v>6938.34</v>
      </c>
      <c r="G1138" s="31">
        <f t="shared" si="17"/>
        <v>0</v>
      </c>
      <c r="H1138" s="19" t="s">
        <v>149</v>
      </c>
      <c r="J1138" s="42"/>
    </row>
    <row r="1139" spans="1:10" s="3" customFormat="1" x14ac:dyDescent="0.25">
      <c r="A1139" s="20">
        <v>42075</v>
      </c>
      <c r="B1139" s="21">
        <v>14649</v>
      </c>
      <c r="C1139" s="14" t="s">
        <v>440</v>
      </c>
      <c r="D1139" s="105">
        <v>4297.8</v>
      </c>
      <c r="E1139" s="23">
        <v>42075</v>
      </c>
      <c r="F1139" s="106">
        <v>4297.8</v>
      </c>
      <c r="G1139" s="31">
        <f t="shared" si="17"/>
        <v>0</v>
      </c>
      <c r="H1139" s="19" t="s">
        <v>9</v>
      </c>
      <c r="I1139" s="4"/>
      <c r="J1139" s="107"/>
    </row>
    <row r="1140" spans="1:10" s="3" customFormat="1" x14ac:dyDescent="0.25">
      <c r="A1140" s="20">
        <v>42075</v>
      </c>
      <c r="B1140" s="21">
        <v>14650</v>
      </c>
      <c r="C1140" s="14" t="s">
        <v>420</v>
      </c>
      <c r="D1140" s="105">
        <v>6699.04</v>
      </c>
      <c r="E1140" s="23">
        <v>42079</v>
      </c>
      <c r="F1140" s="106">
        <v>6699.04</v>
      </c>
      <c r="G1140" s="31">
        <f t="shared" si="17"/>
        <v>0</v>
      </c>
      <c r="H1140" s="19" t="s">
        <v>149</v>
      </c>
      <c r="I1140" s="4"/>
      <c r="J1140" s="43"/>
    </row>
    <row r="1141" spans="1:10" s="3" customFormat="1" x14ac:dyDescent="0.25">
      <c r="A1141" s="20">
        <v>42075</v>
      </c>
      <c r="B1141" s="21">
        <v>14651</v>
      </c>
      <c r="C1141" s="14" t="s">
        <v>24</v>
      </c>
      <c r="D1141" s="105">
        <v>193745.75</v>
      </c>
      <c r="E1141" s="23">
        <v>42087</v>
      </c>
      <c r="F1141" s="106">
        <v>193745.75</v>
      </c>
      <c r="G1141" s="31">
        <f t="shared" si="17"/>
        <v>0</v>
      </c>
      <c r="H1141" s="19" t="s">
        <v>183</v>
      </c>
      <c r="I1141" s="4"/>
      <c r="J1141" s="43"/>
    </row>
    <row r="1142" spans="1:10" s="3" customFormat="1" x14ac:dyDescent="0.25">
      <c r="A1142" s="20">
        <v>42075</v>
      </c>
      <c r="B1142" s="21">
        <v>14652</v>
      </c>
      <c r="C1142" s="14" t="s">
        <v>732</v>
      </c>
      <c r="D1142" s="105">
        <v>22558.799999999999</v>
      </c>
      <c r="E1142" s="23">
        <v>42079</v>
      </c>
      <c r="F1142" s="106">
        <v>22558.799999999999</v>
      </c>
      <c r="G1142" s="31">
        <f t="shared" si="17"/>
        <v>0</v>
      </c>
      <c r="H1142" s="19" t="s">
        <v>149</v>
      </c>
      <c r="I1142" s="4"/>
      <c r="J1142" s="43"/>
    </row>
    <row r="1143" spans="1:10" s="3" customFormat="1" x14ac:dyDescent="0.25">
      <c r="A1143" s="20">
        <v>42075</v>
      </c>
      <c r="B1143" s="21">
        <v>14653</v>
      </c>
      <c r="C1143" s="14" t="s">
        <v>701</v>
      </c>
      <c r="D1143" s="105">
        <v>259</v>
      </c>
      <c r="E1143" s="23">
        <v>42075</v>
      </c>
      <c r="F1143" s="106">
        <v>259</v>
      </c>
      <c r="G1143" s="31">
        <f t="shared" si="17"/>
        <v>0</v>
      </c>
      <c r="H1143" s="19" t="s">
        <v>9</v>
      </c>
      <c r="I1143" s="4"/>
      <c r="J1143" s="43"/>
    </row>
    <row r="1144" spans="1:10" s="3" customFormat="1" x14ac:dyDescent="0.25">
      <c r="A1144" s="20">
        <v>42075</v>
      </c>
      <c r="B1144" s="21">
        <v>14654</v>
      </c>
      <c r="C1144" s="14" t="s">
        <v>90</v>
      </c>
      <c r="D1144" s="105">
        <v>1197.2</v>
      </c>
      <c r="E1144" s="23">
        <v>42075</v>
      </c>
      <c r="F1144" s="106">
        <v>1197.2</v>
      </c>
      <c r="G1144" s="31">
        <f t="shared" si="17"/>
        <v>0</v>
      </c>
      <c r="H1144" s="19" t="s">
        <v>9</v>
      </c>
      <c r="I1144" s="4"/>
      <c r="J1144" s="43"/>
    </row>
    <row r="1145" spans="1:10" s="3" customFormat="1" x14ac:dyDescent="0.25">
      <c r="A1145" s="20">
        <v>42075</v>
      </c>
      <c r="B1145" s="21">
        <v>14655</v>
      </c>
      <c r="C1145" s="14" t="s">
        <v>574</v>
      </c>
      <c r="D1145" s="105">
        <v>16504</v>
      </c>
      <c r="E1145" s="23">
        <v>42079</v>
      </c>
      <c r="F1145" s="106">
        <v>16504</v>
      </c>
      <c r="G1145" s="48">
        <f t="shared" si="17"/>
        <v>0</v>
      </c>
      <c r="H1145" s="19" t="s">
        <v>149</v>
      </c>
      <c r="I1145" s="4"/>
      <c r="J1145" s="43"/>
    </row>
    <row r="1146" spans="1:10" s="3" customFormat="1" x14ac:dyDescent="0.25">
      <c r="A1146" s="20">
        <v>42075</v>
      </c>
      <c r="B1146" s="21">
        <v>14656</v>
      </c>
      <c r="C1146" s="14" t="s">
        <v>198</v>
      </c>
      <c r="D1146" s="105">
        <v>15718.6</v>
      </c>
      <c r="E1146" s="23">
        <v>42079</v>
      </c>
      <c r="F1146" s="106">
        <v>15718.6</v>
      </c>
      <c r="G1146" s="31">
        <f t="shared" si="17"/>
        <v>0</v>
      </c>
      <c r="H1146" s="19" t="s">
        <v>149</v>
      </c>
      <c r="I1146" s="4"/>
      <c r="J1146" s="43"/>
    </row>
    <row r="1147" spans="1:10" s="3" customFormat="1" x14ac:dyDescent="0.25">
      <c r="A1147" s="20">
        <v>42075</v>
      </c>
      <c r="B1147" s="21">
        <v>14657</v>
      </c>
      <c r="C1147" s="14" t="s">
        <v>849</v>
      </c>
      <c r="D1147" s="105">
        <v>20341.5</v>
      </c>
      <c r="E1147" s="23">
        <v>42079</v>
      </c>
      <c r="F1147" s="106">
        <v>20341.5</v>
      </c>
      <c r="G1147" s="31">
        <f t="shared" si="17"/>
        <v>0</v>
      </c>
      <c r="H1147" s="19" t="s">
        <v>149</v>
      </c>
      <c r="I1147" s="4"/>
      <c r="J1147" s="43"/>
    </row>
    <row r="1148" spans="1:10" s="3" customFormat="1" x14ac:dyDescent="0.25">
      <c r="A1148" s="20">
        <v>42075</v>
      </c>
      <c r="B1148" s="21">
        <v>14658</v>
      </c>
      <c r="C1148" s="14" t="s">
        <v>42</v>
      </c>
      <c r="D1148" s="105">
        <v>7.2</v>
      </c>
      <c r="E1148" s="23">
        <v>42075</v>
      </c>
      <c r="F1148" s="106">
        <v>7.2</v>
      </c>
      <c r="G1148" s="31">
        <f t="shared" si="17"/>
        <v>0</v>
      </c>
      <c r="H1148" s="19" t="s">
        <v>9</v>
      </c>
      <c r="I1148" s="4"/>
      <c r="J1148" s="43"/>
    </row>
    <row r="1149" spans="1:10" s="3" customFormat="1" x14ac:dyDescent="0.25">
      <c r="A1149" s="20">
        <v>42075</v>
      </c>
      <c r="B1149" s="21">
        <v>14659</v>
      </c>
      <c r="C1149" s="14" t="s">
        <v>237</v>
      </c>
      <c r="D1149" s="105">
        <v>127.2</v>
      </c>
      <c r="E1149" s="23">
        <v>42075</v>
      </c>
      <c r="F1149" s="106">
        <v>127.2</v>
      </c>
      <c r="G1149" s="48">
        <f t="shared" si="17"/>
        <v>0</v>
      </c>
      <c r="H1149" s="19" t="s">
        <v>9</v>
      </c>
      <c r="I1149" s="4"/>
      <c r="J1149" s="43"/>
    </row>
    <row r="1150" spans="1:10" s="3" customFormat="1" x14ac:dyDescent="0.25">
      <c r="A1150" s="20">
        <v>42075</v>
      </c>
      <c r="B1150" s="21">
        <v>14660</v>
      </c>
      <c r="C1150" s="14" t="s">
        <v>80</v>
      </c>
      <c r="D1150" s="105">
        <v>7543.2</v>
      </c>
      <c r="E1150" s="23">
        <v>42075</v>
      </c>
      <c r="F1150" s="106">
        <v>7543.2</v>
      </c>
      <c r="G1150" s="31">
        <f t="shared" si="17"/>
        <v>0</v>
      </c>
      <c r="H1150" s="19" t="s">
        <v>9</v>
      </c>
      <c r="I1150" s="4"/>
      <c r="J1150" s="43"/>
    </row>
    <row r="1151" spans="1:10" s="3" customFormat="1" x14ac:dyDescent="0.25">
      <c r="A1151" s="20">
        <v>42075</v>
      </c>
      <c r="B1151" s="21">
        <v>14661</v>
      </c>
      <c r="C1151" s="14" t="s">
        <v>64</v>
      </c>
      <c r="D1151" s="105">
        <v>2460</v>
      </c>
      <c r="E1151" s="23">
        <v>42075</v>
      </c>
      <c r="F1151" s="106">
        <v>2460</v>
      </c>
      <c r="G1151" s="31">
        <f t="shared" si="17"/>
        <v>0</v>
      </c>
      <c r="H1151" s="19" t="s">
        <v>9</v>
      </c>
      <c r="I1151" s="4"/>
      <c r="J1151" s="43"/>
    </row>
    <row r="1152" spans="1:10" s="3" customFormat="1" x14ac:dyDescent="0.25">
      <c r="A1152" s="20">
        <v>42075</v>
      </c>
      <c r="B1152" s="21">
        <v>14662</v>
      </c>
      <c r="C1152" s="14" t="s">
        <v>32</v>
      </c>
      <c r="D1152" s="105">
        <v>188571.6</v>
      </c>
      <c r="E1152" s="23">
        <v>42089</v>
      </c>
      <c r="F1152" s="106">
        <v>188571.6</v>
      </c>
      <c r="G1152" s="31">
        <f t="shared" si="17"/>
        <v>0</v>
      </c>
      <c r="H1152" s="19" t="s">
        <v>19</v>
      </c>
      <c r="I1152" s="4"/>
      <c r="J1152" s="43"/>
    </row>
    <row r="1153" spans="1:10" s="3" customFormat="1" x14ac:dyDescent="0.25">
      <c r="A1153" s="20">
        <v>42075</v>
      </c>
      <c r="B1153" s="21">
        <v>14663</v>
      </c>
      <c r="C1153" s="14" t="s">
        <v>237</v>
      </c>
      <c r="D1153" s="105">
        <v>380</v>
      </c>
      <c r="E1153" s="23">
        <v>42075</v>
      </c>
      <c r="F1153" s="106">
        <v>380</v>
      </c>
      <c r="G1153" s="31">
        <f t="shared" si="17"/>
        <v>0</v>
      </c>
      <c r="H1153" s="19" t="s">
        <v>9</v>
      </c>
      <c r="I1153" s="4"/>
      <c r="J1153" s="43"/>
    </row>
    <row r="1154" spans="1:10" s="3" customFormat="1" x14ac:dyDescent="0.25">
      <c r="A1154" s="20">
        <v>42075</v>
      </c>
      <c r="B1154" s="21">
        <v>14664</v>
      </c>
      <c r="C1154" s="14" t="s">
        <v>207</v>
      </c>
      <c r="D1154" s="105">
        <v>2696</v>
      </c>
      <c r="E1154" s="23">
        <v>42081</v>
      </c>
      <c r="F1154" s="106">
        <v>2696</v>
      </c>
      <c r="G1154" s="31">
        <f t="shared" si="17"/>
        <v>0</v>
      </c>
      <c r="H1154" s="19" t="s">
        <v>149</v>
      </c>
      <c r="I1154" s="4"/>
      <c r="J1154" s="43"/>
    </row>
    <row r="1155" spans="1:10" s="3" customFormat="1" x14ac:dyDescent="0.25">
      <c r="A1155" s="20">
        <v>42075</v>
      </c>
      <c r="B1155" s="21">
        <v>14665</v>
      </c>
      <c r="C1155" s="14" t="s">
        <v>262</v>
      </c>
      <c r="D1155" s="105">
        <v>4712.6000000000004</v>
      </c>
      <c r="E1155" s="23">
        <v>42079</v>
      </c>
      <c r="F1155" s="106">
        <v>4712.6000000000004</v>
      </c>
      <c r="G1155" s="48">
        <f t="shared" ref="G1155:G1218" si="18">D1155-F1155</f>
        <v>0</v>
      </c>
      <c r="H1155" s="19" t="s">
        <v>149</v>
      </c>
      <c r="I1155" s="4"/>
      <c r="J1155" s="43"/>
    </row>
    <row r="1156" spans="1:10" s="3" customFormat="1" x14ac:dyDescent="0.25">
      <c r="A1156" s="20">
        <v>42075</v>
      </c>
      <c r="B1156" s="21">
        <v>14666</v>
      </c>
      <c r="C1156" s="14" t="s">
        <v>850</v>
      </c>
      <c r="D1156" s="105">
        <v>4324.1000000000004</v>
      </c>
      <c r="E1156" s="23">
        <v>42075</v>
      </c>
      <c r="F1156" s="106">
        <v>4324.1000000000004</v>
      </c>
      <c r="G1156" s="31">
        <f t="shared" si="18"/>
        <v>0</v>
      </c>
      <c r="H1156" s="19" t="s">
        <v>9</v>
      </c>
      <c r="I1156" s="4"/>
      <c r="J1156" s="43"/>
    </row>
    <row r="1157" spans="1:10" s="3" customFormat="1" x14ac:dyDescent="0.25">
      <c r="A1157" s="20">
        <v>42075</v>
      </c>
      <c r="B1157" s="21">
        <v>14667</v>
      </c>
      <c r="C1157" s="14" t="s">
        <v>24</v>
      </c>
      <c r="D1157" s="105">
        <v>66448.899999999994</v>
      </c>
      <c r="E1157" s="23">
        <v>42093</v>
      </c>
      <c r="F1157" s="106">
        <v>66448.899999999994</v>
      </c>
      <c r="G1157" s="31">
        <f t="shared" si="18"/>
        <v>0</v>
      </c>
      <c r="H1157" s="19" t="s">
        <v>17</v>
      </c>
      <c r="I1157" s="4"/>
      <c r="J1157" s="43"/>
    </row>
    <row r="1158" spans="1:10" s="3" customFormat="1" x14ac:dyDescent="0.25">
      <c r="A1158" s="20">
        <v>42075</v>
      </c>
      <c r="B1158" s="21">
        <v>14668</v>
      </c>
      <c r="C1158" s="14" t="s">
        <v>454</v>
      </c>
      <c r="D1158" s="105">
        <v>1454.4</v>
      </c>
      <c r="E1158" s="23">
        <v>42076</v>
      </c>
      <c r="F1158" s="106">
        <v>1454.4</v>
      </c>
      <c r="G1158" s="31">
        <f t="shared" si="18"/>
        <v>0</v>
      </c>
      <c r="H1158" s="19" t="s">
        <v>41</v>
      </c>
      <c r="I1158" s="4"/>
      <c r="J1158" s="43"/>
    </row>
    <row r="1159" spans="1:10" s="3" customFormat="1" x14ac:dyDescent="0.25">
      <c r="A1159" s="20">
        <v>42075</v>
      </c>
      <c r="B1159" s="21">
        <v>14669</v>
      </c>
      <c r="C1159" s="14" t="s">
        <v>851</v>
      </c>
      <c r="D1159" s="105">
        <v>1728</v>
      </c>
      <c r="E1159" s="23">
        <v>42076</v>
      </c>
      <c r="F1159" s="106">
        <v>1728</v>
      </c>
      <c r="G1159" s="31">
        <f t="shared" si="18"/>
        <v>0</v>
      </c>
      <c r="H1159" s="19" t="s">
        <v>41</v>
      </c>
      <c r="I1159" s="4"/>
      <c r="J1159" s="43"/>
    </row>
    <row r="1160" spans="1:10" s="3" customFormat="1" x14ac:dyDescent="0.25">
      <c r="A1160" s="20">
        <v>42075</v>
      </c>
      <c r="B1160" s="21">
        <v>14670</v>
      </c>
      <c r="C1160" s="14" t="s">
        <v>852</v>
      </c>
      <c r="D1160" s="105">
        <v>897</v>
      </c>
      <c r="E1160" s="23">
        <v>42075</v>
      </c>
      <c r="F1160" s="106">
        <v>897</v>
      </c>
      <c r="G1160" s="31">
        <f t="shared" si="18"/>
        <v>0</v>
      </c>
      <c r="H1160" s="19" t="s">
        <v>9</v>
      </c>
      <c r="I1160" s="4"/>
      <c r="J1160" s="107"/>
    </row>
    <row r="1161" spans="1:10" s="3" customFormat="1" x14ac:dyDescent="0.25">
      <c r="A1161" s="20">
        <v>42076</v>
      </c>
      <c r="B1161" s="21">
        <v>14671</v>
      </c>
      <c r="C1161" s="14" t="s">
        <v>14</v>
      </c>
      <c r="D1161" s="105">
        <v>6534.8</v>
      </c>
      <c r="E1161" s="23">
        <v>42089</v>
      </c>
      <c r="F1161" s="106">
        <v>6534.8</v>
      </c>
      <c r="G1161" s="31">
        <f t="shared" si="18"/>
        <v>0</v>
      </c>
      <c r="H1161" s="19" t="s">
        <v>15</v>
      </c>
      <c r="I1161" s="4"/>
      <c r="J1161" s="43"/>
    </row>
    <row r="1162" spans="1:10" s="3" customFormat="1" x14ac:dyDescent="0.25">
      <c r="A1162" s="20">
        <v>42076</v>
      </c>
      <c r="B1162" s="21">
        <v>14672</v>
      </c>
      <c r="C1162" s="14" t="s">
        <v>20</v>
      </c>
      <c r="D1162" s="105">
        <v>17752.8</v>
      </c>
      <c r="E1162" s="23">
        <v>42076</v>
      </c>
      <c r="F1162" s="106">
        <v>17752.8</v>
      </c>
      <c r="G1162" s="31">
        <f t="shared" si="18"/>
        <v>0</v>
      </c>
      <c r="H1162" s="19" t="s">
        <v>94</v>
      </c>
      <c r="I1162" s="4"/>
      <c r="J1162" s="43"/>
    </row>
    <row r="1163" spans="1:10" s="3" customFormat="1" x14ac:dyDescent="0.25">
      <c r="A1163" s="20">
        <v>42076</v>
      </c>
      <c r="B1163" s="21">
        <v>14673</v>
      </c>
      <c r="C1163" s="14" t="s">
        <v>267</v>
      </c>
      <c r="D1163" s="105">
        <v>1797.68</v>
      </c>
      <c r="E1163" s="23">
        <v>42079</v>
      </c>
      <c r="F1163" s="106">
        <v>1797.68</v>
      </c>
      <c r="G1163" s="31">
        <f t="shared" si="18"/>
        <v>0</v>
      </c>
      <c r="H1163" s="19" t="s">
        <v>15</v>
      </c>
      <c r="I1163" s="4"/>
      <c r="J1163" s="43"/>
    </row>
    <row r="1164" spans="1:10" s="3" customFormat="1" x14ac:dyDescent="0.25">
      <c r="A1164" s="20">
        <v>42076</v>
      </c>
      <c r="B1164" s="21">
        <v>14674</v>
      </c>
      <c r="C1164" s="14" t="s">
        <v>103</v>
      </c>
      <c r="D1164" s="105">
        <v>10570</v>
      </c>
      <c r="E1164" s="23">
        <v>42077</v>
      </c>
      <c r="F1164" s="106">
        <v>10570</v>
      </c>
      <c r="G1164" s="31">
        <f t="shared" si="18"/>
        <v>0</v>
      </c>
      <c r="H1164" s="19" t="s">
        <v>9</v>
      </c>
      <c r="I1164" s="4"/>
      <c r="J1164" s="43"/>
    </row>
    <row r="1165" spans="1:10" s="3" customFormat="1" x14ac:dyDescent="0.25">
      <c r="A1165" s="20">
        <v>42076</v>
      </c>
      <c r="B1165" s="21">
        <v>14675</v>
      </c>
      <c r="C1165" s="14" t="s">
        <v>853</v>
      </c>
      <c r="D1165" s="105">
        <v>8678.4</v>
      </c>
      <c r="E1165" s="23">
        <v>42076</v>
      </c>
      <c r="F1165" s="106">
        <v>8678.4</v>
      </c>
      <c r="G1165" s="31">
        <f t="shared" si="18"/>
        <v>0</v>
      </c>
      <c r="H1165" s="19" t="s">
        <v>17</v>
      </c>
      <c r="I1165" s="4"/>
      <c r="J1165" s="43"/>
    </row>
    <row r="1166" spans="1:10" s="3" customFormat="1" x14ac:dyDescent="0.25">
      <c r="A1166" s="20">
        <v>42076</v>
      </c>
      <c r="B1166" s="21">
        <v>14676</v>
      </c>
      <c r="C1166" s="14" t="s">
        <v>658</v>
      </c>
      <c r="D1166" s="105">
        <v>2865.4</v>
      </c>
      <c r="E1166" s="23">
        <v>42076</v>
      </c>
      <c r="F1166" s="106">
        <v>2865.4</v>
      </c>
      <c r="G1166" s="31">
        <f t="shared" si="18"/>
        <v>0</v>
      </c>
      <c r="H1166" s="19" t="s">
        <v>9</v>
      </c>
      <c r="I1166" s="4"/>
      <c r="J1166" s="43"/>
    </row>
    <row r="1167" spans="1:10" s="3" customFormat="1" x14ac:dyDescent="0.25">
      <c r="A1167" s="20">
        <v>42076</v>
      </c>
      <c r="B1167" s="21">
        <v>14677</v>
      </c>
      <c r="C1167" s="14" t="s">
        <v>21</v>
      </c>
      <c r="D1167" s="105">
        <v>9363.7000000000007</v>
      </c>
      <c r="E1167" s="23">
        <v>42076</v>
      </c>
      <c r="F1167" s="106">
        <v>9363.7000000000007</v>
      </c>
      <c r="G1167" s="31">
        <f t="shared" si="18"/>
        <v>0</v>
      </c>
      <c r="H1167" s="19" t="s">
        <v>9</v>
      </c>
      <c r="I1167" s="4"/>
      <c r="J1167" s="43"/>
    </row>
    <row r="1168" spans="1:10" s="3" customFormat="1" x14ac:dyDescent="0.25">
      <c r="A1168" s="20">
        <v>42076</v>
      </c>
      <c r="B1168" s="21">
        <v>14678</v>
      </c>
      <c r="C1168" s="14" t="s">
        <v>25</v>
      </c>
      <c r="D1168" s="105">
        <v>745.8</v>
      </c>
      <c r="E1168" s="23">
        <v>42076</v>
      </c>
      <c r="F1168" s="106">
        <v>745.8</v>
      </c>
      <c r="G1168" s="31">
        <f t="shared" si="18"/>
        <v>0</v>
      </c>
      <c r="H1168" s="19" t="s">
        <v>9</v>
      </c>
      <c r="I1168" s="4"/>
      <c r="J1168" s="43"/>
    </row>
    <row r="1169" spans="1:10" s="3" customFormat="1" x14ac:dyDescent="0.25">
      <c r="A1169" s="20">
        <v>42076</v>
      </c>
      <c r="B1169" s="21">
        <v>14679</v>
      </c>
      <c r="C1169" s="14" t="s">
        <v>114</v>
      </c>
      <c r="D1169" s="105">
        <v>25097</v>
      </c>
      <c r="E1169" s="23">
        <v>42076</v>
      </c>
      <c r="F1169" s="106">
        <v>25097</v>
      </c>
      <c r="G1169" s="31">
        <f t="shared" si="18"/>
        <v>0</v>
      </c>
      <c r="H1169" s="19" t="s">
        <v>19</v>
      </c>
      <c r="I1169" s="4"/>
      <c r="J1169" s="43"/>
    </row>
    <row r="1170" spans="1:10" s="3" customFormat="1" x14ac:dyDescent="0.25">
      <c r="A1170" s="20">
        <v>42076</v>
      </c>
      <c r="B1170" s="21">
        <v>14680</v>
      </c>
      <c r="C1170" s="14" t="s">
        <v>114</v>
      </c>
      <c r="D1170" s="105">
        <v>180</v>
      </c>
      <c r="E1170" s="23">
        <v>42076</v>
      </c>
      <c r="F1170" s="106">
        <v>180</v>
      </c>
      <c r="G1170" s="31">
        <f t="shared" si="18"/>
        <v>0</v>
      </c>
      <c r="H1170" s="19" t="s">
        <v>62</v>
      </c>
      <c r="I1170" s="4"/>
      <c r="J1170" s="43"/>
    </row>
    <row r="1171" spans="1:10" s="3" customFormat="1" x14ac:dyDescent="0.25">
      <c r="A1171" s="20">
        <v>42076</v>
      </c>
      <c r="B1171" s="21">
        <v>14681</v>
      </c>
      <c r="C1171" s="14" t="s">
        <v>22</v>
      </c>
      <c r="D1171" s="105">
        <v>4092</v>
      </c>
      <c r="E1171" s="23">
        <v>42076</v>
      </c>
      <c r="F1171" s="106">
        <v>4092</v>
      </c>
      <c r="G1171" s="31">
        <f t="shared" si="18"/>
        <v>0</v>
      </c>
      <c r="H1171" s="19" t="s">
        <v>9</v>
      </c>
      <c r="I1171" s="4"/>
      <c r="J1171" s="43"/>
    </row>
    <row r="1172" spans="1:10" s="3" customFormat="1" x14ac:dyDescent="0.25">
      <c r="A1172" s="20">
        <v>42076</v>
      </c>
      <c r="B1172" s="21">
        <v>14682</v>
      </c>
      <c r="C1172" s="14" t="s">
        <v>854</v>
      </c>
      <c r="D1172" s="105">
        <v>935.2</v>
      </c>
      <c r="E1172" s="23">
        <v>42076</v>
      </c>
      <c r="F1172" s="106">
        <v>935.2</v>
      </c>
      <c r="G1172" s="31">
        <f t="shared" si="18"/>
        <v>0</v>
      </c>
      <c r="H1172" s="19" t="s">
        <v>9</v>
      </c>
      <c r="I1172" s="4"/>
      <c r="J1172" s="107"/>
    </row>
    <row r="1173" spans="1:10" s="3" customFormat="1" x14ac:dyDescent="0.25">
      <c r="A1173" s="20">
        <v>42076</v>
      </c>
      <c r="B1173" s="21">
        <v>14683</v>
      </c>
      <c r="C1173" s="14" t="s">
        <v>426</v>
      </c>
      <c r="D1173" s="105">
        <v>2949</v>
      </c>
      <c r="E1173" s="23">
        <v>42078</v>
      </c>
      <c r="F1173" s="106">
        <v>2949</v>
      </c>
      <c r="G1173" s="31">
        <f t="shared" si="18"/>
        <v>0</v>
      </c>
      <c r="H1173" s="19" t="s">
        <v>62</v>
      </c>
      <c r="I1173" s="4"/>
      <c r="J1173" s="43"/>
    </row>
    <row r="1174" spans="1:10" s="3" customFormat="1" x14ac:dyDescent="0.25">
      <c r="A1174" s="20">
        <v>42076</v>
      </c>
      <c r="B1174" s="21">
        <v>14684</v>
      </c>
      <c r="C1174" s="14" t="s">
        <v>26</v>
      </c>
      <c r="D1174" s="105">
        <v>3836</v>
      </c>
      <c r="E1174" s="23">
        <v>42076</v>
      </c>
      <c r="F1174" s="106">
        <v>3836</v>
      </c>
      <c r="G1174" s="31">
        <f t="shared" si="18"/>
        <v>0</v>
      </c>
      <c r="H1174" s="19" t="s">
        <v>27</v>
      </c>
      <c r="I1174" s="4"/>
      <c r="J1174" s="43"/>
    </row>
    <row r="1175" spans="1:10" s="3" customFormat="1" x14ac:dyDescent="0.25">
      <c r="A1175" s="20">
        <v>42076</v>
      </c>
      <c r="B1175" s="21">
        <v>14685</v>
      </c>
      <c r="C1175" s="14" t="s">
        <v>78</v>
      </c>
      <c r="D1175" s="105">
        <v>8179.2</v>
      </c>
      <c r="E1175" s="23">
        <v>42077</v>
      </c>
      <c r="F1175" s="106">
        <v>8179.2</v>
      </c>
      <c r="G1175" s="31">
        <f t="shared" si="18"/>
        <v>0</v>
      </c>
      <c r="H1175" s="19" t="s">
        <v>62</v>
      </c>
      <c r="I1175" s="4"/>
      <c r="J1175" s="43"/>
    </row>
    <row r="1176" spans="1:10" s="3" customFormat="1" x14ac:dyDescent="0.25">
      <c r="A1176" s="20">
        <v>42076</v>
      </c>
      <c r="B1176" s="21">
        <v>14686</v>
      </c>
      <c r="C1176" s="14" t="s">
        <v>170</v>
      </c>
      <c r="D1176" s="105">
        <v>3600</v>
      </c>
      <c r="E1176" s="23">
        <v>42078</v>
      </c>
      <c r="F1176" s="106">
        <v>3600</v>
      </c>
      <c r="G1176" s="31">
        <f t="shared" si="18"/>
        <v>0</v>
      </c>
      <c r="H1176" s="19" t="s">
        <v>62</v>
      </c>
      <c r="I1176" s="4"/>
      <c r="J1176" s="43"/>
    </row>
    <row r="1177" spans="1:10" s="3" customFormat="1" x14ac:dyDescent="0.25">
      <c r="A1177" s="20">
        <v>42076</v>
      </c>
      <c r="B1177" s="21">
        <v>14687</v>
      </c>
      <c r="C1177" s="14" t="s">
        <v>67</v>
      </c>
      <c r="D1177" s="105">
        <v>3582</v>
      </c>
      <c r="E1177" s="23">
        <v>42078</v>
      </c>
      <c r="F1177" s="106">
        <v>3582</v>
      </c>
      <c r="G1177" s="31">
        <f t="shared" si="18"/>
        <v>0</v>
      </c>
      <c r="H1177" s="19" t="s">
        <v>62</v>
      </c>
      <c r="I1177" s="4"/>
      <c r="J1177" s="43"/>
    </row>
    <row r="1178" spans="1:10" s="3" customFormat="1" x14ac:dyDescent="0.25">
      <c r="A1178" s="20">
        <v>42076</v>
      </c>
      <c r="B1178" s="21">
        <v>14688</v>
      </c>
      <c r="C1178" s="14" t="s">
        <v>135</v>
      </c>
      <c r="D1178" s="105">
        <v>21476.3</v>
      </c>
      <c r="E1178" s="23">
        <v>42076</v>
      </c>
      <c r="F1178" s="106">
        <v>21476.3</v>
      </c>
      <c r="G1178" s="31">
        <f t="shared" si="18"/>
        <v>0</v>
      </c>
      <c r="H1178" s="19" t="s">
        <v>9</v>
      </c>
      <c r="I1178" s="4"/>
      <c r="J1178" s="43"/>
    </row>
    <row r="1179" spans="1:10" s="3" customFormat="1" x14ac:dyDescent="0.25">
      <c r="A1179" s="20">
        <v>42076</v>
      </c>
      <c r="B1179" s="21">
        <v>14689</v>
      </c>
      <c r="C1179" s="14" t="s">
        <v>855</v>
      </c>
      <c r="D1179" s="105">
        <v>3276</v>
      </c>
      <c r="E1179" s="23">
        <v>42076</v>
      </c>
      <c r="F1179" s="106">
        <v>3276</v>
      </c>
      <c r="G1179" s="31">
        <f t="shared" si="18"/>
        <v>0</v>
      </c>
      <c r="H1179" s="19" t="s">
        <v>9</v>
      </c>
      <c r="I1179" s="4"/>
      <c r="J1179" s="43"/>
    </row>
    <row r="1180" spans="1:10" s="3" customFormat="1" x14ac:dyDescent="0.25">
      <c r="A1180" s="20">
        <v>42076</v>
      </c>
      <c r="B1180" s="21">
        <v>14690</v>
      </c>
      <c r="C1180" s="14" t="s">
        <v>173</v>
      </c>
      <c r="D1180" s="105">
        <v>35993.300000000003</v>
      </c>
      <c r="E1180" s="30" t="s">
        <v>970</v>
      </c>
      <c r="F1180" s="106">
        <v>35993.300000000003</v>
      </c>
      <c r="G1180" s="31">
        <f t="shared" si="18"/>
        <v>0</v>
      </c>
      <c r="H1180" s="19" t="s">
        <v>62</v>
      </c>
      <c r="I1180" s="4"/>
      <c r="J1180" s="43"/>
    </row>
    <row r="1181" spans="1:10" s="3" customFormat="1" x14ac:dyDescent="0.25">
      <c r="A1181" s="20">
        <v>42076</v>
      </c>
      <c r="B1181" s="21">
        <v>14691</v>
      </c>
      <c r="C1181" s="14" t="s">
        <v>72</v>
      </c>
      <c r="D1181" s="105">
        <v>16379.25</v>
      </c>
      <c r="E1181" s="30" t="s">
        <v>969</v>
      </c>
      <c r="F1181" s="144">
        <v>16379.25</v>
      </c>
      <c r="G1181" s="31">
        <f t="shared" si="18"/>
        <v>0</v>
      </c>
      <c r="H1181" s="19" t="s">
        <v>9</v>
      </c>
      <c r="I1181" s="4"/>
      <c r="J1181" s="43"/>
    </row>
    <row r="1182" spans="1:10" s="3" customFormat="1" x14ac:dyDescent="0.25">
      <c r="A1182" s="20">
        <v>42076</v>
      </c>
      <c r="B1182" s="21">
        <v>14692</v>
      </c>
      <c r="C1182" s="14" t="s">
        <v>84</v>
      </c>
      <c r="D1182" s="105">
        <v>37866.300000000003</v>
      </c>
      <c r="E1182" s="30" t="s">
        <v>856</v>
      </c>
      <c r="F1182" s="106">
        <v>37866.300000000003</v>
      </c>
      <c r="G1182" s="31">
        <f t="shared" si="18"/>
        <v>0</v>
      </c>
      <c r="H1182" s="19" t="s">
        <v>62</v>
      </c>
      <c r="I1182" s="4"/>
      <c r="J1182" s="43"/>
    </row>
    <row r="1183" spans="1:10" s="3" customFormat="1" x14ac:dyDescent="0.25">
      <c r="A1183" s="20">
        <v>42076</v>
      </c>
      <c r="B1183" s="21">
        <v>14693</v>
      </c>
      <c r="C1183" s="14" t="s">
        <v>178</v>
      </c>
      <c r="D1183" s="105">
        <v>1084.5</v>
      </c>
      <c r="E1183" s="23">
        <v>42078</v>
      </c>
      <c r="F1183" s="106">
        <v>1084.5</v>
      </c>
      <c r="G1183" s="31">
        <f t="shared" si="18"/>
        <v>0</v>
      </c>
      <c r="H1183" s="19" t="s">
        <v>62</v>
      </c>
      <c r="I1183" s="4"/>
      <c r="J1183" s="43"/>
    </row>
    <row r="1184" spans="1:10" s="3" customFormat="1" x14ac:dyDescent="0.25">
      <c r="A1184" s="20">
        <v>42076</v>
      </c>
      <c r="B1184" s="21">
        <v>14694</v>
      </c>
      <c r="C1184" s="14" t="s">
        <v>694</v>
      </c>
      <c r="D1184" s="105">
        <v>2690.1</v>
      </c>
      <c r="E1184" s="23">
        <v>42076</v>
      </c>
      <c r="F1184" s="106">
        <v>2690.1</v>
      </c>
      <c r="G1184" s="31">
        <f t="shared" si="18"/>
        <v>0</v>
      </c>
      <c r="H1184" s="19" t="s">
        <v>9</v>
      </c>
      <c r="I1184" s="4"/>
      <c r="J1184" s="43"/>
    </row>
    <row r="1185" spans="1:10" s="3" customFormat="1" x14ac:dyDescent="0.25">
      <c r="A1185" s="20">
        <v>42076</v>
      </c>
      <c r="B1185" s="21">
        <v>14695</v>
      </c>
      <c r="C1185" s="14" t="s">
        <v>14</v>
      </c>
      <c r="D1185" s="105">
        <v>119954.75</v>
      </c>
      <c r="E1185" s="23">
        <v>42089</v>
      </c>
      <c r="F1185" s="106">
        <v>119954.75</v>
      </c>
      <c r="G1185" s="31">
        <f t="shared" si="18"/>
        <v>0</v>
      </c>
      <c r="H1185" s="19" t="s">
        <v>183</v>
      </c>
      <c r="I1185" s="4"/>
      <c r="J1185" s="43"/>
    </row>
    <row r="1186" spans="1:10" s="3" customFormat="1" x14ac:dyDescent="0.25">
      <c r="A1186" s="20">
        <v>42076</v>
      </c>
      <c r="B1186" s="21">
        <v>14696</v>
      </c>
      <c r="C1186" s="14" t="s">
        <v>75</v>
      </c>
      <c r="D1186" s="105">
        <v>18898.900000000001</v>
      </c>
      <c r="E1186" s="23">
        <v>42078</v>
      </c>
      <c r="F1186" s="106">
        <v>18898.900000000001</v>
      </c>
      <c r="G1186" s="31">
        <f t="shared" si="18"/>
        <v>0</v>
      </c>
      <c r="H1186" s="19" t="s">
        <v>62</v>
      </c>
      <c r="I1186" s="4"/>
      <c r="J1186" s="43"/>
    </row>
    <row r="1187" spans="1:10" s="3" customFormat="1" x14ac:dyDescent="0.25">
      <c r="A1187" s="20">
        <v>42076</v>
      </c>
      <c r="B1187" s="21">
        <v>14697</v>
      </c>
      <c r="C1187" s="14" t="s">
        <v>352</v>
      </c>
      <c r="D1187" s="105">
        <v>599.4</v>
      </c>
      <c r="E1187" s="23">
        <v>42078</v>
      </c>
      <c r="F1187" s="106">
        <v>599.4</v>
      </c>
      <c r="G1187" s="31">
        <f t="shared" si="18"/>
        <v>0</v>
      </c>
      <c r="H1187" s="19" t="s">
        <v>9</v>
      </c>
      <c r="J1187" s="42"/>
    </row>
    <row r="1188" spans="1:10" s="3" customFormat="1" x14ac:dyDescent="0.25">
      <c r="A1188" s="20">
        <v>42076</v>
      </c>
      <c r="B1188" s="21">
        <v>14698</v>
      </c>
      <c r="C1188" s="14" t="s">
        <v>176</v>
      </c>
      <c r="D1188" s="105">
        <v>5879.4</v>
      </c>
      <c r="E1188" s="30" t="s">
        <v>857</v>
      </c>
      <c r="F1188" s="106">
        <v>5879.4</v>
      </c>
      <c r="G1188" s="31">
        <f t="shared" si="18"/>
        <v>0</v>
      </c>
      <c r="H1188" s="19" t="s">
        <v>62</v>
      </c>
      <c r="J1188" s="42"/>
    </row>
    <row r="1189" spans="1:10" s="3" customFormat="1" x14ac:dyDescent="0.25">
      <c r="A1189" s="20">
        <v>42076</v>
      </c>
      <c r="B1189" s="21">
        <v>14699</v>
      </c>
      <c r="C1189" s="14" t="s">
        <v>239</v>
      </c>
      <c r="D1189" s="105">
        <v>870.3</v>
      </c>
      <c r="E1189" s="23">
        <v>42076</v>
      </c>
      <c r="F1189" s="106">
        <v>870.3</v>
      </c>
      <c r="G1189" s="31">
        <f t="shared" si="18"/>
        <v>0</v>
      </c>
      <c r="H1189" s="19" t="s">
        <v>9</v>
      </c>
      <c r="J1189" s="42"/>
    </row>
    <row r="1190" spans="1:10" s="3" customFormat="1" x14ac:dyDescent="0.25">
      <c r="A1190" s="20">
        <v>42076</v>
      </c>
      <c r="B1190" s="21">
        <v>14700</v>
      </c>
      <c r="C1190" s="14" t="s">
        <v>65</v>
      </c>
      <c r="D1190" s="105">
        <v>17317.400000000001</v>
      </c>
      <c r="E1190" s="23">
        <v>42078</v>
      </c>
      <c r="F1190" s="106">
        <v>17317.400000000001</v>
      </c>
      <c r="G1190" s="31">
        <f t="shared" si="18"/>
        <v>0</v>
      </c>
      <c r="H1190" s="19" t="s">
        <v>62</v>
      </c>
      <c r="J1190" s="42"/>
    </row>
    <row r="1191" spans="1:10" s="3" customFormat="1" x14ac:dyDescent="0.25">
      <c r="A1191" s="20">
        <v>42076</v>
      </c>
      <c r="B1191" s="21">
        <v>14701</v>
      </c>
      <c r="C1191" s="14" t="s">
        <v>34</v>
      </c>
      <c r="D1191" s="105">
        <v>4320</v>
      </c>
      <c r="E1191" s="23">
        <v>42076</v>
      </c>
      <c r="F1191" s="106">
        <v>4320</v>
      </c>
      <c r="G1191" s="31">
        <f t="shared" si="18"/>
        <v>0</v>
      </c>
      <c r="H1191" s="19" t="s">
        <v>9</v>
      </c>
      <c r="J1191" s="42"/>
    </row>
    <row r="1192" spans="1:10" s="3" customFormat="1" x14ac:dyDescent="0.25">
      <c r="A1192" s="20">
        <v>42076</v>
      </c>
      <c r="B1192" s="21">
        <v>14702</v>
      </c>
      <c r="C1192" s="14" t="s">
        <v>858</v>
      </c>
      <c r="D1192" s="105">
        <v>4272</v>
      </c>
      <c r="E1192" s="23">
        <v>42078</v>
      </c>
      <c r="F1192" s="106">
        <v>4272</v>
      </c>
      <c r="G1192" s="31">
        <f t="shared" si="18"/>
        <v>0</v>
      </c>
      <c r="H1192" s="19" t="s">
        <v>62</v>
      </c>
      <c r="J1192" s="42"/>
    </row>
    <row r="1193" spans="1:10" s="3" customFormat="1" x14ac:dyDescent="0.25">
      <c r="A1193" s="20">
        <v>42076</v>
      </c>
      <c r="B1193" s="21">
        <v>14703</v>
      </c>
      <c r="C1193" s="14" t="s">
        <v>57</v>
      </c>
      <c r="D1193" s="105">
        <v>1304</v>
      </c>
      <c r="E1193" s="51">
        <v>42076</v>
      </c>
      <c r="F1193" s="106">
        <v>1304</v>
      </c>
      <c r="G1193" s="31">
        <f t="shared" si="18"/>
        <v>0</v>
      </c>
      <c r="H1193" s="19" t="s">
        <v>59</v>
      </c>
      <c r="J1193" s="42"/>
    </row>
    <row r="1194" spans="1:10" s="3" customFormat="1" x14ac:dyDescent="0.25">
      <c r="A1194" s="20">
        <v>42076</v>
      </c>
      <c r="B1194" s="21">
        <v>14704</v>
      </c>
      <c r="C1194" s="14" t="s">
        <v>75</v>
      </c>
      <c r="D1194" s="105">
        <v>1987.2</v>
      </c>
      <c r="E1194" s="23">
        <v>42078</v>
      </c>
      <c r="F1194" s="106">
        <v>1987.2</v>
      </c>
      <c r="G1194" s="31">
        <f t="shared" si="18"/>
        <v>0</v>
      </c>
      <c r="H1194" s="19" t="s">
        <v>62</v>
      </c>
      <c r="J1194" s="42"/>
    </row>
    <row r="1195" spans="1:10" s="3" customFormat="1" x14ac:dyDescent="0.25">
      <c r="A1195" s="20">
        <v>42076</v>
      </c>
      <c r="B1195" s="21">
        <v>14705</v>
      </c>
      <c r="C1195" s="110">
        <v>105</v>
      </c>
      <c r="D1195" s="105">
        <v>1224</v>
      </c>
      <c r="E1195" s="23">
        <v>42076</v>
      </c>
      <c r="F1195" s="106">
        <v>1224</v>
      </c>
      <c r="G1195" s="31">
        <f t="shared" si="18"/>
        <v>0</v>
      </c>
      <c r="H1195" s="19" t="s">
        <v>59</v>
      </c>
      <c r="J1195" s="42"/>
    </row>
    <row r="1196" spans="1:10" s="3" customFormat="1" x14ac:dyDescent="0.25">
      <c r="A1196" s="20">
        <v>42076</v>
      </c>
      <c r="B1196" s="21">
        <v>14706</v>
      </c>
      <c r="C1196" s="14" t="s">
        <v>214</v>
      </c>
      <c r="D1196" s="105">
        <v>1800</v>
      </c>
      <c r="E1196" s="23">
        <v>42076</v>
      </c>
      <c r="F1196" s="106">
        <v>1800</v>
      </c>
      <c r="G1196" s="31">
        <f t="shared" si="18"/>
        <v>0</v>
      </c>
      <c r="H1196" s="19" t="s">
        <v>59</v>
      </c>
      <c r="J1196" s="42"/>
    </row>
    <row r="1197" spans="1:10" s="3" customFormat="1" x14ac:dyDescent="0.25">
      <c r="A1197" s="20">
        <v>42076</v>
      </c>
      <c r="B1197" s="21">
        <v>14707</v>
      </c>
      <c r="C1197" s="14" t="s">
        <v>155</v>
      </c>
      <c r="D1197" s="105">
        <v>2593.0500000000002</v>
      </c>
      <c r="E1197" s="23">
        <v>42076</v>
      </c>
      <c r="F1197" s="106">
        <v>2593.0500000000002</v>
      </c>
      <c r="G1197" s="31">
        <f t="shared" si="18"/>
        <v>0</v>
      </c>
      <c r="H1197" s="19" t="s">
        <v>59</v>
      </c>
      <c r="J1197" s="42"/>
    </row>
    <row r="1198" spans="1:10" s="3" customFormat="1" x14ac:dyDescent="0.25">
      <c r="A1198" s="20">
        <v>42076</v>
      </c>
      <c r="B1198" s="21">
        <v>14708</v>
      </c>
      <c r="C1198" s="14" t="s">
        <v>859</v>
      </c>
      <c r="D1198" s="105">
        <v>5747.8</v>
      </c>
      <c r="E1198" s="23">
        <v>42076</v>
      </c>
      <c r="F1198" s="106">
        <v>5747.8</v>
      </c>
      <c r="G1198" s="31">
        <f t="shared" si="18"/>
        <v>0</v>
      </c>
      <c r="H1198" s="19" t="s">
        <v>59</v>
      </c>
      <c r="J1198" s="42"/>
    </row>
    <row r="1199" spans="1:10" s="3" customFormat="1" x14ac:dyDescent="0.25">
      <c r="A1199" s="20">
        <v>42076</v>
      </c>
      <c r="B1199" s="21">
        <v>14709</v>
      </c>
      <c r="C1199" s="14" t="s">
        <v>82</v>
      </c>
      <c r="D1199" s="105">
        <v>1827</v>
      </c>
      <c r="E1199" s="23">
        <v>42076</v>
      </c>
      <c r="F1199" s="106">
        <v>1827</v>
      </c>
      <c r="G1199" s="31">
        <f t="shared" si="18"/>
        <v>0</v>
      </c>
      <c r="H1199" s="19" t="s">
        <v>59</v>
      </c>
      <c r="J1199" s="42"/>
    </row>
    <row r="1200" spans="1:10" s="3" customFormat="1" x14ac:dyDescent="0.25">
      <c r="A1200" s="20">
        <v>42076</v>
      </c>
      <c r="B1200" s="21">
        <v>14710</v>
      </c>
      <c r="C1200" s="14" t="s">
        <v>120</v>
      </c>
      <c r="D1200" s="105">
        <v>5282.1</v>
      </c>
      <c r="E1200" s="23">
        <v>42076</v>
      </c>
      <c r="F1200" s="106">
        <v>5282.1</v>
      </c>
      <c r="G1200" s="31">
        <f t="shared" si="18"/>
        <v>0</v>
      </c>
      <c r="H1200" s="19" t="s">
        <v>59</v>
      </c>
      <c r="J1200" s="42"/>
    </row>
    <row r="1201" spans="1:10" s="3" customFormat="1" x14ac:dyDescent="0.25">
      <c r="A1201" s="20">
        <v>42076</v>
      </c>
      <c r="B1201" s="21">
        <v>14711</v>
      </c>
      <c r="C1201" s="14" t="s">
        <v>53</v>
      </c>
      <c r="D1201" s="105">
        <v>894.2</v>
      </c>
      <c r="E1201" s="23">
        <v>42076</v>
      </c>
      <c r="F1201" s="106">
        <v>894.2</v>
      </c>
      <c r="G1201" s="31">
        <f t="shared" si="18"/>
        <v>0</v>
      </c>
      <c r="H1201" s="19" t="s">
        <v>9</v>
      </c>
      <c r="J1201" s="42"/>
    </row>
    <row r="1202" spans="1:10" s="3" customFormat="1" x14ac:dyDescent="0.25">
      <c r="A1202" s="20">
        <v>42076</v>
      </c>
      <c r="B1202" s="21">
        <v>14712</v>
      </c>
      <c r="C1202" s="14" t="s">
        <v>81</v>
      </c>
      <c r="D1202" s="105">
        <v>2987</v>
      </c>
      <c r="E1202" s="23">
        <v>42076</v>
      </c>
      <c r="F1202" s="106">
        <v>2987</v>
      </c>
      <c r="G1202" s="31">
        <f t="shared" si="18"/>
        <v>0</v>
      </c>
      <c r="H1202" s="19" t="s">
        <v>27</v>
      </c>
      <c r="J1202" s="42"/>
    </row>
    <row r="1203" spans="1:10" s="3" customFormat="1" x14ac:dyDescent="0.25">
      <c r="A1203" s="20">
        <v>42076</v>
      </c>
      <c r="B1203" s="21">
        <v>14713</v>
      </c>
      <c r="C1203" s="14" t="s">
        <v>664</v>
      </c>
      <c r="D1203" s="105">
        <v>1144</v>
      </c>
      <c r="E1203" s="23">
        <v>42076</v>
      </c>
      <c r="F1203" s="106">
        <v>1144</v>
      </c>
      <c r="G1203" s="31">
        <f t="shared" si="18"/>
        <v>0</v>
      </c>
      <c r="H1203" s="19" t="s">
        <v>59</v>
      </c>
      <c r="I1203" s="4"/>
      <c r="J1203" s="43"/>
    </row>
    <row r="1204" spans="1:10" s="3" customFormat="1" x14ac:dyDescent="0.25">
      <c r="A1204" s="20">
        <v>42076</v>
      </c>
      <c r="B1204" s="21">
        <v>14714</v>
      </c>
      <c r="C1204" s="14" t="s">
        <v>133</v>
      </c>
      <c r="D1204" s="105">
        <v>27655.9</v>
      </c>
      <c r="E1204" s="23">
        <v>42076</v>
      </c>
      <c r="F1204" s="106">
        <v>27655.9</v>
      </c>
      <c r="G1204" s="31">
        <f t="shared" si="18"/>
        <v>0</v>
      </c>
      <c r="H1204" s="19" t="s">
        <v>9</v>
      </c>
      <c r="I1204" s="4"/>
      <c r="J1204" s="43"/>
    </row>
    <row r="1205" spans="1:10" s="3" customFormat="1" x14ac:dyDescent="0.25">
      <c r="A1205" s="20">
        <v>42076</v>
      </c>
      <c r="B1205" s="21">
        <v>14715</v>
      </c>
      <c r="C1205" s="14" t="s">
        <v>131</v>
      </c>
      <c r="D1205" s="105">
        <v>6259.2</v>
      </c>
      <c r="E1205" s="23">
        <v>42077</v>
      </c>
      <c r="F1205" s="106">
        <v>6259.2</v>
      </c>
      <c r="G1205" s="31">
        <f t="shared" si="18"/>
        <v>0</v>
      </c>
      <c r="H1205" s="19" t="s">
        <v>9</v>
      </c>
      <c r="I1205" s="4"/>
      <c r="J1205" s="43"/>
    </row>
    <row r="1206" spans="1:10" s="3" customFormat="1" x14ac:dyDescent="0.25">
      <c r="A1206" s="20">
        <v>42076</v>
      </c>
      <c r="B1206" s="21">
        <v>14716</v>
      </c>
      <c r="C1206" s="14" t="s">
        <v>45</v>
      </c>
      <c r="D1206" s="105">
        <v>6053.2</v>
      </c>
      <c r="E1206" s="23">
        <v>42081</v>
      </c>
      <c r="F1206" s="106">
        <v>6053.2</v>
      </c>
      <c r="G1206" s="31">
        <f t="shared" si="18"/>
        <v>0</v>
      </c>
      <c r="H1206" s="19" t="s">
        <v>59</v>
      </c>
      <c r="I1206" s="4"/>
      <c r="J1206" s="43"/>
    </row>
    <row r="1207" spans="1:10" s="3" customFormat="1" x14ac:dyDescent="0.25">
      <c r="A1207" s="20">
        <v>42076</v>
      </c>
      <c r="B1207" s="21">
        <v>14717</v>
      </c>
      <c r="C1207" s="14" t="s">
        <v>61</v>
      </c>
      <c r="D1207" s="105">
        <v>4919.2</v>
      </c>
      <c r="E1207" s="23">
        <v>42078</v>
      </c>
      <c r="F1207" s="106">
        <v>4919.2</v>
      </c>
      <c r="G1207" s="31">
        <f t="shared" si="18"/>
        <v>0</v>
      </c>
      <c r="H1207" s="19" t="s">
        <v>62</v>
      </c>
      <c r="I1207" s="4"/>
      <c r="J1207" s="43"/>
    </row>
    <row r="1208" spans="1:10" s="3" customFormat="1" x14ac:dyDescent="0.25">
      <c r="A1208" s="20">
        <v>42076</v>
      </c>
      <c r="B1208" s="21">
        <v>14718</v>
      </c>
      <c r="C1208" s="14" t="s">
        <v>294</v>
      </c>
      <c r="D1208" s="105">
        <v>1546.2</v>
      </c>
      <c r="E1208" s="23">
        <v>42076</v>
      </c>
      <c r="F1208" s="106">
        <v>1546.2</v>
      </c>
      <c r="G1208" s="31">
        <f t="shared" si="18"/>
        <v>0</v>
      </c>
      <c r="H1208" s="19" t="s">
        <v>9</v>
      </c>
      <c r="I1208" s="4"/>
      <c r="J1208" s="107"/>
    </row>
    <row r="1209" spans="1:10" s="3" customFormat="1" x14ac:dyDescent="0.25">
      <c r="A1209" s="20">
        <v>42076</v>
      </c>
      <c r="B1209" s="21">
        <v>14719</v>
      </c>
      <c r="C1209" s="14" t="s">
        <v>256</v>
      </c>
      <c r="D1209" s="105">
        <v>6407.7</v>
      </c>
      <c r="E1209" s="23">
        <v>42077</v>
      </c>
      <c r="F1209" s="106">
        <v>6407.7</v>
      </c>
      <c r="G1209" s="31">
        <f t="shared" si="18"/>
        <v>0</v>
      </c>
      <c r="H1209" s="19" t="s">
        <v>773</v>
      </c>
      <c r="I1209" s="4"/>
      <c r="J1209" s="43"/>
    </row>
    <row r="1210" spans="1:10" s="3" customFormat="1" x14ac:dyDescent="0.25">
      <c r="A1210" s="20">
        <v>42076</v>
      </c>
      <c r="B1210" s="21">
        <v>14720</v>
      </c>
      <c r="C1210" s="150" t="s">
        <v>47</v>
      </c>
      <c r="D1210" s="105">
        <v>13966.8</v>
      </c>
      <c r="E1210" s="23">
        <v>42077</v>
      </c>
      <c r="F1210" s="106">
        <v>13966.8</v>
      </c>
      <c r="G1210" s="31">
        <f t="shared" si="18"/>
        <v>0</v>
      </c>
      <c r="H1210" s="19" t="s">
        <v>773</v>
      </c>
      <c r="I1210" s="4"/>
      <c r="J1210" s="43"/>
    </row>
    <row r="1211" spans="1:10" s="3" customFormat="1" x14ac:dyDescent="0.25">
      <c r="A1211" s="20">
        <v>42076</v>
      </c>
      <c r="B1211" s="21">
        <v>14721</v>
      </c>
      <c r="C1211" s="14" t="s">
        <v>37</v>
      </c>
      <c r="D1211" s="105">
        <v>26782.1</v>
      </c>
      <c r="E1211" s="29" t="s">
        <v>860</v>
      </c>
      <c r="F1211" s="106">
        <f>17325.85+9456.25</f>
        <v>26782.1</v>
      </c>
      <c r="G1211" s="31">
        <f t="shared" si="18"/>
        <v>0</v>
      </c>
      <c r="H1211" s="19" t="s">
        <v>773</v>
      </c>
      <c r="I1211" s="4"/>
      <c r="J1211" s="43"/>
    </row>
    <row r="1212" spans="1:10" s="3" customFormat="1" x14ac:dyDescent="0.25">
      <c r="A1212" s="20">
        <v>42076</v>
      </c>
      <c r="B1212" s="21">
        <v>14722</v>
      </c>
      <c r="C1212" s="14" t="s">
        <v>56</v>
      </c>
      <c r="D1212" s="105">
        <v>22920.400000000001</v>
      </c>
      <c r="E1212" s="23">
        <v>42077</v>
      </c>
      <c r="F1212" s="106">
        <v>22920.400000000001</v>
      </c>
      <c r="G1212" s="31">
        <f t="shared" si="18"/>
        <v>0</v>
      </c>
      <c r="H1212" s="19" t="s">
        <v>773</v>
      </c>
      <c r="I1212" s="4"/>
      <c r="J1212" s="43"/>
    </row>
    <row r="1213" spans="1:10" s="3" customFormat="1" x14ac:dyDescent="0.25">
      <c r="A1213" s="20">
        <v>42076</v>
      </c>
      <c r="B1213" s="21">
        <v>14723</v>
      </c>
      <c r="C1213" s="14" t="s">
        <v>24</v>
      </c>
      <c r="D1213" s="105">
        <v>178965.36</v>
      </c>
      <c r="E1213" s="23">
        <v>42087</v>
      </c>
      <c r="F1213" s="106">
        <v>178965.36</v>
      </c>
      <c r="G1213" s="31">
        <f t="shared" si="18"/>
        <v>0</v>
      </c>
      <c r="H1213" s="19" t="s">
        <v>9</v>
      </c>
      <c r="I1213" s="4"/>
      <c r="J1213" s="43"/>
    </row>
    <row r="1214" spans="1:10" s="3" customFormat="1" x14ac:dyDescent="0.25">
      <c r="A1214" s="20">
        <v>42076</v>
      </c>
      <c r="B1214" s="21">
        <v>14724</v>
      </c>
      <c r="C1214" s="14" t="s">
        <v>133</v>
      </c>
      <c r="D1214" s="105">
        <v>1555.4</v>
      </c>
      <c r="E1214" s="23">
        <v>42076</v>
      </c>
      <c r="F1214" s="106">
        <v>1555.4</v>
      </c>
      <c r="G1214" s="31">
        <f t="shared" si="18"/>
        <v>0</v>
      </c>
      <c r="H1214" s="19" t="s">
        <v>9</v>
      </c>
      <c r="I1214" s="4"/>
      <c r="J1214" s="43"/>
    </row>
    <row r="1215" spans="1:10" s="3" customFormat="1" x14ac:dyDescent="0.25">
      <c r="A1215" s="20">
        <v>42076</v>
      </c>
      <c r="B1215" s="21">
        <v>14725</v>
      </c>
      <c r="C1215" s="14" t="s">
        <v>861</v>
      </c>
      <c r="D1215" s="105">
        <v>2649</v>
      </c>
      <c r="E1215" s="23">
        <v>42076</v>
      </c>
      <c r="F1215" s="106">
        <v>2649</v>
      </c>
      <c r="G1215" s="31">
        <f t="shared" si="18"/>
        <v>0</v>
      </c>
      <c r="H1215" s="19" t="s">
        <v>9</v>
      </c>
      <c r="I1215" s="4"/>
      <c r="J1215" s="43"/>
    </row>
    <row r="1216" spans="1:10" s="3" customFormat="1" x14ac:dyDescent="0.25">
      <c r="A1216" s="20">
        <v>42076</v>
      </c>
      <c r="B1216" s="21">
        <v>14726</v>
      </c>
      <c r="C1216" s="14" t="s">
        <v>861</v>
      </c>
      <c r="D1216" s="105">
        <v>338.1</v>
      </c>
      <c r="E1216" s="23">
        <v>42076</v>
      </c>
      <c r="F1216" s="106">
        <v>338.1</v>
      </c>
      <c r="G1216" s="31">
        <f t="shared" si="18"/>
        <v>0</v>
      </c>
      <c r="H1216" s="19" t="s">
        <v>9</v>
      </c>
      <c r="I1216" s="4"/>
      <c r="J1216" s="43"/>
    </row>
    <row r="1217" spans="1:10" s="3" customFormat="1" x14ac:dyDescent="0.25">
      <c r="A1217" s="20">
        <v>42076</v>
      </c>
      <c r="B1217" s="21">
        <v>14727</v>
      </c>
      <c r="C1217" s="14" t="s">
        <v>24</v>
      </c>
      <c r="D1217" s="105">
        <v>42286</v>
      </c>
      <c r="E1217" s="23">
        <v>42093</v>
      </c>
      <c r="F1217" s="106">
        <v>42286</v>
      </c>
      <c r="G1217" s="31">
        <f t="shared" si="18"/>
        <v>0</v>
      </c>
      <c r="H1217" s="19" t="s">
        <v>46</v>
      </c>
      <c r="I1217" s="4"/>
      <c r="J1217" s="43"/>
    </row>
    <row r="1218" spans="1:10" s="3" customFormat="1" x14ac:dyDescent="0.25">
      <c r="A1218" s="20">
        <v>42076</v>
      </c>
      <c r="B1218" s="21">
        <v>14728</v>
      </c>
      <c r="C1218" s="14" t="s">
        <v>861</v>
      </c>
      <c r="D1218" s="105">
        <v>200</v>
      </c>
      <c r="E1218" s="23">
        <v>42076</v>
      </c>
      <c r="F1218" s="106">
        <v>200</v>
      </c>
      <c r="G1218" s="31">
        <f t="shared" si="18"/>
        <v>0</v>
      </c>
      <c r="H1218" s="19" t="s">
        <v>9</v>
      </c>
      <c r="I1218" s="4"/>
      <c r="J1218" s="43"/>
    </row>
    <row r="1219" spans="1:10" s="3" customFormat="1" x14ac:dyDescent="0.25">
      <c r="A1219" s="20">
        <v>42076</v>
      </c>
      <c r="B1219" s="21">
        <v>14729</v>
      </c>
      <c r="C1219" s="14" t="s">
        <v>127</v>
      </c>
      <c r="D1219" s="105">
        <v>6046.6</v>
      </c>
      <c r="E1219" s="23">
        <v>42076</v>
      </c>
      <c r="F1219" s="106">
        <v>6046.6</v>
      </c>
      <c r="G1219" s="31">
        <f t="shared" ref="G1219:G1282" si="19">D1219-F1219</f>
        <v>0</v>
      </c>
      <c r="H1219" s="19" t="s">
        <v>9</v>
      </c>
      <c r="I1219" s="4"/>
      <c r="J1219" s="43"/>
    </row>
    <row r="1220" spans="1:10" s="3" customFormat="1" x14ac:dyDescent="0.25">
      <c r="A1220" s="20">
        <v>42076</v>
      </c>
      <c r="B1220" s="21">
        <v>14730</v>
      </c>
      <c r="C1220" s="14" t="s">
        <v>391</v>
      </c>
      <c r="D1220" s="105">
        <v>1896</v>
      </c>
      <c r="E1220" s="23">
        <v>42076</v>
      </c>
      <c r="F1220" s="106">
        <v>1896</v>
      </c>
      <c r="G1220" s="31">
        <f t="shared" si="19"/>
        <v>0</v>
      </c>
      <c r="H1220" s="19" t="s">
        <v>9</v>
      </c>
      <c r="I1220" s="4"/>
      <c r="J1220" s="43"/>
    </row>
    <row r="1221" spans="1:10" s="3" customFormat="1" x14ac:dyDescent="0.25">
      <c r="A1221" s="20">
        <v>42076</v>
      </c>
      <c r="B1221" s="21">
        <v>14731</v>
      </c>
      <c r="C1221" s="14" t="s">
        <v>862</v>
      </c>
      <c r="D1221" s="105">
        <v>3569.2</v>
      </c>
      <c r="E1221" s="23">
        <v>42076</v>
      </c>
      <c r="F1221" s="106">
        <v>3569.2</v>
      </c>
      <c r="G1221" s="31">
        <f t="shared" si="19"/>
        <v>0</v>
      </c>
      <c r="H1221" s="19" t="s">
        <v>9</v>
      </c>
      <c r="I1221" s="4"/>
      <c r="J1221" s="43"/>
    </row>
    <row r="1222" spans="1:10" s="3" customFormat="1" x14ac:dyDescent="0.25">
      <c r="A1222" s="20">
        <v>42076</v>
      </c>
      <c r="B1222" s="21">
        <v>14732</v>
      </c>
      <c r="C1222" s="14" t="s">
        <v>93</v>
      </c>
      <c r="D1222" s="105">
        <v>1941.4</v>
      </c>
      <c r="E1222" s="23">
        <v>42077</v>
      </c>
      <c r="F1222" s="106">
        <v>1941.4</v>
      </c>
      <c r="G1222" s="31">
        <f t="shared" si="19"/>
        <v>0</v>
      </c>
      <c r="H1222" s="19" t="s">
        <v>94</v>
      </c>
      <c r="I1222" s="4"/>
      <c r="J1222" s="43"/>
    </row>
    <row r="1223" spans="1:10" s="3" customFormat="1" x14ac:dyDescent="0.25">
      <c r="A1223" s="20">
        <v>42076</v>
      </c>
      <c r="B1223" s="21">
        <v>14733</v>
      </c>
      <c r="C1223" s="14" t="s">
        <v>95</v>
      </c>
      <c r="D1223" s="105">
        <v>2771</v>
      </c>
      <c r="E1223" s="23">
        <v>42077</v>
      </c>
      <c r="F1223" s="106">
        <v>2771</v>
      </c>
      <c r="G1223" s="31">
        <f t="shared" si="19"/>
        <v>0</v>
      </c>
      <c r="H1223" s="19" t="s">
        <v>94</v>
      </c>
      <c r="I1223" s="4"/>
      <c r="J1223" s="107"/>
    </row>
    <row r="1224" spans="1:10" s="3" customFormat="1" x14ac:dyDescent="0.25">
      <c r="A1224" s="20">
        <v>42076</v>
      </c>
      <c r="B1224" s="21">
        <v>14734</v>
      </c>
      <c r="C1224" s="14" t="s">
        <v>104</v>
      </c>
      <c r="D1224" s="105">
        <v>4782</v>
      </c>
      <c r="E1224" s="23">
        <v>42077</v>
      </c>
      <c r="F1224" s="106">
        <v>4782</v>
      </c>
      <c r="G1224" s="31">
        <f t="shared" si="19"/>
        <v>0</v>
      </c>
      <c r="H1224" s="19" t="s">
        <v>94</v>
      </c>
      <c r="I1224" s="4"/>
      <c r="J1224" s="43"/>
    </row>
    <row r="1225" spans="1:10" s="3" customFormat="1" x14ac:dyDescent="0.25">
      <c r="A1225" s="20">
        <v>42076</v>
      </c>
      <c r="B1225" s="21">
        <v>14735</v>
      </c>
      <c r="C1225" s="14" t="s">
        <v>128</v>
      </c>
      <c r="D1225" s="105">
        <v>3614.4</v>
      </c>
      <c r="E1225" s="23">
        <v>42076</v>
      </c>
      <c r="F1225" s="106">
        <v>3614.4</v>
      </c>
      <c r="G1225" s="31">
        <f t="shared" si="19"/>
        <v>0</v>
      </c>
      <c r="H1225" s="19" t="s">
        <v>19</v>
      </c>
      <c r="I1225" s="4"/>
      <c r="J1225" s="43"/>
    </row>
    <row r="1226" spans="1:10" s="3" customFormat="1" x14ac:dyDescent="0.25">
      <c r="A1226" s="20">
        <v>42076</v>
      </c>
      <c r="B1226" s="21">
        <v>14736</v>
      </c>
      <c r="C1226" s="14" t="s">
        <v>229</v>
      </c>
      <c r="D1226" s="105">
        <v>3927</v>
      </c>
      <c r="E1226" s="23">
        <v>42077</v>
      </c>
      <c r="F1226" s="106">
        <v>3927</v>
      </c>
      <c r="G1226" s="31">
        <f t="shared" si="19"/>
        <v>0</v>
      </c>
      <c r="H1226" s="39" t="s">
        <v>94</v>
      </c>
      <c r="I1226" s="4"/>
      <c r="J1226" s="43"/>
    </row>
    <row r="1227" spans="1:10" s="3" customFormat="1" x14ac:dyDescent="0.25">
      <c r="A1227" s="20">
        <v>42076</v>
      </c>
      <c r="B1227" s="21">
        <v>14737</v>
      </c>
      <c r="C1227" s="14" t="s">
        <v>106</v>
      </c>
      <c r="D1227" s="105">
        <v>11443.2</v>
      </c>
      <c r="E1227" s="30">
        <v>42101</v>
      </c>
      <c r="F1227" s="144">
        <v>11443.2</v>
      </c>
      <c r="G1227" s="31">
        <f t="shared" si="19"/>
        <v>0</v>
      </c>
      <c r="H1227" s="39" t="s">
        <v>94</v>
      </c>
      <c r="I1227" s="4"/>
      <c r="J1227" s="43"/>
    </row>
    <row r="1228" spans="1:10" s="3" customFormat="1" x14ac:dyDescent="0.25">
      <c r="A1228" s="20">
        <v>42076</v>
      </c>
      <c r="B1228" s="21">
        <v>14738</v>
      </c>
      <c r="C1228" s="14" t="s">
        <v>98</v>
      </c>
      <c r="D1228" s="105">
        <v>579.6</v>
      </c>
      <c r="E1228" s="23">
        <v>42077</v>
      </c>
      <c r="F1228" s="106">
        <v>579.6</v>
      </c>
      <c r="G1228" s="31">
        <f t="shared" si="19"/>
        <v>0</v>
      </c>
      <c r="H1228" s="39" t="s">
        <v>94</v>
      </c>
      <c r="I1228" s="4"/>
      <c r="J1228" s="43"/>
    </row>
    <row r="1229" spans="1:10" s="3" customFormat="1" x14ac:dyDescent="0.25">
      <c r="A1229" s="20">
        <v>42076</v>
      </c>
      <c r="B1229" s="21">
        <v>14739</v>
      </c>
      <c r="C1229" s="14" t="s">
        <v>50</v>
      </c>
      <c r="D1229" s="105">
        <v>2598.9</v>
      </c>
      <c r="E1229" s="23">
        <v>42076</v>
      </c>
      <c r="F1229" s="106">
        <v>2598.9</v>
      </c>
      <c r="G1229" s="31">
        <f t="shared" si="19"/>
        <v>0</v>
      </c>
      <c r="H1229" s="39" t="s">
        <v>19</v>
      </c>
      <c r="I1229" s="4"/>
      <c r="J1229" s="43"/>
    </row>
    <row r="1230" spans="1:10" s="3" customFormat="1" x14ac:dyDescent="0.25">
      <c r="A1230" s="20">
        <v>42076</v>
      </c>
      <c r="B1230" s="21">
        <v>14740</v>
      </c>
      <c r="C1230" s="14" t="s">
        <v>110</v>
      </c>
      <c r="D1230" s="105">
        <v>3427.2</v>
      </c>
      <c r="E1230" s="23">
        <v>42087</v>
      </c>
      <c r="F1230" s="106">
        <v>3427.2</v>
      </c>
      <c r="G1230" s="31">
        <f t="shared" si="19"/>
        <v>0</v>
      </c>
      <c r="H1230" s="39" t="s">
        <v>19</v>
      </c>
      <c r="I1230" s="4"/>
      <c r="J1230" s="43"/>
    </row>
    <row r="1231" spans="1:10" s="3" customFormat="1" x14ac:dyDescent="0.25">
      <c r="A1231" s="20">
        <v>42076</v>
      </c>
      <c r="B1231" s="21">
        <v>14741</v>
      </c>
      <c r="C1231" s="14" t="s">
        <v>285</v>
      </c>
      <c r="D1231" s="105">
        <v>2004.34</v>
      </c>
      <c r="E1231" s="23">
        <v>42077</v>
      </c>
      <c r="F1231" s="106">
        <v>2004.34</v>
      </c>
      <c r="G1231" s="31">
        <f t="shared" si="19"/>
        <v>0</v>
      </c>
      <c r="H1231" s="39" t="s">
        <v>94</v>
      </c>
      <c r="I1231" s="4"/>
      <c r="J1231" s="43"/>
    </row>
    <row r="1232" spans="1:10" s="3" customFormat="1" x14ac:dyDescent="0.25">
      <c r="A1232" s="20">
        <v>42076</v>
      </c>
      <c r="B1232" s="21">
        <v>14742</v>
      </c>
      <c r="C1232" s="14" t="s">
        <v>89</v>
      </c>
      <c r="D1232" s="105">
        <v>2880.8</v>
      </c>
      <c r="E1232" s="23">
        <v>42076</v>
      </c>
      <c r="F1232" s="106">
        <v>2880.8</v>
      </c>
      <c r="G1232" s="31">
        <f t="shared" si="19"/>
        <v>0</v>
      </c>
      <c r="H1232" s="39" t="s">
        <v>9</v>
      </c>
      <c r="I1232" s="4"/>
      <c r="J1232" s="43"/>
    </row>
    <row r="1233" spans="1:10" s="3" customFormat="1" x14ac:dyDescent="0.25">
      <c r="A1233" s="20">
        <v>42076</v>
      </c>
      <c r="B1233" s="21">
        <v>14743</v>
      </c>
      <c r="C1233" s="14" t="s">
        <v>42</v>
      </c>
      <c r="D1233" s="105">
        <v>2703</v>
      </c>
      <c r="E1233" s="23">
        <v>42076</v>
      </c>
      <c r="F1233" s="106">
        <v>2703</v>
      </c>
      <c r="G1233" s="31">
        <f t="shared" si="19"/>
        <v>0</v>
      </c>
      <c r="H1233" s="39" t="s">
        <v>9</v>
      </c>
      <c r="I1233" s="4"/>
      <c r="J1233" s="43"/>
    </row>
    <row r="1234" spans="1:10" s="3" customFormat="1" x14ac:dyDescent="0.25">
      <c r="A1234" s="20">
        <v>42076</v>
      </c>
      <c r="B1234" s="21">
        <v>14744</v>
      </c>
      <c r="C1234" s="14" t="s">
        <v>35</v>
      </c>
      <c r="D1234" s="105">
        <v>23552.5</v>
      </c>
      <c r="E1234" s="23">
        <v>42076</v>
      </c>
      <c r="F1234" s="106">
        <v>23552.5</v>
      </c>
      <c r="G1234" s="31">
        <f t="shared" si="19"/>
        <v>0</v>
      </c>
      <c r="H1234" s="39" t="s">
        <v>17</v>
      </c>
      <c r="I1234" s="4"/>
      <c r="J1234" s="43"/>
    </row>
    <row r="1235" spans="1:10" s="3" customFormat="1" x14ac:dyDescent="0.25">
      <c r="A1235" s="20">
        <v>42076</v>
      </c>
      <c r="B1235" s="21">
        <v>14745</v>
      </c>
      <c r="C1235" s="14" t="s">
        <v>111</v>
      </c>
      <c r="D1235" s="105">
        <v>156180</v>
      </c>
      <c r="E1235" s="23">
        <v>42077</v>
      </c>
      <c r="F1235" s="106">
        <v>156180</v>
      </c>
      <c r="G1235" s="31">
        <f t="shared" si="19"/>
        <v>0</v>
      </c>
      <c r="H1235" s="39" t="s">
        <v>17</v>
      </c>
      <c r="J1235" s="42"/>
    </row>
    <row r="1236" spans="1:10" s="3" customFormat="1" x14ac:dyDescent="0.25">
      <c r="A1236" s="20">
        <v>42076</v>
      </c>
      <c r="B1236" s="21">
        <v>14746</v>
      </c>
      <c r="C1236" s="14" t="s">
        <v>112</v>
      </c>
      <c r="D1236" s="105">
        <v>4865.8</v>
      </c>
      <c r="E1236" s="23">
        <v>42076</v>
      </c>
      <c r="F1236" s="106">
        <v>4865.8</v>
      </c>
      <c r="G1236" s="31">
        <f t="shared" si="19"/>
        <v>0</v>
      </c>
      <c r="H1236" s="39" t="s">
        <v>9</v>
      </c>
      <c r="J1236" s="42"/>
    </row>
    <row r="1237" spans="1:10" s="3" customFormat="1" x14ac:dyDescent="0.25">
      <c r="A1237" s="20">
        <v>42076</v>
      </c>
      <c r="B1237" s="21">
        <v>14747</v>
      </c>
      <c r="C1237" s="14" t="s">
        <v>863</v>
      </c>
      <c r="D1237" s="105">
        <v>10415.6</v>
      </c>
      <c r="E1237" s="23">
        <v>42076</v>
      </c>
      <c r="F1237" s="106">
        <v>10415.6</v>
      </c>
      <c r="G1237" s="31">
        <f t="shared" si="19"/>
        <v>0</v>
      </c>
      <c r="H1237" s="39" t="s">
        <v>19</v>
      </c>
      <c r="J1237" s="42"/>
    </row>
    <row r="1238" spans="1:10" s="3" customFormat="1" x14ac:dyDescent="0.25">
      <c r="A1238" s="20">
        <v>42076</v>
      </c>
      <c r="B1238" s="21">
        <v>14748</v>
      </c>
      <c r="C1238" s="14" t="s">
        <v>90</v>
      </c>
      <c r="D1238" s="105">
        <v>779.4</v>
      </c>
      <c r="E1238" s="23">
        <v>42076</v>
      </c>
      <c r="F1238" s="106">
        <v>779.4</v>
      </c>
      <c r="G1238" s="31">
        <f t="shared" si="19"/>
        <v>0</v>
      </c>
      <c r="H1238" s="39" t="s">
        <v>9</v>
      </c>
      <c r="J1238" s="42"/>
    </row>
    <row r="1239" spans="1:10" s="3" customFormat="1" x14ac:dyDescent="0.25">
      <c r="A1239" s="20">
        <v>42076</v>
      </c>
      <c r="B1239" s="21">
        <v>14749</v>
      </c>
      <c r="C1239" s="14" t="s">
        <v>102</v>
      </c>
      <c r="D1239" s="105">
        <v>2085.6</v>
      </c>
      <c r="E1239" s="23">
        <v>42076</v>
      </c>
      <c r="F1239" s="106">
        <v>2085.6</v>
      </c>
      <c r="G1239" s="31">
        <f t="shared" si="19"/>
        <v>0</v>
      </c>
      <c r="H1239" s="39" t="s">
        <v>9</v>
      </c>
      <c r="J1239" s="42"/>
    </row>
    <row r="1240" spans="1:10" s="3" customFormat="1" x14ac:dyDescent="0.25">
      <c r="A1240" s="20">
        <v>42076</v>
      </c>
      <c r="B1240" s="21">
        <v>14750</v>
      </c>
      <c r="C1240" s="14" t="s">
        <v>864</v>
      </c>
      <c r="D1240" s="105">
        <v>2613.85</v>
      </c>
      <c r="E1240" s="23">
        <v>42076</v>
      </c>
      <c r="F1240" s="106">
        <v>2613.85</v>
      </c>
      <c r="G1240" s="31">
        <f t="shared" si="19"/>
        <v>0</v>
      </c>
      <c r="H1240" s="39" t="s">
        <v>9</v>
      </c>
      <c r="J1240" s="42"/>
    </row>
    <row r="1241" spans="1:10" s="3" customFormat="1" x14ac:dyDescent="0.25">
      <c r="A1241" s="20">
        <v>42076</v>
      </c>
      <c r="B1241" s="21">
        <v>14751</v>
      </c>
      <c r="C1241" s="14" t="s">
        <v>336</v>
      </c>
      <c r="D1241" s="105">
        <v>111.6</v>
      </c>
      <c r="E1241" s="23">
        <v>42076</v>
      </c>
      <c r="F1241" s="106">
        <v>111.6</v>
      </c>
      <c r="G1241" s="31">
        <f t="shared" si="19"/>
        <v>0</v>
      </c>
      <c r="H1241" s="39" t="s">
        <v>9</v>
      </c>
      <c r="J1241" s="42"/>
    </row>
    <row r="1242" spans="1:10" s="3" customFormat="1" x14ac:dyDescent="0.25">
      <c r="A1242" s="20">
        <v>42076</v>
      </c>
      <c r="B1242" s="21">
        <v>14752</v>
      </c>
      <c r="C1242" s="14" t="s">
        <v>697</v>
      </c>
      <c r="D1242" s="105">
        <v>6581.4</v>
      </c>
      <c r="E1242" s="23">
        <v>42089</v>
      </c>
      <c r="F1242" s="106">
        <v>6581.4</v>
      </c>
      <c r="G1242" s="31">
        <f t="shared" si="19"/>
        <v>0</v>
      </c>
      <c r="H1242" s="39" t="s">
        <v>9</v>
      </c>
      <c r="J1242" s="42"/>
    </row>
    <row r="1243" spans="1:10" s="3" customFormat="1" x14ac:dyDescent="0.25">
      <c r="A1243" s="20">
        <v>42076</v>
      </c>
      <c r="B1243" s="21">
        <v>14753</v>
      </c>
      <c r="C1243" s="14" t="s">
        <v>24</v>
      </c>
      <c r="D1243" s="105">
        <v>128150.39999999999</v>
      </c>
      <c r="E1243" s="23">
        <v>42093</v>
      </c>
      <c r="F1243" s="106">
        <v>128150.39999999999</v>
      </c>
      <c r="G1243" s="31">
        <f t="shared" si="19"/>
        <v>0</v>
      </c>
      <c r="H1243" s="39" t="s">
        <v>9</v>
      </c>
      <c r="J1243" s="42"/>
    </row>
    <row r="1244" spans="1:10" s="3" customFormat="1" x14ac:dyDescent="0.25">
      <c r="A1244" s="20">
        <v>42076</v>
      </c>
      <c r="B1244" s="21">
        <v>14754</v>
      </c>
      <c r="C1244" s="14" t="s">
        <v>86</v>
      </c>
      <c r="D1244" s="105">
        <v>508.2</v>
      </c>
      <c r="E1244" s="23">
        <v>42076</v>
      </c>
      <c r="F1244" s="106">
        <v>508.2</v>
      </c>
      <c r="G1244" s="31">
        <f t="shared" si="19"/>
        <v>0</v>
      </c>
      <c r="H1244" s="39" t="s">
        <v>9</v>
      </c>
      <c r="J1244" s="42"/>
    </row>
    <row r="1245" spans="1:10" s="3" customFormat="1" x14ac:dyDescent="0.25">
      <c r="A1245" s="20">
        <v>42076</v>
      </c>
      <c r="B1245" s="21">
        <v>14755</v>
      </c>
      <c r="C1245" s="14" t="s">
        <v>267</v>
      </c>
      <c r="D1245" s="105">
        <v>3721</v>
      </c>
      <c r="E1245" s="23">
        <v>42079</v>
      </c>
      <c r="F1245" s="106">
        <v>3721</v>
      </c>
      <c r="G1245" s="31">
        <f t="shared" si="19"/>
        <v>0</v>
      </c>
      <c r="H1245" s="39" t="s">
        <v>17</v>
      </c>
      <c r="J1245" s="42"/>
    </row>
    <row r="1246" spans="1:10" s="3" customFormat="1" x14ac:dyDescent="0.25">
      <c r="A1246" s="20">
        <v>42076</v>
      </c>
      <c r="B1246" s="21">
        <v>14756</v>
      </c>
      <c r="C1246" s="26" t="s">
        <v>218</v>
      </c>
      <c r="D1246" s="108">
        <v>0</v>
      </c>
      <c r="E1246" s="23"/>
      <c r="F1246" s="106"/>
      <c r="G1246" s="31">
        <f t="shared" si="19"/>
        <v>0</v>
      </c>
      <c r="H1246" s="39" t="s">
        <v>13</v>
      </c>
      <c r="J1246" s="42"/>
    </row>
    <row r="1247" spans="1:10" s="3" customFormat="1" x14ac:dyDescent="0.25">
      <c r="A1247" s="20">
        <v>42076</v>
      </c>
      <c r="B1247" s="21">
        <v>14757</v>
      </c>
      <c r="C1247" s="14" t="s">
        <v>86</v>
      </c>
      <c r="D1247" s="105">
        <v>3978</v>
      </c>
      <c r="E1247" s="23">
        <v>42076</v>
      </c>
      <c r="F1247" s="106">
        <v>3978</v>
      </c>
      <c r="G1247" s="31">
        <f t="shared" si="19"/>
        <v>0</v>
      </c>
      <c r="H1247" s="39" t="s">
        <v>9</v>
      </c>
      <c r="J1247" s="42"/>
    </row>
    <row r="1248" spans="1:10" s="3" customFormat="1" x14ac:dyDescent="0.25">
      <c r="A1248" s="20">
        <v>42076</v>
      </c>
      <c r="B1248" s="21">
        <v>14758</v>
      </c>
      <c r="C1248" s="14" t="s">
        <v>80</v>
      </c>
      <c r="D1248" s="105">
        <v>7847.4</v>
      </c>
      <c r="E1248" s="23">
        <v>42076</v>
      </c>
      <c r="F1248" s="106">
        <v>7847.4</v>
      </c>
      <c r="G1248" s="31">
        <f t="shared" si="19"/>
        <v>0</v>
      </c>
      <c r="H1248" s="39" t="s">
        <v>9</v>
      </c>
      <c r="J1248" s="42"/>
    </row>
    <row r="1249" spans="1:10" s="3" customFormat="1" x14ac:dyDescent="0.25">
      <c r="A1249" s="20">
        <v>42076</v>
      </c>
      <c r="B1249" s="21">
        <v>14759</v>
      </c>
      <c r="C1249" s="14" t="s">
        <v>24</v>
      </c>
      <c r="D1249" s="105">
        <v>10608.6</v>
      </c>
      <c r="E1249" s="23">
        <v>42087</v>
      </c>
      <c r="F1249" s="106">
        <v>10608.6</v>
      </c>
      <c r="G1249" s="31">
        <f t="shared" si="19"/>
        <v>0</v>
      </c>
      <c r="H1249" s="39" t="s">
        <v>773</v>
      </c>
      <c r="J1249" s="42"/>
    </row>
    <row r="1250" spans="1:10" s="3" customFormat="1" x14ac:dyDescent="0.25">
      <c r="A1250" s="20">
        <v>42076</v>
      </c>
      <c r="B1250" s="21">
        <v>14760</v>
      </c>
      <c r="C1250" s="14" t="s">
        <v>865</v>
      </c>
      <c r="D1250" s="105">
        <v>21133.72</v>
      </c>
      <c r="E1250" s="23">
        <v>42079</v>
      </c>
      <c r="F1250" s="106">
        <v>21133.72</v>
      </c>
      <c r="G1250" s="31">
        <f t="shared" si="19"/>
        <v>0</v>
      </c>
      <c r="H1250" s="39" t="s">
        <v>17</v>
      </c>
      <c r="J1250" s="42"/>
    </row>
    <row r="1251" spans="1:10" s="3" customFormat="1" x14ac:dyDescent="0.25">
      <c r="A1251" s="20">
        <v>42076</v>
      </c>
      <c r="B1251" s="21">
        <v>14761</v>
      </c>
      <c r="C1251" s="14" t="s">
        <v>42</v>
      </c>
      <c r="D1251" s="105">
        <v>40</v>
      </c>
      <c r="E1251" s="23">
        <v>42080</v>
      </c>
      <c r="F1251" s="106">
        <v>40</v>
      </c>
      <c r="G1251" s="31">
        <f t="shared" si="19"/>
        <v>0</v>
      </c>
      <c r="H1251" s="39" t="s">
        <v>9</v>
      </c>
      <c r="J1251" s="42"/>
    </row>
    <row r="1252" spans="1:10" s="3" customFormat="1" x14ac:dyDescent="0.25">
      <c r="A1252" s="20">
        <v>42077</v>
      </c>
      <c r="B1252" s="21">
        <v>14762</v>
      </c>
      <c r="C1252" s="14" t="s">
        <v>693</v>
      </c>
      <c r="D1252" s="105">
        <v>134.4</v>
      </c>
      <c r="E1252" s="23">
        <v>42077</v>
      </c>
      <c r="F1252" s="106">
        <v>134.4</v>
      </c>
      <c r="G1252" s="31">
        <f t="shared" si="19"/>
        <v>0</v>
      </c>
      <c r="H1252" s="39" t="s">
        <v>9</v>
      </c>
      <c r="J1252" s="42"/>
    </row>
    <row r="1253" spans="1:10" s="3" customFormat="1" x14ac:dyDescent="0.25">
      <c r="A1253" s="20">
        <v>42077</v>
      </c>
      <c r="B1253" s="21">
        <v>14763</v>
      </c>
      <c r="C1253" s="14" t="s">
        <v>136</v>
      </c>
      <c r="D1253" s="105">
        <v>648</v>
      </c>
      <c r="E1253" s="23">
        <v>42077</v>
      </c>
      <c r="F1253" s="106">
        <v>648</v>
      </c>
      <c r="G1253" s="31">
        <f t="shared" si="19"/>
        <v>0</v>
      </c>
      <c r="H1253" s="39" t="s">
        <v>187</v>
      </c>
      <c r="J1253" s="42"/>
    </row>
    <row r="1254" spans="1:10" s="3" customFormat="1" x14ac:dyDescent="0.25">
      <c r="A1254" s="20">
        <v>42077</v>
      </c>
      <c r="B1254" s="21">
        <v>14764</v>
      </c>
      <c r="C1254" s="26" t="s">
        <v>218</v>
      </c>
      <c r="D1254" s="108">
        <v>0</v>
      </c>
      <c r="E1254" s="29"/>
      <c r="F1254" s="106"/>
      <c r="G1254" s="31">
        <f t="shared" si="19"/>
        <v>0</v>
      </c>
      <c r="H1254" s="39" t="s">
        <v>13</v>
      </c>
      <c r="J1254" s="42"/>
    </row>
    <row r="1255" spans="1:10" s="3" customFormat="1" x14ac:dyDescent="0.25">
      <c r="A1255" s="20">
        <v>42077</v>
      </c>
      <c r="B1255" s="21">
        <v>14765</v>
      </c>
      <c r="C1255" s="14" t="s">
        <v>799</v>
      </c>
      <c r="D1255" s="105">
        <v>53581.45</v>
      </c>
      <c r="E1255" s="23">
        <v>42084</v>
      </c>
      <c r="F1255" s="106">
        <v>53581.45</v>
      </c>
      <c r="G1255" s="31">
        <f t="shared" si="19"/>
        <v>0</v>
      </c>
      <c r="H1255" s="39" t="s">
        <v>9</v>
      </c>
      <c r="J1255" s="42"/>
    </row>
    <row r="1256" spans="1:10" s="3" customFormat="1" x14ac:dyDescent="0.25">
      <c r="A1256" s="20">
        <v>42077</v>
      </c>
      <c r="B1256" s="21">
        <v>14766</v>
      </c>
      <c r="C1256" s="14" t="s">
        <v>291</v>
      </c>
      <c r="D1256" s="105">
        <v>16921</v>
      </c>
      <c r="E1256" s="23">
        <v>42077</v>
      </c>
      <c r="F1256" s="106">
        <v>16921</v>
      </c>
      <c r="G1256" s="31">
        <f t="shared" si="19"/>
        <v>0</v>
      </c>
      <c r="H1256" s="39" t="s">
        <v>9</v>
      </c>
      <c r="J1256" s="42"/>
    </row>
    <row r="1257" spans="1:10" s="3" customFormat="1" x14ac:dyDescent="0.25">
      <c r="A1257" s="20">
        <v>42077</v>
      </c>
      <c r="B1257" s="21">
        <v>14767</v>
      </c>
      <c r="C1257" s="14" t="s">
        <v>121</v>
      </c>
      <c r="D1257" s="105">
        <v>2759.9</v>
      </c>
      <c r="E1257" s="23">
        <v>42077</v>
      </c>
      <c r="F1257" s="106">
        <v>2759.9</v>
      </c>
      <c r="G1257" s="31">
        <f t="shared" si="19"/>
        <v>0</v>
      </c>
      <c r="H1257" s="39" t="s">
        <v>9</v>
      </c>
      <c r="J1257" s="42"/>
    </row>
    <row r="1258" spans="1:10" s="3" customFormat="1" x14ac:dyDescent="0.25">
      <c r="A1258" s="20">
        <v>42077</v>
      </c>
      <c r="B1258" s="21">
        <v>14768</v>
      </c>
      <c r="C1258" s="14" t="s">
        <v>21</v>
      </c>
      <c r="D1258" s="105">
        <v>12510.4</v>
      </c>
      <c r="E1258" s="23">
        <v>42077</v>
      </c>
      <c r="F1258" s="106">
        <v>12510.4</v>
      </c>
      <c r="G1258" s="31">
        <f t="shared" si="19"/>
        <v>0</v>
      </c>
      <c r="H1258" s="39" t="s">
        <v>9</v>
      </c>
      <c r="J1258" s="42"/>
    </row>
    <row r="1259" spans="1:10" s="3" customFormat="1" x14ac:dyDescent="0.25">
      <c r="A1259" s="20">
        <v>42077</v>
      </c>
      <c r="B1259" s="21">
        <v>14769</v>
      </c>
      <c r="C1259" s="14" t="s">
        <v>24</v>
      </c>
      <c r="D1259" s="105">
        <v>30287.599999999999</v>
      </c>
      <c r="E1259" s="23">
        <v>42087</v>
      </c>
      <c r="F1259" s="106">
        <v>30287.599999999999</v>
      </c>
      <c r="G1259" s="31">
        <f t="shared" si="19"/>
        <v>0</v>
      </c>
      <c r="H1259" s="39" t="s">
        <v>9</v>
      </c>
      <c r="J1259" s="42"/>
    </row>
    <row r="1260" spans="1:10" s="3" customFormat="1" x14ac:dyDescent="0.25">
      <c r="A1260" s="20">
        <v>42077</v>
      </c>
      <c r="B1260" s="21">
        <v>14770</v>
      </c>
      <c r="C1260" s="14" t="s">
        <v>720</v>
      </c>
      <c r="D1260" s="105">
        <v>10467.6</v>
      </c>
      <c r="E1260" s="23">
        <v>42077</v>
      </c>
      <c r="F1260" s="106">
        <v>10467.6</v>
      </c>
      <c r="G1260" s="31">
        <f t="shared" si="19"/>
        <v>0</v>
      </c>
      <c r="H1260" s="39" t="s">
        <v>9</v>
      </c>
      <c r="J1260" s="42"/>
    </row>
    <row r="1261" spans="1:10" s="3" customFormat="1" x14ac:dyDescent="0.25">
      <c r="A1261" s="20">
        <v>42077</v>
      </c>
      <c r="B1261" s="21">
        <v>14771</v>
      </c>
      <c r="C1261" s="14" t="s">
        <v>112</v>
      </c>
      <c r="D1261" s="105">
        <v>6304.6</v>
      </c>
      <c r="E1261" s="23">
        <v>42077</v>
      </c>
      <c r="F1261" s="106">
        <v>6304.6</v>
      </c>
      <c r="G1261" s="31">
        <f t="shared" si="19"/>
        <v>0</v>
      </c>
      <c r="H1261" s="39" t="s">
        <v>9</v>
      </c>
      <c r="J1261" s="42"/>
    </row>
    <row r="1262" spans="1:10" s="3" customFormat="1" x14ac:dyDescent="0.25">
      <c r="A1262" s="20">
        <v>42077</v>
      </c>
      <c r="B1262" s="21">
        <v>14772</v>
      </c>
      <c r="C1262" s="14" t="s">
        <v>16</v>
      </c>
      <c r="D1262" s="105">
        <v>7283.2</v>
      </c>
      <c r="E1262" s="23">
        <v>42077</v>
      </c>
      <c r="F1262" s="106">
        <v>7283.2</v>
      </c>
      <c r="G1262" s="31">
        <f t="shared" si="19"/>
        <v>0</v>
      </c>
      <c r="H1262" s="39" t="s">
        <v>17</v>
      </c>
      <c r="J1262" s="42"/>
    </row>
    <row r="1263" spans="1:10" s="3" customFormat="1" x14ac:dyDescent="0.25">
      <c r="A1263" s="20">
        <v>42077</v>
      </c>
      <c r="B1263" s="21">
        <v>14773</v>
      </c>
      <c r="C1263" s="14" t="s">
        <v>16</v>
      </c>
      <c r="D1263" s="105">
        <v>181.8</v>
      </c>
      <c r="E1263" s="23">
        <v>42077</v>
      </c>
      <c r="F1263" s="106">
        <v>181.8</v>
      </c>
      <c r="G1263" s="31">
        <f t="shared" si="19"/>
        <v>0</v>
      </c>
      <c r="H1263" s="39" t="s">
        <v>17</v>
      </c>
      <c r="J1263" s="42"/>
    </row>
    <row r="1264" spans="1:10" s="3" customFormat="1" x14ac:dyDescent="0.25">
      <c r="A1264" s="20">
        <v>42077</v>
      </c>
      <c r="B1264" s="21">
        <v>14774</v>
      </c>
      <c r="C1264" s="14" t="s">
        <v>161</v>
      </c>
      <c r="D1264" s="105">
        <v>6275.6</v>
      </c>
      <c r="E1264" s="51">
        <v>42077</v>
      </c>
      <c r="F1264" s="106">
        <v>6275.6</v>
      </c>
      <c r="G1264" s="31">
        <f t="shared" si="19"/>
        <v>0</v>
      </c>
      <c r="H1264" s="39" t="s">
        <v>9</v>
      </c>
      <c r="J1264" s="42"/>
    </row>
    <row r="1265" spans="1:10" s="3" customFormat="1" x14ac:dyDescent="0.25">
      <c r="A1265" s="20">
        <v>42077</v>
      </c>
      <c r="B1265" s="21">
        <v>14775</v>
      </c>
      <c r="C1265" s="26" t="s">
        <v>218</v>
      </c>
      <c r="D1265" s="108">
        <v>0</v>
      </c>
      <c r="E1265" s="23"/>
      <c r="F1265" s="106"/>
      <c r="G1265" s="31">
        <f t="shared" si="19"/>
        <v>0</v>
      </c>
      <c r="H1265" s="39" t="s">
        <v>13</v>
      </c>
      <c r="J1265" s="42"/>
    </row>
    <row r="1266" spans="1:10" s="3" customFormat="1" x14ac:dyDescent="0.25">
      <c r="A1266" s="20">
        <v>42077</v>
      </c>
      <c r="B1266" s="21">
        <v>14776</v>
      </c>
      <c r="C1266" s="14" t="s">
        <v>14</v>
      </c>
      <c r="D1266" s="105">
        <v>18936.2</v>
      </c>
      <c r="E1266" s="23">
        <v>42089</v>
      </c>
      <c r="F1266" s="106">
        <v>18936.2</v>
      </c>
      <c r="G1266" s="31">
        <f t="shared" si="19"/>
        <v>0</v>
      </c>
      <c r="H1266" s="39" t="s">
        <v>15</v>
      </c>
      <c r="J1266" s="42"/>
    </row>
    <row r="1267" spans="1:10" s="3" customFormat="1" x14ac:dyDescent="0.25">
      <c r="A1267" s="20">
        <v>42077</v>
      </c>
      <c r="B1267" s="21">
        <v>14777</v>
      </c>
      <c r="C1267" s="14" t="s">
        <v>215</v>
      </c>
      <c r="D1267" s="105">
        <v>19664</v>
      </c>
      <c r="E1267" s="23">
        <v>42077</v>
      </c>
      <c r="F1267" s="106">
        <v>19664</v>
      </c>
      <c r="G1267" s="31">
        <f t="shared" si="19"/>
        <v>0</v>
      </c>
      <c r="H1267" s="39" t="s">
        <v>773</v>
      </c>
      <c r="J1267" s="42"/>
    </row>
    <row r="1268" spans="1:10" s="3" customFormat="1" x14ac:dyDescent="0.25">
      <c r="A1268" s="20">
        <v>42077</v>
      </c>
      <c r="B1268" s="21">
        <v>14778</v>
      </c>
      <c r="C1268" s="14" t="s">
        <v>32</v>
      </c>
      <c r="D1268" s="105">
        <v>98141.8</v>
      </c>
      <c r="E1268" s="23">
        <v>42089</v>
      </c>
      <c r="F1268" s="106">
        <v>98141.8</v>
      </c>
      <c r="G1268" s="31">
        <f t="shared" si="19"/>
        <v>0</v>
      </c>
      <c r="H1268" s="39" t="s">
        <v>19</v>
      </c>
      <c r="J1268" s="42"/>
    </row>
    <row r="1269" spans="1:10" s="3" customFormat="1" x14ac:dyDescent="0.25">
      <c r="A1269" s="20">
        <v>42077</v>
      </c>
      <c r="B1269" s="21">
        <v>14779</v>
      </c>
      <c r="C1269" s="14" t="s">
        <v>58</v>
      </c>
      <c r="D1269" s="105">
        <v>720</v>
      </c>
      <c r="E1269" s="23">
        <v>42077</v>
      </c>
      <c r="F1269" s="106">
        <v>720</v>
      </c>
      <c r="G1269" s="31">
        <f t="shared" si="19"/>
        <v>0</v>
      </c>
      <c r="H1269" s="39" t="s">
        <v>59</v>
      </c>
      <c r="J1269" s="42"/>
    </row>
    <row r="1270" spans="1:10" s="3" customFormat="1" x14ac:dyDescent="0.25">
      <c r="A1270" s="20">
        <v>42077</v>
      </c>
      <c r="B1270" s="21">
        <v>14780</v>
      </c>
      <c r="C1270" s="110">
        <v>105</v>
      </c>
      <c r="D1270" s="105">
        <v>2232</v>
      </c>
      <c r="E1270" s="23">
        <v>42077</v>
      </c>
      <c r="F1270" s="106">
        <v>2232</v>
      </c>
      <c r="G1270" s="31">
        <f t="shared" si="19"/>
        <v>0</v>
      </c>
      <c r="H1270" s="39" t="s">
        <v>59</v>
      </c>
      <c r="J1270" s="42"/>
    </row>
    <row r="1271" spans="1:10" s="3" customFormat="1" x14ac:dyDescent="0.25">
      <c r="A1271" s="20">
        <v>42077</v>
      </c>
      <c r="B1271" s="21">
        <v>14781</v>
      </c>
      <c r="C1271" s="14" t="s">
        <v>20</v>
      </c>
      <c r="D1271" s="105">
        <v>14557.8</v>
      </c>
      <c r="E1271" s="23">
        <v>42077</v>
      </c>
      <c r="F1271" s="106">
        <v>14557.8</v>
      </c>
      <c r="G1271" s="31">
        <f t="shared" si="19"/>
        <v>0</v>
      </c>
      <c r="H1271" s="39" t="s">
        <v>94</v>
      </c>
      <c r="J1271" s="42"/>
    </row>
    <row r="1272" spans="1:10" s="3" customFormat="1" x14ac:dyDescent="0.25">
      <c r="A1272" s="20">
        <v>42077</v>
      </c>
      <c r="B1272" s="21">
        <v>14782</v>
      </c>
      <c r="C1272" s="14" t="s">
        <v>114</v>
      </c>
      <c r="D1272" s="105">
        <v>1104</v>
      </c>
      <c r="E1272" s="23">
        <v>42077</v>
      </c>
      <c r="F1272" s="106">
        <v>1104</v>
      </c>
      <c r="G1272" s="31">
        <f t="shared" si="19"/>
        <v>0</v>
      </c>
      <c r="H1272" s="39" t="s">
        <v>9</v>
      </c>
      <c r="J1272" s="42"/>
    </row>
    <row r="1273" spans="1:10" s="3" customFormat="1" x14ac:dyDescent="0.25">
      <c r="A1273" s="20">
        <v>42077</v>
      </c>
      <c r="B1273" s="21">
        <v>14783</v>
      </c>
      <c r="C1273" s="14" t="s">
        <v>83</v>
      </c>
      <c r="D1273" s="105">
        <v>4712.3999999999996</v>
      </c>
      <c r="E1273" s="23">
        <v>42077</v>
      </c>
      <c r="F1273" s="106">
        <v>4712.3999999999996</v>
      </c>
      <c r="G1273" s="31">
        <f t="shared" si="19"/>
        <v>0</v>
      </c>
      <c r="H1273" s="39" t="s">
        <v>59</v>
      </c>
      <c r="J1273" s="42"/>
    </row>
    <row r="1274" spans="1:10" s="3" customFormat="1" x14ac:dyDescent="0.25">
      <c r="A1274" s="20">
        <v>42077</v>
      </c>
      <c r="B1274" s="21">
        <v>14784</v>
      </c>
      <c r="C1274" s="14" t="s">
        <v>116</v>
      </c>
      <c r="D1274" s="105">
        <v>9653.6</v>
      </c>
      <c r="E1274" s="23">
        <v>42077</v>
      </c>
      <c r="F1274" s="106">
        <v>9653.6</v>
      </c>
      <c r="G1274" s="31">
        <f t="shared" si="19"/>
        <v>0</v>
      </c>
      <c r="H1274" s="39" t="s">
        <v>9</v>
      </c>
      <c r="J1274" s="42"/>
    </row>
    <row r="1275" spans="1:10" s="3" customFormat="1" x14ac:dyDescent="0.25">
      <c r="A1275" s="20">
        <v>42077</v>
      </c>
      <c r="B1275" s="21">
        <v>14785</v>
      </c>
      <c r="C1275" s="14" t="s">
        <v>53</v>
      </c>
      <c r="D1275" s="105">
        <v>2553.9</v>
      </c>
      <c r="E1275" s="23">
        <v>42077</v>
      </c>
      <c r="F1275" s="106">
        <v>2553.9</v>
      </c>
      <c r="G1275" s="31">
        <f t="shared" si="19"/>
        <v>0</v>
      </c>
      <c r="H1275" s="39" t="s">
        <v>59</v>
      </c>
      <c r="J1275" s="42"/>
    </row>
    <row r="1276" spans="1:10" s="3" customFormat="1" x14ac:dyDescent="0.25">
      <c r="A1276" s="20">
        <v>42077</v>
      </c>
      <c r="B1276" s="21">
        <v>14786</v>
      </c>
      <c r="C1276" s="14" t="s">
        <v>604</v>
      </c>
      <c r="D1276" s="105">
        <v>2690.4</v>
      </c>
      <c r="E1276" s="23">
        <v>42077</v>
      </c>
      <c r="F1276" s="106">
        <v>2690.4</v>
      </c>
      <c r="G1276" s="31">
        <f t="shared" si="19"/>
        <v>0</v>
      </c>
      <c r="H1276" s="39" t="s">
        <v>9</v>
      </c>
      <c r="J1276" s="42"/>
    </row>
    <row r="1277" spans="1:10" s="3" customFormat="1" x14ac:dyDescent="0.25">
      <c r="A1277" s="20">
        <v>42077</v>
      </c>
      <c r="B1277" s="21">
        <v>14787</v>
      </c>
      <c r="C1277" s="14" t="s">
        <v>120</v>
      </c>
      <c r="D1277" s="105">
        <v>1287</v>
      </c>
      <c r="E1277" s="23">
        <v>42077</v>
      </c>
      <c r="F1277" s="106">
        <v>1287</v>
      </c>
      <c r="G1277" s="31">
        <f t="shared" si="19"/>
        <v>0</v>
      </c>
      <c r="H1277" s="39" t="s">
        <v>59</v>
      </c>
      <c r="J1277" s="42"/>
    </row>
    <row r="1278" spans="1:10" s="3" customFormat="1" x14ac:dyDescent="0.25">
      <c r="A1278" s="20">
        <v>42077</v>
      </c>
      <c r="B1278" s="21">
        <v>14788</v>
      </c>
      <c r="C1278" s="14" t="s">
        <v>720</v>
      </c>
      <c r="D1278" s="105">
        <v>3091.2</v>
      </c>
      <c r="E1278" s="23">
        <v>42077</v>
      </c>
      <c r="F1278" s="106">
        <v>3091.2</v>
      </c>
      <c r="G1278" s="31">
        <f t="shared" si="19"/>
        <v>0</v>
      </c>
      <c r="H1278" s="39" t="s">
        <v>59</v>
      </c>
      <c r="J1278" s="42"/>
    </row>
    <row r="1279" spans="1:10" s="3" customFormat="1" x14ac:dyDescent="0.25">
      <c r="A1279" s="20">
        <v>42077</v>
      </c>
      <c r="B1279" s="21">
        <v>14789</v>
      </c>
      <c r="C1279" s="14" t="s">
        <v>292</v>
      </c>
      <c r="D1279" s="105">
        <v>3318.9</v>
      </c>
      <c r="E1279" s="23">
        <v>42077</v>
      </c>
      <c r="F1279" s="106">
        <v>3318.9</v>
      </c>
      <c r="G1279" s="31">
        <f t="shared" si="19"/>
        <v>0</v>
      </c>
      <c r="H1279" s="39" t="s">
        <v>59</v>
      </c>
      <c r="J1279" s="42"/>
    </row>
    <row r="1280" spans="1:10" s="3" customFormat="1" x14ac:dyDescent="0.25">
      <c r="A1280" s="20">
        <v>42077</v>
      </c>
      <c r="B1280" s="21">
        <v>14790</v>
      </c>
      <c r="C1280" s="14" t="s">
        <v>82</v>
      </c>
      <c r="D1280" s="105">
        <v>3158.1</v>
      </c>
      <c r="E1280" s="23">
        <v>42077</v>
      </c>
      <c r="F1280" s="106">
        <v>3158.1</v>
      </c>
      <c r="G1280" s="31">
        <f t="shared" si="19"/>
        <v>0</v>
      </c>
      <c r="H1280" s="39" t="s">
        <v>59</v>
      </c>
      <c r="J1280" s="42"/>
    </row>
    <row r="1281" spans="1:10" s="3" customFormat="1" x14ac:dyDescent="0.25">
      <c r="A1281" s="20">
        <v>42077</v>
      </c>
      <c r="B1281" s="21">
        <v>14791</v>
      </c>
      <c r="C1281" s="14" t="s">
        <v>57</v>
      </c>
      <c r="D1281" s="105">
        <v>1484</v>
      </c>
      <c r="E1281" s="23">
        <v>42077</v>
      </c>
      <c r="F1281" s="106">
        <v>1484</v>
      </c>
      <c r="G1281" s="31">
        <f t="shared" si="19"/>
        <v>0</v>
      </c>
      <c r="H1281" s="39" t="s">
        <v>59</v>
      </c>
      <c r="J1281" s="42"/>
    </row>
    <row r="1282" spans="1:10" s="3" customFormat="1" x14ac:dyDescent="0.25">
      <c r="A1282" s="20">
        <v>42077</v>
      </c>
      <c r="B1282" s="21">
        <v>14792</v>
      </c>
      <c r="C1282" s="14" t="s">
        <v>81</v>
      </c>
      <c r="D1282" s="105">
        <v>3851.7</v>
      </c>
      <c r="E1282" s="23">
        <v>42077</v>
      </c>
      <c r="F1282" s="106">
        <v>3851.7</v>
      </c>
      <c r="G1282" s="31">
        <f t="shared" si="19"/>
        <v>0</v>
      </c>
      <c r="H1282" s="39" t="s">
        <v>59</v>
      </c>
      <c r="J1282" s="42"/>
    </row>
    <row r="1283" spans="1:10" s="3" customFormat="1" x14ac:dyDescent="0.25">
      <c r="A1283" s="20">
        <v>42077</v>
      </c>
      <c r="B1283" s="21">
        <v>14793</v>
      </c>
      <c r="C1283" s="14" t="s">
        <v>23</v>
      </c>
      <c r="D1283" s="105">
        <v>3060</v>
      </c>
      <c r="E1283" s="23">
        <v>42077</v>
      </c>
      <c r="F1283" s="106">
        <v>3060</v>
      </c>
      <c r="G1283" s="31">
        <f t="shared" ref="G1283:G1346" si="20">D1283-F1283</f>
        <v>0</v>
      </c>
      <c r="H1283" s="39" t="s">
        <v>9</v>
      </c>
      <c r="J1283" s="42"/>
    </row>
    <row r="1284" spans="1:10" s="3" customFormat="1" x14ac:dyDescent="0.25">
      <c r="A1284" s="20">
        <v>42077</v>
      </c>
      <c r="B1284" s="21">
        <v>14794</v>
      </c>
      <c r="C1284" s="14" t="s">
        <v>88</v>
      </c>
      <c r="D1284" s="105">
        <v>1324.6</v>
      </c>
      <c r="E1284" s="23">
        <v>42077</v>
      </c>
      <c r="F1284" s="106">
        <v>1324.6</v>
      </c>
      <c r="G1284" s="31">
        <f t="shared" si="20"/>
        <v>0</v>
      </c>
      <c r="H1284" s="39" t="s">
        <v>9</v>
      </c>
      <c r="J1284" s="42"/>
    </row>
    <row r="1285" spans="1:10" s="3" customFormat="1" x14ac:dyDescent="0.25">
      <c r="A1285" s="20">
        <v>42077</v>
      </c>
      <c r="B1285" s="21">
        <v>14795</v>
      </c>
      <c r="C1285" s="14" t="s">
        <v>110</v>
      </c>
      <c r="D1285" s="105">
        <v>81096.25</v>
      </c>
      <c r="E1285" s="23">
        <v>42087</v>
      </c>
      <c r="F1285" s="106">
        <v>81096.25</v>
      </c>
      <c r="G1285" s="31">
        <f t="shared" si="20"/>
        <v>0</v>
      </c>
      <c r="H1285" s="39" t="s">
        <v>183</v>
      </c>
      <c r="J1285" s="42"/>
    </row>
    <row r="1286" spans="1:10" s="3" customFormat="1" x14ac:dyDescent="0.25">
      <c r="A1286" s="20">
        <v>42077</v>
      </c>
      <c r="B1286" s="21">
        <v>14796</v>
      </c>
      <c r="C1286" s="14" t="s">
        <v>213</v>
      </c>
      <c r="D1286" s="105">
        <v>4586.3999999999996</v>
      </c>
      <c r="E1286" s="23">
        <v>42077</v>
      </c>
      <c r="F1286" s="106">
        <v>4586.3999999999996</v>
      </c>
      <c r="G1286" s="31">
        <f t="shared" si="20"/>
        <v>0</v>
      </c>
      <c r="H1286" s="39" t="s">
        <v>59</v>
      </c>
      <c r="J1286" s="42"/>
    </row>
    <row r="1287" spans="1:10" s="3" customFormat="1" x14ac:dyDescent="0.25">
      <c r="A1287" s="20">
        <v>42077</v>
      </c>
      <c r="B1287" s="21">
        <v>14797</v>
      </c>
      <c r="C1287" s="14" t="s">
        <v>45</v>
      </c>
      <c r="D1287" s="105">
        <v>8091.6</v>
      </c>
      <c r="E1287" s="23">
        <v>42081</v>
      </c>
      <c r="F1287" s="106">
        <v>8091.6</v>
      </c>
      <c r="G1287" s="31">
        <f t="shared" si="20"/>
        <v>0</v>
      </c>
      <c r="H1287" s="39" t="s">
        <v>59</v>
      </c>
      <c r="J1287" s="42"/>
    </row>
    <row r="1288" spans="1:10" s="3" customFormat="1" x14ac:dyDescent="0.25">
      <c r="A1288" s="20">
        <v>42077</v>
      </c>
      <c r="B1288" s="21">
        <v>14798</v>
      </c>
      <c r="C1288" s="14" t="s">
        <v>375</v>
      </c>
      <c r="D1288" s="105">
        <v>208.8</v>
      </c>
      <c r="E1288" s="23">
        <v>42077</v>
      </c>
      <c r="F1288" s="106">
        <v>208.8</v>
      </c>
      <c r="G1288" s="31">
        <f t="shared" si="20"/>
        <v>0</v>
      </c>
      <c r="H1288" s="39" t="s">
        <v>9</v>
      </c>
      <c r="J1288" s="42"/>
    </row>
    <row r="1289" spans="1:10" s="3" customFormat="1" x14ac:dyDescent="0.25">
      <c r="A1289" s="20">
        <v>42077</v>
      </c>
      <c r="B1289" s="21">
        <v>14799</v>
      </c>
      <c r="C1289" s="14" t="s">
        <v>26</v>
      </c>
      <c r="D1289" s="105">
        <v>2740</v>
      </c>
      <c r="E1289" s="23">
        <v>42077</v>
      </c>
      <c r="F1289" s="106">
        <v>2740</v>
      </c>
      <c r="G1289" s="31">
        <f t="shared" si="20"/>
        <v>0</v>
      </c>
      <c r="H1289" s="39" t="s">
        <v>27</v>
      </c>
      <c r="J1289" s="42"/>
    </row>
    <row r="1290" spans="1:10" s="3" customFormat="1" x14ac:dyDescent="0.25">
      <c r="A1290" s="20">
        <v>42077</v>
      </c>
      <c r="B1290" s="21">
        <v>14800</v>
      </c>
      <c r="C1290" s="14" t="s">
        <v>125</v>
      </c>
      <c r="D1290" s="105">
        <v>14050.5</v>
      </c>
      <c r="E1290" s="29" t="s">
        <v>866</v>
      </c>
      <c r="F1290" s="106">
        <f>6000+8050.5</f>
        <v>14050.5</v>
      </c>
      <c r="G1290" s="31">
        <f t="shared" si="20"/>
        <v>0</v>
      </c>
      <c r="H1290" s="39" t="s">
        <v>9</v>
      </c>
      <c r="J1290" s="42"/>
    </row>
    <row r="1291" spans="1:10" s="3" customFormat="1" x14ac:dyDescent="0.25">
      <c r="A1291" s="20">
        <v>42077</v>
      </c>
      <c r="B1291" s="21">
        <v>14801</v>
      </c>
      <c r="C1291" s="14" t="s">
        <v>296</v>
      </c>
      <c r="D1291" s="105">
        <v>1452.8</v>
      </c>
      <c r="E1291" s="23">
        <v>42077</v>
      </c>
      <c r="F1291" s="106">
        <v>1452.8</v>
      </c>
      <c r="G1291" s="31">
        <f t="shared" si="20"/>
        <v>0</v>
      </c>
      <c r="H1291" s="39" t="s">
        <v>9</v>
      </c>
      <c r="J1291" s="42"/>
    </row>
    <row r="1292" spans="1:10" s="3" customFormat="1" x14ac:dyDescent="0.25">
      <c r="A1292" s="20">
        <v>42077</v>
      </c>
      <c r="B1292" s="21">
        <v>14802</v>
      </c>
      <c r="C1292" s="14" t="s">
        <v>125</v>
      </c>
      <c r="D1292" s="105">
        <v>178.2</v>
      </c>
      <c r="E1292" s="23">
        <v>42083</v>
      </c>
      <c r="F1292" s="106">
        <v>178.2</v>
      </c>
      <c r="G1292" s="31">
        <f t="shared" si="20"/>
        <v>0</v>
      </c>
      <c r="H1292" s="39" t="s">
        <v>9</v>
      </c>
      <c r="J1292" s="42"/>
    </row>
    <row r="1293" spans="1:10" s="3" customFormat="1" x14ac:dyDescent="0.25">
      <c r="A1293" s="20">
        <v>42077</v>
      </c>
      <c r="B1293" s="21">
        <v>14803</v>
      </c>
      <c r="C1293" s="14" t="s">
        <v>296</v>
      </c>
      <c r="D1293" s="105">
        <v>244</v>
      </c>
      <c r="E1293" s="23">
        <v>42077</v>
      </c>
      <c r="F1293" s="106">
        <v>244</v>
      </c>
      <c r="G1293" s="31">
        <f t="shared" si="20"/>
        <v>0</v>
      </c>
      <c r="H1293" s="39" t="s">
        <v>9</v>
      </c>
      <c r="J1293" s="42"/>
    </row>
    <row r="1294" spans="1:10" s="3" customFormat="1" x14ac:dyDescent="0.25">
      <c r="A1294" s="20">
        <v>42077</v>
      </c>
      <c r="B1294" s="21">
        <v>14804</v>
      </c>
      <c r="C1294" s="26" t="s">
        <v>218</v>
      </c>
      <c r="D1294" s="108">
        <v>0</v>
      </c>
      <c r="E1294" s="23"/>
      <c r="F1294" s="106"/>
      <c r="G1294" s="31">
        <f t="shared" si="20"/>
        <v>0</v>
      </c>
      <c r="H1294" s="39" t="s">
        <v>13</v>
      </c>
      <c r="J1294" s="42"/>
    </row>
    <row r="1295" spans="1:10" s="3" customFormat="1" x14ac:dyDescent="0.25">
      <c r="A1295" s="20">
        <v>42077</v>
      </c>
      <c r="B1295" s="21">
        <v>14805</v>
      </c>
      <c r="C1295" s="14" t="s">
        <v>861</v>
      </c>
      <c r="D1295" s="105">
        <v>3491.1</v>
      </c>
      <c r="E1295" s="23">
        <v>42077</v>
      </c>
      <c r="F1295" s="106">
        <v>3491.1</v>
      </c>
      <c r="G1295" s="31">
        <f t="shared" si="20"/>
        <v>0</v>
      </c>
      <c r="H1295" s="39" t="s">
        <v>9</v>
      </c>
      <c r="J1295" s="42"/>
    </row>
    <row r="1296" spans="1:10" s="3" customFormat="1" x14ac:dyDescent="0.25">
      <c r="A1296" s="20">
        <v>42077</v>
      </c>
      <c r="B1296" s="21">
        <v>14806</v>
      </c>
      <c r="C1296" s="14" t="s">
        <v>34</v>
      </c>
      <c r="D1296" s="105">
        <v>3596.4</v>
      </c>
      <c r="E1296" s="23">
        <v>42077</v>
      </c>
      <c r="F1296" s="106">
        <v>3596.4</v>
      </c>
      <c r="G1296" s="31">
        <f t="shared" si="20"/>
        <v>0</v>
      </c>
      <c r="H1296" s="39" t="s">
        <v>9</v>
      </c>
      <c r="J1296" s="42"/>
    </row>
    <row r="1297" spans="1:10" s="3" customFormat="1" x14ac:dyDescent="0.25">
      <c r="A1297" s="20">
        <v>42077</v>
      </c>
      <c r="B1297" s="21">
        <v>14807</v>
      </c>
      <c r="C1297" s="14" t="s">
        <v>145</v>
      </c>
      <c r="D1297" s="105">
        <v>3000</v>
      </c>
      <c r="E1297" s="23">
        <v>42077</v>
      </c>
      <c r="F1297" s="106">
        <v>3000</v>
      </c>
      <c r="G1297" s="31">
        <f t="shared" si="20"/>
        <v>0</v>
      </c>
      <c r="H1297" s="39" t="s">
        <v>9</v>
      </c>
      <c r="J1297" s="42"/>
    </row>
    <row r="1298" spans="1:10" s="3" customFormat="1" x14ac:dyDescent="0.25">
      <c r="A1298" s="20">
        <v>42077</v>
      </c>
      <c r="B1298" s="21">
        <v>14808</v>
      </c>
      <c r="C1298" s="14" t="s">
        <v>112</v>
      </c>
      <c r="D1298" s="105">
        <v>19365</v>
      </c>
      <c r="E1298" s="29" t="s">
        <v>867</v>
      </c>
      <c r="F1298" s="106">
        <f>8000+11365</f>
        <v>19365</v>
      </c>
      <c r="G1298" s="31">
        <f t="shared" si="20"/>
        <v>0</v>
      </c>
      <c r="H1298" s="39" t="s">
        <v>9</v>
      </c>
      <c r="J1298" s="42"/>
    </row>
    <row r="1299" spans="1:10" s="3" customFormat="1" x14ac:dyDescent="0.25">
      <c r="A1299" s="20">
        <v>42077</v>
      </c>
      <c r="B1299" s="21">
        <v>14809</v>
      </c>
      <c r="C1299" s="14" t="s">
        <v>137</v>
      </c>
      <c r="D1299" s="105">
        <v>2021.3</v>
      </c>
      <c r="E1299" s="23">
        <v>42077</v>
      </c>
      <c r="F1299" s="106">
        <v>2021.3</v>
      </c>
      <c r="G1299" s="31">
        <f t="shared" si="20"/>
        <v>0</v>
      </c>
      <c r="H1299" s="39" t="s">
        <v>9</v>
      </c>
      <c r="J1299" s="42"/>
    </row>
    <row r="1300" spans="1:10" s="3" customFormat="1" x14ac:dyDescent="0.25">
      <c r="A1300" s="20">
        <v>42077</v>
      </c>
      <c r="B1300" s="21">
        <v>14810</v>
      </c>
      <c r="C1300" s="14" t="s">
        <v>835</v>
      </c>
      <c r="D1300" s="105">
        <v>2680</v>
      </c>
      <c r="E1300" s="51">
        <v>42077</v>
      </c>
      <c r="F1300" s="106">
        <v>2680</v>
      </c>
      <c r="G1300" s="31">
        <f t="shared" si="20"/>
        <v>0</v>
      </c>
      <c r="H1300" s="39" t="s">
        <v>9</v>
      </c>
      <c r="J1300" s="42"/>
    </row>
    <row r="1301" spans="1:10" s="3" customFormat="1" x14ac:dyDescent="0.25">
      <c r="A1301" s="20">
        <v>42077</v>
      </c>
      <c r="B1301" s="21">
        <v>14811</v>
      </c>
      <c r="C1301" s="14" t="s">
        <v>91</v>
      </c>
      <c r="D1301" s="105">
        <v>13355.79</v>
      </c>
      <c r="E1301" s="23">
        <v>42077</v>
      </c>
      <c r="F1301" s="106">
        <v>13355.79</v>
      </c>
      <c r="G1301" s="31">
        <f t="shared" si="20"/>
        <v>0</v>
      </c>
      <c r="H1301" s="39" t="s">
        <v>59</v>
      </c>
      <c r="J1301" s="42"/>
    </row>
    <row r="1302" spans="1:10" s="3" customFormat="1" x14ac:dyDescent="0.25">
      <c r="A1302" s="20">
        <v>42077</v>
      </c>
      <c r="B1302" s="21">
        <v>14812</v>
      </c>
      <c r="C1302" s="14" t="s">
        <v>131</v>
      </c>
      <c r="D1302" s="105">
        <v>11156.8</v>
      </c>
      <c r="E1302" s="23">
        <v>42079</v>
      </c>
      <c r="F1302" s="106">
        <v>11156.8</v>
      </c>
      <c r="G1302" s="31">
        <f t="shared" si="20"/>
        <v>0</v>
      </c>
      <c r="H1302" s="39" t="s">
        <v>17</v>
      </c>
      <c r="J1302" s="42"/>
    </row>
    <row r="1303" spans="1:10" s="3" customFormat="1" x14ac:dyDescent="0.25">
      <c r="A1303" s="20">
        <v>42077</v>
      </c>
      <c r="B1303" s="21">
        <v>14813</v>
      </c>
      <c r="C1303" s="14" t="s">
        <v>151</v>
      </c>
      <c r="D1303" s="105">
        <v>6244.6</v>
      </c>
      <c r="E1303" s="23">
        <v>42078</v>
      </c>
      <c r="F1303" s="106">
        <v>6244.6</v>
      </c>
      <c r="G1303" s="31">
        <f t="shared" si="20"/>
        <v>0</v>
      </c>
      <c r="H1303" s="39" t="s">
        <v>9</v>
      </c>
      <c r="J1303" s="42"/>
    </row>
    <row r="1304" spans="1:10" s="3" customFormat="1" x14ac:dyDescent="0.25">
      <c r="A1304" s="20">
        <v>42077</v>
      </c>
      <c r="B1304" s="21">
        <v>14814</v>
      </c>
      <c r="C1304" s="14" t="s">
        <v>868</v>
      </c>
      <c r="D1304" s="105">
        <v>3012</v>
      </c>
      <c r="E1304" s="23">
        <v>42078</v>
      </c>
      <c r="F1304" s="106">
        <v>3012</v>
      </c>
      <c r="G1304" s="31">
        <f t="shared" si="20"/>
        <v>0</v>
      </c>
      <c r="H1304" s="39" t="s">
        <v>17</v>
      </c>
      <c r="J1304" s="42"/>
    </row>
    <row r="1305" spans="1:10" s="3" customFormat="1" x14ac:dyDescent="0.25">
      <c r="A1305" s="20">
        <v>42077</v>
      </c>
      <c r="B1305" s="21">
        <v>14815</v>
      </c>
      <c r="C1305" s="14" t="s">
        <v>130</v>
      </c>
      <c r="D1305" s="105">
        <v>9277.2999999999993</v>
      </c>
      <c r="E1305" s="23">
        <v>42078</v>
      </c>
      <c r="F1305" s="106">
        <v>9277.2999999999993</v>
      </c>
      <c r="G1305" s="31">
        <f t="shared" si="20"/>
        <v>0</v>
      </c>
      <c r="H1305" s="39" t="s">
        <v>17</v>
      </c>
      <c r="J1305" s="42"/>
    </row>
    <row r="1306" spans="1:10" s="3" customFormat="1" x14ac:dyDescent="0.25">
      <c r="A1306" s="20">
        <v>42077</v>
      </c>
      <c r="B1306" s="21">
        <v>14816</v>
      </c>
      <c r="C1306" s="14" t="s">
        <v>675</v>
      </c>
      <c r="D1306" s="105">
        <v>334.8</v>
      </c>
      <c r="E1306" s="23">
        <v>42077</v>
      </c>
      <c r="F1306" s="106">
        <v>334.8</v>
      </c>
      <c r="G1306" s="31">
        <f t="shared" si="20"/>
        <v>0</v>
      </c>
      <c r="H1306" s="39" t="s">
        <v>9</v>
      </c>
      <c r="J1306" s="42"/>
    </row>
    <row r="1307" spans="1:10" s="3" customFormat="1" x14ac:dyDescent="0.25">
      <c r="A1307" s="20">
        <v>42077</v>
      </c>
      <c r="B1307" s="21">
        <v>14817</v>
      </c>
      <c r="C1307" s="14" t="s">
        <v>169</v>
      </c>
      <c r="D1307" s="105">
        <v>1411.8</v>
      </c>
      <c r="E1307" s="23">
        <v>42077</v>
      </c>
      <c r="F1307" s="106">
        <v>1411.8</v>
      </c>
      <c r="G1307" s="31">
        <f t="shared" si="20"/>
        <v>0</v>
      </c>
      <c r="H1307" s="39" t="s">
        <v>59</v>
      </c>
      <c r="J1307" s="42"/>
    </row>
    <row r="1308" spans="1:10" s="3" customFormat="1" x14ac:dyDescent="0.25">
      <c r="A1308" s="20">
        <v>42077</v>
      </c>
      <c r="B1308" s="21">
        <v>14818</v>
      </c>
      <c r="C1308" s="14" t="s">
        <v>185</v>
      </c>
      <c r="D1308" s="105">
        <v>94265.95</v>
      </c>
      <c r="E1308" s="23">
        <v>42077</v>
      </c>
      <c r="F1308" s="106">
        <v>94265.95</v>
      </c>
      <c r="G1308" s="31">
        <f t="shared" si="20"/>
        <v>0</v>
      </c>
      <c r="H1308" s="39" t="s">
        <v>46</v>
      </c>
      <c r="J1308" s="42"/>
    </row>
    <row r="1309" spans="1:10" s="3" customFormat="1" x14ac:dyDescent="0.25">
      <c r="A1309" s="20">
        <v>42077</v>
      </c>
      <c r="B1309" s="21">
        <v>14819</v>
      </c>
      <c r="C1309" s="14" t="s">
        <v>87</v>
      </c>
      <c r="D1309" s="105">
        <v>2188.8000000000002</v>
      </c>
      <c r="E1309" s="23">
        <v>42079</v>
      </c>
      <c r="F1309" s="106">
        <v>2188.8000000000002</v>
      </c>
      <c r="G1309" s="31">
        <f t="shared" si="20"/>
        <v>0</v>
      </c>
      <c r="H1309" s="39" t="s">
        <v>94</v>
      </c>
      <c r="J1309" s="42"/>
    </row>
    <row r="1310" spans="1:10" s="3" customFormat="1" x14ac:dyDescent="0.25">
      <c r="A1310" s="20">
        <v>42077</v>
      </c>
      <c r="B1310" s="21">
        <v>14820</v>
      </c>
      <c r="C1310" s="14" t="s">
        <v>367</v>
      </c>
      <c r="D1310" s="105">
        <v>4935</v>
      </c>
      <c r="E1310" s="30">
        <v>42109</v>
      </c>
      <c r="F1310" s="144">
        <v>4935</v>
      </c>
      <c r="G1310" s="31">
        <f t="shared" si="20"/>
        <v>0</v>
      </c>
      <c r="H1310" s="39" t="s">
        <v>17</v>
      </c>
      <c r="J1310" s="42"/>
    </row>
    <row r="1311" spans="1:10" s="3" customFormat="1" x14ac:dyDescent="0.25">
      <c r="A1311" s="20">
        <v>42077</v>
      </c>
      <c r="B1311" s="21">
        <v>14821</v>
      </c>
      <c r="C1311" s="14" t="s">
        <v>675</v>
      </c>
      <c r="D1311" s="105">
        <v>511.2</v>
      </c>
      <c r="E1311" s="23">
        <v>42077</v>
      </c>
      <c r="F1311" s="106">
        <v>511.2</v>
      </c>
      <c r="G1311" s="31">
        <f t="shared" si="20"/>
        <v>0</v>
      </c>
      <c r="H1311" s="19" t="s">
        <v>9</v>
      </c>
      <c r="J1311" s="42"/>
    </row>
    <row r="1312" spans="1:10" s="3" customFormat="1" x14ac:dyDescent="0.25">
      <c r="A1312" s="20">
        <v>42077</v>
      </c>
      <c r="B1312" s="21">
        <v>14822</v>
      </c>
      <c r="C1312" s="14" t="s">
        <v>811</v>
      </c>
      <c r="D1312" s="105">
        <v>2166</v>
      </c>
      <c r="E1312" s="23">
        <v>42077</v>
      </c>
      <c r="F1312" s="106">
        <v>2166</v>
      </c>
      <c r="G1312" s="31">
        <f t="shared" si="20"/>
        <v>0</v>
      </c>
      <c r="H1312" s="57" t="s">
        <v>9</v>
      </c>
      <c r="J1312" s="42"/>
    </row>
    <row r="1313" spans="1:10" s="3" customFormat="1" x14ac:dyDescent="0.25">
      <c r="A1313" s="20">
        <v>42077</v>
      </c>
      <c r="B1313" s="21">
        <v>14823</v>
      </c>
      <c r="C1313" s="14" t="s">
        <v>811</v>
      </c>
      <c r="D1313" s="105">
        <v>2034</v>
      </c>
      <c r="E1313" s="23">
        <v>42077</v>
      </c>
      <c r="F1313" s="106">
        <v>2034</v>
      </c>
      <c r="G1313" s="31">
        <f t="shared" si="20"/>
        <v>0</v>
      </c>
      <c r="H1313" s="19" t="s">
        <v>9</v>
      </c>
      <c r="J1313" s="42"/>
    </row>
    <row r="1314" spans="1:10" s="3" customFormat="1" x14ac:dyDescent="0.25">
      <c r="A1314" s="20">
        <v>42077</v>
      </c>
      <c r="B1314" s="21">
        <v>14824</v>
      </c>
      <c r="C1314" s="14" t="s">
        <v>141</v>
      </c>
      <c r="D1314" s="105">
        <v>16388.55</v>
      </c>
      <c r="E1314" s="23">
        <v>42089</v>
      </c>
      <c r="F1314" s="106">
        <v>16388.55</v>
      </c>
      <c r="G1314" s="31">
        <f t="shared" si="20"/>
        <v>0</v>
      </c>
      <c r="H1314" s="19" t="s">
        <v>94</v>
      </c>
      <c r="J1314" s="42"/>
    </row>
    <row r="1315" spans="1:10" s="3" customFormat="1" x14ac:dyDescent="0.25">
      <c r="A1315" s="20">
        <v>42077</v>
      </c>
      <c r="B1315" s="21">
        <v>14825</v>
      </c>
      <c r="C1315" s="14" t="s">
        <v>50</v>
      </c>
      <c r="D1315" s="105">
        <v>2560.8000000000002</v>
      </c>
      <c r="E1315" s="23">
        <v>42079</v>
      </c>
      <c r="F1315" s="106">
        <v>2560.8000000000002</v>
      </c>
      <c r="G1315" s="31">
        <f t="shared" si="20"/>
        <v>0</v>
      </c>
      <c r="H1315" s="19" t="s">
        <v>94</v>
      </c>
      <c r="J1315" s="42"/>
    </row>
    <row r="1316" spans="1:10" s="3" customFormat="1" x14ac:dyDescent="0.25">
      <c r="A1316" s="20">
        <v>42077</v>
      </c>
      <c r="B1316" s="21">
        <v>14826</v>
      </c>
      <c r="C1316" s="14" t="s">
        <v>100</v>
      </c>
      <c r="D1316" s="105">
        <v>2149.8000000000002</v>
      </c>
      <c r="E1316" s="23">
        <v>42077</v>
      </c>
      <c r="F1316" s="106">
        <v>2149.8000000000002</v>
      </c>
      <c r="G1316" s="31">
        <f t="shared" si="20"/>
        <v>0</v>
      </c>
      <c r="H1316" s="19" t="s">
        <v>9</v>
      </c>
      <c r="J1316" s="42"/>
    </row>
    <row r="1317" spans="1:10" s="3" customFormat="1" x14ac:dyDescent="0.25">
      <c r="A1317" s="20">
        <v>42077</v>
      </c>
      <c r="B1317" s="21">
        <v>14827</v>
      </c>
      <c r="C1317" s="14" t="s">
        <v>256</v>
      </c>
      <c r="D1317" s="105">
        <v>6328.2</v>
      </c>
      <c r="E1317" s="23">
        <v>42077</v>
      </c>
      <c r="F1317" s="106">
        <v>6328.2</v>
      </c>
      <c r="G1317" s="31">
        <f t="shared" si="20"/>
        <v>0</v>
      </c>
      <c r="H1317" s="19" t="s">
        <v>773</v>
      </c>
      <c r="J1317" s="42"/>
    </row>
    <row r="1318" spans="1:10" s="3" customFormat="1" x14ac:dyDescent="0.25">
      <c r="A1318" s="20">
        <v>42077</v>
      </c>
      <c r="B1318" s="21">
        <v>14828</v>
      </c>
      <c r="C1318" s="14" t="s">
        <v>228</v>
      </c>
      <c r="D1318" s="105">
        <v>2666.8</v>
      </c>
      <c r="E1318" s="23">
        <v>42077</v>
      </c>
      <c r="F1318" s="106">
        <v>2666.8</v>
      </c>
      <c r="G1318" s="31">
        <f t="shared" si="20"/>
        <v>0</v>
      </c>
      <c r="H1318" s="19" t="s">
        <v>9</v>
      </c>
      <c r="J1318" s="42"/>
    </row>
    <row r="1319" spans="1:10" s="3" customFormat="1" x14ac:dyDescent="0.25">
      <c r="A1319" s="20">
        <v>42077</v>
      </c>
      <c r="B1319" s="21">
        <v>14829</v>
      </c>
      <c r="C1319" s="14" t="s">
        <v>233</v>
      </c>
      <c r="D1319" s="105">
        <v>20066.2</v>
      </c>
      <c r="E1319" s="23">
        <v>42077</v>
      </c>
      <c r="F1319" s="106">
        <v>20066.2</v>
      </c>
      <c r="G1319" s="31">
        <f t="shared" si="20"/>
        <v>0</v>
      </c>
      <c r="H1319" s="19" t="s">
        <v>773</v>
      </c>
      <c r="J1319" s="42"/>
    </row>
    <row r="1320" spans="1:10" s="3" customFormat="1" x14ac:dyDescent="0.25">
      <c r="A1320" s="20">
        <v>42077</v>
      </c>
      <c r="B1320" s="21">
        <v>14830</v>
      </c>
      <c r="C1320" s="14" t="s">
        <v>71</v>
      </c>
      <c r="D1320" s="105">
        <v>7767.96</v>
      </c>
      <c r="E1320" s="23">
        <v>42077</v>
      </c>
      <c r="F1320" s="106">
        <v>7767.96</v>
      </c>
      <c r="G1320" s="31">
        <f t="shared" si="20"/>
        <v>0</v>
      </c>
      <c r="H1320" s="19" t="s">
        <v>9</v>
      </c>
      <c r="J1320" s="42"/>
    </row>
    <row r="1321" spans="1:10" s="3" customFormat="1" x14ac:dyDescent="0.25">
      <c r="A1321" s="20">
        <v>42077</v>
      </c>
      <c r="B1321" s="21">
        <v>14831</v>
      </c>
      <c r="C1321" s="14" t="s">
        <v>869</v>
      </c>
      <c r="D1321" s="105">
        <v>1304.0999999999999</v>
      </c>
      <c r="E1321" s="23">
        <v>42077</v>
      </c>
      <c r="F1321" s="106">
        <v>1304.0999999999999</v>
      </c>
      <c r="G1321" s="31">
        <f t="shared" si="20"/>
        <v>0</v>
      </c>
      <c r="H1321" s="19" t="s">
        <v>9</v>
      </c>
      <c r="J1321" s="42"/>
    </row>
    <row r="1322" spans="1:10" s="3" customFormat="1" x14ac:dyDescent="0.25">
      <c r="A1322" s="20">
        <v>42077</v>
      </c>
      <c r="B1322" s="21">
        <v>14832</v>
      </c>
      <c r="C1322" s="14" t="s">
        <v>56</v>
      </c>
      <c r="D1322" s="105">
        <v>435.2</v>
      </c>
      <c r="E1322" s="23">
        <v>42077</v>
      </c>
      <c r="F1322" s="106">
        <v>435.2</v>
      </c>
      <c r="G1322" s="31">
        <f t="shared" si="20"/>
        <v>0</v>
      </c>
      <c r="H1322" s="19" t="s">
        <v>773</v>
      </c>
      <c r="J1322" s="42"/>
    </row>
    <row r="1323" spans="1:10" s="3" customFormat="1" x14ac:dyDescent="0.25">
      <c r="A1323" s="20">
        <v>42077</v>
      </c>
      <c r="B1323" s="21">
        <v>14833</v>
      </c>
      <c r="C1323" s="14" t="s">
        <v>154</v>
      </c>
      <c r="D1323" s="105">
        <v>18806.5</v>
      </c>
      <c r="E1323" s="23">
        <v>42077</v>
      </c>
      <c r="F1323" s="106">
        <v>18806.5</v>
      </c>
      <c r="G1323" s="31">
        <f t="shared" si="20"/>
        <v>0</v>
      </c>
      <c r="H1323" s="19" t="s">
        <v>773</v>
      </c>
      <c r="J1323" s="42"/>
    </row>
    <row r="1324" spans="1:10" s="3" customFormat="1" x14ac:dyDescent="0.25">
      <c r="A1324" s="20">
        <v>42077</v>
      </c>
      <c r="B1324" s="21">
        <v>14834</v>
      </c>
      <c r="C1324" s="14" t="s">
        <v>14</v>
      </c>
      <c r="D1324" s="105">
        <v>208108.75</v>
      </c>
      <c r="E1324" s="23">
        <v>42089</v>
      </c>
      <c r="F1324" s="106">
        <v>208108.75</v>
      </c>
      <c r="G1324" s="31">
        <f t="shared" si="20"/>
        <v>0</v>
      </c>
      <c r="H1324" s="19" t="s">
        <v>183</v>
      </c>
      <c r="J1324" s="42"/>
    </row>
    <row r="1325" spans="1:10" s="3" customFormat="1" x14ac:dyDescent="0.25">
      <c r="A1325" s="20">
        <v>42077</v>
      </c>
      <c r="B1325" s="21">
        <v>14835</v>
      </c>
      <c r="C1325" s="26" t="s">
        <v>218</v>
      </c>
      <c r="D1325" s="108">
        <v>0</v>
      </c>
      <c r="E1325" s="23"/>
      <c r="F1325" s="106"/>
      <c r="G1325" s="31">
        <f t="shared" si="20"/>
        <v>0</v>
      </c>
      <c r="H1325" s="19" t="s">
        <v>13</v>
      </c>
      <c r="J1325" s="42"/>
    </row>
    <row r="1326" spans="1:10" s="3" customFormat="1" x14ac:dyDescent="0.25">
      <c r="A1326" s="20">
        <v>42077</v>
      </c>
      <c r="B1326" s="21">
        <v>14836</v>
      </c>
      <c r="C1326" s="14" t="s">
        <v>49</v>
      </c>
      <c r="D1326" s="105">
        <v>1556</v>
      </c>
      <c r="E1326" s="23">
        <v>42079</v>
      </c>
      <c r="F1326" s="106">
        <v>1556</v>
      </c>
      <c r="G1326" s="31">
        <f t="shared" si="20"/>
        <v>0</v>
      </c>
      <c r="H1326" s="19" t="s">
        <v>94</v>
      </c>
      <c r="J1326" s="42"/>
    </row>
    <row r="1327" spans="1:10" s="3" customFormat="1" x14ac:dyDescent="0.25">
      <c r="A1327" s="20">
        <v>42077</v>
      </c>
      <c r="B1327" s="21">
        <v>14837</v>
      </c>
      <c r="C1327" s="14" t="s">
        <v>135</v>
      </c>
      <c r="D1327" s="105">
        <v>6942.6</v>
      </c>
      <c r="E1327" s="23">
        <v>42079</v>
      </c>
      <c r="F1327" s="106">
        <v>6942.6</v>
      </c>
      <c r="G1327" s="31">
        <f t="shared" si="20"/>
        <v>0</v>
      </c>
      <c r="H1327" s="19" t="s">
        <v>62</v>
      </c>
      <c r="J1327" s="42"/>
    </row>
    <row r="1328" spans="1:10" s="3" customFormat="1" x14ac:dyDescent="0.25">
      <c r="A1328" s="20">
        <v>42077</v>
      </c>
      <c r="B1328" s="21">
        <v>14838</v>
      </c>
      <c r="C1328" s="14" t="s">
        <v>128</v>
      </c>
      <c r="D1328" s="105">
        <v>4468.8</v>
      </c>
      <c r="E1328" s="23">
        <v>42079</v>
      </c>
      <c r="F1328" s="106">
        <v>4468.8</v>
      </c>
      <c r="G1328" s="31">
        <f t="shared" si="20"/>
        <v>0</v>
      </c>
      <c r="H1328" s="19" t="s">
        <v>94</v>
      </c>
      <c r="J1328" s="42"/>
    </row>
    <row r="1329" spans="1:10" s="3" customFormat="1" x14ac:dyDescent="0.25">
      <c r="A1329" s="20">
        <v>42077</v>
      </c>
      <c r="B1329" s="21">
        <v>14839</v>
      </c>
      <c r="C1329" s="14" t="s">
        <v>66</v>
      </c>
      <c r="D1329" s="105">
        <v>145.80000000000001</v>
      </c>
      <c r="E1329" s="23">
        <v>42077</v>
      </c>
      <c r="F1329" s="106">
        <v>145.80000000000001</v>
      </c>
      <c r="G1329" s="31">
        <f t="shared" si="20"/>
        <v>0</v>
      </c>
      <c r="H1329" s="19" t="s">
        <v>9</v>
      </c>
      <c r="J1329" s="42"/>
    </row>
    <row r="1330" spans="1:10" s="3" customFormat="1" x14ac:dyDescent="0.25">
      <c r="A1330" s="20">
        <v>42077</v>
      </c>
      <c r="B1330" s="21">
        <v>14840</v>
      </c>
      <c r="C1330" s="14" t="s">
        <v>125</v>
      </c>
      <c r="D1330" s="105">
        <v>7313.8</v>
      </c>
      <c r="E1330" s="23">
        <v>42083</v>
      </c>
      <c r="F1330" s="106">
        <v>7313.8</v>
      </c>
      <c r="G1330" s="31">
        <f t="shared" si="20"/>
        <v>0</v>
      </c>
      <c r="H1330" s="19" t="s">
        <v>94</v>
      </c>
      <c r="J1330" s="42"/>
    </row>
    <row r="1331" spans="1:10" s="3" customFormat="1" x14ac:dyDescent="0.25">
      <c r="A1331" s="20">
        <v>42077</v>
      </c>
      <c r="B1331" s="21">
        <v>14841</v>
      </c>
      <c r="C1331" s="14" t="s">
        <v>96</v>
      </c>
      <c r="D1331" s="105">
        <v>1625.5</v>
      </c>
      <c r="E1331" s="23">
        <v>42079</v>
      </c>
      <c r="F1331" s="106">
        <v>1625.5</v>
      </c>
      <c r="G1331" s="31">
        <f t="shared" si="20"/>
        <v>0</v>
      </c>
      <c r="H1331" s="19" t="s">
        <v>94</v>
      </c>
      <c r="I1331" s="4"/>
      <c r="J1331" s="43"/>
    </row>
    <row r="1332" spans="1:10" s="3" customFormat="1" x14ac:dyDescent="0.25">
      <c r="A1332" s="20">
        <v>42077</v>
      </c>
      <c r="B1332" s="21">
        <v>14842</v>
      </c>
      <c r="C1332" s="14" t="s">
        <v>223</v>
      </c>
      <c r="D1332" s="105">
        <v>787.2</v>
      </c>
      <c r="E1332" s="23">
        <v>42079</v>
      </c>
      <c r="F1332" s="106">
        <v>787.2</v>
      </c>
      <c r="G1332" s="31">
        <f t="shared" si="20"/>
        <v>0</v>
      </c>
      <c r="H1332" s="19" t="s">
        <v>9</v>
      </c>
      <c r="I1332" s="4"/>
      <c r="J1332" s="43"/>
    </row>
    <row r="1333" spans="1:10" s="3" customFormat="1" x14ac:dyDescent="0.25">
      <c r="A1333" s="20">
        <v>42077</v>
      </c>
      <c r="B1333" s="21">
        <v>14843</v>
      </c>
      <c r="C1333" s="14" t="s">
        <v>93</v>
      </c>
      <c r="D1333" s="105">
        <v>2937.4</v>
      </c>
      <c r="E1333" s="23">
        <v>42079</v>
      </c>
      <c r="F1333" s="106">
        <v>2937.4</v>
      </c>
      <c r="G1333" s="31">
        <f t="shared" si="20"/>
        <v>0</v>
      </c>
      <c r="H1333" s="19" t="s">
        <v>94</v>
      </c>
      <c r="I1333" s="4"/>
      <c r="J1333" s="43"/>
    </row>
    <row r="1334" spans="1:10" s="3" customFormat="1" x14ac:dyDescent="0.25">
      <c r="A1334" s="20">
        <v>42077</v>
      </c>
      <c r="B1334" s="21">
        <v>14844</v>
      </c>
      <c r="C1334" s="14" t="s">
        <v>95</v>
      </c>
      <c r="D1334" s="105">
        <v>5208.8</v>
      </c>
      <c r="E1334" s="23">
        <v>42079</v>
      </c>
      <c r="F1334" s="106">
        <v>5208.8</v>
      </c>
      <c r="G1334" s="31">
        <f t="shared" si="20"/>
        <v>0</v>
      </c>
      <c r="H1334" s="19" t="s">
        <v>94</v>
      </c>
      <c r="I1334" s="4"/>
      <c r="J1334" s="43"/>
    </row>
    <row r="1335" spans="1:10" s="3" customFormat="1" x14ac:dyDescent="0.25">
      <c r="A1335" s="20">
        <v>42077</v>
      </c>
      <c r="B1335" s="21">
        <v>14845</v>
      </c>
      <c r="C1335" s="14" t="s">
        <v>294</v>
      </c>
      <c r="D1335" s="105">
        <v>2266.1999999999998</v>
      </c>
      <c r="E1335" s="23">
        <v>42077</v>
      </c>
      <c r="F1335" s="106">
        <v>2266.1999999999998</v>
      </c>
      <c r="G1335" s="31">
        <f t="shared" si="20"/>
        <v>0</v>
      </c>
      <c r="H1335" s="19" t="s">
        <v>9</v>
      </c>
      <c r="I1335" s="4"/>
      <c r="J1335" s="43"/>
    </row>
    <row r="1336" spans="1:10" s="3" customFormat="1" x14ac:dyDescent="0.25">
      <c r="A1336" s="20">
        <v>42077</v>
      </c>
      <c r="B1336" s="21">
        <v>14846</v>
      </c>
      <c r="C1336" s="14" t="s">
        <v>98</v>
      </c>
      <c r="D1336" s="105">
        <v>1536</v>
      </c>
      <c r="E1336" s="23">
        <v>42082</v>
      </c>
      <c r="F1336" s="106">
        <v>1536</v>
      </c>
      <c r="G1336" s="31">
        <f t="shared" si="20"/>
        <v>0</v>
      </c>
      <c r="H1336" s="19" t="s">
        <v>94</v>
      </c>
      <c r="I1336" s="4"/>
      <c r="J1336" s="43"/>
    </row>
    <row r="1337" spans="1:10" s="3" customFormat="1" x14ac:dyDescent="0.25">
      <c r="A1337" s="20">
        <v>42077</v>
      </c>
      <c r="B1337" s="21">
        <v>14847</v>
      </c>
      <c r="C1337" s="14" t="s">
        <v>102</v>
      </c>
      <c r="D1337" s="105">
        <v>2499.1999999999998</v>
      </c>
      <c r="E1337" s="23">
        <v>42077</v>
      </c>
      <c r="F1337" s="106">
        <v>2499.1999999999998</v>
      </c>
      <c r="G1337" s="31">
        <f t="shared" si="20"/>
        <v>0</v>
      </c>
      <c r="H1337" s="19" t="s">
        <v>9</v>
      </c>
      <c r="I1337" s="4"/>
      <c r="J1337" s="43"/>
    </row>
    <row r="1338" spans="1:10" s="3" customFormat="1" x14ac:dyDescent="0.25">
      <c r="A1338" s="20">
        <v>42077</v>
      </c>
      <c r="B1338" s="21">
        <v>14848</v>
      </c>
      <c r="C1338" s="14" t="s">
        <v>89</v>
      </c>
      <c r="D1338" s="105">
        <v>3324.8</v>
      </c>
      <c r="E1338" s="23">
        <v>42077</v>
      </c>
      <c r="F1338" s="106">
        <v>3324.8</v>
      </c>
      <c r="G1338" s="31">
        <f t="shared" si="20"/>
        <v>0</v>
      </c>
      <c r="H1338" s="19" t="s">
        <v>9</v>
      </c>
      <c r="I1338" s="4"/>
      <c r="J1338" s="43"/>
    </row>
    <row r="1339" spans="1:10" s="3" customFormat="1" x14ac:dyDescent="0.25">
      <c r="A1339" s="20">
        <v>42077</v>
      </c>
      <c r="B1339" s="21">
        <v>14849</v>
      </c>
      <c r="C1339" s="14" t="s">
        <v>38</v>
      </c>
      <c r="D1339" s="105">
        <v>34102</v>
      </c>
      <c r="E1339" s="30" t="s">
        <v>985</v>
      </c>
      <c r="F1339" s="144">
        <f>47.6+34054.4</f>
        <v>34102</v>
      </c>
      <c r="G1339" s="31">
        <f t="shared" si="20"/>
        <v>0</v>
      </c>
      <c r="H1339" s="19" t="s">
        <v>17</v>
      </c>
      <c r="I1339" s="4"/>
      <c r="J1339" s="43"/>
    </row>
    <row r="1340" spans="1:10" s="3" customFormat="1" x14ac:dyDescent="0.25">
      <c r="A1340" s="20">
        <v>42077</v>
      </c>
      <c r="B1340" s="21">
        <v>14850</v>
      </c>
      <c r="C1340" s="14" t="s">
        <v>47</v>
      </c>
      <c r="D1340" s="105">
        <v>21527.8</v>
      </c>
      <c r="E1340" s="23">
        <v>42077</v>
      </c>
      <c r="F1340" s="106">
        <v>21527.8</v>
      </c>
      <c r="G1340" s="31">
        <f t="shared" si="20"/>
        <v>0</v>
      </c>
      <c r="H1340" s="19" t="s">
        <v>9</v>
      </c>
      <c r="I1340" s="4"/>
      <c r="J1340" s="43"/>
    </row>
    <row r="1341" spans="1:10" s="3" customFormat="1" x14ac:dyDescent="0.25">
      <c r="A1341" s="20">
        <v>42077</v>
      </c>
      <c r="B1341" s="21">
        <v>14851</v>
      </c>
      <c r="C1341" s="14" t="s">
        <v>18</v>
      </c>
      <c r="D1341" s="105">
        <v>121284.8</v>
      </c>
      <c r="E1341" s="23">
        <v>42087</v>
      </c>
      <c r="F1341" s="106">
        <v>121284.8</v>
      </c>
      <c r="G1341" s="31">
        <f t="shared" si="20"/>
        <v>0</v>
      </c>
      <c r="H1341" s="19" t="s">
        <v>19</v>
      </c>
      <c r="I1341" s="4"/>
      <c r="J1341" s="43"/>
    </row>
    <row r="1342" spans="1:10" s="3" customFormat="1" x14ac:dyDescent="0.25">
      <c r="A1342" s="20">
        <v>42077</v>
      </c>
      <c r="B1342" s="21">
        <v>14852</v>
      </c>
      <c r="C1342" s="14" t="s">
        <v>191</v>
      </c>
      <c r="D1342" s="105">
        <v>12716.2</v>
      </c>
      <c r="E1342" s="23">
        <v>42077</v>
      </c>
      <c r="F1342" s="106">
        <v>12716.2</v>
      </c>
      <c r="G1342" s="31">
        <f t="shared" si="20"/>
        <v>0</v>
      </c>
      <c r="H1342" s="19" t="s">
        <v>9</v>
      </c>
      <c r="I1342" s="4"/>
      <c r="J1342" s="43"/>
    </row>
    <row r="1343" spans="1:10" s="3" customFormat="1" x14ac:dyDescent="0.25">
      <c r="A1343" s="20">
        <v>42077</v>
      </c>
      <c r="B1343" s="21">
        <v>14853</v>
      </c>
      <c r="C1343" s="14" t="s">
        <v>34</v>
      </c>
      <c r="D1343" s="105">
        <v>144</v>
      </c>
      <c r="E1343" s="23">
        <v>42077</v>
      </c>
      <c r="F1343" s="106">
        <v>144</v>
      </c>
      <c r="G1343" s="31">
        <f t="shared" si="20"/>
        <v>0</v>
      </c>
      <c r="H1343" s="19" t="s">
        <v>9</v>
      </c>
      <c r="I1343" s="4"/>
      <c r="J1343" s="43"/>
    </row>
    <row r="1344" spans="1:10" s="3" customFormat="1" x14ac:dyDescent="0.25">
      <c r="A1344" s="20">
        <v>42077</v>
      </c>
      <c r="B1344" s="21">
        <v>14854</v>
      </c>
      <c r="C1344" s="14" t="s">
        <v>225</v>
      </c>
      <c r="D1344" s="105">
        <v>2619.6</v>
      </c>
      <c r="E1344" s="23">
        <v>42077</v>
      </c>
      <c r="F1344" s="106">
        <v>2619.6</v>
      </c>
      <c r="G1344" s="31">
        <f t="shared" si="20"/>
        <v>0</v>
      </c>
      <c r="H1344" s="19" t="s">
        <v>9</v>
      </c>
      <c r="I1344" s="4"/>
      <c r="J1344" s="43"/>
    </row>
    <row r="1345" spans="1:10" s="3" customFormat="1" x14ac:dyDescent="0.25">
      <c r="A1345" s="20">
        <v>42077</v>
      </c>
      <c r="B1345" s="21">
        <v>14855</v>
      </c>
      <c r="C1345" s="14" t="s">
        <v>136</v>
      </c>
      <c r="D1345" s="105">
        <v>3039.6</v>
      </c>
      <c r="E1345" s="23">
        <v>42077</v>
      </c>
      <c r="F1345" s="106">
        <v>3039.6</v>
      </c>
      <c r="G1345" s="31">
        <f t="shared" si="20"/>
        <v>0</v>
      </c>
      <c r="H1345" s="19" t="s">
        <v>9</v>
      </c>
      <c r="I1345" s="4"/>
      <c r="J1345" s="107"/>
    </row>
    <row r="1346" spans="1:10" s="3" customFormat="1" x14ac:dyDescent="0.25">
      <c r="A1346" s="20">
        <v>42077</v>
      </c>
      <c r="B1346" s="21">
        <v>14856</v>
      </c>
      <c r="C1346" s="14" t="s">
        <v>136</v>
      </c>
      <c r="D1346" s="105">
        <v>34176.800000000003</v>
      </c>
      <c r="E1346" s="29" t="s">
        <v>870</v>
      </c>
      <c r="F1346" s="106">
        <f>5000+29176.8</f>
        <v>34176.800000000003</v>
      </c>
      <c r="G1346" s="31">
        <f t="shared" si="20"/>
        <v>0</v>
      </c>
      <c r="H1346" s="19" t="s">
        <v>9</v>
      </c>
      <c r="I1346" s="4"/>
      <c r="J1346" s="107"/>
    </row>
    <row r="1347" spans="1:10" s="3" customFormat="1" x14ac:dyDescent="0.25">
      <c r="A1347" s="20">
        <v>42077</v>
      </c>
      <c r="B1347" s="21">
        <v>14857</v>
      </c>
      <c r="C1347" s="14" t="s">
        <v>140</v>
      </c>
      <c r="D1347" s="105">
        <v>5610</v>
      </c>
      <c r="E1347" s="23">
        <v>42079</v>
      </c>
      <c r="F1347" s="106">
        <v>5610</v>
      </c>
      <c r="G1347" s="31">
        <f t="shared" ref="G1347:G1410" si="21">D1347-F1347</f>
        <v>0</v>
      </c>
      <c r="H1347" s="19" t="s">
        <v>17</v>
      </c>
      <c r="I1347" s="4"/>
      <c r="J1347" s="107"/>
    </row>
    <row r="1348" spans="1:10" s="3" customFormat="1" x14ac:dyDescent="0.25">
      <c r="A1348" s="20">
        <v>42077</v>
      </c>
      <c r="B1348" s="21">
        <v>14858</v>
      </c>
      <c r="C1348" s="14" t="s">
        <v>179</v>
      </c>
      <c r="D1348" s="105">
        <v>4881.3</v>
      </c>
      <c r="E1348" s="23">
        <v>42079</v>
      </c>
      <c r="F1348" s="106">
        <v>4881.3</v>
      </c>
      <c r="G1348" s="31">
        <f t="shared" si="21"/>
        <v>0</v>
      </c>
      <c r="H1348" s="19" t="s">
        <v>17</v>
      </c>
      <c r="I1348" s="4"/>
      <c r="J1348" s="107"/>
    </row>
    <row r="1349" spans="1:10" s="3" customFormat="1" x14ac:dyDescent="0.25">
      <c r="A1349" s="20">
        <v>42077</v>
      </c>
      <c r="B1349" s="21">
        <v>14859</v>
      </c>
      <c r="C1349" s="14" t="s">
        <v>411</v>
      </c>
      <c r="D1349" s="105">
        <v>1844.6</v>
      </c>
      <c r="E1349" s="23">
        <v>42077</v>
      </c>
      <c r="F1349" s="106">
        <v>1844.6</v>
      </c>
      <c r="G1349" s="31">
        <f t="shared" si="21"/>
        <v>0</v>
      </c>
      <c r="H1349" s="19" t="s">
        <v>9</v>
      </c>
      <c r="I1349" s="4"/>
      <c r="J1349" s="107"/>
    </row>
    <row r="1350" spans="1:10" s="3" customFormat="1" x14ac:dyDescent="0.25">
      <c r="A1350" s="20">
        <v>42077</v>
      </c>
      <c r="B1350" s="21">
        <v>14860</v>
      </c>
      <c r="C1350" s="14" t="s">
        <v>22</v>
      </c>
      <c r="D1350" s="105">
        <v>17942</v>
      </c>
      <c r="E1350" s="23">
        <v>42084</v>
      </c>
      <c r="F1350" s="106">
        <v>17942</v>
      </c>
      <c r="G1350" s="31">
        <f t="shared" si="21"/>
        <v>0</v>
      </c>
      <c r="H1350" s="19" t="s">
        <v>9</v>
      </c>
      <c r="I1350" s="4"/>
      <c r="J1350" s="43"/>
    </row>
    <row r="1351" spans="1:10" s="3" customFormat="1" x14ac:dyDescent="0.25">
      <c r="A1351" s="20">
        <v>42077</v>
      </c>
      <c r="B1351" s="21">
        <v>14861</v>
      </c>
      <c r="C1351" s="14" t="s">
        <v>834</v>
      </c>
      <c r="D1351" s="105">
        <v>4092.7</v>
      </c>
      <c r="E1351" s="23">
        <v>42077</v>
      </c>
      <c r="F1351" s="106">
        <v>4092.7</v>
      </c>
      <c r="G1351" s="31">
        <f t="shared" si="21"/>
        <v>0</v>
      </c>
      <c r="H1351" s="19" t="s">
        <v>9</v>
      </c>
      <c r="I1351" s="4"/>
      <c r="J1351" s="43"/>
    </row>
    <row r="1352" spans="1:10" s="3" customFormat="1" x14ac:dyDescent="0.25">
      <c r="A1352" s="20">
        <v>42077</v>
      </c>
      <c r="B1352" s="21">
        <v>14862</v>
      </c>
      <c r="C1352" s="14" t="s">
        <v>14</v>
      </c>
      <c r="D1352" s="105">
        <v>138515</v>
      </c>
      <c r="E1352" s="23">
        <v>42089</v>
      </c>
      <c r="F1352" s="106">
        <v>138515</v>
      </c>
      <c r="G1352" s="31">
        <f t="shared" si="21"/>
        <v>0</v>
      </c>
      <c r="H1352" s="19" t="s">
        <v>9</v>
      </c>
      <c r="I1352" s="4"/>
      <c r="J1352" s="43"/>
    </row>
    <row r="1353" spans="1:10" s="3" customFormat="1" x14ac:dyDescent="0.25">
      <c r="A1353" s="20">
        <v>42077</v>
      </c>
      <c r="B1353" s="21">
        <v>14863</v>
      </c>
      <c r="C1353" s="14" t="s">
        <v>24</v>
      </c>
      <c r="D1353" s="105">
        <v>286703.40000000002</v>
      </c>
      <c r="E1353" s="23">
        <v>42093</v>
      </c>
      <c r="F1353" s="106">
        <v>286703.40000000002</v>
      </c>
      <c r="G1353" s="31">
        <f t="shared" si="21"/>
        <v>0</v>
      </c>
      <c r="H1353" s="19" t="s">
        <v>46</v>
      </c>
      <c r="I1353" s="4"/>
      <c r="J1353" s="43"/>
    </row>
    <row r="1354" spans="1:10" s="3" customFormat="1" x14ac:dyDescent="0.25">
      <c r="A1354" s="20">
        <v>42077</v>
      </c>
      <c r="B1354" s="21">
        <v>14864</v>
      </c>
      <c r="C1354" s="14" t="s">
        <v>24</v>
      </c>
      <c r="D1354" s="105">
        <v>2000</v>
      </c>
      <c r="E1354" s="23">
        <v>42087</v>
      </c>
      <c r="F1354" s="106">
        <v>2000</v>
      </c>
      <c r="G1354" s="31">
        <f t="shared" si="21"/>
        <v>0</v>
      </c>
      <c r="H1354" s="19" t="s">
        <v>46</v>
      </c>
      <c r="I1354" s="4"/>
      <c r="J1354" s="43"/>
    </row>
    <row r="1355" spans="1:10" s="3" customFormat="1" x14ac:dyDescent="0.25">
      <c r="A1355" s="20">
        <v>42077</v>
      </c>
      <c r="B1355" s="21">
        <v>14865</v>
      </c>
      <c r="C1355" s="150" t="s">
        <v>18</v>
      </c>
      <c r="D1355" s="105">
        <v>141665.1</v>
      </c>
      <c r="E1355" s="23">
        <v>42087</v>
      </c>
      <c r="F1355" s="106">
        <v>141665.1</v>
      </c>
      <c r="G1355" s="31">
        <f t="shared" si="21"/>
        <v>0</v>
      </c>
      <c r="H1355" s="19" t="s">
        <v>187</v>
      </c>
      <c r="I1355" s="4"/>
      <c r="J1355" s="43"/>
    </row>
    <row r="1356" spans="1:10" s="3" customFormat="1" x14ac:dyDescent="0.25">
      <c r="A1356" s="20">
        <v>42077</v>
      </c>
      <c r="B1356" s="21">
        <v>14866</v>
      </c>
      <c r="C1356" s="14" t="s">
        <v>24</v>
      </c>
      <c r="D1356" s="105">
        <v>11486.8</v>
      </c>
      <c r="E1356" s="23">
        <v>42087</v>
      </c>
      <c r="F1356" s="106">
        <v>11486.8</v>
      </c>
      <c r="G1356" s="31">
        <f t="shared" si="21"/>
        <v>0</v>
      </c>
      <c r="H1356" s="19" t="s">
        <v>187</v>
      </c>
      <c r="I1356" s="4"/>
      <c r="J1356" s="43"/>
    </row>
    <row r="1357" spans="1:10" s="3" customFormat="1" x14ac:dyDescent="0.25">
      <c r="A1357" s="20">
        <v>42077</v>
      </c>
      <c r="B1357" s="21">
        <v>14867</v>
      </c>
      <c r="C1357" s="14" t="s">
        <v>111</v>
      </c>
      <c r="D1357" s="105">
        <v>279164</v>
      </c>
      <c r="E1357" s="23">
        <v>42081</v>
      </c>
      <c r="F1357" s="106">
        <v>279164</v>
      </c>
      <c r="G1357" s="31">
        <f t="shared" si="21"/>
        <v>0</v>
      </c>
      <c r="H1357" s="19" t="s">
        <v>9</v>
      </c>
      <c r="I1357" s="4"/>
      <c r="J1357" s="43"/>
    </row>
    <row r="1358" spans="1:10" s="3" customFormat="1" x14ac:dyDescent="0.25">
      <c r="A1358" s="20">
        <v>42077</v>
      </c>
      <c r="B1358" s="21">
        <v>14868</v>
      </c>
      <c r="C1358" s="14" t="s">
        <v>42</v>
      </c>
      <c r="D1358" s="105">
        <v>800</v>
      </c>
      <c r="E1358" s="23">
        <v>42077</v>
      </c>
      <c r="F1358" s="106">
        <v>800</v>
      </c>
      <c r="G1358" s="31">
        <f t="shared" si="21"/>
        <v>0</v>
      </c>
      <c r="H1358" s="19" t="s">
        <v>9</v>
      </c>
      <c r="I1358" s="4"/>
      <c r="J1358" s="43"/>
    </row>
    <row r="1359" spans="1:10" s="3" customFormat="1" x14ac:dyDescent="0.25">
      <c r="A1359" s="20">
        <v>42077</v>
      </c>
      <c r="B1359" s="21">
        <v>14869</v>
      </c>
      <c r="C1359" s="14" t="s">
        <v>145</v>
      </c>
      <c r="D1359" s="105">
        <v>360</v>
      </c>
      <c r="E1359" s="23">
        <v>42077</v>
      </c>
      <c r="F1359" s="106">
        <v>360</v>
      </c>
      <c r="G1359" s="31">
        <f t="shared" si="21"/>
        <v>0</v>
      </c>
      <c r="H1359" s="19" t="s">
        <v>9</v>
      </c>
      <c r="I1359" s="4"/>
      <c r="J1359" s="43"/>
    </row>
    <row r="1360" spans="1:10" s="3" customFormat="1" x14ac:dyDescent="0.25">
      <c r="A1360" s="20">
        <v>42077</v>
      </c>
      <c r="B1360" s="21">
        <v>14870</v>
      </c>
      <c r="C1360" s="14" t="s">
        <v>145</v>
      </c>
      <c r="D1360" s="105">
        <v>80</v>
      </c>
      <c r="E1360" s="23">
        <v>42077</v>
      </c>
      <c r="F1360" s="106">
        <v>80</v>
      </c>
      <c r="G1360" s="31">
        <f t="shared" si="21"/>
        <v>0</v>
      </c>
      <c r="H1360" s="19" t="s">
        <v>9</v>
      </c>
      <c r="I1360" s="4"/>
      <c r="J1360" s="43"/>
    </row>
    <row r="1361" spans="1:10" s="3" customFormat="1" x14ac:dyDescent="0.25">
      <c r="A1361" s="20">
        <v>42077</v>
      </c>
      <c r="B1361" s="21">
        <v>14871</v>
      </c>
      <c r="C1361" s="14" t="s">
        <v>871</v>
      </c>
      <c r="D1361" s="105">
        <v>1505.4</v>
      </c>
      <c r="E1361" s="23">
        <v>42077</v>
      </c>
      <c r="F1361" s="106">
        <v>1505.4</v>
      </c>
      <c r="G1361" s="31">
        <f t="shared" si="21"/>
        <v>0</v>
      </c>
      <c r="H1361" s="19" t="s">
        <v>9</v>
      </c>
      <c r="I1361" s="4"/>
      <c r="J1361" s="43"/>
    </row>
    <row r="1362" spans="1:10" s="3" customFormat="1" x14ac:dyDescent="0.25">
      <c r="A1362" s="20">
        <v>42077</v>
      </c>
      <c r="B1362" s="21">
        <v>14872</v>
      </c>
      <c r="C1362" s="14" t="s">
        <v>829</v>
      </c>
      <c r="D1362" s="105">
        <v>10416.200000000001</v>
      </c>
      <c r="E1362" s="23">
        <v>42077</v>
      </c>
      <c r="F1362" s="106">
        <v>10416.200000000001</v>
      </c>
      <c r="G1362" s="31">
        <f t="shared" si="21"/>
        <v>0</v>
      </c>
      <c r="H1362" s="19" t="s">
        <v>9</v>
      </c>
      <c r="I1362" s="4"/>
      <c r="J1362" s="43"/>
    </row>
    <row r="1363" spans="1:10" s="3" customFormat="1" x14ac:dyDescent="0.25">
      <c r="A1363" s="20">
        <v>42077</v>
      </c>
      <c r="B1363" s="21">
        <v>14873</v>
      </c>
      <c r="C1363" s="14" t="s">
        <v>697</v>
      </c>
      <c r="D1363" s="105">
        <v>20966.400000000001</v>
      </c>
      <c r="E1363" s="23">
        <v>42087</v>
      </c>
      <c r="F1363" s="106">
        <v>20966.400000000001</v>
      </c>
      <c r="G1363" s="31">
        <f t="shared" si="21"/>
        <v>0</v>
      </c>
      <c r="H1363" s="19" t="s">
        <v>9</v>
      </c>
      <c r="J1363" s="42"/>
    </row>
    <row r="1364" spans="1:10" s="3" customFormat="1" x14ac:dyDescent="0.25">
      <c r="A1364" s="20">
        <v>42077</v>
      </c>
      <c r="B1364" s="21">
        <v>14874</v>
      </c>
      <c r="C1364" s="14" t="s">
        <v>102</v>
      </c>
      <c r="D1364" s="105">
        <v>2283.6</v>
      </c>
      <c r="E1364" s="23">
        <v>42077</v>
      </c>
      <c r="F1364" s="106">
        <v>2283.6</v>
      </c>
      <c r="G1364" s="31">
        <f t="shared" si="21"/>
        <v>0</v>
      </c>
      <c r="H1364" s="19" t="s">
        <v>9</v>
      </c>
      <c r="J1364" s="42"/>
    </row>
    <row r="1365" spans="1:10" s="3" customFormat="1" x14ac:dyDescent="0.25">
      <c r="A1365" s="20">
        <v>42077</v>
      </c>
      <c r="B1365" s="21">
        <v>14875</v>
      </c>
      <c r="C1365" s="14" t="s">
        <v>64</v>
      </c>
      <c r="D1365" s="105">
        <v>1723.8</v>
      </c>
      <c r="E1365" s="23">
        <v>42077</v>
      </c>
      <c r="F1365" s="106">
        <v>1723.8</v>
      </c>
      <c r="G1365" s="31">
        <f t="shared" si="21"/>
        <v>0</v>
      </c>
      <c r="H1365" s="19" t="s">
        <v>9</v>
      </c>
      <c r="J1365" s="42"/>
    </row>
    <row r="1366" spans="1:10" s="3" customFormat="1" x14ac:dyDescent="0.25">
      <c r="A1366" s="20">
        <v>42077</v>
      </c>
      <c r="B1366" s="21">
        <v>14876</v>
      </c>
      <c r="C1366" s="14" t="s">
        <v>267</v>
      </c>
      <c r="D1366" s="105">
        <v>4289.54</v>
      </c>
      <c r="E1366" s="23">
        <v>42079</v>
      </c>
      <c r="F1366" s="106">
        <v>4289.54</v>
      </c>
      <c r="G1366" s="31">
        <f t="shared" si="21"/>
        <v>0</v>
      </c>
      <c r="H1366" s="19" t="s">
        <v>15</v>
      </c>
      <c r="J1366" s="42"/>
    </row>
    <row r="1367" spans="1:10" s="3" customFormat="1" x14ac:dyDescent="0.25">
      <c r="A1367" s="20">
        <v>42077</v>
      </c>
      <c r="B1367" s="21">
        <v>14877</v>
      </c>
      <c r="C1367" s="14" t="s">
        <v>42</v>
      </c>
      <c r="D1367" s="105">
        <v>226.8</v>
      </c>
      <c r="E1367" s="23">
        <v>42087</v>
      </c>
      <c r="F1367" s="106">
        <v>226.8</v>
      </c>
      <c r="G1367" s="31">
        <f t="shared" si="21"/>
        <v>0</v>
      </c>
      <c r="H1367" s="19" t="s">
        <v>9</v>
      </c>
      <c r="J1367" s="42"/>
    </row>
    <row r="1368" spans="1:10" s="3" customFormat="1" x14ac:dyDescent="0.25">
      <c r="A1368" s="20">
        <v>42077</v>
      </c>
      <c r="B1368" s="21">
        <v>14878</v>
      </c>
      <c r="C1368" s="14" t="s">
        <v>42</v>
      </c>
      <c r="D1368" s="105">
        <v>84</v>
      </c>
      <c r="E1368" s="23">
        <v>42087</v>
      </c>
      <c r="F1368" s="106">
        <v>84</v>
      </c>
      <c r="G1368" s="31">
        <f t="shared" si="21"/>
        <v>0</v>
      </c>
      <c r="H1368" s="19" t="s">
        <v>9</v>
      </c>
      <c r="J1368" s="42"/>
    </row>
    <row r="1369" spans="1:10" s="3" customFormat="1" x14ac:dyDescent="0.25">
      <c r="A1369" s="20">
        <v>42078</v>
      </c>
      <c r="B1369" s="21">
        <v>14879</v>
      </c>
      <c r="C1369" s="14" t="s">
        <v>720</v>
      </c>
      <c r="D1369" s="105">
        <v>12411.3</v>
      </c>
      <c r="E1369" s="23">
        <v>42078</v>
      </c>
      <c r="F1369" s="106">
        <v>12411.3</v>
      </c>
      <c r="G1369" s="31">
        <f t="shared" si="21"/>
        <v>0</v>
      </c>
      <c r="H1369" s="19" t="s">
        <v>9</v>
      </c>
      <c r="J1369" s="42"/>
    </row>
    <row r="1370" spans="1:10" s="3" customFormat="1" x14ac:dyDescent="0.25">
      <c r="A1370" s="20">
        <v>42078</v>
      </c>
      <c r="B1370" s="21">
        <v>14880</v>
      </c>
      <c r="C1370" s="14" t="s">
        <v>136</v>
      </c>
      <c r="D1370" s="105">
        <v>648</v>
      </c>
      <c r="E1370" s="23">
        <v>42078</v>
      </c>
      <c r="F1370" s="106">
        <v>648</v>
      </c>
      <c r="G1370" s="31">
        <f t="shared" si="21"/>
        <v>0</v>
      </c>
      <c r="H1370" s="19" t="s">
        <v>9</v>
      </c>
      <c r="J1370" s="42"/>
    </row>
    <row r="1371" spans="1:10" s="3" customFormat="1" x14ac:dyDescent="0.25">
      <c r="A1371" s="20">
        <v>42078</v>
      </c>
      <c r="B1371" s="21">
        <v>14881</v>
      </c>
      <c r="C1371" s="14" t="s">
        <v>23</v>
      </c>
      <c r="D1371" s="105">
        <v>676</v>
      </c>
      <c r="E1371" s="23">
        <v>42078</v>
      </c>
      <c r="F1371" s="106">
        <v>676</v>
      </c>
      <c r="G1371" s="31">
        <f t="shared" si="21"/>
        <v>0</v>
      </c>
      <c r="H1371" s="19" t="s">
        <v>9</v>
      </c>
      <c r="J1371" s="42"/>
    </row>
    <row r="1372" spans="1:10" s="3" customFormat="1" x14ac:dyDescent="0.25">
      <c r="A1372" s="20">
        <v>42078</v>
      </c>
      <c r="B1372" s="21">
        <v>14882</v>
      </c>
      <c r="C1372" s="14" t="s">
        <v>21</v>
      </c>
      <c r="D1372" s="105">
        <v>7408.6</v>
      </c>
      <c r="E1372" s="23">
        <v>42078</v>
      </c>
      <c r="F1372" s="106">
        <v>7408.6</v>
      </c>
      <c r="G1372" s="31">
        <f t="shared" si="21"/>
        <v>0</v>
      </c>
      <c r="H1372" s="19" t="s">
        <v>9</v>
      </c>
      <c r="J1372" s="42"/>
    </row>
    <row r="1373" spans="1:10" s="3" customFormat="1" x14ac:dyDescent="0.25">
      <c r="A1373" s="20">
        <v>42078</v>
      </c>
      <c r="B1373" s="21">
        <v>14883</v>
      </c>
      <c r="C1373" s="14" t="s">
        <v>148</v>
      </c>
      <c r="D1373" s="105">
        <v>5489.7</v>
      </c>
      <c r="E1373" s="23">
        <v>42079</v>
      </c>
      <c r="F1373" s="106">
        <v>5489.7</v>
      </c>
      <c r="G1373" s="31">
        <f t="shared" si="21"/>
        <v>0</v>
      </c>
      <c r="H1373" s="19" t="s">
        <v>9</v>
      </c>
      <c r="J1373" s="42"/>
    </row>
    <row r="1374" spans="1:10" s="3" customFormat="1" x14ac:dyDescent="0.25">
      <c r="A1374" s="20">
        <v>42078</v>
      </c>
      <c r="B1374" s="21">
        <v>14884</v>
      </c>
      <c r="C1374" s="14" t="s">
        <v>16</v>
      </c>
      <c r="D1374" s="105">
        <v>9152</v>
      </c>
      <c r="E1374" s="23">
        <v>42078</v>
      </c>
      <c r="F1374" s="106">
        <v>9152</v>
      </c>
      <c r="G1374" s="31">
        <f t="shared" si="21"/>
        <v>0</v>
      </c>
      <c r="H1374" s="19" t="s">
        <v>17</v>
      </c>
      <c r="J1374" s="42"/>
    </row>
    <row r="1375" spans="1:10" s="3" customFormat="1" x14ac:dyDescent="0.25">
      <c r="A1375" s="20">
        <v>42078</v>
      </c>
      <c r="B1375" s="21">
        <v>14885</v>
      </c>
      <c r="C1375" s="14" t="s">
        <v>215</v>
      </c>
      <c r="D1375" s="105">
        <v>32906.550000000003</v>
      </c>
      <c r="E1375" s="23">
        <v>42078</v>
      </c>
      <c r="F1375" s="106">
        <v>32906.550000000003</v>
      </c>
      <c r="G1375" s="31">
        <f t="shared" si="21"/>
        <v>0</v>
      </c>
      <c r="H1375" s="19" t="s">
        <v>187</v>
      </c>
      <c r="J1375" s="42"/>
    </row>
    <row r="1376" spans="1:10" s="3" customFormat="1" x14ac:dyDescent="0.25">
      <c r="A1376" s="20">
        <v>42078</v>
      </c>
      <c r="B1376" s="21">
        <v>14886</v>
      </c>
      <c r="C1376" s="14" t="s">
        <v>152</v>
      </c>
      <c r="D1376" s="105">
        <v>8460.7999999999993</v>
      </c>
      <c r="E1376" s="23">
        <v>42079</v>
      </c>
      <c r="F1376" s="106">
        <v>8460.7999999999993</v>
      </c>
      <c r="G1376" s="31">
        <f t="shared" si="21"/>
        <v>0</v>
      </c>
      <c r="H1376" s="19" t="s">
        <v>59</v>
      </c>
      <c r="J1376" s="42"/>
    </row>
    <row r="1377" spans="1:10" s="3" customFormat="1" x14ac:dyDescent="0.25">
      <c r="A1377" s="20">
        <v>42078</v>
      </c>
      <c r="B1377" s="21">
        <v>14887</v>
      </c>
      <c r="C1377" s="14" t="s">
        <v>854</v>
      </c>
      <c r="D1377" s="105">
        <v>336.6</v>
      </c>
      <c r="E1377" s="23">
        <v>42078</v>
      </c>
      <c r="F1377" s="106">
        <v>336.6</v>
      </c>
      <c r="G1377" s="31">
        <f t="shared" si="21"/>
        <v>0</v>
      </c>
      <c r="H1377" s="19" t="s">
        <v>9</v>
      </c>
      <c r="J1377" s="42"/>
    </row>
    <row r="1378" spans="1:10" s="3" customFormat="1" x14ac:dyDescent="0.25">
      <c r="A1378" s="20">
        <v>42078</v>
      </c>
      <c r="B1378" s="21">
        <v>14888</v>
      </c>
      <c r="C1378" s="14" t="s">
        <v>20</v>
      </c>
      <c r="D1378" s="105">
        <v>12306</v>
      </c>
      <c r="E1378" s="23">
        <v>42078</v>
      </c>
      <c r="F1378" s="106">
        <v>12306</v>
      </c>
      <c r="G1378" s="31">
        <f t="shared" si="21"/>
        <v>0</v>
      </c>
      <c r="H1378" s="19" t="s">
        <v>62</v>
      </c>
      <c r="J1378" s="42"/>
    </row>
    <row r="1379" spans="1:10" s="3" customFormat="1" x14ac:dyDescent="0.25">
      <c r="A1379" s="20">
        <v>42078</v>
      </c>
      <c r="B1379" s="21">
        <v>14889</v>
      </c>
      <c r="C1379" s="14" t="s">
        <v>121</v>
      </c>
      <c r="D1379" s="105">
        <v>2311.8000000000002</v>
      </c>
      <c r="E1379" s="23">
        <v>42078</v>
      </c>
      <c r="F1379" s="106">
        <v>2311.8000000000002</v>
      </c>
      <c r="G1379" s="31">
        <f t="shared" si="21"/>
        <v>0</v>
      </c>
      <c r="H1379" s="19" t="s">
        <v>9</v>
      </c>
      <c r="I1379" s="4"/>
      <c r="J1379" s="43"/>
    </row>
    <row r="1380" spans="1:10" s="3" customFormat="1" x14ac:dyDescent="0.25">
      <c r="A1380" s="20">
        <v>42078</v>
      </c>
      <c r="B1380" s="21">
        <v>14890</v>
      </c>
      <c r="C1380" s="14" t="s">
        <v>256</v>
      </c>
      <c r="D1380" s="105">
        <v>6079.1</v>
      </c>
      <c r="E1380" s="23">
        <v>42078</v>
      </c>
      <c r="F1380" s="106">
        <v>6079.1</v>
      </c>
      <c r="G1380" s="31">
        <f t="shared" si="21"/>
        <v>0</v>
      </c>
      <c r="H1380" s="19" t="s">
        <v>773</v>
      </c>
      <c r="I1380" s="4"/>
      <c r="J1380" s="43"/>
    </row>
    <row r="1381" spans="1:10" s="3" customFormat="1" x14ac:dyDescent="0.25">
      <c r="A1381" s="20">
        <v>42078</v>
      </c>
      <c r="B1381" s="21">
        <v>14891</v>
      </c>
      <c r="C1381" s="14" t="s">
        <v>55</v>
      </c>
      <c r="D1381" s="105">
        <v>22260</v>
      </c>
      <c r="E1381" s="23">
        <v>42078</v>
      </c>
      <c r="F1381" s="106">
        <v>22260</v>
      </c>
      <c r="G1381" s="31">
        <f t="shared" si="21"/>
        <v>0</v>
      </c>
      <c r="H1381" s="19" t="s">
        <v>773</v>
      </c>
      <c r="I1381" s="4"/>
      <c r="J1381" s="43"/>
    </row>
    <row r="1382" spans="1:10" s="3" customFormat="1" x14ac:dyDescent="0.25">
      <c r="A1382" s="20">
        <v>42078</v>
      </c>
      <c r="B1382" s="21">
        <v>14892</v>
      </c>
      <c r="C1382" s="26" t="s">
        <v>218</v>
      </c>
      <c r="D1382" s="108">
        <v>0</v>
      </c>
      <c r="E1382" s="29"/>
      <c r="F1382" s="106"/>
      <c r="G1382" s="31">
        <f t="shared" si="21"/>
        <v>0</v>
      </c>
      <c r="H1382" s="19" t="s">
        <v>13</v>
      </c>
      <c r="I1382" s="4"/>
      <c r="J1382" s="43"/>
    </row>
    <row r="1383" spans="1:10" s="3" customFormat="1" x14ac:dyDescent="0.25">
      <c r="A1383" s="20">
        <v>42078</v>
      </c>
      <c r="B1383" s="21">
        <v>14893</v>
      </c>
      <c r="C1383" s="14" t="s">
        <v>35</v>
      </c>
      <c r="D1383" s="105">
        <v>22962.5</v>
      </c>
      <c r="E1383" s="23">
        <v>42078</v>
      </c>
      <c r="F1383" s="106">
        <v>22962.5</v>
      </c>
      <c r="G1383" s="31">
        <f t="shared" si="21"/>
        <v>0</v>
      </c>
      <c r="H1383" s="19" t="s">
        <v>773</v>
      </c>
      <c r="I1383" s="4"/>
      <c r="J1383" s="107"/>
    </row>
    <row r="1384" spans="1:10" s="3" customFormat="1" x14ac:dyDescent="0.25">
      <c r="A1384" s="20">
        <v>42078</v>
      </c>
      <c r="B1384" s="21">
        <v>14894</v>
      </c>
      <c r="C1384" s="14" t="s">
        <v>102</v>
      </c>
      <c r="D1384" s="105">
        <v>3971.2</v>
      </c>
      <c r="E1384" s="23">
        <v>42078</v>
      </c>
      <c r="F1384" s="106">
        <v>3971.2</v>
      </c>
      <c r="G1384" s="31">
        <f t="shared" si="21"/>
        <v>0</v>
      </c>
      <c r="H1384" s="19" t="s">
        <v>9</v>
      </c>
      <c r="I1384" s="4"/>
      <c r="J1384" s="43"/>
    </row>
    <row r="1385" spans="1:10" s="3" customFormat="1" x14ac:dyDescent="0.25">
      <c r="A1385" s="20">
        <v>42078</v>
      </c>
      <c r="B1385" s="21">
        <v>14895</v>
      </c>
      <c r="C1385" s="14" t="s">
        <v>294</v>
      </c>
      <c r="D1385" s="105">
        <v>1863.2</v>
      </c>
      <c r="E1385" s="23">
        <v>42078</v>
      </c>
      <c r="F1385" s="106">
        <v>1863.2</v>
      </c>
      <c r="G1385" s="31">
        <f t="shared" si="21"/>
        <v>0</v>
      </c>
      <c r="H1385" s="19" t="s">
        <v>9</v>
      </c>
      <c r="I1385" s="4"/>
      <c r="J1385" s="43"/>
    </row>
    <row r="1386" spans="1:10" s="3" customFormat="1" x14ac:dyDescent="0.25">
      <c r="A1386" s="20">
        <v>42078</v>
      </c>
      <c r="B1386" s="21">
        <v>14896</v>
      </c>
      <c r="C1386" s="14" t="s">
        <v>25</v>
      </c>
      <c r="D1386" s="105">
        <v>893.2</v>
      </c>
      <c r="E1386" s="23">
        <v>42078</v>
      </c>
      <c r="F1386" s="106">
        <v>893.2</v>
      </c>
      <c r="G1386" s="31">
        <f t="shared" si="21"/>
        <v>0</v>
      </c>
      <c r="H1386" s="19" t="s">
        <v>9</v>
      </c>
      <c r="I1386" s="4"/>
      <c r="J1386" s="43"/>
    </row>
    <row r="1387" spans="1:10" s="3" customFormat="1" x14ac:dyDescent="0.25">
      <c r="A1387" s="20">
        <v>42078</v>
      </c>
      <c r="B1387" s="21">
        <v>14897</v>
      </c>
      <c r="C1387" s="14" t="s">
        <v>151</v>
      </c>
      <c r="D1387" s="105">
        <v>8086</v>
      </c>
      <c r="E1387" s="23">
        <v>42079</v>
      </c>
      <c r="F1387" s="106">
        <v>8086</v>
      </c>
      <c r="G1387" s="31">
        <f t="shared" si="21"/>
        <v>0</v>
      </c>
      <c r="H1387" s="19" t="s">
        <v>9</v>
      </c>
      <c r="I1387" s="4"/>
      <c r="J1387" s="43"/>
    </row>
    <row r="1388" spans="1:10" s="3" customFormat="1" x14ac:dyDescent="0.25">
      <c r="A1388" s="20">
        <v>42078</v>
      </c>
      <c r="B1388" s="21">
        <v>14898</v>
      </c>
      <c r="C1388" s="14" t="s">
        <v>158</v>
      </c>
      <c r="D1388" s="105">
        <v>6786.8</v>
      </c>
      <c r="E1388" s="23">
        <v>42078</v>
      </c>
      <c r="F1388" s="106">
        <v>6786.8</v>
      </c>
      <c r="G1388" s="31">
        <f t="shared" si="21"/>
        <v>0</v>
      </c>
      <c r="H1388" s="19" t="s">
        <v>9</v>
      </c>
      <c r="I1388" s="4"/>
      <c r="J1388" s="107"/>
    </row>
    <row r="1389" spans="1:10" s="3" customFormat="1" x14ac:dyDescent="0.25">
      <c r="A1389" s="20">
        <v>42078</v>
      </c>
      <c r="B1389" s="21">
        <v>14899</v>
      </c>
      <c r="C1389" s="14" t="s">
        <v>26</v>
      </c>
      <c r="D1389" s="105">
        <v>2192</v>
      </c>
      <c r="E1389" s="23">
        <v>42078</v>
      </c>
      <c r="F1389" s="106">
        <v>2192</v>
      </c>
      <c r="G1389" s="31">
        <f t="shared" si="21"/>
        <v>0</v>
      </c>
      <c r="H1389" s="19" t="s">
        <v>62</v>
      </c>
      <c r="I1389" s="4"/>
      <c r="J1389" s="43"/>
    </row>
    <row r="1390" spans="1:10" s="3" customFormat="1" x14ac:dyDescent="0.25">
      <c r="A1390" s="20">
        <v>42078</v>
      </c>
      <c r="B1390" s="21">
        <v>14900</v>
      </c>
      <c r="C1390" s="14" t="s">
        <v>83</v>
      </c>
      <c r="D1390" s="105">
        <v>4746.3999999999996</v>
      </c>
      <c r="E1390" s="23">
        <v>42079</v>
      </c>
      <c r="F1390" s="106">
        <v>4746.3999999999996</v>
      </c>
      <c r="G1390" s="31">
        <f t="shared" si="21"/>
        <v>0</v>
      </c>
      <c r="H1390" s="19" t="s">
        <v>59</v>
      </c>
      <c r="I1390" s="4"/>
      <c r="J1390" s="43"/>
    </row>
    <row r="1391" spans="1:10" s="3" customFormat="1" x14ac:dyDescent="0.25">
      <c r="A1391" s="20">
        <v>42078</v>
      </c>
      <c r="B1391" s="21">
        <v>14901</v>
      </c>
      <c r="C1391" s="14" t="s">
        <v>14</v>
      </c>
      <c r="D1391" s="105">
        <v>20876.400000000001</v>
      </c>
      <c r="E1391" s="23">
        <v>42089</v>
      </c>
      <c r="F1391" s="106">
        <v>20876.400000000001</v>
      </c>
      <c r="G1391" s="31">
        <f t="shared" si="21"/>
        <v>0</v>
      </c>
      <c r="H1391" s="19" t="s">
        <v>62</v>
      </c>
      <c r="I1391" s="4"/>
      <c r="J1391" s="43"/>
    </row>
    <row r="1392" spans="1:10" s="3" customFormat="1" x14ac:dyDescent="0.25">
      <c r="A1392" s="20">
        <v>42078</v>
      </c>
      <c r="B1392" s="21">
        <v>14902</v>
      </c>
      <c r="C1392" s="14" t="s">
        <v>126</v>
      </c>
      <c r="D1392" s="105">
        <v>1344</v>
      </c>
      <c r="E1392" s="23">
        <v>42079</v>
      </c>
      <c r="F1392" s="106">
        <v>1344</v>
      </c>
      <c r="G1392" s="31">
        <f t="shared" si="21"/>
        <v>0</v>
      </c>
      <c r="H1392" s="19" t="s">
        <v>59</v>
      </c>
      <c r="I1392" s="4"/>
      <c r="J1392" s="43"/>
    </row>
    <row r="1393" spans="1:10" s="3" customFormat="1" x14ac:dyDescent="0.25">
      <c r="A1393" s="20">
        <v>42078</v>
      </c>
      <c r="B1393" s="21">
        <v>14903</v>
      </c>
      <c r="C1393" s="14" t="s">
        <v>872</v>
      </c>
      <c r="D1393" s="105">
        <v>665.8</v>
      </c>
      <c r="E1393" s="23">
        <v>42079</v>
      </c>
      <c r="F1393" s="106">
        <v>665.8</v>
      </c>
      <c r="G1393" s="31">
        <f t="shared" si="21"/>
        <v>0</v>
      </c>
      <c r="H1393" s="19" t="s">
        <v>59</v>
      </c>
      <c r="I1393" s="4"/>
      <c r="J1393" s="43"/>
    </row>
    <row r="1394" spans="1:10" s="3" customFormat="1" x14ac:dyDescent="0.25">
      <c r="A1394" s="20">
        <v>42078</v>
      </c>
      <c r="B1394" s="21">
        <v>14904</v>
      </c>
      <c r="C1394" s="14" t="s">
        <v>57</v>
      </c>
      <c r="D1394" s="105">
        <v>900</v>
      </c>
      <c r="E1394" s="23">
        <v>42079</v>
      </c>
      <c r="F1394" s="106">
        <v>900</v>
      </c>
      <c r="G1394" s="31">
        <f t="shared" si="21"/>
        <v>0</v>
      </c>
      <c r="H1394" s="19" t="s">
        <v>59</v>
      </c>
      <c r="I1394" s="4"/>
      <c r="J1394" s="43"/>
    </row>
    <row r="1395" spans="1:10" s="3" customFormat="1" x14ac:dyDescent="0.25">
      <c r="A1395" s="20">
        <v>42078</v>
      </c>
      <c r="B1395" s="21">
        <v>14905</v>
      </c>
      <c r="C1395" s="14" t="s">
        <v>120</v>
      </c>
      <c r="D1395" s="105">
        <v>1322.1</v>
      </c>
      <c r="E1395" s="23">
        <v>42079</v>
      </c>
      <c r="F1395" s="106">
        <v>1322.1</v>
      </c>
      <c r="G1395" s="31">
        <f t="shared" si="21"/>
        <v>0</v>
      </c>
      <c r="H1395" s="19" t="s">
        <v>59</v>
      </c>
      <c r="I1395" s="4"/>
      <c r="J1395" s="43"/>
    </row>
    <row r="1396" spans="1:10" s="3" customFormat="1" x14ac:dyDescent="0.25">
      <c r="A1396" s="20">
        <v>42078</v>
      </c>
      <c r="B1396" s="21">
        <v>14906</v>
      </c>
      <c r="C1396" s="14" t="s">
        <v>285</v>
      </c>
      <c r="D1396" s="105">
        <v>700</v>
      </c>
      <c r="E1396" s="23">
        <v>42078</v>
      </c>
      <c r="F1396" s="106">
        <v>700</v>
      </c>
      <c r="G1396" s="31">
        <f t="shared" si="21"/>
        <v>0</v>
      </c>
      <c r="H1396" s="19" t="s">
        <v>62</v>
      </c>
      <c r="I1396" s="4"/>
      <c r="J1396" s="43"/>
    </row>
    <row r="1397" spans="1:10" s="3" customFormat="1" x14ac:dyDescent="0.25">
      <c r="A1397" s="20">
        <v>42078</v>
      </c>
      <c r="B1397" s="21">
        <v>14907</v>
      </c>
      <c r="C1397" s="14" t="s">
        <v>50</v>
      </c>
      <c r="D1397" s="105">
        <v>2368</v>
      </c>
      <c r="E1397" s="23">
        <v>42078</v>
      </c>
      <c r="F1397" s="106">
        <v>2368</v>
      </c>
      <c r="G1397" s="31">
        <f t="shared" si="21"/>
        <v>0</v>
      </c>
      <c r="H1397" s="19" t="s">
        <v>62</v>
      </c>
      <c r="I1397" s="4"/>
      <c r="J1397" s="43"/>
    </row>
    <row r="1398" spans="1:10" s="3" customFormat="1" x14ac:dyDescent="0.25">
      <c r="A1398" s="20">
        <v>42078</v>
      </c>
      <c r="B1398" s="21">
        <v>14908</v>
      </c>
      <c r="C1398" s="14" t="s">
        <v>100</v>
      </c>
      <c r="D1398" s="105">
        <v>2454</v>
      </c>
      <c r="E1398" s="23">
        <v>42078</v>
      </c>
      <c r="F1398" s="106">
        <v>2454</v>
      </c>
      <c r="G1398" s="31">
        <f t="shared" si="21"/>
        <v>0</v>
      </c>
      <c r="H1398" s="19" t="s">
        <v>9</v>
      </c>
      <c r="I1398" s="4"/>
      <c r="J1398" s="43"/>
    </row>
    <row r="1399" spans="1:10" s="3" customFormat="1" x14ac:dyDescent="0.25">
      <c r="A1399" s="20">
        <v>42078</v>
      </c>
      <c r="B1399" s="21">
        <v>14909</v>
      </c>
      <c r="C1399" s="14" t="s">
        <v>53</v>
      </c>
      <c r="D1399" s="105">
        <v>1822.4</v>
      </c>
      <c r="E1399" s="23">
        <v>42079</v>
      </c>
      <c r="F1399" s="106">
        <v>1822.4</v>
      </c>
      <c r="G1399" s="31">
        <f t="shared" si="21"/>
        <v>0</v>
      </c>
      <c r="H1399" s="19" t="s">
        <v>59</v>
      </c>
      <c r="I1399" s="4"/>
      <c r="J1399" s="43"/>
    </row>
    <row r="1400" spans="1:10" s="3" customFormat="1" x14ac:dyDescent="0.25">
      <c r="A1400" s="20">
        <v>42078</v>
      </c>
      <c r="B1400" s="21">
        <v>14910</v>
      </c>
      <c r="C1400" s="26" t="s">
        <v>218</v>
      </c>
      <c r="D1400" s="108">
        <v>0</v>
      </c>
      <c r="E1400" s="23"/>
      <c r="F1400" s="106"/>
      <c r="G1400" s="31">
        <f t="shared" si="21"/>
        <v>0</v>
      </c>
      <c r="H1400" s="19" t="s">
        <v>13</v>
      </c>
      <c r="I1400" s="4"/>
      <c r="J1400" s="43"/>
    </row>
    <row r="1401" spans="1:10" s="3" customFormat="1" x14ac:dyDescent="0.25">
      <c r="A1401" s="20">
        <v>42078</v>
      </c>
      <c r="B1401" s="21">
        <v>14911</v>
      </c>
      <c r="C1401" s="14" t="s">
        <v>152</v>
      </c>
      <c r="D1401" s="105">
        <v>4855.12</v>
      </c>
      <c r="E1401" s="23">
        <v>42079</v>
      </c>
      <c r="F1401" s="106">
        <v>4855.12</v>
      </c>
      <c r="G1401" s="31">
        <f t="shared" si="21"/>
        <v>0</v>
      </c>
      <c r="H1401" s="19" t="s">
        <v>59</v>
      </c>
      <c r="I1401" s="4"/>
      <c r="J1401" s="43"/>
    </row>
    <row r="1402" spans="1:10" s="3" customFormat="1" x14ac:dyDescent="0.25">
      <c r="A1402" s="20">
        <v>42078</v>
      </c>
      <c r="B1402" s="21">
        <v>14912</v>
      </c>
      <c r="C1402" s="14" t="s">
        <v>34</v>
      </c>
      <c r="D1402" s="105">
        <v>2520</v>
      </c>
      <c r="E1402" s="23">
        <v>42078</v>
      </c>
      <c r="F1402" s="106">
        <v>2520</v>
      </c>
      <c r="G1402" s="31">
        <f t="shared" si="21"/>
        <v>0</v>
      </c>
      <c r="H1402" s="19" t="s">
        <v>9</v>
      </c>
      <c r="I1402" s="4"/>
      <c r="J1402" s="43"/>
    </row>
    <row r="1403" spans="1:10" s="3" customFormat="1" x14ac:dyDescent="0.25">
      <c r="A1403" s="20">
        <v>42078</v>
      </c>
      <c r="B1403" s="21">
        <v>14913</v>
      </c>
      <c r="C1403" s="110">
        <v>105</v>
      </c>
      <c r="D1403" s="105">
        <v>1980</v>
      </c>
      <c r="E1403" s="23">
        <v>42079</v>
      </c>
      <c r="F1403" s="106">
        <v>1980</v>
      </c>
      <c r="G1403" s="31">
        <f t="shared" si="21"/>
        <v>0</v>
      </c>
      <c r="H1403" s="19" t="s">
        <v>59</v>
      </c>
      <c r="I1403" s="4"/>
      <c r="J1403" s="107"/>
    </row>
    <row r="1404" spans="1:10" s="3" customFormat="1" x14ac:dyDescent="0.25">
      <c r="A1404" s="20">
        <v>42078</v>
      </c>
      <c r="B1404" s="21">
        <v>14914</v>
      </c>
      <c r="C1404" s="14" t="s">
        <v>125</v>
      </c>
      <c r="D1404" s="105">
        <v>12631.2</v>
      </c>
      <c r="E1404" s="29" t="s">
        <v>873</v>
      </c>
      <c r="F1404" s="106">
        <f>9000+3631.2</f>
        <v>12631.2</v>
      </c>
      <c r="G1404" s="48">
        <f t="shared" si="21"/>
        <v>0</v>
      </c>
      <c r="H1404" s="19" t="s">
        <v>9</v>
      </c>
      <c r="I1404" s="4"/>
      <c r="J1404" s="43"/>
    </row>
    <row r="1405" spans="1:10" s="3" customFormat="1" x14ac:dyDescent="0.25">
      <c r="A1405" s="20">
        <v>42078</v>
      </c>
      <c r="B1405" s="21">
        <v>14915</v>
      </c>
      <c r="C1405" s="14" t="s">
        <v>214</v>
      </c>
      <c r="D1405" s="105">
        <v>2880</v>
      </c>
      <c r="E1405" s="23">
        <v>42078</v>
      </c>
      <c r="F1405" s="106">
        <v>2880</v>
      </c>
      <c r="G1405" s="31">
        <f t="shared" si="21"/>
        <v>0</v>
      </c>
      <c r="H1405" s="19" t="s">
        <v>59</v>
      </c>
      <c r="I1405" s="4"/>
      <c r="J1405" s="43"/>
    </row>
    <row r="1406" spans="1:10" s="3" customFormat="1" x14ac:dyDescent="0.25">
      <c r="A1406" s="20">
        <v>42078</v>
      </c>
      <c r="B1406" s="21">
        <v>14916</v>
      </c>
      <c r="C1406" s="14" t="s">
        <v>58</v>
      </c>
      <c r="D1406" s="105">
        <v>720</v>
      </c>
      <c r="E1406" s="23">
        <v>42079</v>
      </c>
      <c r="F1406" s="106">
        <v>720</v>
      </c>
      <c r="G1406" s="31">
        <f t="shared" si="21"/>
        <v>0</v>
      </c>
      <c r="H1406" s="19" t="s">
        <v>59</v>
      </c>
      <c r="I1406" s="4"/>
      <c r="J1406" s="43"/>
    </row>
    <row r="1407" spans="1:10" s="3" customFormat="1" x14ac:dyDescent="0.25">
      <c r="A1407" s="20">
        <v>42078</v>
      </c>
      <c r="B1407" s="21">
        <v>14917</v>
      </c>
      <c r="C1407" s="14" t="s">
        <v>292</v>
      </c>
      <c r="D1407" s="105">
        <v>3198</v>
      </c>
      <c r="E1407" s="23">
        <v>42079</v>
      </c>
      <c r="F1407" s="106">
        <v>3198</v>
      </c>
      <c r="G1407" s="31">
        <f t="shared" si="21"/>
        <v>0</v>
      </c>
      <c r="H1407" s="19" t="s">
        <v>59</v>
      </c>
      <c r="I1407" s="4"/>
      <c r="J1407" s="43"/>
    </row>
    <row r="1408" spans="1:10" s="3" customFormat="1" x14ac:dyDescent="0.25">
      <c r="A1408" s="20">
        <v>42078</v>
      </c>
      <c r="B1408" s="21">
        <v>14918</v>
      </c>
      <c r="C1408" s="14" t="s">
        <v>130</v>
      </c>
      <c r="D1408" s="105">
        <v>10260</v>
      </c>
      <c r="E1408" s="29" t="s">
        <v>874</v>
      </c>
      <c r="F1408" s="106">
        <f>5059.6+5200.4</f>
        <v>10260</v>
      </c>
      <c r="G1408" s="31">
        <f t="shared" si="21"/>
        <v>0</v>
      </c>
      <c r="H1408" s="19" t="s">
        <v>17</v>
      </c>
      <c r="I1408" s="4"/>
      <c r="J1408" s="43"/>
    </row>
    <row r="1409" spans="1:10" s="3" customFormat="1" x14ac:dyDescent="0.25">
      <c r="A1409" s="20">
        <v>42078</v>
      </c>
      <c r="B1409" s="21">
        <v>14919</v>
      </c>
      <c r="C1409" s="14" t="s">
        <v>66</v>
      </c>
      <c r="D1409" s="105">
        <v>2132.1</v>
      </c>
      <c r="E1409" s="23">
        <v>42078</v>
      </c>
      <c r="F1409" s="106">
        <v>2132.1</v>
      </c>
      <c r="G1409" s="31">
        <f t="shared" si="21"/>
        <v>0</v>
      </c>
      <c r="H1409" s="19" t="s">
        <v>9</v>
      </c>
      <c r="I1409" s="4"/>
      <c r="J1409" s="43"/>
    </row>
    <row r="1410" spans="1:10" s="3" customFormat="1" x14ac:dyDescent="0.25">
      <c r="A1410" s="20">
        <v>42078</v>
      </c>
      <c r="B1410" s="21">
        <v>14920</v>
      </c>
      <c r="C1410" s="14" t="s">
        <v>130</v>
      </c>
      <c r="D1410" s="105">
        <v>5240.3999999999996</v>
      </c>
      <c r="E1410" s="23">
        <v>42079</v>
      </c>
      <c r="F1410" s="106">
        <v>5240.3999999999996</v>
      </c>
      <c r="G1410" s="31">
        <f t="shared" si="21"/>
        <v>0</v>
      </c>
      <c r="H1410" s="19" t="s">
        <v>9</v>
      </c>
      <c r="I1410" s="4"/>
      <c r="J1410" s="43"/>
    </row>
    <row r="1411" spans="1:10" s="3" customFormat="1" x14ac:dyDescent="0.25">
      <c r="A1411" s="20">
        <v>42078</v>
      </c>
      <c r="B1411" s="21">
        <v>14921</v>
      </c>
      <c r="C1411" s="14" t="s">
        <v>675</v>
      </c>
      <c r="D1411" s="105">
        <v>1080</v>
      </c>
      <c r="E1411" s="23">
        <v>42078</v>
      </c>
      <c r="F1411" s="106">
        <v>1080</v>
      </c>
      <c r="G1411" s="31">
        <f t="shared" ref="G1411:G1474" si="22">D1411-F1411</f>
        <v>0</v>
      </c>
      <c r="H1411" s="19" t="s">
        <v>9</v>
      </c>
      <c r="I1411" s="4"/>
      <c r="J1411" s="43"/>
    </row>
    <row r="1412" spans="1:10" s="3" customFormat="1" x14ac:dyDescent="0.25">
      <c r="A1412" s="20">
        <v>42078</v>
      </c>
      <c r="B1412" s="21">
        <v>14922</v>
      </c>
      <c r="C1412" s="14" t="s">
        <v>229</v>
      </c>
      <c r="D1412" s="105">
        <v>4779.4399999999996</v>
      </c>
      <c r="E1412" s="23">
        <v>42078</v>
      </c>
      <c r="F1412" s="106">
        <v>4779.4399999999996</v>
      </c>
      <c r="G1412" s="31">
        <f t="shared" si="22"/>
        <v>0</v>
      </c>
      <c r="H1412" s="19" t="s">
        <v>9</v>
      </c>
      <c r="I1412" s="4"/>
      <c r="J1412" s="43"/>
    </row>
    <row r="1413" spans="1:10" s="3" customFormat="1" x14ac:dyDescent="0.25">
      <c r="A1413" s="20">
        <v>42078</v>
      </c>
      <c r="B1413" s="21">
        <v>14923</v>
      </c>
      <c r="C1413" s="14" t="s">
        <v>571</v>
      </c>
      <c r="D1413" s="105">
        <v>18947.599999999999</v>
      </c>
      <c r="E1413" s="23">
        <v>42078</v>
      </c>
      <c r="F1413" s="106">
        <v>18947.599999999999</v>
      </c>
      <c r="G1413" s="31">
        <f t="shared" si="22"/>
        <v>0</v>
      </c>
      <c r="H1413" s="19" t="s">
        <v>62</v>
      </c>
      <c r="I1413" s="4"/>
      <c r="J1413" s="43"/>
    </row>
    <row r="1414" spans="1:10" s="3" customFormat="1" x14ac:dyDescent="0.25">
      <c r="A1414" s="20">
        <v>42078</v>
      </c>
      <c r="B1414" s="21">
        <v>14924</v>
      </c>
      <c r="C1414" s="14" t="s">
        <v>131</v>
      </c>
      <c r="D1414" s="105">
        <v>6655.2</v>
      </c>
      <c r="E1414" s="23">
        <v>42079</v>
      </c>
      <c r="F1414" s="106">
        <v>6655.2</v>
      </c>
      <c r="G1414" s="31">
        <f t="shared" si="22"/>
        <v>0</v>
      </c>
      <c r="H1414" s="19" t="s">
        <v>17</v>
      </c>
      <c r="I1414" s="4"/>
      <c r="J1414" s="43"/>
    </row>
    <row r="1415" spans="1:10" s="3" customFormat="1" x14ac:dyDescent="0.25">
      <c r="A1415" s="20">
        <v>42078</v>
      </c>
      <c r="B1415" s="21">
        <v>14925</v>
      </c>
      <c r="C1415" s="14" t="s">
        <v>868</v>
      </c>
      <c r="D1415" s="105">
        <v>3740.4</v>
      </c>
      <c r="E1415" s="23">
        <v>42078</v>
      </c>
      <c r="F1415" s="106">
        <v>3740.4</v>
      </c>
      <c r="G1415" s="31">
        <f t="shared" si="22"/>
        <v>0</v>
      </c>
      <c r="H1415" s="19" t="s">
        <v>17</v>
      </c>
      <c r="I1415" s="4"/>
      <c r="J1415" s="43"/>
    </row>
    <row r="1416" spans="1:10" s="3" customFormat="1" x14ac:dyDescent="0.25">
      <c r="A1416" s="20">
        <v>42078</v>
      </c>
      <c r="B1416" s="21">
        <v>14926</v>
      </c>
      <c r="C1416" s="14" t="s">
        <v>406</v>
      </c>
      <c r="D1416" s="105">
        <v>8264</v>
      </c>
      <c r="E1416" s="23">
        <v>42078</v>
      </c>
      <c r="F1416" s="106">
        <v>8264</v>
      </c>
      <c r="G1416" s="31">
        <f t="shared" si="22"/>
        <v>0</v>
      </c>
      <c r="H1416" s="19" t="s">
        <v>9</v>
      </c>
      <c r="I1416" s="4"/>
      <c r="J1416" s="43"/>
    </row>
    <row r="1417" spans="1:10" s="3" customFormat="1" x14ac:dyDescent="0.25">
      <c r="A1417" s="20">
        <v>42078</v>
      </c>
      <c r="B1417" s="21">
        <v>14927</v>
      </c>
      <c r="C1417" s="14" t="s">
        <v>89</v>
      </c>
      <c r="D1417" s="105">
        <v>2839.8</v>
      </c>
      <c r="E1417" s="23">
        <v>42078</v>
      </c>
      <c r="F1417" s="106">
        <v>2839.8</v>
      </c>
      <c r="G1417" s="31">
        <f t="shared" si="22"/>
        <v>0</v>
      </c>
      <c r="H1417" s="19" t="s">
        <v>9</v>
      </c>
      <c r="I1417" s="4"/>
      <c r="J1417" s="43"/>
    </row>
    <row r="1418" spans="1:10" s="3" customFormat="1" x14ac:dyDescent="0.25">
      <c r="A1418" s="20">
        <v>42078</v>
      </c>
      <c r="B1418" s="21">
        <v>14928</v>
      </c>
      <c r="C1418" s="14" t="s">
        <v>239</v>
      </c>
      <c r="D1418" s="105">
        <v>919.3</v>
      </c>
      <c r="E1418" s="23">
        <v>42078</v>
      </c>
      <c r="F1418" s="106">
        <v>919.3</v>
      </c>
      <c r="G1418" s="31">
        <f t="shared" si="22"/>
        <v>0</v>
      </c>
      <c r="H1418" s="19" t="s">
        <v>9</v>
      </c>
      <c r="I1418" s="4"/>
      <c r="J1418" s="119"/>
    </row>
    <row r="1419" spans="1:10" s="3" customFormat="1" x14ac:dyDescent="0.25">
      <c r="A1419" s="20">
        <v>42078</v>
      </c>
      <c r="B1419" s="21">
        <v>14929</v>
      </c>
      <c r="C1419" s="14" t="s">
        <v>110</v>
      </c>
      <c r="D1419" s="105">
        <v>31178.9</v>
      </c>
      <c r="E1419" s="23">
        <v>42087</v>
      </c>
      <c r="F1419" s="106">
        <v>31178.9</v>
      </c>
      <c r="G1419" s="31">
        <f t="shared" si="22"/>
        <v>0</v>
      </c>
      <c r="H1419" s="19" t="s">
        <v>187</v>
      </c>
      <c r="I1419" s="4"/>
      <c r="J1419" s="107"/>
    </row>
    <row r="1420" spans="1:10" s="3" customFormat="1" x14ac:dyDescent="0.25">
      <c r="A1420" s="20">
        <v>42078</v>
      </c>
      <c r="B1420" s="21">
        <v>14930</v>
      </c>
      <c r="C1420" s="14" t="s">
        <v>21</v>
      </c>
      <c r="D1420" s="105">
        <v>3409</v>
      </c>
      <c r="E1420" s="23">
        <v>42078</v>
      </c>
      <c r="F1420" s="106">
        <v>3409</v>
      </c>
      <c r="G1420" s="31">
        <f t="shared" si="22"/>
        <v>0</v>
      </c>
      <c r="H1420" s="19" t="s">
        <v>9</v>
      </c>
      <c r="I1420" s="4"/>
      <c r="J1420" s="43"/>
    </row>
    <row r="1421" spans="1:10" s="3" customFormat="1" x14ac:dyDescent="0.25">
      <c r="A1421" s="20">
        <v>42078</v>
      </c>
      <c r="B1421" s="21">
        <v>14931</v>
      </c>
      <c r="C1421" s="14" t="s">
        <v>105</v>
      </c>
      <c r="D1421" s="105">
        <v>639.9</v>
      </c>
      <c r="E1421" s="23">
        <v>42078</v>
      </c>
      <c r="F1421" s="106">
        <v>639.9</v>
      </c>
      <c r="G1421" s="31">
        <f t="shared" si="22"/>
        <v>0</v>
      </c>
      <c r="H1421" s="19" t="s">
        <v>9</v>
      </c>
      <c r="I1421" s="4"/>
      <c r="J1421" s="43"/>
    </row>
    <row r="1422" spans="1:10" s="3" customFormat="1" x14ac:dyDescent="0.25">
      <c r="A1422" s="20">
        <v>42078</v>
      </c>
      <c r="B1422" s="21">
        <v>14932</v>
      </c>
      <c r="C1422" s="14" t="s">
        <v>158</v>
      </c>
      <c r="D1422" s="105">
        <v>292.60000000000002</v>
      </c>
      <c r="E1422" s="23">
        <v>42078</v>
      </c>
      <c r="F1422" s="106">
        <v>292.60000000000002</v>
      </c>
      <c r="G1422" s="31">
        <f t="shared" si="22"/>
        <v>0</v>
      </c>
      <c r="H1422" s="19" t="s">
        <v>9</v>
      </c>
      <c r="I1422" s="4"/>
      <c r="J1422" s="43"/>
    </row>
    <row r="1423" spans="1:10" s="3" customFormat="1" x14ac:dyDescent="0.25">
      <c r="A1423" s="20">
        <v>42078</v>
      </c>
      <c r="B1423" s="21">
        <v>14933</v>
      </c>
      <c r="C1423" s="14" t="s">
        <v>273</v>
      </c>
      <c r="D1423" s="105">
        <v>616.20000000000005</v>
      </c>
      <c r="E1423" s="23">
        <v>42078</v>
      </c>
      <c r="F1423" s="106">
        <v>616.20000000000005</v>
      </c>
      <c r="G1423" s="31">
        <f t="shared" si="22"/>
        <v>0</v>
      </c>
      <c r="H1423" s="19" t="s">
        <v>9</v>
      </c>
      <c r="I1423" s="4"/>
      <c r="J1423" s="43"/>
    </row>
    <row r="1424" spans="1:10" s="3" customFormat="1" x14ac:dyDescent="0.25">
      <c r="A1424" s="20">
        <v>42078</v>
      </c>
      <c r="B1424" s="21">
        <v>14934</v>
      </c>
      <c r="C1424" s="14" t="s">
        <v>720</v>
      </c>
      <c r="D1424" s="105">
        <v>3955.2</v>
      </c>
      <c r="E1424" s="23">
        <v>42078</v>
      </c>
      <c r="F1424" s="106">
        <v>3955.2</v>
      </c>
      <c r="G1424" s="31">
        <f t="shared" si="22"/>
        <v>0</v>
      </c>
      <c r="H1424" s="19" t="s">
        <v>9</v>
      </c>
      <c r="I1424" s="4"/>
      <c r="J1424" s="43"/>
    </row>
    <row r="1425" spans="1:10" s="3" customFormat="1" x14ac:dyDescent="0.25">
      <c r="A1425" s="20">
        <v>42078</v>
      </c>
      <c r="B1425" s="21">
        <v>14935</v>
      </c>
      <c r="C1425" s="14" t="s">
        <v>875</v>
      </c>
      <c r="D1425" s="105">
        <v>2956.8</v>
      </c>
      <c r="E1425" s="23">
        <v>42078</v>
      </c>
      <c r="F1425" s="106">
        <v>2956.8</v>
      </c>
      <c r="G1425" s="48">
        <f t="shared" si="22"/>
        <v>0</v>
      </c>
      <c r="H1425" s="19" t="s">
        <v>9</v>
      </c>
      <c r="I1425" s="4"/>
      <c r="J1425" s="43"/>
    </row>
    <row r="1426" spans="1:10" s="3" customFormat="1" x14ac:dyDescent="0.25">
      <c r="A1426" s="20">
        <v>42078</v>
      </c>
      <c r="B1426" s="21">
        <v>14936</v>
      </c>
      <c r="C1426" s="14" t="s">
        <v>159</v>
      </c>
      <c r="D1426" s="105">
        <v>15350.8</v>
      </c>
      <c r="E1426" s="23">
        <v>42078</v>
      </c>
      <c r="F1426" s="106">
        <v>15350.8</v>
      </c>
      <c r="G1426" s="31">
        <f t="shared" si="22"/>
        <v>0</v>
      </c>
      <c r="H1426" s="19" t="s">
        <v>9</v>
      </c>
      <c r="I1426" s="4"/>
      <c r="J1426" s="43"/>
    </row>
    <row r="1427" spans="1:10" s="3" customFormat="1" x14ac:dyDescent="0.25">
      <c r="A1427" s="20">
        <v>42078</v>
      </c>
      <c r="B1427" s="21">
        <v>14937</v>
      </c>
      <c r="C1427" s="150" t="s">
        <v>80</v>
      </c>
      <c r="D1427" s="105">
        <v>7453.8</v>
      </c>
      <c r="E1427" s="23">
        <v>42078</v>
      </c>
      <c r="F1427" s="106">
        <v>7453.8</v>
      </c>
      <c r="G1427" s="31">
        <f t="shared" si="22"/>
        <v>0</v>
      </c>
      <c r="H1427" s="19" t="s">
        <v>9</v>
      </c>
      <c r="J1427" s="42"/>
    </row>
    <row r="1428" spans="1:10" s="3" customFormat="1" x14ac:dyDescent="0.25">
      <c r="A1428" s="20">
        <v>42078</v>
      </c>
      <c r="B1428" s="21">
        <v>14938</v>
      </c>
      <c r="C1428" s="14" t="s">
        <v>102</v>
      </c>
      <c r="D1428" s="105">
        <v>1826</v>
      </c>
      <c r="E1428" s="23">
        <v>42078</v>
      </c>
      <c r="F1428" s="106">
        <v>1826</v>
      </c>
      <c r="G1428" s="31">
        <f t="shared" si="22"/>
        <v>0</v>
      </c>
      <c r="H1428" s="19" t="s">
        <v>9</v>
      </c>
      <c r="J1428" s="42"/>
    </row>
    <row r="1429" spans="1:10" s="3" customFormat="1" x14ac:dyDescent="0.25">
      <c r="A1429" s="20">
        <v>42078</v>
      </c>
      <c r="B1429" s="21">
        <v>14939</v>
      </c>
      <c r="C1429" s="14" t="s">
        <v>24</v>
      </c>
      <c r="D1429" s="105">
        <v>57972.3</v>
      </c>
      <c r="E1429" s="23">
        <v>42093</v>
      </c>
      <c r="F1429" s="106">
        <v>57972.3</v>
      </c>
      <c r="G1429" s="31">
        <f t="shared" si="22"/>
        <v>0</v>
      </c>
      <c r="H1429" s="19" t="s">
        <v>187</v>
      </c>
      <c r="J1429" s="42"/>
    </row>
    <row r="1430" spans="1:10" s="3" customFormat="1" x14ac:dyDescent="0.25">
      <c r="A1430" s="20">
        <v>42078</v>
      </c>
      <c r="B1430" s="21">
        <v>14940</v>
      </c>
      <c r="C1430" s="14" t="s">
        <v>16</v>
      </c>
      <c r="D1430" s="105">
        <v>5958.2</v>
      </c>
      <c r="E1430" s="23">
        <v>42079</v>
      </c>
      <c r="F1430" s="106">
        <v>5958.2</v>
      </c>
      <c r="G1430" s="31">
        <f t="shared" si="22"/>
        <v>0</v>
      </c>
      <c r="H1430" s="19" t="s">
        <v>17</v>
      </c>
      <c r="J1430" s="42"/>
    </row>
    <row r="1431" spans="1:10" s="3" customFormat="1" x14ac:dyDescent="0.25">
      <c r="A1431" s="20">
        <v>42079</v>
      </c>
      <c r="B1431" s="21">
        <v>14941</v>
      </c>
      <c r="C1431" s="14" t="s">
        <v>190</v>
      </c>
      <c r="D1431" s="105">
        <v>6405.6</v>
      </c>
      <c r="E1431" s="23">
        <v>42079</v>
      </c>
      <c r="F1431" s="106">
        <v>6405.6</v>
      </c>
      <c r="G1431" s="31">
        <f t="shared" si="22"/>
        <v>0</v>
      </c>
      <c r="H1431" s="19" t="s">
        <v>9</v>
      </c>
      <c r="J1431" s="42"/>
    </row>
    <row r="1432" spans="1:10" s="3" customFormat="1" x14ac:dyDescent="0.25">
      <c r="A1432" s="20">
        <v>42079</v>
      </c>
      <c r="B1432" s="21">
        <v>14942</v>
      </c>
      <c r="C1432" s="14" t="s">
        <v>18</v>
      </c>
      <c r="D1432" s="105">
        <v>2463.1</v>
      </c>
      <c r="E1432" s="23">
        <v>42079</v>
      </c>
      <c r="F1432" s="106">
        <v>2463.1</v>
      </c>
      <c r="G1432" s="31">
        <f t="shared" si="22"/>
        <v>0</v>
      </c>
      <c r="H1432" s="19" t="s">
        <v>9</v>
      </c>
      <c r="J1432" s="42"/>
    </row>
    <row r="1433" spans="1:10" s="3" customFormat="1" x14ac:dyDescent="0.25">
      <c r="A1433" s="20">
        <v>42079</v>
      </c>
      <c r="B1433" s="21">
        <v>14943</v>
      </c>
      <c r="C1433" s="14" t="s">
        <v>267</v>
      </c>
      <c r="D1433" s="105">
        <v>1394</v>
      </c>
      <c r="E1433" s="23">
        <v>42079</v>
      </c>
      <c r="F1433" s="106">
        <v>1394</v>
      </c>
      <c r="G1433" s="31">
        <f t="shared" si="22"/>
        <v>0</v>
      </c>
      <c r="H1433" s="19" t="s">
        <v>15</v>
      </c>
      <c r="J1433" s="42"/>
    </row>
    <row r="1434" spans="1:10" s="3" customFormat="1" x14ac:dyDescent="0.25">
      <c r="A1434" s="20">
        <v>42079</v>
      </c>
      <c r="B1434" s="21">
        <v>14944</v>
      </c>
      <c r="C1434" s="14" t="s">
        <v>14</v>
      </c>
      <c r="D1434" s="105">
        <v>14143.2</v>
      </c>
      <c r="E1434" s="23">
        <v>42089</v>
      </c>
      <c r="F1434" s="106">
        <v>14143.2</v>
      </c>
      <c r="G1434" s="31">
        <f t="shared" si="22"/>
        <v>0</v>
      </c>
      <c r="H1434" s="19" t="s">
        <v>15</v>
      </c>
      <c r="J1434" s="42"/>
    </row>
    <row r="1435" spans="1:10" s="3" customFormat="1" x14ac:dyDescent="0.25">
      <c r="A1435" s="20">
        <v>42079</v>
      </c>
      <c r="B1435" s="21">
        <v>14945</v>
      </c>
      <c r="C1435" s="14" t="s">
        <v>720</v>
      </c>
      <c r="D1435" s="105">
        <v>17276.599999999999</v>
      </c>
      <c r="E1435" s="23">
        <v>42079</v>
      </c>
      <c r="F1435" s="106">
        <v>17276.599999999999</v>
      </c>
      <c r="G1435" s="31">
        <f t="shared" si="22"/>
        <v>0</v>
      </c>
      <c r="H1435" s="19" t="s">
        <v>9</v>
      </c>
      <c r="J1435" s="42"/>
    </row>
    <row r="1436" spans="1:10" s="3" customFormat="1" x14ac:dyDescent="0.25">
      <c r="A1436" s="20">
        <v>42079</v>
      </c>
      <c r="B1436" s="21">
        <v>14946</v>
      </c>
      <c r="C1436" s="26" t="s">
        <v>218</v>
      </c>
      <c r="D1436" s="108">
        <v>0</v>
      </c>
      <c r="E1436" s="23"/>
      <c r="F1436" s="106"/>
      <c r="G1436" s="31">
        <f t="shared" si="22"/>
        <v>0</v>
      </c>
      <c r="H1436" s="19" t="s">
        <v>13</v>
      </c>
      <c r="J1436" s="42"/>
    </row>
    <row r="1437" spans="1:10" s="3" customFormat="1" x14ac:dyDescent="0.25">
      <c r="A1437" s="20">
        <v>42079</v>
      </c>
      <c r="B1437" s="21">
        <v>14947</v>
      </c>
      <c r="C1437" s="14" t="s">
        <v>256</v>
      </c>
      <c r="D1437" s="105">
        <v>5061.5</v>
      </c>
      <c r="E1437" s="23">
        <v>42080</v>
      </c>
      <c r="F1437" s="106">
        <v>5061.5</v>
      </c>
      <c r="G1437" s="31">
        <f t="shared" si="22"/>
        <v>0</v>
      </c>
      <c r="H1437" s="19" t="s">
        <v>773</v>
      </c>
      <c r="J1437" s="42"/>
    </row>
    <row r="1438" spans="1:10" s="3" customFormat="1" x14ac:dyDescent="0.25">
      <c r="A1438" s="20">
        <v>42079</v>
      </c>
      <c r="B1438" s="21">
        <v>14948</v>
      </c>
      <c r="C1438" s="14" t="s">
        <v>35</v>
      </c>
      <c r="D1438" s="105">
        <v>22532.5</v>
      </c>
      <c r="E1438" s="23">
        <v>42080</v>
      </c>
      <c r="F1438" s="106">
        <v>22532.5</v>
      </c>
      <c r="G1438" s="31">
        <f t="shared" si="22"/>
        <v>0</v>
      </c>
      <c r="H1438" s="19" t="s">
        <v>773</v>
      </c>
      <c r="J1438" s="42"/>
    </row>
    <row r="1439" spans="1:10" s="3" customFormat="1" x14ac:dyDescent="0.25">
      <c r="A1439" s="20">
        <v>42079</v>
      </c>
      <c r="B1439" s="21">
        <v>14949</v>
      </c>
      <c r="C1439" s="14" t="s">
        <v>835</v>
      </c>
      <c r="D1439" s="105">
        <v>22997.5</v>
      </c>
      <c r="E1439" s="23">
        <v>42088</v>
      </c>
      <c r="F1439" s="106">
        <v>22997.5</v>
      </c>
      <c r="G1439" s="31">
        <f t="shared" si="22"/>
        <v>0</v>
      </c>
      <c r="H1439" s="19" t="s">
        <v>773</v>
      </c>
      <c r="J1439" s="42"/>
    </row>
    <row r="1440" spans="1:10" s="3" customFormat="1" x14ac:dyDescent="0.25">
      <c r="A1440" s="20">
        <v>42079</v>
      </c>
      <c r="B1440" s="21">
        <v>14950</v>
      </c>
      <c r="C1440" s="14" t="s">
        <v>121</v>
      </c>
      <c r="D1440" s="105">
        <v>2340.3000000000002</v>
      </c>
      <c r="E1440" s="23">
        <v>42079</v>
      </c>
      <c r="F1440" s="106">
        <v>2340.3000000000002</v>
      </c>
      <c r="G1440" s="31">
        <f t="shared" si="22"/>
        <v>0</v>
      </c>
      <c r="H1440" s="39" t="s">
        <v>9</v>
      </c>
      <c r="J1440" s="42"/>
    </row>
    <row r="1441" spans="1:10" s="3" customFormat="1" x14ac:dyDescent="0.25">
      <c r="A1441" s="20">
        <v>42079</v>
      </c>
      <c r="B1441" s="21">
        <v>14951</v>
      </c>
      <c r="C1441" s="14" t="s">
        <v>26</v>
      </c>
      <c r="D1441" s="105">
        <v>822</v>
      </c>
      <c r="E1441" s="23">
        <v>42079</v>
      </c>
      <c r="F1441" s="106">
        <v>822</v>
      </c>
      <c r="G1441" s="31">
        <f t="shared" si="22"/>
        <v>0</v>
      </c>
      <c r="H1441" s="39" t="s">
        <v>27</v>
      </c>
      <c r="J1441" s="42"/>
    </row>
    <row r="1442" spans="1:10" s="3" customFormat="1" x14ac:dyDescent="0.25">
      <c r="A1442" s="20">
        <v>42079</v>
      </c>
      <c r="B1442" s="21">
        <v>14952</v>
      </c>
      <c r="C1442" s="14" t="s">
        <v>56</v>
      </c>
      <c r="D1442" s="105">
        <v>14811.8</v>
      </c>
      <c r="E1442" s="23">
        <v>42080</v>
      </c>
      <c r="F1442" s="106">
        <v>14811.8</v>
      </c>
      <c r="G1442" s="31">
        <f t="shared" si="22"/>
        <v>0</v>
      </c>
      <c r="H1442" s="39" t="s">
        <v>773</v>
      </c>
      <c r="J1442" s="42"/>
    </row>
    <row r="1443" spans="1:10" s="3" customFormat="1" x14ac:dyDescent="0.25">
      <c r="A1443" s="20">
        <v>42079</v>
      </c>
      <c r="B1443" s="21">
        <v>14953</v>
      </c>
      <c r="C1443" s="14" t="s">
        <v>136</v>
      </c>
      <c r="D1443" s="105">
        <v>540</v>
      </c>
      <c r="E1443" s="23">
        <v>42079</v>
      </c>
      <c r="F1443" s="106">
        <v>540</v>
      </c>
      <c r="G1443" s="31">
        <f t="shared" si="22"/>
        <v>0</v>
      </c>
      <c r="H1443" s="39" t="s">
        <v>9</v>
      </c>
      <c r="J1443" s="42"/>
    </row>
    <row r="1444" spans="1:10" s="3" customFormat="1" x14ac:dyDescent="0.25">
      <c r="A1444" s="20">
        <v>42079</v>
      </c>
      <c r="B1444" s="21">
        <v>14954</v>
      </c>
      <c r="C1444" s="14" t="s">
        <v>20</v>
      </c>
      <c r="D1444" s="105">
        <v>9396.7999999999993</v>
      </c>
      <c r="E1444" s="23">
        <v>42079</v>
      </c>
      <c r="F1444" s="106">
        <v>9396.7999999999993</v>
      </c>
      <c r="G1444" s="48">
        <f t="shared" si="22"/>
        <v>0</v>
      </c>
      <c r="H1444" s="39" t="s">
        <v>94</v>
      </c>
      <c r="J1444" s="42"/>
    </row>
    <row r="1445" spans="1:10" s="3" customFormat="1" x14ac:dyDescent="0.25">
      <c r="A1445" s="20">
        <v>42079</v>
      </c>
      <c r="B1445" s="21">
        <v>14955</v>
      </c>
      <c r="C1445" s="14" t="s">
        <v>151</v>
      </c>
      <c r="D1445" s="105">
        <v>4972.6000000000004</v>
      </c>
      <c r="E1445" s="23">
        <v>42080</v>
      </c>
      <c r="F1445" s="106">
        <v>4972.6000000000004</v>
      </c>
      <c r="G1445" s="31">
        <f t="shared" si="22"/>
        <v>0</v>
      </c>
      <c r="H1445" s="39" t="s">
        <v>9</v>
      </c>
      <c r="J1445" s="42"/>
    </row>
    <row r="1446" spans="1:10" s="3" customFormat="1" x14ac:dyDescent="0.25">
      <c r="A1446" s="20">
        <v>42079</v>
      </c>
      <c r="B1446" s="21">
        <v>14956</v>
      </c>
      <c r="C1446" s="14" t="s">
        <v>114</v>
      </c>
      <c r="D1446" s="105">
        <v>1946.4</v>
      </c>
      <c r="E1446" s="23">
        <v>42079</v>
      </c>
      <c r="F1446" s="106">
        <v>1946.4</v>
      </c>
      <c r="G1446" s="31">
        <f t="shared" si="22"/>
        <v>0</v>
      </c>
      <c r="H1446" s="39" t="s">
        <v>9</v>
      </c>
      <c r="J1446" s="42"/>
    </row>
    <row r="1447" spans="1:10" s="3" customFormat="1" x14ac:dyDescent="0.25">
      <c r="A1447" s="20">
        <v>42079</v>
      </c>
      <c r="B1447" s="21">
        <v>14957</v>
      </c>
      <c r="C1447" s="14" t="s">
        <v>21</v>
      </c>
      <c r="D1447" s="105">
        <v>11343.9</v>
      </c>
      <c r="E1447" s="23">
        <v>42079</v>
      </c>
      <c r="F1447" s="106">
        <v>11343.9</v>
      </c>
      <c r="G1447" s="31">
        <f t="shared" si="22"/>
        <v>0</v>
      </c>
      <c r="H1447" s="39" t="s">
        <v>9</v>
      </c>
      <c r="J1447" s="42"/>
    </row>
    <row r="1448" spans="1:10" s="3" customFormat="1" x14ac:dyDescent="0.25">
      <c r="A1448" s="20">
        <v>42079</v>
      </c>
      <c r="B1448" s="21">
        <v>14958</v>
      </c>
      <c r="C1448" s="14" t="s">
        <v>91</v>
      </c>
      <c r="D1448" s="105">
        <v>23167.5</v>
      </c>
      <c r="E1448" s="23">
        <v>42079</v>
      </c>
      <c r="F1448" s="106">
        <v>23167.5</v>
      </c>
      <c r="G1448" s="31">
        <f t="shared" si="22"/>
        <v>0</v>
      </c>
      <c r="H1448" s="39" t="s">
        <v>59</v>
      </c>
      <c r="J1448" s="42"/>
    </row>
    <row r="1449" spans="1:10" s="3" customFormat="1" x14ac:dyDescent="0.25">
      <c r="A1449" s="20">
        <v>42079</v>
      </c>
      <c r="B1449" s="21">
        <v>14959</v>
      </c>
      <c r="C1449" s="14" t="s">
        <v>53</v>
      </c>
      <c r="D1449" s="105">
        <v>1057.4000000000001</v>
      </c>
      <c r="E1449" s="23">
        <v>42079</v>
      </c>
      <c r="F1449" s="106">
        <v>1057.4000000000001</v>
      </c>
      <c r="G1449" s="31">
        <f t="shared" si="22"/>
        <v>0</v>
      </c>
      <c r="H1449" s="39" t="s">
        <v>59</v>
      </c>
      <c r="J1449" s="42"/>
    </row>
    <row r="1450" spans="1:10" s="3" customFormat="1" x14ac:dyDescent="0.25">
      <c r="A1450" s="20">
        <v>42079</v>
      </c>
      <c r="B1450" s="21">
        <v>14960</v>
      </c>
      <c r="C1450" s="14" t="s">
        <v>74</v>
      </c>
      <c r="D1450" s="105">
        <v>1876.8</v>
      </c>
      <c r="E1450" s="23">
        <v>42079</v>
      </c>
      <c r="F1450" s="106">
        <v>1876.8</v>
      </c>
      <c r="G1450" s="31">
        <f t="shared" si="22"/>
        <v>0</v>
      </c>
      <c r="H1450" s="39" t="s">
        <v>9</v>
      </c>
      <c r="J1450" s="42"/>
    </row>
    <row r="1451" spans="1:10" s="3" customFormat="1" x14ac:dyDescent="0.25">
      <c r="A1451" s="20">
        <v>42079</v>
      </c>
      <c r="B1451" s="21">
        <v>14961</v>
      </c>
      <c r="C1451" s="14" t="s">
        <v>120</v>
      </c>
      <c r="D1451" s="105">
        <v>1404</v>
      </c>
      <c r="E1451" s="23">
        <v>42079</v>
      </c>
      <c r="F1451" s="106">
        <v>1404</v>
      </c>
      <c r="G1451" s="31">
        <f t="shared" si="22"/>
        <v>0</v>
      </c>
      <c r="H1451" s="39" t="s">
        <v>59</v>
      </c>
      <c r="J1451" s="42"/>
    </row>
    <row r="1452" spans="1:10" s="3" customFormat="1" x14ac:dyDescent="0.25">
      <c r="A1452" s="20">
        <v>42079</v>
      </c>
      <c r="B1452" s="21">
        <v>14962</v>
      </c>
      <c r="C1452" s="14" t="s">
        <v>664</v>
      </c>
      <c r="D1452" s="105">
        <v>2112</v>
      </c>
      <c r="E1452" s="23">
        <v>42079</v>
      </c>
      <c r="F1452" s="106">
        <v>2112</v>
      </c>
      <c r="G1452" s="31">
        <f t="shared" si="22"/>
        <v>0</v>
      </c>
      <c r="H1452" s="39" t="s">
        <v>59</v>
      </c>
      <c r="J1452" s="42"/>
    </row>
    <row r="1453" spans="1:10" s="3" customFormat="1" x14ac:dyDescent="0.25">
      <c r="A1453" s="20">
        <v>42079</v>
      </c>
      <c r="B1453" s="21">
        <v>14963</v>
      </c>
      <c r="C1453" s="14" t="s">
        <v>664</v>
      </c>
      <c r="D1453" s="105">
        <v>418</v>
      </c>
      <c r="E1453" s="23">
        <v>42079</v>
      </c>
      <c r="F1453" s="106">
        <v>418</v>
      </c>
      <c r="G1453" s="31">
        <f t="shared" si="22"/>
        <v>0</v>
      </c>
      <c r="H1453" s="39" t="s">
        <v>59</v>
      </c>
      <c r="J1453" s="42"/>
    </row>
    <row r="1454" spans="1:10" s="3" customFormat="1" x14ac:dyDescent="0.25">
      <c r="A1454" s="20">
        <v>42079</v>
      </c>
      <c r="B1454" s="21">
        <v>14964</v>
      </c>
      <c r="C1454" s="14" t="s">
        <v>82</v>
      </c>
      <c r="D1454" s="105">
        <v>3330.3</v>
      </c>
      <c r="E1454" s="23">
        <v>42079</v>
      </c>
      <c r="F1454" s="106">
        <v>3330.3</v>
      </c>
      <c r="G1454" s="31">
        <f t="shared" si="22"/>
        <v>0</v>
      </c>
      <c r="H1454" s="39" t="s">
        <v>59</v>
      </c>
      <c r="J1454" s="42"/>
    </row>
    <row r="1455" spans="1:10" s="3" customFormat="1" x14ac:dyDescent="0.25">
      <c r="A1455" s="20">
        <v>42079</v>
      </c>
      <c r="B1455" s="21">
        <v>14965</v>
      </c>
      <c r="C1455" s="14" t="s">
        <v>238</v>
      </c>
      <c r="D1455" s="105">
        <v>780</v>
      </c>
      <c r="E1455" s="23">
        <v>42079</v>
      </c>
      <c r="F1455" s="106">
        <v>780</v>
      </c>
      <c r="G1455" s="31">
        <f t="shared" si="22"/>
        <v>0</v>
      </c>
      <c r="H1455" s="39" t="s">
        <v>59</v>
      </c>
      <c r="J1455" s="42"/>
    </row>
    <row r="1456" spans="1:10" s="3" customFormat="1" x14ac:dyDescent="0.25">
      <c r="A1456" s="20">
        <v>42079</v>
      </c>
      <c r="B1456" s="21">
        <v>14966</v>
      </c>
      <c r="C1456" s="14" t="s">
        <v>81</v>
      </c>
      <c r="D1456" s="105">
        <v>1311.2</v>
      </c>
      <c r="E1456" s="23">
        <v>42079</v>
      </c>
      <c r="F1456" s="106">
        <v>1311.2</v>
      </c>
      <c r="G1456" s="31">
        <f t="shared" si="22"/>
        <v>0</v>
      </c>
      <c r="H1456" s="39" t="s">
        <v>59</v>
      </c>
      <c r="J1456" s="42"/>
    </row>
    <row r="1457" spans="1:10" s="3" customFormat="1" x14ac:dyDescent="0.25">
      <c r="A1457" s="20">
        <v>42079</v>
      </c>
      <c r="B1457" s="21">
        <v>14967</v>
      </c>
      <c r="C1457" s="14" t="s">
        <v>158</v>
      </c>
      <c r="D1457" s="105">
        <v>5635.4</v>
      </c>
      <c r="E1457" s="23">
        <v>42079</v>
      </c>
      <c r="F1457" s="106">
        <v>5635.4</v>
      </c>
      <c r="G1457" s="31">
        <f t="shared" si="22"/>
        <v>0</v>
      </c>
      <c r="H1457" s="39" t="s">
        <v>9</v>
      </c>
      <c r="J1457" s="42"/>
    </row>
    <row r="1458" spans="1:10" s="3" customFormat="1" x14ac:dyDescent="0.25">
      <c r="A1458" s="20">
        <v>42079</v>
      </c>
      <c r="B1458" s="21">
        <v>14968</v>
      </c>
      <c r="C1458" s="14" t="s">
        <v>167</v>
      </c>
      <c r="D1458" s="105">
        <v>647.4</v>
      </c>
      <c r="E1458" s="23">
        <v>42079</v>
      </c>
      <c r="F1458" s="106">
        <v>647.4</v>
      </c>
      <c r="G1458" s="31">
        <f t="shared" si="22"/>
        <v>0</v>
      </c>
      <c r="H1458" s="39" t="s">
        <v>19</v>
      </c>
      <c r="J1458" s="42"/>
    </row>
    <row r="1459" spans="1:10" s="3" customFormat="1" x14ac:dyDescent="0.25">
      <c r="A1459" s="20">
        <v>42079</v>
      </c>
      <c r="B1459" s="21">
        <v>14969</v>
      </c>
      <c r="C1459" s="14" t="s">
        <v>45</v>
      </c>
      <c r="D1459" s="105">
        <v>6399</v>
      </c>
      <c r="E1459" s="23">
        <v>42081</v>
      </c>
      <c r="F1459" s="106">
        <v>6399</v>
      </c>
      <c r="G1459" s="31">
        <f t="shared" si="22"/>
        <v>0</v>
      </c>
      <c r="H1459" s="39" t="s">
        <v>9</v>
      </c>
      <c r="I1459" s="4"/>
      <c r="J1459" s="107"/>
    </row>
    <row r="1460" spans="1:10" s="3" customFormat="1" x14ac:dyDescent="0.25">
      <c r="A1460" s="20">
        <v>42079</v>
      </c>
      <c r="B1460" s="21">
        <v>14970</v>
      </c>
      <c r="C1460" s="14" t="s">
        <v>125</v>
      </c>
      <c r="D1460" s="105">
        <v>14005.6</v>
      </c>
      <c r="E1460" s="23">
        <v>42079</v>
      </c>
      <c r="F1460" s="106">
        <v>14005.6</v>
      </c>
      <c r="G1460" s="31">
        <f t="shared" si="22"/>
        <v>0</v>
      </c>
      <c r="H1460" s="39" t="s">
        <v>9</v>
      </c>
      <c r="I1460" s="4"/>
      <c r="J1460" s="43"/>
    </row>
    <row r="1461" spans="1:10" s="3" customFormat="1" x14ac:dyDescent="0.25">
      <c r="A1461" s="20">
        <v>42079</v>
      </c>
      <c r="B1461" s="21">
        <v>14971</v>
      </c>
      <c r="C1461" s="110">
        <v>105</v>
      </c>
      <c r="D1461" s="105">
        <v>1080</v>
      </c>
      <c r="E1461" s="23">
        <v>42079</v>
      </c>
      <c r="F1461" s="106">
        <v>1080</v>
      </c>
      <c r="G1461" s="31">
        <f t="shared" si="22"/>
        <v>0</v>
      </c>
      <c r="H1461" s="39" t="s">
        <v>59</v>
      </c>
      <c r="I1461" s="4"/>
      <c r="J1461" s="43"/>
    </row>
    <row r="1462" spans="1:10" s="3" customFormat="1" x14ac:dyDescent="0.25">
      <c r="A1462" s="20">
        <v>42079</v>
      </c>
      <c r="B1462" s="21">
        <v>14972</v>
      </c>
      <c r="C1462" s="14" t="s">
        <v>58</v>
      </c>
      <c r="D1462" s="105">
        <v>360</v>
      </c>
      <c r="E1462" s="23">
        <v>42079</v>
      </c>
      <c r="F1462" s="106">
        <v>360</v>
      </c>
      <c r="G1462" s="31">
        <f t="shared" si="22"/>
        <v>0</v>
      </c>
      <c r="H1462" s="39" t="s">
        <v>59</v>
      </c>
      <c r="I1462" s="4"/>
      <c r="J1462" s="43"/>
    </row>
    <row r="1463" spans="1:10" s="3" customFormat="1" x14ac:dyDescent="0.25">
      <c r="A1463" s="20">
        <v>42079</v>
      </c>
      <c r="B1463" s="21">
        <v>14973</v>
      </c>
      <c r="C1463" s="14" t="s">
        <v>57</v>
      </c>
      <c r="D1463" s="105">
        <v>1304</v>
      </c>
      <c r="E1463" s="23">
        <v>42079</v>
      </c>
      <c r="F1463" s="106">
        <v>1304</v>
      </c>
      <c r="G1463" s="31">
        <f t="shared" si="22"/>
        <v>0</v>
      </c>
      <c r="H1463" s="39" t="s">
        <v>59</v>
      </c>
      <c r="I1463" s="4"/>
      <c r="J1463" s="43"/>
    </row>
    <row r="1464" spans="1:10" s="3" customFormat="1" x14ac:dyDescent="0.25">
      <c r="A1464" s="20">
        <v>42079</v>
      </c>
      <c r="B1464" s="21">
        <v>14974</v>
      </c>
      <c r="C1464" s="14" t="s">
        <v>694</v>
      </c>
      <c r="D1464" s="105">
        <v>2573.5500000000002</v>
      </c>
      <c r="E1464" s="23">
        <v>42079</v>
      </c>
      <c r="F1464" s="106">
        <v>2573.5500000000002</v>
      </c>
      <c r="G1464" s="31">
        <f t="shared" si="22"/>
        <v>0</v>
      </c>
      <c r="H1464" s="39" t="s">
        <v>9</v>
      </c>
      <c r="I1464" s="4"/>
      <c r="J1464" s="43"/>
    </row>
    <row r="1465" spans="1:10" s="3" customFormat="1" x14ac:dyDescent="0.25">
      <c r="A1465" s="20">
        <v>42079</v>
      </c>
      <c r="B1465" s="21">
        <v>14975</v>
      </c>
      <c r="C1465" s="14" t="s">
        <v>168</v>
      </c>
      <c r="D1465" s="105">
        <v>8629.7999999999993</v>
      </c>
      <c r="E1465" s="23">
        <v>42079</v>
      </c>
      <c r="F1465" s="106">
        <v>8629.7999999999993</v>
      </c>
      <c r="G1465" s="31">
        <f t="shared" si="22"/>
        <v>0</v>
      </c>
      <c r="H1465" s="39" t="s">
        <v>59</v>
      </c>
      <c r="I1465" s="4"/>
      <c r="J1465" s="43"/>
    </row>
    <row r="1466" spans="1:10" s="3" customFormat="1" x14ac:dyDescent="0.25">
      <c r="A1466" s="20">
        <v>42079</v>
      </c>
      <c r="B1466" s="21">
        <v>14976</v>
      </c>
      <c r="C1466" s="14" t="s">
        <v>818</v>
      </c>
      <c r="D1466" s="105">
        <v>11364</v>
      </c>
      <c r="E1466" s="23">
        <v>42079</v>
      </c>
      <c r="F1466" s="106">
        <v>11364</v>
      </c>
      <c r="G1466" s="31">
        <f t="shared" si="22"/>
        <v>0</v>
      </c>
      <c r="H1466" s="39" t="s">
        <v>9</v>
      </c>
      <c r="I1466" s="4"/>
      <c r="J1466" s="43"/>
    </row>
    <row r="1467" spans="1:10" s="3" customFormat="1" x14ac:dyDescent="0.25">
      <c r="A1467" s="20">
        <v>42079</v>
      </c>
      <c r="B1467" s="21">
        <v>14977</v>
      </c>
      <c r="C1467" s="14" t="s">
        <v>155</v>
      </c>
      <c r="D1467" s="105">
        <v>1301.8</v>
      </c>
      <c r="E1467" s="23">
        <v>42079</v>
      </c>
      <c r="F1467" s="106">
        <v>1301.8</v>
      </c>
      <c r="G1467" s="31">
        <f t="shared" si="22"/>
        <v>0</v>
      </c>
      <c r="H1467" s="39" t="s">
        <v>59</v>
      </c>
      <c r="I1467" s="4"/>
      <c r="J1467" s="43"/>
    </row>
    <row r="1468" spans="1:10" s="3" customFormat="1" x14ac:dyDescent="0.25">
      <c r="A1468" s="20">
        <v>42079</v>
      </c>
      <c r="B1468" s="21">
        <v>14978</v>
      </c>
      <c r="C1468" s="14" t="s">
        <v>104</v>
      </c>
      <c r="D1468" s="105">
        <v>14987.9</v>
      </c>
      <c r="E1468" s="51">
        <v>42080</v>
      </c>
      <c r="F1468" s="106">
        <v>14987.9</v>
      </c>
      <c r="G1468" s="31">
        <f t="shared" si="22"/>
        <v>0</v>
      </c>
      <c r="H1468" s="39" t="s">
        <v>19</v>
      </c>
      <c r="I1468" s="4"/>
      <c r="J1468" s="43"/>
    </row>
    <row r="1469" spans="1:10" s="3" customFormat="1" x14ac:dyDescent="0.25">
      <c r="A1469" s="20">
        <v>42079</v>
      </c>
      <c r="B1469" s="21">
        <v>14979</v>
      </c>
      <c r="C1469" s="14" t="s">
        <v>93</v>
      </c>
      <c r="D1469" s="105">
        <v>1339.6</v>
      </c>
      <c r="E1469" s="23">
        <v>42080</v>
      </c>
      <c r="F1469" s="106">
        <v>1339.6</v>
      </c>
      <c r="G1469" s="31">
        <f t="shared" si="22"/>
        <v>0</v>
      </c>
      <c r="H1469" s="39" t="s">
        <v>19</v>
      </c>
      <c r="I1469" s="4"/>
      <c r="J1469" s="43"/>
    </row>
    <row r="1470" spans="1:10" s="3" customFormat="1" x14ac:dyDescent="0.25">
      <c r="A1470" s="20">
        <v>42079</v>
      </c>
      <c r="B1470" s="21">
        <v>14980</v>
      </c>
      <c r="C1470" s="26" t="s">
        <v>218</v>
      </c>
      <c r="D1470" s="108">
        <v>0</v>
      </c>
      <c r="E1470" s="23"/>
      <c r="F1470" s="106"/>
      <c r="G1470" s="31">
        <f t="shared" si="22"/>
        <v>0</v>
      </c>
      <c r="H1470" s="39" t="s">
        <v>13</v>
      </c>
      <c r="I1470" s="4"/>
      <c r="J1470" s="43"/>
    </row>
    <row r="1471" spans="1:10" s="3" customFormat="1" x14ac:dyDescent="0.25">
      <c r="A1471" s="20">
        <v>42079</v>
      </c>
      <c r="B1471" s="21">
        <v>14981</v>
      </c>
      <c r="C1471" s="14" t="s">
        <v>130</v>
      </c>
      <c r="D1471" s="105">
        <v>6124.3</v>
      </c>
      <c r="E1471" s="23">
        <v>42082</v>
      </c>
      <c r="F1471" s="106">
        <v>6124.3</v>
      </c>
      <c r="G1471" s="31">
        <f t="shared" si="22"/>
        <v>0</v>
      </c>
      <c r="H1471" s="39" t="s">
        <v>17</v>
      </c>
      <c r="I1471" s="4"/>
      <c r="J1471" s="43"/>
    </row>
    <row r="1472" spans="1:10" s="3" customFormat="1" x14ac:dyDescent="0.25">
      <c r="A1472" s="20">
        <v>42079</v>
      </c>
      <c r="B1472" s="21">
        <v>14982</v>
      </c>
      <c r="C1472" s="14" t="s">
        <v>128</v>
      </c>
      <c r="D1472" s="105">
        <v>5740.8</v>
      </c>
      <c r="E1472" s="23">
        <v>42080</v>
      </c>
      <c r="F1472" s="106">
        <v>5740.8</v>
      </c>
      <c r="G1472" s="31">
        <f t="shared" si="22"/>
        <v>0</v>
      </c>
      <c r="H1472" s="39" t="s">
        <v>17</v>
      </c>
      <c r="I1472" s="4"/>
      <c r="J1472" s="43"/>
    </row>
    <row r="1473" spans="1:10" s="3" customFormat="1" x14ac:dyDescent="0.25">
      <c r="A1473" s="20">
        <v>42079</v>
      </c>
      <c r="B1473" s="21">
        <v>14983</v>
      </c>
      <c r="C1473" s="14" t="s">
        <v>868</v>
      </c>
      <c r="D1473" s="105">
        <v>2227.1999999999998</v>
      </c>
      <c r="E1473" s="23">
        <v>42080</v>
      </c>
      <c r="F1473" s="106">
        <v>2227.1999999999998</v>
      </c>
      <c r="G1473" s="31">
        <f t="shared" si="22"/>
        <v>0</v>
      </c>
      <c r="H1473" s="39" t="s">
        <v>17</v>
      </c>
      <c r="I1473" s="4"/>
      <c r="J1473" s="43"/>
    </row>
    <row r="1474" spans="1:10" s="3" customFormat="1" x14ac:dyDescent="0.25">
      <c r="A1474" s="20">
        <v>42079</v>
      </c>
      <c r="B1474" s="21">
        <v>14984</v>
      </c>
      <c r="C1474" s="14" t="s">
        <v>131</v>
      </c>
      <c r="D1474" s="105">
        <v>5749.8</v>
      </c>
      <c r="E1474" s="23">
        <v>42080</v>
      </c>
      <c r="F1474" s="106">
        <v>5749.8</v>
      </c>
      <c r="G1474" s="31">
        <f t="shared" si="22"/>
        <v>0</v>
      </c>
      <c r="H1474" s="39" t="s">
        <v>17</v>
      </c>
      <c r="I1474" s="4"/>
      <c r="J1474" s="43"/>
    </row>
    <row r="1475" spans="1:10" s="3" customFormat="1" x14ac:dyDescent="0.25">
      <c r="A1475" s="20">
        <v>42079</v>
      </c>
      <c r="B1475" s="21">
        <v>14985</v>
      </c>
      <c r="C1475" s="14" t="s">
        <v>226</v>
      </c>
      <c r="D1475" s="105">
        <v>1496</v>
      </c>
      <c r="E1475" s="23">
        <v>42079</v>
      </c>
      <c r="F1475" s="106">
        <v>1496</v>
      </c>
      <c r="G1475" s="31">
        <f t="shared" ref="G1475:G1538" si="23">D1475-F1475</f>
        <v>0</v>
      </c>
      <c r="H1475" s="39" t="s">
        <v>15</v>
      </c>
      <c r="J1475" s="42"/>
    </row>
    <row r="1476" spans="1:10" s="3" customFormat="1" x14ac:dyDescent="0.25">
      <c r="A1476" s="20">
        <v>42079</v>
      </c>
      <c r="B1476" s="21">
        <v>14986</v>
      </c>
      <c r="C1476" s="14" t="s">
        <v>285</v>
      </c>
      <c r="D1476" s="105">
        <v>515.9</v>
      </c>
      <c r="E1476" s="23">
        <v>42079</v>
      </c>
      <c r="F1476" s="106">
        <v>515.9</v>
      </c>
      <c r="G1476" s="31">
        <f t="shared" si="23"/>
        <v>0</v>
      </c>
      <c r="H1476" s="39" t="s">
        <v>15</v>
      </c>
      <c r="J1476" s="42"/>
    </row>
    <row r="1477" spans="1:10" s="3" customFormat="1" x14ac:dyDescent="0.25">
      <c r="A1477" s="20">
        <v>42079</v>
      </c>
      <c r="B1477" s="21">
        <v>14987</v>
      </c>
      <c r="C1477" s="14" t="s">
        <v>675</v>
      </c>
      <c r="D1477" s="105">
        <v>1440</v>
      </c>
      <c r="E1477" s="23">
        <v>42079</v>
      </c>
      <c r="F1477" s="106">
        <v>1440</v>
      </c>
      <c r="G1477" s="31">
        <f t="shared" si="23"/>
        <v>0</v>
      </c>
      <c r="H1477" s="39" t="s">
        <v>9</v>
      </c>
      <c r="J1477" s="42"/>
    </row>
    <row r="1478" spans="1:10" s="3" customFormat="1" x14ac:dyDescent="0.25">
      <c r="A1478" s="20">
        <v>42079</v>
      </c>
      <c r="B1478" s="21">
        <v>14988</v>
      </c>
      <c r="C1478" s="14" t="s">
        <v>292</v>
      </c>
      <c r="D1478" s="105">
        <v>2184</v>
      </c>
      <c r="E1478" s="23">
        <v>42079</v>
      </c>
      <c r="F1478" s="106">
        <v>2184</v>
      </c>
      <c r="G1478" s="31">
        <f t="shared" si="23"/>
        <v>0</v>
      </c>
      <c r="H1478" s="39" t="s">
        <v>59</v>
      </c>
      <c r="J1478" s="42"/>
    </row>
    <row r="1479" spans="1:10" s="3" customFormat="1" x14ac:dyDescent="0.25">
      <c r="A1479" s="20">
        <v>42079</v>
      </c>
      <c r="B1479" s="21">
        <v>14989</v>
      </c>
      <c r="C1479" s="14" t="s">
        <v>127</v>
      </c>
      <c r="D1479" s="105">
        <v>6699.8</v>
      </c>
      <c r="E1479" s="23">
        <v>42079</v>
      </c>
      <c r="F1479" s="106">
        <v>6699.8</v>
      </c>
      <c r="G1479" s="31">
        <f t="shared" si="23"/>
        <v>0</v>
      </c>
      <c r="H1479" s="39" t="s">
        <v>9</v>
      </c>
      <c r="J1479" s="42"/>
    </row>
    <row r="1480" spans="1:10" s="3" customFormat="1" x14ac:dyDescent="0.25">
      <c r="A1480" s="20">
        <v>42079</v>
      </c>
      <c r="B1480" s="21">
        <v>14990</v>
      </c>
      <c r="C1480" s="14" t="s">
        <v>89</v>
      </c>
      <c r="D1480" s="105">
        <v>7152.8</v>
      </c>
      <c r="E1480" s="23">
        <v>42079</v>
      </c>
      <c r="F1480" s="106">
        <v>7152.8</v>
      </c>
      <c r="G1480" s="31">
        <f t="shared" si="23"/>
        <v>0</v>
      </c>
      <c r="H1480" s="39" t="s">
        <v>9</v>
      </c>
      <c r="J1480" s="42"/>
    </row>
    <row r="1481" spans="1:10" s="3" customFormat="1" x14ac:dyDescent="0.25">
      <c r="A1481" s="20">
        <v>42079</v>
      </c>
      <c r="B1481" s="21">
        <v>14991</v>
      </c>
      <c r="C1481" s="14" t="s">
        <v>125</v>
      </c>
      <c r="D1481" s="105">
        <v>23847.5</v>
      </c>
      <c r="E1481" s="23">
        <v>42080</v>
      </c>
      <c r="F1481" s="106">
        <v>23847.5</v>
      </c>
      <c r="G1481" s="31">
        <f t="shared" si="23"/>
        <v>0</v>
      </c>
      <c r="H1481" s="39" t="s">
        <v>94</v>
      </c>
      <c r="J1481" s="42"/>
    </row>
    <row r="1482" spans="1:10" s="3" customFormat="1" x14ac:dyDescent="0.25">
      <c r="A1482" s="20">
        <v>42079</v>
      </c>
      <c r="B1482" s="21">
        <v>14992</v>
      </c>
      <c r="C1482" s="14" t="s">
        <v>179</v>
      </c>
      <c r="D1482" s="105">
        <v>3780</v>
      </c>
      <c r="E1482" s="23">
        <v>42079</v>
      </c>
      <c r="F1482" s="106">
        <v>3780</v>
      </c>
      <c r="G1482" s="31">
        <f t="shared" si="23"/>
        <v>0</v>
      </c>
      <c r="H1482" s="39" t="s">
        <v>15</v>
      </c>
      <c r="J1482" s="42"/>
    </row>
    <row r="1483" spans="1:10" s="3" customFormat="1" x14ac:dyDescent="0.25">
      <c r="A1483" s="20">
        <v>42079</v>
      </c>
      <c r="B1483" s="21">
        <v>14993</v>
      </c>
      <c r="C1483" s="14" t="s">
        <v>34</v>
      </c>
      <c r="D1483" s="105">
        <v>3733.2</v>
      </c>
      <c r="E1483" s="23">
        <v>42079</v>
      </c>
      <c r="F1483" s="106">
        <v>3733.2</v>
      </c>
      <c r="G1483" s="31">
        <f t="shared" si="23"/>
        <v>0</v>
      </c>
      <c r="H1483" s="39" t="s">
        <v>9</v>
      </c>
      <c r="J1483" s="42"/>
    </row>
    <row r="1484" spans="1:10" s="3" customFormat="1" x14ac:dyDescent="0.25">
      <c r="A1484" s="20">
        <v>42079</v>
      </c>
      <c r="B1484" s="21">
        <v>14994</v>
      </c>
      <c r="C1484" s="14" t="s">
        <v>14</v>
      </c>
      <c r="D1484" s="105">
        <v>220888.45</v>
      </c>
      <c r="E1484" s="23">
        <v>42089</v>
      </c>
      <c r="F1484" s="106">
        <v>220888.45</v>
      </c>
      <c r="G1484" s="48">
        <f t="shared" si="23"/>
        <v>0</v>
      </c>
      <c r="H1484" s="39" t="s">
        <v>46</v>
      </c>
      <c r="J1484" s="42"/>
    </row>
    <row r="1485" spans="1:10" s="3" customFormat="1" x14ac:dyDescent="0.25">
      <c r="A1485" s="20">
        <v>42079</v>
      </c>
      <c r="B1485" s="21">
        <v>14995</v>
      </c>
      <c r="C1485" s="14" t="s">
        <v>699</v>
      </c>
      <c r="D1485" s="105">
        <v>2306.6</v>
      </c>
      <c r="E1485" s="23">
        <v>42088</v>
      </c>
      <c r="F1485" s="106">
        <v>2306.6</v>
      </c>
      <c r="G1485" s="31">
        <f t="shared" si="23"/>
        <v>0</v>
      </c>
      <c r="H1485" s="39" t="s">
        <v>9</v>
      </c>
      <c r="J1485" s="42"/>
    </row>
    <row r="1486" spans="1:10" s="3" customFormat="1" x14ac:dyDescent="0.25">
      <c r="A1486" s="20">
        <v>42079</v>
      </c>
      <c r="B1486" s="21">
        <v>14996</v>
      </c>
      <c r="C1486" s="14" t="s">
        <v>99</v>
      </c>
      <c r="D1486" s="105">
        <v>432</v>
      </c>
      <c r="E1486" s="51">
        <v>42079</v>
      </c>
      <c r="F1486" s="106">
        <v>432</v>
      </c>
      <c r="G1486" s="31">
        <f t="shared" si="23"/>
        <v>0</v>
      </c>
      <c r="H1486" s="39" t="s">
        <v>15</v>
      </c>
      <c r="J1486" s="42"/>
    </row>
    <row r="1487" spans="1:10" s="3" customFormat="1" x14ac:dyDescent="0.25">
      <c r="A1487" s="20">
        <v>42079</v>
      </c>
      <c r="B1487" s="21">
        <v>14997</v>
      </c>
      <c r="C1487" s="14" t="s">
        <v>50</v>
      </c>
      <c r="D1487" s="105">
        <v>768.8</v>
      </c>
      <c r="E1487" s="23">
        <v>42079</v>
      </c>
      <c r="F1487" s="106">
        <v>768.8</v>
      </c>
      <c r="G1487" s="31">
        <f t="shared" si="23"/>
        <v>0</v>
      </c>
      <c r="H1487" s="39" t="s">
        <v>94</v>
      </c>
      <c r="J1487" s="42"/>
    </row>
    <row r="1488" spans="1:10" s="3" customFormat="1" x14ac:dyDescent="0.25">
      <c r="A1488" s="20">
        <v>42079</v>
      </c>
      <c r="B1488" s="21">
        <v>14998</v>
      </c>
      <c r="C1488" s="14" t="s">
        <v>106</v>
      </c>
      <c r="D1488" s="105">
        <v>33910.400000000001</v>
      </c>
      <c r="E1488" s="30">
        <v>42101</v>
      </c>
      <c r="F1488" s="144">
        <v>33910.400000000001</v>
      </c>
      <c r="G1488" s="31">
        <f t="shared" si="23"/>
        <v>0</v>
      </c>
      <c r="H1488" s="39" t="s">
        <v>9</v>
      </c>
      <c r="J1488" s="42"/>
    </row>
    <row r="1489" spans="1:10" s="3" customFormat="1" x14ac:dyDescent="0.25">
      <c r="A1489" s="20">
        <v>42079</v>
      </c>
      <c r="B1489" s="21">
        <v>14999</v>
      </c>
      <c r="C1489" s="14" t="s">
        <v>136</v>
      </c>
      <c r="D1489" s="105">
        <v>34761.599999999999</v>
      </c>
      <c r="E1489" s="29" t="s">
        <v>876</v>
      </c>
      <c r="F1489" s="106">
        <f>6749.2+3500+24512.4</f>
        <v>34761.600000000006</v>
      </c>
      <c r="G1489" s="31">
        <f t="shared" si="23"/>
        <v>0</v>
      </c>
      <c r="H1489" s="39" t="s">
        <v>9</v>
      </c>
      <c r="J1489" s="42"/>
    </row>
    <row r="1490" spans="1:10" s="3" customFormat="1" x14ac:dyDescent="0.25">
      <c r="A1490" s="20">
        <v>42079</v>
      </c>
      <c r="B1490" s="21">
        <v>15000</v>
      </c>
      <c r="C1490" s="26" t="s">
        <v>218</v>
      </c>
      <c r="D1490" s="108">
        <v>0</v>
      </c>
      <c r="E1490" s="23"/>
      <c r="F1490" s="106"/>
      <c r="G1490" s="31">
        <f t="shared" si="23"/>
        <v>0</v>
      </c>
      <c r="H1490" s="39" t="s">
        <v>13</v>
      </c>
      <c r="J1490" s="42"/>
    </row>
    <row r="1491" spans="1:10" s="3" customFormat="1" x14ac:dyDescent="0.25">
      <c r="A1491" s="20">
        <v>42079</v>
      </c>
      <c r="B1491" s="21">
        <v>15001</v>
      </c>
      <c r="C1491" s="14" t="s">
        <v>110</v>
      </c>
      <c r="D1491" s="105">
        <v>43925.45</v>
      </c>
      <c r="E1491" s="23">
        <v>42087</v>
      </c>
      <c r="F1491" s="106">
        <v>43925.45</v>
      </c>
      <c r="G1491" s="31">
        <f t="shared" si="23"/>
        <v>0</v>
      </c>
      <c r="H1491" s="39" t="s">
        <v>183</v>
      </c>
      <c r="J1491" s="42"/>
    </row>
    <row r="1492" spans="1:10" s="3" customFormat="1" x14ac:dyDescent="0.25">
      <c r="A1492" s="20">
        <v>42079</v>
      </c>
      <c r="B1492" s="21">
        <v>15002</v>
      </c>
      <c r="C1492" s="14" t="s">
        <v>65</v>
      </c>
      <c r="D1492" s="105">
        <v>20595.75</v>
      </c>
      <c r="E1492" s="23">
        <v>42080</v>
      </c>
      <c r="F1492" s="106">
        <v>20595.75</v>
      </c>
      <c r="G1492" s="31">
        <f t="shared" si="23"/>
        <v>0</v>
      </c>
      <c r="H1492" s="39" t="s">
        <v>62</v>
      </c>
      <c r="J1492" s="42"/>
    </row>
    <row r="1493" spans="1:10" s="3" customFormat="1" x14ac:dyDescent="0.25">
      <c r="A1493" s="20">
        <v>42079</v>
      </c>
      <c r="B1493" s="21">
        <v>15003</v>
      </c>
      <c r="C1493" s="14" t="s">
        <v>78</v>
      </c>
      <c r="D1493" s="105">
        <v>7743.4</v>
      </c>
      <c r="E1493" s="23">
        <v>42080</v>
      </c>
      <c r="F1493" s="106">
        <v>7743.4</v>
      </c>
      <c r="G1493" s="31">
        <f t="shared" si="23"/>
        <v>0</v>
      </c>
      <c r="H1493" s="39" t="s">
        <v>62</v>
      </c>
      <c r="J1493" s="42"/>
    </row>
    <row r="1494" spans="1:10" s="3" customFormat="1" x14ac:dyDescent="0.25">
      <c r="A1494" s="20">
        <v>42079</v>
      </c>
      <c r="B1494" s="21">
        <v>15004</v>
      </c>
      <c r="C1494" s="14" t="s">
        <v>67</v>
      </c>
      <c r="D1494" s="105">
        <v>3041.6</v>
      </c>
      <c r="E1494" s="23">
        <v>42080</v>
      </c>
      <c r="F1494" s="106">
        <v>3041.6</v>
      </c>
      <c r="G1494" s="31">
        <f t="shared" si="23"/>
        <v>0</v>
      </c>
      <c r="H1494" s="39" t="s">
        <v>62</v>
      </c>
      <c r="J1494" s="42"/>
    </row>
    <row r="1495" spans="1:10" s="3" customFormat="1" x14ac:dyDescent="0.25">
      <c r="A1495" s="20">
        <v>42079</v>
      </c>
      <c r="B1495" s="21">
        <v>15005</v>
      </c>
      <c r="C1495" s="14" t="s">
        <v>170</v>
      </c>
      <c r="D1495" s="105">
        <v>3412.8</v>
      </c>
      <c r="E1495" s="23">
        <v>42080</v>
      </c>
      <c r="F1495" s="106">
        <v>3412.8</v>
      </c>
      <c r="G1495" s="31">
        <f t="shared" si="23"/>
        <v>0</v>
      </c>
      <c r="H1495" s="39" t="s">
        <v>62</v>
      </c>
      <c r="J1495" s="42"/>
    </row>
    <row r="1496" spans="1:10" s="3" customFormat="1" x14ac:dyDescent="0.25">
      <c r="A1496" s="20">
        <v>42079</v>
      </c>
      <c r="B1496" s="21">
        <v>15006</v>
      </c>
      <c r="C1496" s="14" t="s">
        <v>98</v>
      </c>
      <c r="D1496" s="105">
        <v>2168.9</v>
      </c>
      <c r="E1496" s="23">
        <v>42080</v>
      </c>
      <c r="F1496" s="106">
        <v>2168.9</v>
      </c>
      <c r="G1496" s="31">
        <f t="shared" si="23"/>
        <v>0</v>
      </c>
      <c r="H1496" s="39" t="s">
        <v>19</v>
      </c>
      <c r="J1496" s="42"/>
    </row>
    <row r="1497" spans="1:10" s="3" customFormat="1" x14ac:dyDescent="0.25">
      <c r="A1497" s="20">
        <v>42079</v>
      </c>
      <c r="B1497" s="21">
        <v>15007</v>
      </c>
      <c r="C1497" s="14" t="s">
        <v>98</v>
      </c>
      <c r="D1497" s="105">
        <v>310.5</v>
      </c>
      <c r="E1497" s="23">
        <v>42080</v>
      </c>
      <c r="F1497" s="106">
        <v>310.5</v>
      </c>
      <c r="G1497" s="31">
        <f t="shared" si="23"/>
        <v>0</v>
      </c>
      <c r="H1497" s="39" t="s">
        <v>19</v>
      </c>
      <c r="J1497" s="42"/>
    </row>
    <row r="1498" spans="1:10" s="3" customFormat="1" x14ac:dyDescent="0.25">
      <c r="A1498" s="20">
        <v>42079</v>
      </c>
      <c r="B1498" s="21">
        <v>15008</v>
      </c>
      <c r="C1498" s="14" t="s">
        <v>104</v>
      </c>
      <c r="D1498" s="105">
        <v>3749.85</v>
      </c>
      <c r="E1498" s="23">
        <v>42080</v>
      </c>
      <c r="F1498" s="106">
        <v>3749.85</v>
      </c>
      <c r="G1498" s="31">
        <f t="shared" si="23"/>
        <v>0</v>
      </c>
      <c r="H1498" s="39" t="s">
        <v>19</v>
      </c>
      <c r="J1498" s="42"/>
    </row>
    <row r="1499" spans="1:10" s="3" customFormat="1" x14ac:dyDescent="0.25">
      <c r="A1499" s="20">
        <v>42079</v>
      </c>
      <c r="B1499" s="21">
        <v>15009</v>
      </c>
      <c r="C1499" s="14" t="s">
        <v>75</v>
      </c>
      <c r="D1499" s="105">
        <v>17017.8</v>
      </c>
      <c r="E1499" s="23">
        <v>42080</v>
      </c>
      <c r="F1499" s="106">
        <v>17017.8</v>
      </c>
      <c r="G1499" s="31">
        <f t="shared" si="23"/>
        <v>0</v>
      </c>
      <c r="H1499" s="39" t="s">
        <v>62</v>
      </c>
      <c r="J1499" s="42"/>
    </row>
    <row r="1500" spans="1:10" s="3" customFormat="1" x14ac:dyDescent="0.25">
      <c r="A1500" s="20">
        <v>42079</v>
      </c>
      <c r="B1500" s="21">
        <v>15010</v>
      </c>
      <c r="C1500" s="14" t="s">
        <v>96</v>
      </c>
      <c r="D1500" s="105">
        <v>3095.04</v>
      </c>
      <c r="E1500" s="23">
        <v>42080</v>
      </c>
      <c r="F1500" s="106">
        <v>3095.04</v>
      </c>
      <c r="G1500" s="31">
        <f t="shared" si="23"/>
        <v>0</v>
      </c>
      <c r="H1500" s="39" t="s">
        <v>19</v>
      </c>
      <c r="J1500" s="42"/>
    </row>
    <row r="1501" spans="1:10" s="3" customFormat="1" x14ac:dyDescent="0.25">
      <c r="A1501" s="20">
        <v>42079</v>
      </c>
      <c r="B1501" s="21">
        <v>15011</v>
      </c>
      <c r="C1501" s="14" t="s">
        <v>173</v>
      </c>
      <c r="D1501" s="105">
        <v>13790.4</v>
      </c>
      <c r="E1501" s="30" t="s">
        <v>952</v>
      </c>
      <c r="F1501" s="106">
        <v>13790.4</v>
      </c>
      <c r="G1501" s="31">
        <f t="shared" si="23"/>
        <v>0</v>
      </c>
      <c r="H1501" s="39" t="s">
        <v>62</v>
      </c>
      <c r="J1501" s="42"/>
    </row>
    <row r="1502" spans="1:10" s="3" customFormat="1" x14ac:dyDescent="0.25">
      <c r="A1502" s="20">
        <v>42079</v>
      </c>
      <c r="B1502" s="21">
        <v>15012</v>
      </c>
      <c r="C1502" s="14" t="s">
        <v>72</v>
      </c>
      <c r="D1502" s="105">
        <v>14815.95</v>
      </c>
      <c r="E1502" s="30" t="s">
        <v>971</v>
      </c>
      <c r="F1502" s="144">
        <v>14815.95</v>
      </c>
      <c r="G1502" s="31">
        <f t="shared" si="23"/>
        <v>0</v>
      </c>
      <c r="H1502" s="39" t="s">
        <v>62</v>
      </c>
      <c r="J1502" s="42"/>
    </row>
    <row r="1503" spans="1:10" s="3" customFormat="1" x14ac:dyDescent="0.25">
      <c r="A1503" s="20">
        <v>42079</v>
      </c>
      <c r="B1503" s="21">
        <v>15013</v>
      </c>
      <c r="C1503" s="14" t="s">
        <v>21</v>
      </c>
      <c r="D1503" s="105">
        <v>4715.3999999999996</v>
      </c>
      <c r="E1503" s="23">
        <v>42079</v>
      </c>
      <c r="F1503" s="106">
        <v>4715.3999999999996</v>
      </c>
      <c r="G1503" s="31">
        <f t="shared" si="23"/>
        <v>0</v>
      </c>
      <c r="H1503" s="39" t="s">
        <v>9</v>
      </c>
      <c r="J1503" s="42"/>
    </row>
    <row r="1504" spans="1:10" s="3" customFormat="1" x14ac:dyDescent="0.25">
      <c r="A1504" s="20">
        <v>42079</v>
      </c>
      <c r="B1504" s="21">
        <v>15014</v>
      </c>
      <c r="C1504" s="14" t="s">
        <v>84</v>
      </c>
      <c r="D1504" s="105">
        <v>43961.4</v>
      </c>
      <c r="E1504" s="30" t="s">
        <v>796</v>
      </c>
      <c r="F1504" s="106">
        <v>43961.4</v>
      </c>
      <c r="G1504" s="31">
        <f t="shared" si="23"/>
        <v>0</v>
      </c>
      <c r="H1504" s="39" t="s">
        <v>62</v>
      </c>
      <c r="J1504" s="42"/>
    </row>
    <row r="1505" spans="1:10" s="3" customFormat="1" x14ac:dyDescent="0.25">
      <c r="A1505" s="20">
        <v>42079</v>
      </c>
      <c r="B1505" s="21">
        <v>15015</v>
      </c>
      <c r="C1505" s="14" t="s">
        <v>178</v>
      </c>
      <c r="D1505" s="105">
        <v>3268.8</v>
      </c>
      <c r="E1505" s="23">
        <v>42080</v>
      </c>
      <c r="F1505" s="106">
        <v>3268.8</v>
      </c>
      <c r="G1505" s="31">
        <f t="shared" si="23"/>
        <v>0</v>
      </c>
      <c r="H1505" s="39" t="s">
        <v>62</v>
      </c>
      <c r="J1505" s="42"/>
    </row>
    <row r="1506" spans="1:10" s="3" customFormat="1" x14ac:dyDescent="0.25">
      <c r="A1506" s="20">
        <v>42079</v>
      </c>
      <c r="B1506" s="21">
        <v>15016</v>
      </c>
      <c r="C1506" s="14" t="s">
        <v>213</v>
      </c>
      <c r="D1506" s="105">
        <v>3603.6</v>
      </c>
      <c r="E1506" s="23">
        <v>42080</v>
      </c>
      <c r="F1506" s="106">
        <v>3603.6</v>
      </c>
      <c r="G1506" s="31">
        <f t="shared" si="23"/>
        <v>0</v>
      </c>
      <c r="H1506" s="39" t="s">
        <v>19</v>
      </c>
      <c r="J1506" s="42"/>
    </row>
    <row r="1507" spans="1:10" s="3" customFormat="1" x14ac:dyDescent="0.25">
      <c r="A1507" s="20">
        <v>42079</v>
      </c>
      <c r="B1507" s="21">
        <v>15017</v>
      </c>
      <c r="C1507" s="14" t="s">
        <v>176</v>
      </c>
      <c r="D1507" s="105">
        <v>5498.4</v>
      </c>
      <c r="E1507" s="30" t="s">
        <v>796</v>
      </c>
      <c r="F1507" s="106">
        <v>5498.4</v>
      </c>
      <c r="G1507" s="31">
        <f t="shared" si="23"/>
        <v>0</v>
      </c>
      <c r="H1507" s="39" t="s">
        <v>62</v>
      </c>
      <c r="I1507" s="4"/>
      <c r="J1507" s="43"/>
    </row>
    <row r="1508" spans="1:10" s="3" customFormat="1" x14ac:dyDescent="0.25">
      <c r="A1508" s="20">
        <v>42079</v>
      </c>
      <c r="B1508" s="21">
        <v>15018</v>
      </c>
      <c r="C1508" s="14" t="s">
        <v>135</v>
      </c>
      <c r="D1508" s="105">
        <v>2034</v>
      </c>
      <c r="E1508" s="23">
        <v>42079</v>
      </c>
      <c r="F1508" s="106">
        <v>2034</v>
      </c>
      <c r="G1508" s="31">
        <f t="shared" si="23"/>
        <v>0</v>
      </c>
      <c r="H1508" s="39" t="s">
        <v>9</v>
      </c>
      <c r="I1508" s="4"/>
      <c r="J1508" s="43"/>
    </row>
    <row r="1509" spans="1:10" s="3" customFormat="1" x14ac:dyDescent="0.25">
      <c r="A1509" s="20">
        <v>42079</v>
      </c>
      <c r="B1509" s="21">
        <v>15019</v>
      </c>
      <c r="C1509" s="14" t="s">
        <v>241</v>
      </c>
      <c r="D1509" s="105">
        <v>546</v>
      </c>
      <c r="E1509" s="23">
        <v>42079</v>
      </c>
      <c r="F1509" s="106">
        <v>546</v>
      </c>
      <c r="G1509" s="31">
        <f t="shared" si="23"/>
        <v>0</v>
      </c>
      <c r="H1509" s="39" t="s">
        <v>9</v>
      </c>
      <c r="I1509" s="4"/>
      <c r="J1509" s="43"/>
    </row>
    <row r="1510" spans="1:10" s="3" customFormat="1" x14ac:dyDescent="0.25">
      <c r="A1510" s="20">
        <v>42079</v>
      </c>
      <c r="B1510" s="21">
        <v>15020</v>
      </c>
      <c r="C1510" s="14" t="s">
        <v>103</v>
      </c>
      <c r="D1510" s="105">
        <v>22952.5</v>
      </c>
      <c r="E1510" s="23">
        <v>42081</v>
      </c>
      <c r="F1510" s="106">
        <v>22952.5</v>
      </c>
      <c r="G1510" s="31">
        <f t="shared" si="23"/>
        <v>0</v>
      </c>
      <c r="H1510" s="39" t="s">
        <v>9</v>
      </c>
      <c r="I1510" s="4"/>
      <c r="J1510" s="43"/>
    </row>
    <row r="1511" spans="1:10" s="3" customFormat="1" x14ac:dyDescent="0.25">
      <c r="A1511" s="20">
        <v>42079</v>
      </c>
      <c r="B1511" s="21">
        <v>15021</v>
      </c>
      <c r="C1511" s="14" t="s">
        <v>32</v>
      </c>
      <c r="D1511" s="105">
        <v>124111.8</v>
      </c>
      <c r="E1511" s="23">
        <v>42089</v>
      </c>
      <c r="F1511" s="106">
        <v>124111.8</v>
      </c>
      <c r="G1511" s="31">
        <f t="shared" si="23"/>
        <v>0</v>
      </c>
      <c r="H1511" s="39" t="s">
        <v>149</v>
      </c>
      <c r="I1511" s="4"/>
      <c r="J1511" s="43"/>
    </row>
    <row r="1512" spans="1:10" s="3" customFormat="1" x14ac:dyDescent="0.25">
      <c r="A1512" s="20">
        <v>42079</v>
      </c>
      <c r="B1512" s="21">
        <v>15022</v>
      </c>
      <c r="C1512" s="14" t="s">
        <v>61</v>
      </c>
      <c r="D1512" s="105">
        <v>5512.8</v>
      </c>
      <c r="E1512" s="23">
        <v>42080</v>
      </c>
      <c r="F1512" s="106">
        <v>5512.8</v>
      </c>
      <c r="G1512" s="31">
        <f t="shared" si="23"/>
        <v>0</v>
      </c>
      <c r="H1512" s="39" t="s">
        <v>62</v>
      </c>
      <c r="I1512" s="4"/>
      <c r="J1512" s="43"/>
    </row>
    <row r="1513" spans="1:10" s="3" customFormat="1" x14ac:dyDescent="0.25">
      <c r="A1513" s="20">
        <v>42079</v>
      </c>
      <c r="B1513" s="21">
        <v>15023</v>
      </c>
      <c r="C1513" s="14" t="s">
        <v>243</v>
      </c>
      <c r="D1513" s="105">
        <v>1253.04</v>
      </c>
      <c r="E1513" s="23">
        <v>42080</v>
      </c>
      <c r="F1513" s="106">
        <v>1253.04</v>
      </c>
      <c r="G1513" s="31">
        <f t="shared" si="23"/>
        <v>0</v>
      </c>
      <c r="H1513" s="39" t="s">
        <v>62</v>
      </c>
      <c r="I1513" s="4"/>
      <c r="J1513" s="43"/>
    </row>
    <row r="1514" spans="1:10" s="3" customFormat="1" x14ac:dyDescent="0.25">
      <c r="A1514" s="20">
        <v>42079</v>
      </c>
      <c r="B1514" s="21">
        <v>15024</v>
      </c>
      <c r="C1514" s="14" t="s">
        <v>180</v>
      </c>
      <c r="D1514" s="105">
        <v>5652</v>
      </c>
      <c r="E1514" s="23">
        <v>42079</v>
      </c>
      <c r="F1514" s="106">
        <v>5652</v>
      </c>
      <c r="G1514" s="31">
        <f t="shared" si="23"/>
        <v>0</v>
      </c>
      <c r="H1514" s="39" t="s">
        <v>9</v>
      </c>
      <c r="I1514" s="4"/>
      <c r="J1514" s="107"/>
    </row>
    <row r="1515" spans="1:10" s="3" customFormat="1" x14ac:dyDescent="0.25">
      <c r="A1515" s="20">
        <v>42079</v>
      </c>
      <c r="B1515" s="21">
        <v>15025</v>
      </c>
      <c r="C1515" s="14" t="s">
        <v>141</v>
      </c>
      <c r="D1515" s="105">
        <v>8627.4</v>
      </c>
      <c r="E1515" s="23">
        <v>42080</v>
      </c>
      <c r="F1515" s="106">
        <v>8627.4</v>
      </c>
      <c r="G1515" s="31">
        <f t="shared" si="23"/>
        <v>0</v>
      </c>
      <c r="H1515" s="39" t="s">
        <v>9</v>
      </c>
      <c r="I1515" s="4"/>
      <c r="J1515" s="43"/>
    </row>
    <row r="1516" spans="1:10" s="3" customFormat="1" x14ac:dyDescent="0.25">
      <c r="A1516" s="20">
        <v>42079</v>
      </c>
      <c r="B1516" s="21">
        <v>15026</v>
      </c>
      <c r="C1516" s="14" t="s">
        <v>90</v>
      </c>
      <c r="D1516" s="105">
        <v>1065.4000000000001</v>
      </c>
      <c r="E1516" s="23">
        <v>42079</v>
      </c>
      <c r="F1516" s="106">
        <v>1065.4000000000001</v>
      </c>
      <c r="G1516" s="31">
        <f t="shared" si="23"/>
        <v>0</v>
      </c>
      <c r="H1516" s="39" t="s">
        <v>9</v>
      </c>
      <c r="I1516" s="4"/>
      <c r="J1516" s="43"/>
    </row>
    <row r="1517" spans="1:10" s="3" customFormat="1" x14ac:dyDescent="0.25">
      <c r="A1517" s="20">
        <v>42079</v>
      </c>
      <c r="B1517" s="21">
        <v>15027</v>
      </c>
      <c r="C1517" s="14" t="s">
        <v>236</v>
      </c>
      <c r="D1517" s="105">
        <v>10518.4</v>
      </c>
      <c r="E1517" s="23">
        <v>42088</v>
      </c>
      <c r="F1517" s="106">
        <v>10518.4</v>
      </c>
      <c r="G1517" s="31">
        <f t="shared" si="23"/>
        <v>0</v>
      </c>
      <c r="H1517" s="39" t="s">
        <v>41</v>
      </c>
      <c r="I1517" s="4"/>
      <c r="J1517" s="43"/>
    </row>
    <row r="1518" spans="1:10" s="3" customFormat="1" x14ac:dyDescent="0.25">
      <c r="A1518" s="20">
        <v>42079</v>
      </c>
      <c r="B1518" s="21">
        <v>15028</v>
      </c>
      <c r="C1518" s="14" t="s">
        <v>252</v>
      </c>
      <c r="D1518" s="105">
        <v>9353.2000000000007</v>
      </c>
      <c r="E1518" s="23">
        <v>42079</v>
      </c>
      <c r="F1518" s="106">
        <v>9353.2000000000007</v>
      </c>
      <c r="G1518" s="31">
        <f t="shared" si="23"/>
        <v>0</v>
      </c>
      <c r="H1518" s="39" t="s">
        <v>9</v>
      </c>
      <c r="I1518" s="4"/>
      <c r="J1518" s="43"/>
    </row>
    <row r="1519" spans="1:10" s="3" customFormat="1" x14ac:dyDescent="0.25">
      <c r="A1519" s="20">
        <v>42079</v>
      </c>
      <c r="B1519" s="21">
        <v>15029</v>
      </c>
      <c r="C1519" s="14" t="s">
        <v>95</v>
      </c>
      <c r="D1519" s="105">
        <v>3556.4</v>
      </c>
      <c r="E1519" s="23">
        <v>42080</v>
      </c>
      <c r="F1519" s="106">
        <v>3556.4</v>
      </c>
      <c r="G1519" s="31">
        <f t="shared" si="23"/>
        <v>0</v>
      </c>
      <c r="H1519" s="39" t="s">
        <v>41</v>
      </c>
      <c r="I1519" s="4"/>
      <c r="J1519" s="43"/>
    </row>
    <row r="1520" spans="1:10" s="3" customFormat="1" x14ac:dyDescent="0.25">
      <c r="A1520" s="20">
        <v>42079</v>
      </c>
      <c r="B1520" s="21">
        <v>15030</v>
      </c>
      <c r="C1520" s="14" t="s">
        <v>24</v>
      </c>
      <c r="D1520" s="105">
        <v>6260.4</v>
      </c>
      <c r="E1520" s="30">
        <v>42125</v>
      </c>
      <c r="F1520" s="144">
        <v>6260.4</v>
      </c>
      <c r="G1520" s="31">
        <f t="shared" si="23"/>
        <v>0</v>
      </c>
      <c r="H1520" s="39" t="s">
        <v>9</v>
      </c>
      <c r="I1520" s="4"/>
      <c r="J1520" s="43"/>
    </row>
    <row r="1521" spans="1:10" s="3" customFormat="1" x14ac:dyDescent="0.25">
      <c r="A1521" s="20">
        <v>42079</v>
      </c>
      <c r="B1521" s="21">
        <v>15031</v>
      </c>
      <c r="C1521" s="14" t="s">
        <v>28</v>
      </c>
      <c r="D1521" s="105">
        <v>720</v>
      </c>
      <c r="E1521" s="23">
        <v>42079</v>
      </c>
      <c r="F1521" s="106">
        <v>720</v>
      </c>
      <c r="G1521" s="31">
        <f t="shared" si="23"/>
        <v>0</v>
      </c>
      <c r="H1521" s="39" t="s">
        <v>9</v>
      </c>
      <c r="I1521" s="4"/>
      <c r="J1521" s="43"/>
    </row>
    <row r="1522" spans="1:10" s="3" customFormat="1" x14ac:dyDescent="0.25">
      <c r="A1522" s="20">
        <v>42079</v>
      </c>
      <c r="B1522" s="21">
        <v>15032</v>
      </c>
      <c r="C1522" s="14" t="s">
        <v>235</v>
      </c>
      <c r="D1522" s="105">
        <v>1864.2</v>
      </c>
      <c r="E1522" s="23">
        <v>42079</v>
      </c>
      <c r="F1522" s="106">
        <v>1864.2</v>
      </c>
      <c r="G1522" s="31">
        <f t="shared" si="23"/>
        <v>0</v>
      </c>
      <c r="H1522" s="39" t="s">
        <v>17</v>
      </c>
      <c r="I1522" s="4"/>
      <c r="J1522" s="107"/>
    </row>
    <row r="1523" spans="1:10" s="3" customFormat="1" x14ac:dyDescent="0.25">
      <c r="A1523" s="20">
        <v>42079</v>
      </c>
      <c r="B1523" s="21">
        <v>15033</v>
      </c>
      <c r="C1523" s="14" t="s">
        <v>440</v>
      </c>
      <c r="D1523" s="105">
        <v>6105</v>
      </c>
      <c r="E1523" s="23">
        <v>42079</v>
      </c>
      <c r="F1523" s="106">
        <v>6105</v>
      </c>
      <c r="G1523" s="31">
        <f t="shared" si="23"/>
        <v>0</v>
      </c>
      <c r="H1523" s="39" t="s">
        <v>9</v>
      </c>
      <c r="I1523" s="4"/>
      <c r="J1523" s="107"/>
    </row>
    <row r="1524" spans="1:10" s="3" customFormat="1" x14ac:dyDescent="0.25">
      <c r="A1524" s="20">
        <v>42079</v>
      </c>
      <c r="B1524" s="21">
        <v>15034</v>
      </c>
      <c r="C1524" s="14" t="s">
        <v>47</v>
      </c>
      <c r="D1524" s="105">
        <v>6260.4</v>
      </c>
      <c r="E1524" s="23">
        <v>42081</v>
      </c>
      <c r="F1524" s="106">
        <v>6260.4</v>
      </c>
      <c r="G1524" s="31">
        <f t="shared" si="23"/>
        <v>0</v>
      </c>
      <c r="H1524" s="39" t="s">
        <v>9</v>
      </c>
      <c r="I1524" s="4"/>
      <c r="J1524" s="43"/>
    </row>
    <row r="1525" spans="1:10" s="3" customFormat="1" x14ac:dyDescent="0.25">
      <c r="A1525" s="20">
        <v>42079</v>
      </c>
      <c r="B1525" s="21">
        <v>15035</v>
      </c>
      <c r="C1525" s="14" t="s">
        <v>207</v>
      </c>
      <c r="D1525" s="105">
        <v>25109.25</v>
      </c>
      <c r="E1525" s="23">
        <v>42084</v>
      </c>
      <c r="F1525" s="106">
        <v>25109.25</v>
      </c>
      <c r="G1525" s="31">
        <f t="shared" si="23"/>
        <v>0</v>
      </c>
      <c r="H1525" s="39" t="s">
        <v>149</v>
      </c>
      <c r="I1525" s="4"/>
      <c r="J1525" s="43"/>
    </row>
    <row r="1526" spans="1:10" s="3" customFormat="1" x14ac:dyDescent="0.25">
      <c r="A1526" s="20">
        <v>42079</v>
      </c>
      <c r="B1526" s="21">
        <v>15036</v>
      </c>
      <c r="C1526" s="14" t="s">
        <v>203</v>
      </c>
      <c r="D1526" s="105">
        <v>780</v>
      </c>
      <c r="E1526" s="23">
        <v>42081</v>
      </c>
      <c r="F1526" s="106">
        <v>780</v>
      </c>
      <c r="G1526" s="31">
        <f t="shared" si="23"/>
        <v>0</v>
      </c>
      <c r="H1526" s="39" t="s">
        <v>149</v>
      </c>
      <c r="I1526" s="4"/>
      <c r="J1526" s="43"/>
    </row>
    <row r="1527" spans="1:10" s="3" customFormat="1" x14ac:dyDescent="0.25">
      <c r="A1527" s="20">
        <v>42079</v>
      </c>
      <c r="B1527" s="21">
        <v>15037</v>
      </c>
      <c r="C1527" s="14" t="s">
        <v>185</v>
      </c>
      <c r="D1527" s="105">
        <v>52102.6</v>
      </c>
      <c r="E1527" s="23">
        <v>42080</v>
      </c>
      <c r="F1527" s="106">
        <v>52102.6</v>
      </c>
      <c r="G1527" s="31">
        <f t="shared" si="23"/>
        <v>0</v>
      </c>
      <c r="H1527" s="39" t="s">
        <v>773</v>
      </c>
      <c r="I1527" s="4"/>
      <c r="J1527" s="43"/>
    </row>
    <row r="1528" spans="1:10" s="3" customFormat="1" x14ac:dyDescent="0.25">
      <c r="A1528" s="20">
        <v>42079</v>
      </c>
      <c r="B1528" s="21">
        <v>15038</v>
      </c>
      <c r="C1528" s="14" t="s">
        <v>732</v>
      </c>
      <c r="D1528" s="105">
        <v>14688</v>
      </c>
      <c r="E1528" s="23">
        <v>42081</v>
      </c>
      <c r="F1528" s="106">
        <v>14688</v>
      </c>
      <c r="G1528" s="31">
        <f t="shared" si="23"/>
        <v>0</v>
      </c>
      <c r="H1528" s="39" t="s">
        <v>149</v>
      </c>
      <c r="I1528" s="4"/>
      <c r="J1528" s="43"/>
    </row>
    <row r="1529" spans="1:10" s="3" customFormat="1" x14ac:dyDescent="0.25">
      <c r="A1529" s="20">
        <v>42079</v>
      </c>
      <c r="B1529" s="21">
        <v>15039</v>
      </c>
      <c r="C1529" s="14" t="s">
        <v>205</v>
      </c>
      <c r="D1529" s="105">
        <v>6713</v>
      </c>
      <c r="E1529" s="23">
        <v>42083</v>
      </c>
      <c r="F1529" s="106">
        <v>6713</v>
      </c>
      <c r="G1529" s="31">
        <f t="shared" si="23"/>
        <v>0</v>
      </c>
      <c r="H1529" s="39" t="s">
        <v>149</v>
      </c>
      <c r="I1529" s="4"/>
      <c r="J1529" s="43"/>
    </row>
    <row r="1530" spans="1:10" s="3" customFormat="1" x14ac:dyDescent="0.25">
      <c r="A1530" s="20">
        <v>42079</v>
      </c>
      <c r="B1530" s="21">
        <v>15040</v>
      </c>
      <c r="C1530" s="14" t="s">
        <v>136</v>
      </c>
      <c r="D1530" s="105">
        <v>540</v>
      </c>
      <c r="E1530" s="23">
        <v>42079</v>
      </c>
      <c r="F1530" s="106">
        <v>540</v>
      </c>
      <c r="G1530" s="31">
        <f t="shared" si="23"/>
        <v>0</v>
      </c>
      <c r="H1530" s="39" t="s">
        <v>9</v>
      </c>
      <c r="I1530" s="4"/>
      <c r="J1530" s="43"/>
    </row>
    <row r="1531" spans="1:10" s="3" customFormat="1" x14ac:dyDescent="0.25">
      <c r="A1531" s="20">
        <v>42079</v>
      </c>
      <c r="B1531" s="21">
        <v>15041</v>
      </c>
      <c r="C1531" s="14" t="s">
        <v>199</v>
      </c>
      <c r="D1531" s="105">
        <v>20137.2</v>
      </c>
      <c r="E1531" s="23">
        <v>42081</v>
      </c>
      <c r="F1531" s="106">
        <v>20137.2</v>
      </c>
      <c r="G1531" s="31">
        <f t="shared" si="23"/>
        <v>0</v>
      </c>
      <c r="H1531" s="39" t="s">
        <v>149</v>
      </c>
      <c r="I1531" s="4"/>
      <c r="J1531" s="43"/>
    </row>
    <row r="1532" spans="1:10" s="3" customFormat="1" x14ac:dyDescent="0.25">
      <c r="A1532" s="20">
        <v>42079</v>
      </c>
      <c r="B1532" s="21">
        <v>15042</v>
      </c>
      <c r="C1532" s="14" t="s">
        <v>877</v>
      </c>
      <c r="D1532" s="105">
        <v>5535.6</v>
      </c>
      <c r="E1532" s="23">
        <v>42081</v>
      </c>
      <c r="F1532" s="106">
        <v>5535.6</v>
      </c>
      <c r="G1532" s="31">
        <f t="shared" si="23"/>
        <v>0</v>
      </c>
      <c r="H1532" s="39" t="s">
        <v>149</v>
      </c>
      <c r="I1532" s="4"/>
      <c r="J1532" s="43"/>
    </row>
    <row r="1533" spans="1:10" s="3" customFormat="1" x14ac:dyDescent="0.25">
      <c r="A1533" s="20">
        <v>42079</v>
      </c>
      <c r="B1533" s="21">
        <v>15043</v>
      </c>
      <c r="C1533" s="14" t="s">
        <v>806</v>
      </c>
      <c r="D1533" s="105">
        <v>13853.2</v>
      </c>
      <c r="E1533" s="23">
        <v>42081</v>
      </c>
      <c r="F1533" s="106">
        <v>13853.2</v>
      </c>
      <c r="G1533" s="31">
        <f t="shared" si="23"/>
        <v>0</v>
      </c>
      <c r="H1533" s="39" t="s">
        <v>149</v>
      </c>
      <c r="I1533" s="4"/>
      <c r="J1533" s="43"/>
    </row>
    <row r="1534" spans="1:10" s="3" customFormat="1" x14ac:dyDescent="0.25">
      <c r="A1534" s="20">
        <v>42079</v>
      </c>
      <c r="B1534" s="21">
        <v>15044</v>
      </c>
      <c r="C1534" s="14" t="s">
        <v>14</v>
      </c>
      <c r="D1534" s="105">
        <v>1430.4</v>
      </c>
      <c r="E1534" s="23">
        <v>42089</v>
      </c>
      <c r="F1534" s="106">
        <v>1430.4</v>
      </c>
      <c r="G1534" s="31">
        <f t="shared" si="23"/>
        <v>0</v>
      </c>
      <c r="H1534" s="39" t="s">
        <v>15</v>
      </c>
      <c r="I1534" s="4"/>
      <c r="J1534" s="43"/>
    </row>
    <row r="1535" spans="1:10" s="3" customFormat="1" x14ac:dyDescent="0.25">
      <c r="A1535" s="20">
        <v>42079</v>
      </c>
      <c r="B1535" s="21">
        <v>15045</v>
      </c>
      <c r="C1535" s="26" t="s">
        <v>218</v>
      </c>
      <c r="D1535" s="108">
        <v>0</v>
      </c>
      <c r="E1535" s="23"/>
      <c r="F1535" s="106"/>
      <c r="G1535" s="31">
        <f t="shared" si="23"/>
        <v>0</v>
      </c>
      <c r="H1535" s="39" t="s">
        <v>13</v>
      </c>
      <c r="I1535" s="4"/>
      <c r="J1535" s="43"/>
    </row>
    <row r="1536" spans="1:10" s="3" customFormat="1" x14ac:dyDescent="0.25">
      <c r="A1536" s="20">
        <v>42079</v>
      </c>
      <c r="B1536" s="21">
        <v>15046</v>
      </c>
      <c r="C1536" s="14" t="s">
        <v>234</v>
      </c>
      <c r="D1536" s="105">
        <v>156.6</v>
      </c>
      <c r="E1536" s="23">
        <v>42079</v>
      </c>
      <c r="F1536" s="106">
        <v>156.6</v>
      </c>
      <c r="G1536" s="31">
        <f t="shared" si="23"/>
        <v>0</v>
      </c>
      <c r="H1536" s="39" t="s">
        <v>9</v>
      </c>
      <c r="I1536" s="4"/>
      <c r="J1536" s="43"/>
    </row>
    <row r="1537" spans="1:10" s="3" customFormat="1" x14ac:dyDescent="0.25">
      <c r="A1537" s="20">
        <v>42079</v>
      </c>
      <c r="B1537" s="21">
        <v>15047</v>
      </c>
      <c r="C1537" s="14" t="s">
        <v>206</v>
      </c>
      <c r="D1537" s="105">
        <v>32196.75</v>
      </c>
      <c r="E1537" s="23">
        <v>42088</v>
      </c>
      <c r="F1537" s="106">
        <v>32196.75</v>
      </c>
      <c r="G1537" s="31">
        <f t="shared" si="23"/>
        <v>0</v>
      </c>
      <c r="H1537" s="39" t="s">
        <v>149</v>
      </c>
      <c r="I1537" s="4"/>
      <c r="J1537" s="43"/>
    </row>
    <row r="1538" spans="1:10" s="3" customFormat="1" x14ac:dyDescent="0.25">
      <c r="A1538" s="20">
        <v>42079</v>
      </c>
      <c r="B1538" s="21">
        <v>15048</v>
      </c>
      <c r="C1538" s="14" t="s">
        <v>204</v>
      </c>
      <c r="D1538" s="105">
        <v>3508.4</v>
      </c>
      <c r="E1538" s="23">
        <v>42081</v>
      </c>
      <c r="F1538" s="106">
        <v>3508.4</v>
      </c>
      <c r="G1538" s="31">
        <f t="shared" si="23"/>
        <v>0</v>
      </c>
      <c r="H1538" s="39" t="s">
        <v>149</v>
      </c>
      <c r="I1538" s="4"/>
      <c r="J1538" s="43"/>
    </row>
    <row r="1539" spans="1:10" s="3" customFormat="1" x14ac:dyDescent="0.25">
      <c r="A1539" s="20">
        <v>42079</v>
      </c>
      <c r="B1539" s="21">
        <v>15049</v>
      </c>
      <c r="C1539" s="14" t="s">
        <v>195</v>
      </c>
      <c r="D1539" s="105">
        <v>114776.41</v>
      </c>
      <c r="E1539" s="30" t="s">
        <v>878</v>
      </c>
      <c r="F1539" s="106">
        <v>114776.41</v>
      </c>
      <c r="G1539" s="31">
        <f t="shared" ref="G1539:G1602" si="24">D1539-F1539</f>
        <v>0</v>
      </c>
      <c r="H1539" s="39" t="s">
        <v>149</v>
      </c>
      <c r="I1539" s="4"/>
      <c r="J1539" s="43"/>
    </row>
    <row r="1540" spans="1:10" s="3" customFormat="1" x14ac:dyDescent="0.25">
      <c r="A1540" s="20">
        <v>42079</v>
      </c>
      <c r="B1540" s="21">
        <v>15050</v>
      </c>
      <c r="C1540" s="14" t="s">
        <v>80</v>
      </c>
      <c r="D1540" s="105">
        <v>8313.2000000000007</v>
      </c>
      <c r="E1540" s="23">
        <v>42080</v>
      </c>
      <c r="F1540" s="106">
        <v>8313.2000000000007</v>
      </c>
      <c r="G1540" s="31">
        <f t="shared" si="24"/>
        <v>0</v>
      </c>
      <c r="H1540" s="39" t="s">
        <v>9</v>
      </c>
      <c r="I1540" s="4"/>
      <c r="J1540" s="43"/>
    </row>
    <row r="1541" spans="1:10" s="3" customFormat="1" x14ac:dyDescent="0.25">
      <c r="A1541" s="20">
        <v>42079</v>
      </c>
      <c r="B1541" s="21">
        <v>15051</v>
      </c>
      <c r="C1541" s="14" t="s">
        <v>552</v>
      </c>
      <c r="D1541" s="105">
        <v>10471.5</v>
      </c>
      <c r="E1541" s="23">
        <v>42081</v>
      </c>
      <c r="F1541" s="106">
        <v>10471.5</v>
      </c>
      <c r="G1541" s="31">
        <f t="shared" si="24"/>
        <v>0</v>
      </c>
      <c r="H1541" s="39" t="s">
        <v>149</v>
      </c>
      <c r="I1541" s="4"/>
      <c r="J1541" s="43"/>
    </row>
    <row r="1542" spans="1:10" s="3" customFormat="1" x14ac:dyDescent="0.25">
      <c r="A1542" s="20">
        <v>42079</v>
      </c>
      <c r="B1542" s="21">
        <v>15052</v>
      </c>
      <c r="C1542" s="14" t="s">
        <v>825</v>
      </c>
      <c r="D1542" s="105">
        <v>8367.6</v>
      </c>
      <c r="E1542" s="30" t="s">
        <v>958</v>
      </c>
      <c r="F1542" s="144">
        <v>8367.6</v>
      </c>
      <c r="G1542" s="31">
        <f t="shared" si="24"/>
        <v>0</v>
      </c>
      <c r="H1542" s="39" t="s">
        <v>9</v>
      </c>
      <c r="I1542" s="4"/>
      <c r="J1542" s="43"/>
    </row>
    <row r="1543" spans="1:10" s="3" customFormat="1" x14ac:dyDescent="0.25">
      <c r="A1543" s="20">
        <v>42079</v>
      </c>
      <c r="B1543" s="21">
        <v>15053</v>
      </c>
      <c r="C1543" s="14" t="s">
        <v>733</v>
      </c>
      <c r="D1543" s="105">
        <v>3443.2</v>
      </c>
      <c r="E1543" s="23">
        <v>42081</v>
      </c>
      <c r="F1543" s="106">
        <v>3443.2</v>
      </c>
      <c r="G1543" s="31">
        <f t="shared" si="24"/>
        <v>0</v>
      </c>
      <c r="H1543" s="39" t="s">
        <v>149</v>
      </c>
      <c r="I1543" s="4"/>
      <c r="J1543" s="43"/>
    </row>
    <row r="1544" spans="1:10" s="3" customFormat="1" x14ac:dyDescent="0.25">
      <c r="A1544" s="20">
        <v>42079</v>
      </c>
      <c r="B1544" s="21">
        <v>15054</v>
      </c>
      <c r="C1544" s="14" t="s">
        <v>733</v>
      </c>
      <c r="D1544" s="105">
        <v>9484.7999999999993</v>
      </c>
      <c r="E1544" s="23">
        <v>42081</v>
      </c>
      <c r="F1544" s="106">
        <v>9484.7999999999993</v>
      </c>
      <c r="G1544" s="31">
        <f t="shared" si="24"/>
        <v>0</v>
      </c>
      <c r="H1544" s="39" t="s">
        <v>149</v>
      </c>
      <c r="I1544" s="4"/>
      <c r="J1544" s="43"/>
    </row>
    <row r="1545" spans="1:10" s="3" customFormat="1" x14ac:dyDescent="0.25">
      <c r="A1545" s="20">
        <v>42079</v>
      </c>
      <c r="B1545" s="21">
        <v>15055</v>
      </c>
      <c r="C1545" s="14" t="s">
        <v>198</v>
      </c>
      <c r="D1545" s="105">
        <v>10967.14</v>
      </c>
      <c r="E1545" s="23">
        <v>42081</v>
      </c>
      <c r="F1545" s="106">
        <v>10967.14</v>
      </c>
      <c r="G1545" s="31">
        <f t="shared" si="24"/>
        <v>0</v>
      </c>
      <c r="H1545" s="39" t="s">
        <v>149</v>
      </c>
      <c r="I1545" s="4"/>
      <c r="J1545" s="43"/>
    </row>
    <row r="1546" spans="1:10" s="3" customFormat="1" x14ac:dyDescent="0.25">
      <c r="A1546" s="20">
        <v>42079</v>
      </c>
      <c r="B1546" s="21">
        <v>15056</v>
      </c>
      <c r="C1546" s="14" t="s">
        <v>420</v>
      </c>
      <c r="D1546" s="105">
        <v>5415</v>
      </c>
      <c r="E1546" s="23">
        <v>42081</v>
      </c>
      <c r="F1546" s="106">
        <v>5415</v>
      </c>
      <c r="G1546" s="31">
        <f t="shared" si="24"/>
        <v>0</v>
      </c>
      <c r="H1546" s="39" t="s">
        <v>149</v>
      </c>
      <c r="I1546" s="4"/>
      <c r="J1546" s="43"/>
    </row>
    <row r="1547" spans="1:10" s="3" customFormat="1" x14ac:dyDescent="0.25">
      <c r="A1547" s="20">
        <v>42079</v>
      </c>
      <c r="B1547" s="21">
        <v>15057</v>
      </c>
      <c r="C1547" s="14" t="s">
        <v>262</v>
      </c>
      <c r="D1547" s="105">
        <v>28747.7</v>
      </c>
      <c r="E1547" s="23">
        <v>42088</v>
      </c>
      <c r="F1547" s="106">
        <v>28747.7</v>
      </c>
      <c r="G1547" s="31">
        <f t="shared" si="24"/>
        <v>0</v>
      </c>
      <c r="H1547" s="39" t="s">
        <v>9</v>
      </c>
      <c r="I1547" s="4"/>
      <c r="J1547" s="43"/>
    </row>
    <row r="1548" spans="1:10" s="3" customFormat="1" x14ac:dyDescent="0.25">
      <c r="A1548" s="20">
        <v>42079</v>
      </c>
      <c r="B1548" s="21">
        <v>15058</v>
      </c>
      <c r="C1548" s="14" t="s">
        <v>14</v>
      </c>
      <c r="D1548" s="105">
        <v>2539.75</v>
      </c>
      <c r="E1548" s="23">
        <v>42089</v>
      </c>
      <c r="F1548" s="106">
        <v>2539.75</v>
      </c>
      <c r="G1548" s="31">
        <f t="shared" si="24"/>
        <v>0</v>
      </c>
      <c r="H1548" s="39" t="s">
        <v>15</v>
      </c>
      <c r="I1548" s="4"/>
      <c r="J1548" s="43"/>
    </row>
    <row r="1549" spans="1:10" s="3" customFormat="1" x14ac:dyDescent="0.25">
      <c r="A1549" s="20">
        <v>42079</v>
      </c>
      <c r="B1549" s="21">
        <v>15059</v>
      </c>
      <c r="C1549" s="14" t="s">
        <v>24</v>
      </c>
      <c r="D1549" s="105">
        <v>89920.6</v>
      </c>
      <c r="E1549" s="23">
        <v>42093</v>
      </c>
      <c r="F1549" s="106">
        <v>89920.6</v>
      </c>
      <c r="G1549" s="31">
        <f t="shared" si="24"/>
        <v>0</v>
      </c>
      <c r="H1549" s="39" t="s">
        <v>94</v>
      </c>
      <c r="I1549" s="4"/>
      <c r="J1549" s="43"/>
    </row>
    <row r="1550" spans="1:10" s="3" customFormat="1" x14ac:dyDescent="0.25">
      <c r="A1550" s="20">
        <v>42079</v>
      </c>
      <c r="B1550" s="21">
        <v>15060</v>
      </c>
      <c r="C1550" s="14" t="s">
        <v>24</v>
      </c>
      <c r="D1550" s="105">
        <v>132538.60999999999</v>
      </c>
      <c r="E1550" s="23">
        <v>42093</v>
      </c>
      <c r="F1550" s="106">
        <v>132538.60999999999</v>
      </c>
      <c r="G1550" s="31">
        <f t="shared" si="24"/>
        <v>0</v>
      </c>
      <c r="H1550" s="39" t="s">
        <v>183</v>
      </c>
      <c r="I1550" s="4"/>
      <c r="J1550" s="43"/>
    </row>
    <row r="1551" spans="1:10" s="3" customFormat="1" x14ac:dyDescent="0.25">
      <c r="A1551" s="20">
        <v>42079</v>
      </c>
      <c r="B1551" s="21">
        <v>15061</v>
      </c>
      <c r="C1551" s="14" t="s">
        <v>399</v>
      </c>
      <c r="D1551" s="105">
        <v>3787.2</v>
      </c>
      <c r="E1551" s="23">
        <v>42080</v>
      </c>
      <c r="F1551" s="106">
        <v>3787.2</v>
      </c>
      <c r="G1551" s="31">
        <f t="shared" si="24"/>
        <v>0</v>
      </c>
      <c r="H1551" s="39" t="s">
        <v>41</v>
      </c>
      <c r="I1551" s="4"/>
      <c r="J1551" s="107"/>
    </row>
    <row r="1552" spans="1:10" s="3" customFormat="1" x14ac:dyDescent="0.25">
      <c r="A1552" s="20">
        <v>42079</v>
      </c>
      <c r="B1552" s="21">
        <v>15062</v>
      </c>
      <c r="C1552" s="14" t="s">
        <v>64</v>
      </c>
      <c r="D1552" s="105">
        <v>2484.6</v>
      </c>
      <c r="E1552" s="23">
        <v>42080</v>
      </c>
      <c r="F1552" s="106">
        <v>2484.6</v>
      </c>
      <c r="G1552" s="31">
        <f t="shared" si="24"/>
        <v>0</v>
      </c>
      <c r="H1552" s="39" t="s">
        <v>9</v>
      </c>
      <c r="I1552" s="4"/>
      <c r="J1552" s="43"/>
    </row>
    <row r="1553" spans="1:10" s="3" customFormat="1" x14ac:dyDescent="0.25">
      <c r="A1553" s="59">
        <v>42080</v>
      </c>
      <c r="B1553" s="21">
        <v>15063</v>
      </c>
      <c r="C1553" s="14" t="s">
        <v>799</v>
      </c>
      <c r="D1553" s="105">
        <v>64357.4</v>
      </c>
      <c r="E1553" s="23">
        <v>42084</v>
      </c>
      <c r="F1553" s="106">
        <v>64357.4</v>
      </c>
      <c r="G1553" s="31">
        <f t="shared" si="24"/>
        <v>0</v>
      </c>
      <c r="H1553" s="39" t="s">
        <v>9</v>
      </c>
      <c r="I1553" s="4"/>
      <c r="J1553" s="43"/>
    </row>
    <row r="1554" spans="1:10" s="3" customFormat="1" x14ac:dyDescent="0.25">
      <c r="A1554" s="20">
        <v>42080</v>
      </c>
      <c r="B1554" s="21">
        <v>15064</v>
      </c>
      <c r="C1554" s="14" t="s">
        <v>16</v>
      </c>
      <c r="D1554" s="105">
        <v>3974.4</v>
      </c>
      <c r="E1554" s="23">
        <v>42080</v>
      </c>
      <c r="F1554" s="106">
        <v>3974.4</v>
      </c>
      <c r="G1554" s="31">
        <f t="shared" si="24"/>
        <v>0</v>
      </c>
      <c r="H1554" s="39" t="s">
        <v>17</v>
      </c>
      <c r="I1554" s="4"/>
      <c r="J1554" s="43"/>
    </row>
    <row r="1555" spans="1:10" s="3" customFormat="1" x14ac:dyDescent="0.25">
      <c r="A1555" s="59">
        <v>42080</v>
      </c>
      <c r="B1555" s="21">
        <v>15065</v>
      </c>
      <c r="C1555" s="14" t="s">
        <v>18</v>
      </c>
      <c r="D1555" s="105">
        <v>2604</v>
      </c>
      <c r="E1555" s="23">
        <v>42080</v>
      </c>
      <c r="F1555" s="106">
        <v>2604</v>
      </c>
      <c r="G1555" s="31">
        <f t="shared" si="24"/>
        <v>0</v>
      </c>
      <c r="H1555" s="39" t="s">
        <v>9</v>
      </c>
      <c r="J1555" s="42"/>
    </row>
    <row r="1556" spans="1:10" s="3" customFormat="1" x14ac:dyDescent="0.25">
      <c r="A1556" s="20">
        <v>42080</v>
      </c>
      <c r="B1556" s="21">
        <v>15066</v>
      </c>
      <c r="C1556" s="14" t="s">
        <v>14</v>
      </c>
      <c r="D1556" s="105">
        <v>12885.6</v>
      </c>
      <c r="E1556" s="23">
        <v>42089</v>
      </c>
      <c r="F1556" s="106">
        <v>12885.6</v>
      </c>
      <c r="G1556" s="31">
        <f t="shared" si="24"/>
        <v>0</v>
      </c>
      <c r="H1556" s="39" t="s">
        <v>15</v>
      </c>
      <c r="J1556" s="42"/>
    </row>
    <row r="1557" spans="1:10" s="3" customFormat="1" x14ac:dyDescent="0.25">
      <c r="A1557" s="59">
        <v>42080</v>
      </c>
      <c r="B1557" s="21">
        <v>15067</v>
      </c>
      <c r="C1557" s="14" t="s">
        <v>267</v>
      </c>
      <c r="D1557" s="105">
        <v>1347.7</v>
      </c>
      <c r="E1557" s="23">
        <v>42080</v>
      </c>
      <c r="F1557" s="106">
        <v>1347.7</v>
      </c>
      <c r="G1557" s="31">
        <f t="shared" si="24"/>
        <v>0</v>
      </c>
      <c r="H1557" s="39" t="s">
        <v>17</v>
      </c>
      <c r="J1557" s="42"/>
    </row>
    <row r="1558" spans="1:10" s="3" customFormat="1" x14ac:dyDescent="0.25">
      <c r="A1558" s="20">
        <v>42080</v>
      </c>
      <c r="B1558" s="21">
        <v>15068</v>
      </c>
      <c r="C1558" s="14" t="s">
        <v>863</v>
      </c>
      <c r="D1558" s="105">
        <v>10520.2</v>
      </c>
      <c r="E1558" s="23">
        <v>42080</v>
      </c>
      <c r="F1558" s="106">
        <v>10520.2</v>
      </c>
      <c r="G1558" s="31">
        <f t="shared" si="24"/>
        <v>0</v>
      </c>
      <c r="H1558" s="39" t="s">
        <v>15</v>
      </c>
      <c r="J1558" s="42"/>
    </row>
    <row r="1559" spans="1:10" s="3" customFormat="1" x14ac:dyDescent="0.25">
      <c r="A1559" s="59">
        <v>42080</v>
      </c>
      <c r="B1559" s="21">
        <v>15069</v>
      </c>
      <c r="C1559" s="14" t="s">
        <v>99</v>
      </c>
      <c r="D1559" s="105">
        <v>618</v>
      </c>
      <c r="E1559" s="23">
        <v>42080</v>
      </c>
      <c r="F1559" s="106">
        <v>618</v>
      </c>
      <c r="G1559" s="31">
        <f t="shared" si="24"/>
        <v>0</v>
      </c>
      <c r="H1559" s="39" t="s">
        <v>15</v>
      </c>
      <c r="J1559" s="42"/>
    </row>
    <row r="1560" spans="1:10" s="3" customFormat="1" x14ac:dyDescent="0.25">
      <c r="A1560" s="20">
        <v>42080</v>
      </c>
      <c r="B1560" s="21">
        <v>15070</v>
      </c>
      <c r="C1560" s="14" t="s">
        <v>103</v>
      </c>
      <c r="D1560" s="105">
        <v>19988.75</v>
      </c>
      <c r="E1560" s="23">
        <v>42081</v>
      </c>
      <c r="F1560" s="106">
        <v>19988.75</v>
      </c>
      <c r="G1560" s="31">
        <f t="shared" si="24"/>
        <v>0</v>
      </c>
      <c r="H1560" s="39" t="s">
        <v>19</v>
      </c>
      <c r="J1560" s="42"/>
    </row>
    <row r="1561" spans="1:10" s="3" customFormat="1" x14ac:dyDescent="0.25">
      <c r="A1561" s="59">
        <v>42080</v>
      </c>
      <c r="B1561" s="21">
        <v>15071</v>
      </c>
      <c r="C1561" s="14" t="s">
        <v>20</v>
      </c>
      <c r="D1561" s="105">
        <v>11709.6</v>
      </c>
      <c r="E1561" s="23">
        <v>42080</v>
      </c>
      <c r="F1561" s="106">
        <v>11709.6</v>
      </c>
      <c r="G1561" s="31">
        <f t="shared" si="24"/>
        <v>0</v>
      </c>
      <c r="H1561" s="39" t="s">
        <v>94</v>
      </c>
      <c r="J1561" s="42"/>
    </row>
    <row r="1562" spans="1:10" s="3" customFormat="1" x14ac:dyDescent="0.25">
      <c r="A1562" s="20">
        <v>42080</v>
      </c>
      <c r="B1562" s="21">
        <v>15072</v>
      </c>
      <c r="C1562" s="14" t="s">
        <v>151</v>
      </c>
      <c r="D1562" s="105">
        <v>6434</v>
      </c>
      <c r="E1562" s="23">
        <v>42081</v>
      </c>
      <c r="F1562" s="106">
        <v>6434</v>
      </c>
      <c r="G1562" s="31">
        <f t="shared" si="24"/>
        <v>0</v>
      </c>
      <c r="H1562" s="39" t="s">
        <v>9</v>
      </c>
      <c r="J1562" s="42"/>
    </row>
    <row r="1563" spans="1:10" s="3" customFormat="1" x14ac:dyDescent="0.25">
      <c r="A1563" s="59">
        <v>42080</v>
      </c>
      <c r="B1563" s="21">
        <v>15073</v>
      </c>
      <c r="C1563" s="14" t="s">
        <v>720</v>
      </c>
      <c r="D1563" s="105">
        <v>8936.4</v>
      </c>
      <c r="E1563" s="23">
        <v>42080</v>
      </c>
      <c r="F1563" s="106">
        <v>8936.4</v>
      </c>
      <c r="G1563" s="31">
        <f t="shared" si="24"/>
        <v>0</v>
      </c>
      <c r="H1563" s="39" t="s">
        <v>9</v>
      </c>
      <c r="J1563" s="42"/>
    </row>
    <row r="1564" spans="1:10" s="3" customFormat="1" x14ac:dyDescent="0.25">
      <c r="A1564" s="20">
        <v>42080</v>
      </c>
      <c r="B1564" s="21">
        <v>15074</v>
      </c>
      <c r="C1564" s="14" t="s">
        <v>21</v>
      </c>
      <c r="D1564" s="105">
        <v>9663.6</v>
      </c>
      <c r="E1564" s="23">
        <v>42080</v>
      </c>
      <c r="F1564" s="106">
        <v>9663.6</v>
      </c>
      <c r="G1564" s="31">
        <f t="shared" si="24"/>
        <v>0</v>
      </c>
      <c r="H1564" s="39" t="s">
        <v>9</v>
      </c>
      <c r="J1564" s="42"/>
    </row>
    <row r="1565" spans="1:10" s="3" customFormat="1" x14ac:dyDescent="0.25">
      <c r="A1565" s="59">
        <v>42080</v>
      </c>
      <c r="B1565" s="21">
        <v>15075</v>
      </c>
      <c r="C1565" s="14" t="s">
        <v>26</v>
      </c>
      <c r="D1565" s="105">
        <v>822</v>
      </c>
      <c r="E1565" s="23">
        <v>42080</v>
      </c>
      <c r="F1565" s="106">
        <v>822</v>
      </c>
      <c r="G1565" s="31">
        <f t="shared" si="24"/>
        <v>0</v>
      </c>
      <c r="H1565" s="39" t="s">
        <v>27</v>
      </c>
      <c r="J1565" s="42"/>
    </row>
    <row r="1566" spans="1:10" s="3" customFormat="1" x14ac:dyDescent="0.25">
      <c r="A1566" s="20">
        <v>42080</v>
      </c>
      <c r="B1566" s="21">
        <v>15076</v>
      </c>
      <c r="C1566" s="14" t="s">
        <v>294</v>
      </c>
      <c r="D1566" s="105">
        <v>1920.8</v>
      </c>
      <c r="E1566" s="23">
        <v>42080</v>
      </c>
      <c r="F1566" s="106">
        <v>1920.8</v>
      </c>
      <c r="G1566" s="31">
        <f t="shared" si="24"/>
        <v>0</v>
      </c>
      <c r="H1566" s="39" t="s">
        <v>9</v>
      </c>
      <c r="J1566" s="42"/>
    </row>
    <row r="1567" spans="1:10" s="3" customFormat="1" x14ac:dyDescent="0.25">
      <c r="A1567" s="59">
        <v>42080</v>
      </c>
      <c r="B1567" s="21">
        <v>15077</v>
      </c>
      <c r="C1567" s="14" t="s">
        <v>604</v>
      </c>
      <c r="D1567" s="105">
        <v>2650.5</v>
      </c>
      <c r="E1567" s="23">
        <v>42080</v>
      </c>
      <c r="F1567" s="106">
        <v>2650.5</v>
      </c>
      <c r="G1567" s="31">
        <f t="shared" si="24"/>
        <v>0</v>
      </c>
      <c r="H1567" s="39" t="s">
        <v>9</v>
      </c>
      <c r="J1567" s="42"/>
    </row>
    <row r="1568" spans="1:10" s="3" customFormat="1" x14ac:dyDescent="0.25">
      <c r="A1568" s="20">
        <v>42080</v>
      </c>
      <c r="B1568" s="21">
        <v>15078</v>
      </c>
      <c r="C1568" s="14" t="s">
        <v>137</v>
      </c>
      <c r="D1568" s="105">
        <v>3124.8</v>
      </c>
      <c r="E1568" s="23">
        <v>42080</v>
      </c>
      <c r="F1568" s="106">
        <v>3124.8</v>
      </c>
      <c r="G1568" s="31">
        <f t="shared" si="24"/>
        <v>0</v>
      </c>
      <c r="H1568" s="39" t="s">
        <v>9</v>
      </c>
      <c r="J1568" s="42"/>
    </row>
    <row r="1569" spans="1:10" s="3" customFormat="1" x14ac:dyDescent="0.25">
      <c r="A1569" s="59">
        <v>42080</v>
      </c>
      <c r="B1569" s="21">
        <v>15079</v>
      </c>
      <c r="C1569" s="14" t="s">
        <v>22</v>
      </c>
      <c r="D1569" s="105">
        <v>1435.2</v>
      </c>
      <c r="E1569" s="23">
        <v>42080</v>
      </c>
      <c r="F1569" s="106">
        <v>1435.2</v>
      </c>
      <c r="G1569" s="31">
        <f t="shared" si="24"/>
        <v>0</v>
      </c>
      <c r="H1569" s="39" t="s">
        <v>9</v>
      </c>
      <c r="J1569" s="42"/>
    </row>
    <row r="1570" spans="1:10" s="3" customFormat="1" x14ac:dyDescent="0.25">
      <c r="A1570" s="20">
        <v>42080</v>
      </c>
      <c r="B1570" s="21">
        <v>15080</v>
      </c>
      <c r="C1570" s="14" t="s">
        <v>114</v>
      </c>
      <c r="D1570" s="105">
        <v>6406.8</v>
      </c>
      <c r="E1570" s="23">
        <v>42080</v>
      </c>
      <c r="F1570" s="106">
        <v>6406.8</v>
      </c>
      <c r="G1570" s="31">
        <f t="shared" si="24"/>
        <v>0</v>
      </c>
      <c r="H1570" s="39" t="s">
        <v>9</v>
      </c>
      <c r="J1570" s="42"/>
    </row>
    <row r="1571" spans="1:10" s="3" customFormat="1" x14ac:dyDescent="0.25">
      <c r="A1571" s="59">
        <v>42080</v>
      </c>
      <c r="B1571" s="21">
        <v>15081</v>
      </c>
      <c r="C1571" s="14" t="s">
        <v>135</v>
      </c>
      <c r="D1571" s="105">
        <v>18806</v>
      </c>
      <c r="E1571" s="23">
        <v>42080</v>
      </c>
      <c r="F1571" s="106">
        <v>18806</v>
      </c>
      <c r="G1571" s="31">
        <f t="shared" si="24"/>
        <v>0</v>
      </c>
      <c r="H1571" s="39" t="s">
        <v>9</v>
      </c>
      <c r="I1571" s="4"/>
      <c r="J1571" s="43"/>
    </row>
    <row r="1572" spans="1:10" s="3" customFormat="1" x14ac:dyDescent="0.25">
      <c r="A1572" s="20">
        <v>42080</v>
      </c>
      <c r="B1572" s="21">
        <v>15082</v>
      </c>
      <c r="C1572" s="14" t="s">
        <v>158</v>
      </c>
      <c r="D1572" s="105">
        <v>3740.4</v>
      </c>
      <c r="E1572" s="23">
        <v>42080</v>
      </c>
      <c r="F1572" s="106">
        <v>3740.4</v>
      </c>
      <c r="G1572" s="31">
        <f t="shared" si="24"/>
        <v>0</v>
      </c>
      <c r="H1572" s="39" t="s">
        <v>9</v>
      </c>
      <c r="I1572" s="4"/>
      <c r="J1572" s="43"/>
    </row>
    <row r="1573" spans="1:10" s="3" customFormat="1" x14ac:dyDescent="0.25">
      <c r="A1573" s="59">
        <v>42080</v>
      </c>
      <c r="B1573" s="21">
        <v>15083</v>
      </c>
      <c r="C1573" s="14" t="s">
        <v>854</v>
      </c>
      <c r="D1573" s="105">
        <v>1957.4</v>
      </c>
      <c r="E1573" s="29" t="s">
        <v>879</v>
      </c>
      <c r="F1573" s="106">
        <f>1600+357.4</f>
        <v>1957.4</v>
      </c>
      <c r="G1573" s="31">
        <f t="shared" si="24"/>
        <v>0</v>
      </c>
      <c r="H1573" s="39" t="s">
        <v>9</v>
      </c>
      <c r="I1573" s="4"/>
      <c r="J1573" s="43"/>
    </row>
    <row r="1574" spans="1:10" s="3" customFormat="1" x14ac:dyDescent="0.25">
      <c r="A1574" s="20">
        <v>42080</v>
      </c>
      <c r="B1574" s="21">
        <v>15084</v>
      </c>
      <c r="C1574" s="14" t="s">
        <v>270</v>
      </c>
      <c r="D1574" s="105">
        <v>728</v>
      </c>
      <c r="E1574" s="23">
        <v>42080</v>
      </c>
      <c r="F1574" s="106">
        <v>728</v>
      </c>
      <c r="G1574" s="31">
        <f t="shared" si="24"/>
        <v>0</v>
      </c>
      <c r="H1574" s="39" t="s">
        <v>9</v>
      </c>
      <c r="I1574" s="4"/>
      <c r="J1574" s="43"/>
    </row>
    <row r="1575" spans="1:10" s="3" customFormat="1" x14ac:dyDescent="0.25">
      <c r="A1575" s="59">
        <v>42080</v>
      </c>
      <c r="B1575" s="21">
        <v>15085</v>
      </c>
      <c r="C1575" s="14" t="s">
        <v>66</v>
      </c>
      <c r="D1575" s="105">
        <v>1075.3</v>
      </c>
      <c r="E1575" s="23">
        <v>42080</v>
      </c>
      <c r="F1575" s="106">
        <v>1075.3</v>
      </c>
      <c r="G1575" s="31">
        <f t="shared" si="24"/>
        <v>0</v>
      </c>
      <c r="H1575" s="39" t="s">
        <v>9</v>
      </c>
      <c r="I1575" s="4"/>
      <c r="J1575" s="43"/>
    </row>
    <row r="1576" spans="1:10" s="3" customFormat="1" x14ac:dyDescent="0.25">
      <c r="A1576" s="20">
        <v>42080</v>
      </c>
      <c r="B1576" s="21">
        <v>15086</v>
      </c>
      <c r="C1576" s="14" t="s">
        <v>110</v>
      </c>
      <c r="D1576" s="105">
        <v>9086.6</v>
      </c>
      <c r="E1576" s="23">
        <v>42087</v>
      </c>
      <c r="F1576" s="106">
        <v>9086.6</v>
      </c>
      <c r="G1576" s="31">
        <f t="shared" si="24"/>
        <v>0</v>
      </c>
      <c r="H1576" s="39" t="s">
        <v>41</v>
      </c>
      <c r="I1576" s="4"/>
      <c r="J1576" s="43"/>
    </row>
    <row r="1577" spans="1:10" s="3" customFormat="1" x14ac:dyDescent="0.25">
      <c r="A1577" s="59">
        <v>42080</v>
      </c>
      <c r="B1577" s="21">
        <v>15087</v>
      </c>
      <c r="C1577" s="14" t="s">
        <v>24</v>
      </c>
      <c r="D1577" s="105">
        <v>2746.8</v>
      </c>
      <c r="E1577" s="23">
        <v>42093</v>
      </c>
      <c r="F1577" s="106">
        <v>2746.8</v>
      </c>
      <c r="G1577" s="31">
        <f t="shared" si="24"/>
        <v>0</v>
      </c>
      <c r="H1577" s="39" t="s">
        <v>41</v>
      </c>
      <c r="I1577" s="4"/>
      <c r="J1577" s="43"/>
    </row>
    <row r="1578" spans="1:10" s="3" customFormat="1" x14ac:dyDescent="0.25">
      <c r="A1578" s="20">
        <v>42080</v>
      </c>
      <c r="B1578" s="21">
        <v>15088</v>
      </c>
      <c r="C1578" s="14" t="s">
        <v>91</v>
      </c>
      <c r="D1578" s="105">
        <v>24142</v>
      </c>
      <c r="E1578" s="23">
        <v>42080</v>
      </c>
      <c r="F1578" s="106">
        <v>24142</v>
      </c>
      <c r="G1578" s="31">
        <f t="shared" si="24"/>
        <v>0</v>
      </c>
      <c r="H1578" s="39" t="s">
        <v>59</v>
      </c>
      <c r="I1578" s="4"/>
      <c r="J1578" s="43"/>
    </row>
    <row r="1579" spans="1:10" s="3" customFormat="1" x14ac:dyDescent="0.25">
      <c r="A1579" s="59">
        <v>42080</v>
      </c>
      <c r="B1579" s="21">
        <v>15089</v>
      </c>
      <c r="C1579" s="14" t="s">
        <v>45</v>
      </c>
      <c r="D1579" s="105">
        <v>4602.3999999999996</v>
      </c>
      <c r="E1579" s="23">
        <v>42089</v>
      </c>
      <c r="F1579" s="106">
        <v>4602.3999999999996</v>
      </c>
      <c r="G1579" s="31">
        <f t="shared" si="24"/>
        <v>0</v>
      </c>
      <c r="H1579" s="39" t="s">
        <v>59</v>
      </c>
      <c r="I1579" s="4"/>
      <c r="J1579" s="43"/>
    </row>
    <row r="1580" spans="1:10" s="3" customFormat="1" x14ac:dyDescent="0.25">
      <c r="A1580" s="20">
        <v>42080</v>
      </c>
      <c r="B1580" s="21">
        <v>15090</v>
      </c>
      <c r="C1580" s="14" t="s">
        <v>118</v>
      </c>
      <c r="D1580" s="105">
        <v>7308.1</v>
      </c>
      <c r="E1580" s="23">
        <v>42087</v>
      </c>
      <c r="F1580" s="106">
        <v>7308.1</v>
      </c>
      <c r="G1580" s="31">
        <f t="shared" si="24"/>
        <v>0</v>
      </c>
      <c r="H1580" s="39" t="s">
        <v>59</v>
      </c>
      <c r="I1580" s="4"/>
      <c r="J1580" s="43"/>
    </row>
    <row r="1581" spans="1:10" s="3" customFormat="1" x14ac:dyDescent="0.25">
      <c r="A1581" s="59">
        <v>42080</v>
      </c>
      <c r="B1581" s="21">
        <v>15091</v>
      </c>
      <c r="C1581" s="14" t="s">
        <v>375</v>
      </c>
      <c r="D1581" s="105">
        <v>1986.5</v>
      </c>
      <c r="E1581" s="23">
        <v>42080</v>
      </c>
      <c r="F1581" s="106">
        <v>1986.5</v>
      </c>
      <c r="G1581" s="31">
        <f t="shared" si="24"/>
        <v>0</v>
      </c>
      <c r="H1581" s="39" t="s">
        <v>9</v>
      </c>
      <c r="I1581" s="4"/>
      <c r="J1581" s="43"/>
    </row>
    <row r="1582" spans="1:10" s="3" customFormat="1" x14ac:dyDescent="0.25">
      <c r="A1582" s="20">
        <v>42080</v>
      </c>
      <c r="B1582" s="21">
        <v>15092</v>
      </c>
      <c r="C1582" s="14" t="s">
        <v>81</v>
      </c>
      <c r="D1582" s="105">
        <v>1385.2</v>
      </c>
      <c r="E1582" s="23">
        <v>42080</v>
      </c>
      <c r="F1582" s="106">
        <v>1385.2</v>
      </c>
      <c r="G1582" s="31">
        <f t="shared" si="24"/>
        <v>0</v>
      </c>
      <c r="H1582" s="39" t="s">
        <v>59</v>
      </c>
      <c r="I1582" s="4"/>
      <c r="J1582" s="43"/>
    </row>
    <row r="1583" spans="1:10" s="3" customFormat="1" x14ac:dyDescent="0.25">
      <c r="A1583" s="59">
        <v>42080</v>
      </c>
      <c r="B1583" s="21">
        <v>15093</v>
      </c>
      <c r="C1583" s="14" t="s">
        <v>239</v>
      </c>
      <c r="D1583" s="105">
        <v>2372.6</v>
      </c>
      <c r="E1583" s="30" t="s">
        <v>959</v>
      </c>
      <c r="F1583" s="144">
        <f>1000+1372.6</f>
        <v>2372.6</v>
      </c>
      <c r="G1583" s="31">
        <f t="shared" si="24"/>
        <v>0</v>
      </c>
      <c r="H1583" s="39" t="s">
        <v>9</v>
      </c>
      <c r="I1583" s="4"/>
      <c r="J1583" s="43"/>
    </row>
    <row r="1584" spans="1:10" s="3" customFormat="1" x14ac:dyDescent="0.25">
      <c r="A1584" s="20">
        <v>42080</v>
      </c>
      <c r="B1584" s="21">
        <v>15094</v>
      </c>
      <c r="C1584" s="14" t="s">
        <v>375</v>
      </c>
      <c r="D1584" s="105">
        <v>294.8</v>
      </c>
      <c r="E1584" s="23">
        <v>42080</v>
      </c>
      <c r="F1584" s="106">
        <v>294.8</v>
      </c>
      <c r="G1584" s="31">
        <f t="shared" si="24"/>
        <v>0</v>
      </c>
      <c r="H1584" s="39" t="s">
        <v>9</v>
      </c>
      <c r="I1584" s="4"/>
      <c r="J1584" s="43"/>
    </row>
    <row r="1585" spans="1:10" s="3" customFormat="1" x14ac:dyDescent="0.25">
      <c r="A1585" s="59">
        <v>42080</v>
      </c>
      <c r="B1585" s="21">
        <v>15095</v>
      </c>
      <c r="C1585" s="14" t="s">
        <v>82</v>
      </c>
      <c r="D1585" s="105">
        <v>3428.4</v>
      </c>
      <c r="E1585" s="23">
        <v>42080</v>
      </c>
      <c r="F1585" s="106">
        <v>3428.4</v>
      </c>
      <c r="G1585" s="31">
        <f t="shared" si="24"/>
        <v>0</v>
      </c>
      <c r="H1585" s="39" t="s">
        <v>9</v>
      </c>
      <c r="I1585" s="4"/>
      <c r="J1585" s="107"/>
    </row>
    <row r="1586" spans="1:10" s="3" customFormat="1" x14ac:dyDescent="0.25">
      <c r="A1586" s="20">
        <v>42080</v>
      </c>
      <c r="B1586" s="21">
        <v>15096</v>
      </c>
      <c r="C1586" s="14" t="s">
        <v>120</v>
      </c>
      <c r="D1586" s="105">
        <v>1337.7</v>
      </c>
      <c r="E1586" s="23">
        <v>42080</v>
      </c>
      <c r="F1586" s="106">
        <v>1337.7</v>
      </c>
      <c r="G1586" s="31">
        <f t="shared" si="24"/>
        <v>0</v>
      </c>
      <c r="H1586" s="39" t="s">
        <v>59</v>
      </c>
      <c r="I1586" s="4"/>
      <c r="J1586" s="43"/>
    </row>
    <row r="1587" spans="1:10" s="3" customFormat="1" x14ac:dyDescent="0.25">
      <c r="A1587" s="59">
        <v>42080</v>
      </c>
      <c r="B1587" s="21">
        <v>15097</v>
      </c>
      <c r="C1587" s="14" t="s">
        <v>102</v>
      </c>
      <c r="D1587" s="105">
        <v>1706.1</v>
      </c>
      <c r="E1587" s="23">
        <v>42080</v>
      </c>
      <c r="F1587" s="106">
        <v>1706.1</v>
      </c>
      <c r="G1587" s="31">
        <f t="shared" si="24"/>
        <v>0</v>
      </c>
      <c r="H1587" s="39" t="s">
        <v>9</v>
      </c>
      <c r="J1587" s="42"/>
    </row>
    <row r="1588" spans="1:10" s="3" customFormat="1" x14ac:dyDescent="0.25">
      <c r="A1588" s="20">
        <v>42080</v>
      </c>
      <c r="B1588" s="21">
        <v>15098</v>
      </c>
      <c r="C1588" s="14" t="s">
        <v>110</v>
      </c>
      <c r="D1588" s="105">
        <v>40644.75</v>
      </c>
      <c r="E1588" s="23">
        <v>42087</v>
      </c>
      <c r="F1588" s="106">
        <v>40644.75</v>
      </c>
      <c r="G1588" s="31">
        <f t="shared" si="24"/>
        <v>0</v>
      </c>
      <c r="H1588" s="39" t="s">
        <v>183</v>
      </c>
      <c r="J1588" s="42"/>
    </row>
    <row r="1589" spans="1:10" s="3" customFormat="1" x14ac:dyDescent="0.25">
      <c r="A1589" s="59">
        <v>42080</v>
      </c>
      <c r="B1589" s="21">
        <v>15099</v>
      </c>
      <c r="C1589" s="14" t="s">
        <v>45</v>
      </c>
      <c r="D1589" s="105">
        <v>58174.5</v>
      </c>
      <c r="E1589" s="29" t="s">
        <v>880</v>
      </c>
      <c r="F1589" s="106">
        <f>54642.59+3531.91</f>
        <v>58174.5</v>
      </c>
      <c r="G1589" s="31">
        <f t="shared" si="24"/>
        <v>0</v>
      </c>
      <c r="H1589" s="39" t="s">
        <v>183</v>
      </c>
      <c r="J1589" s="42"/>
    </row>
    <row r="1590" spans="1:10" s="3" customFormat="1" x14ac:dyDescent="0.25">
      <c r="A1590" s="20">
        <v>42080</v>
      </c>
      <c r="B1590" s="21">
        <v>15100</v>
      </c>
      <c r="C1590" s="14" t="s">
        <v>829</v>
      </c>
      <c r="D1590" s="105">
        <v>9505.5</v>
      </c>
      <c r="E1590" s="23">
        <v>42080</v>
      </c>
      <c r="F1590" s="106">
        <v>9505.5</v>
      </c>
      <c r="G1590" s="31">
        <f t="shared" si="24"/>
        <v>0</v>
      </c>
      <c r="H1590" s="39" t="s">
        <v>9</v>
      </c>
      <c r="J1590" s="42"/>
    </row>
    <row r="1591" spans="1:10" s="3" customFormat="1" x14ac:dyDescent="0.25">
      <c r="A1591" s="59">
        <v>42080</v>
      </c>
      <c r="B1591" s="21">
        <v>15101</v>
      </c>
      <c r="C1591" s="14" t="s">
        <v>45</v>
      </c>
      <c r="D1591" s="105">
        <v>11340</v>
      </c>
      <c r="E1591" s="23">
        <v>42089</v>
      </c>
      <c r="F1591" s="106">
        <v>11340</v>
      </c>
      <c r="G1591" s="31">
        <f t="shared" si="24"/>
        <v>0</v>
      </c>
      <c r="H1591" s="39" t="s">
        <v>183</v>
      </c>
      <c r="J1591" s="42"/>
    </row>
    <row r="1592" spans="1:10" s="3" customFormat="1" x14ac:dyDescent="0.25">
      <c r="A1592" s="20">
        <v>42080</v>
      </c>
      <c r="B1592" s="21">
        <v>15102</v>
      </c>
      <c r="C1592" s="14" t="s">
        <v>571</v>
      </c>
      <c r="D1592" s="105">
        <v>12423.2</v>
      </c>
      <c r="E1592" s="23">
        <v>42080</v>
      </c>
      <c r="F1592" s="106">
        <v>12423.2</v>
      </c>
      <c r="G1592" s="31">
        <f t="shared" si="24"/>
        <v>0</v>
      </c>
      <c r="H1592" s="39" t="s">
        <v>41</v>
      </c>
      <c r="J1592" s="42"/>
    </row>
    <row r="1593" spans="1:10" s="3" customFormat="1" x14ac:dyDescent="0.25">
      <c r="A1593" s="59">
        <v>42080</v>
      </c>
      <c r="B1593" s="21">
        <v>15103</v>
      </c>
      <c r="C1593" s="14" t="s">
        <v>215</v>
      </c>
      <c r="D1593" s="105">
        <v>13334.7</v>
      </c>
      <c r="E1593" s="23">
        <v>42080</v>
      </c>
      <c r="F1593" s="106">
        <v>13334.7</v>
      </c>
      <c r="G1593" s="31">
        <f t="shared" si="24"/>
        <v>0</v>
      </c>
      <c r="H1593" s="39" t="s">
        <v>19</v>
      </c>
      <c r="J1593" s="42"/>
    </row>
    <row r="1594" spans="1:10" s="3" customFormat="1" x14ac:dyDescent="0.25">
      <c r="A1594" s="20">
        <v>42080</v>
      </c>
      <c r="B1594" s="21">
        <v>15104</v>
      </c>
      <c r="C1594" s="14" t="s">
        <v>34</v>
      </c>
      <c r="D1594" s="105">
        <v>3600</v>
      </c>
      <c r="E1594" s="23">
        <v>42080</v>
      </c>
      <c r="F1594" s="106">
        <v>3600</v>
      </c>
      <c r="G1594" s="31">
        <f t="shared" si="24"/>
        <v>0</v>
      </c>
      <c r="H1594" s="39" t="s">
        <v>9</v>
      </c>
      <c r="J1594" s="42"/>
    </row>
    <row r="1595" spans="1:10" s="3" customFormat="1" x14ac:dyDescent="0.25">
      <c r="A1595" s="59">
        <v>42080</v>
      </c>
      <c r="B1595" s="21">
        <v>15105</v>
      </c>
      <c r="C1595" s="14" t="s">
        <v>168</v>
      </c>
      <c r="D1595" s="105">
        <v>8785.6</v>
      </c>
      <c r="E1595" s="23">
        <v>42080</v>
      </c>
      <c r="F1595" s="106">
        <v>8785.6</v>
      </c>
      <c r="G1595" s="31">
        <f t="shared" si="24"/>
        <v>0</v>
      </c>
      <c r="H1595" s="39" t="s">
        <v>59</v>
      </c>
      <c r="J1595" s="42"/>
    </row>
    <row r="1596" spans="1:10" s="3" customFormat="1" x14ac:dyDescent="0.25">
      <c r="A1596" s="20">
        <v>42080</v>
      </c>
      <c r="B1596" s="21">
        <v>15106</v>
      </c>
      <c r="C1596" s="14" t="s">
        <v>214</v>
      </c>
      <c r="D1596" s="105">
        <v>1440</v>
      </c>
      <c r="E1596" s="23">
        <v>42080</v>
      </c>
      <c r="F1596" s="106">
        <v>1440</v>
      </c>
      <c r="G1596" s="31">
        <f t="shared" si="24"/>
        <v>0</v>
      </c>
      <c r="H1596" s="39" t="s">
        <v>59</v>
      </c>
      <c r="J1596" s="42"/>
    </row>
    <row r="1597" spans="1:10" s="3" customFormat="1" x14ac:dyDescent="0.25">
      <c r="A1597" s="59">
        <v>42080</v>
      </c>
      <c r="B1597" s="21">
        <v>15107</v>
      </c>
      <c r="C1597" s="110">
        <v>105</v>
      </c>
      <c r="D1597" s="105">
        <v>1260</v>
      </c>
      <c r="E1597" s="23">
        <v>42080</v>
      </c>
      <c r="F1597" s="106">
        <v>1260</v>
      </c>
      <c r="G1597" s="31">
        <f t="shared" si="24"/>
        <v>0</v>
      </c>
      <c r="H1597" s="39" t="s">
        <v>59</v>
      </c>
      <c r="J1597" s="42"/>
    </row>
    <row r="1598" spans="1:10" s="3" customFormat="1" x14ac:dyDescent="0.25">
      <c r="A1598" s="20">
        <v>42080</v>
      </c>
      <c r="B1598" s="21">
        <v>15108</v>
      </c>
      <c r="C1598" s="14" t="s">
        <v>58</v>
      </c>
      <c r="D1598" s="105">
        <v>468</v>
      </c>
      <c r="E1598" s="23">
        <v>42080</v>
      </c>
      <c r="F1598" s="106">
        <v>468</v>
      </c>
      <c r="G1598" s="31">
        <f t="shared" si="24"/>
        <v>0</v>
      </c>
      <c r="H1598" s="39" t="s">
        <v>59</v>
      </c>
      <c r="J1598" s="42"/>
    </row>
    <row r="1599" spans="1:10" s="3" customFormat="1" x14ac:dyDescent="0.25">
      <c r="A1599" s="59">
        <v>42080</v>
      </c>
      <c r="B1599" s="21">
        <v>15109</v>
      </c>
      <c r="C1599" s="14" t="s">
        <v>57</v>
      </c>
      <c r="D1599" s="105">
        <v>540</v>
      </c>
      <c r="E1599" s="23">
        <v>42080</v>
      </c>
      <c r="F1599" s="106">
        <v>540</v>
      </c>
      <c r="G1599" s="31">
        <f t="shared" si="24"/>
        <v>0</v>
      </c>
      <c r="H1599" s="39" t="s">
        <v>59</v>
      </c>
      <c r="J1599" s="42"/>
    </row>
    <row r="1600" spans="1:10" s="3" customFormat="1" x14ac:dyDescent="0.25">
      <c r="A1600" s="20">
        <v>42080</v>
      </c>
      <c r="B1600" s="21">
        <v>15110</v>
      </c>
      <c r="C1600" s="14" t="s">
        <v>55</v>
      </c>
      <c r="D1600" s="105">
        <v>20487.5</v>
      </c>
      <c r="E1600" s="23">
        <v>42080</v>
      </c>
      <c r="F1600" s="106">
        <v>20487.5</v>
      </c>
      <c r="G1600" s="31">
        <f t="shared" si="24"/>
        <v>0</v>
      </c>
      <c r="H1600" s="39" t="s">
        <v>94</v>
      </c>
      <c r="J1600" s="42"/>
    </row>
    <row r="1601" spans="1:10" s="3" customFormat="1" x14ac:dyDescent="0.25">
      <c r="A1601" s="59">
        <v>42080</v>
      </c>
      <c r="B1601" s="21">
        <v>15111</v>
      </c>
      <c r="C1601" s="14" t="s">
        <v>854</v>
      </c>
      <c r="D1601" s="105">
        <v>2018.4</v>
      </c>
      <c r="E1601" s="23">
        <v>42080</v>
      </c>
      <c r="F1601" s="106">
        <v>2018.4</v>
      </c>
      <c r="G1601" s="31">
        <f t="shared" si="24"/>
        <v>0</v>
      </c>
      <c r="H1601" s="39" t="s">
        <v>9</v>
      </c>
      <c r="J1601" s="42"/>
    </row>
    <row r="1602" spans="1:10" s="3" customFormat="1" x14ac:dyDescent="0.25">
      <c r="A1602" s="20">
        <v>42080</v>
      </c>
      <c r="B1602" s="21">
        <v>15112</v>
      </c>
      <c r="C1602" s="14" t="s">
        <v>881</v>
      </c>
      <c r="D1602" s="105">
        <v>1816.5</v>
      </c>
      <c r="E1602" s="23">
        <v>42080</v>
      </c>
      <c r="F1602" s="106">
        <v>1816.5</v>
      </c>
      <c r="G1602" s="31">
        <f t="shared" si="24"/>
        <v>0</v>
      </c>
      <c r="H1602" s="39" t="s">
        <v>9</v>
      </c>
      <c r="J1602" s="42"/>
    </row>
    <row r="1603" spans="1:10" s="3" customFormat="1" x14ac:dyDescent="0.25">
      <c r="A1603" s="59">
        <v>42080</v>
      </c>
      <c r="B1603" s="21">
        <v>15113</v>
      </c>
      <c r="C1603" s="14" t="s">
        <v>128</v>
      </c>
      <c r="D1603" s="105">
        <v>18633.599999999999</v>
      </c>
      <c r="E1603" s="23">
        <v>42081</v>
      </c>
      <c r="F1603" s="106">
        <v>18633.599999999999</v>
      </c>
      <c r="G1603" s="31">
        <f t="shared" ref="G1603:G1666" si="25">D1603-F1603</f>
        <v>0</v>
      </c>
      <c r="H1603" s="39" t="s">
        <v>17</v>
      </c>
      <c r="I1603" s="4"/>
      <c r="J1603" s="43"/>
    </row>
    <row r="1604" spans="1:10" s="3" customFormat="1" x14ac:dyDescent="0.25">
      <c r="A1604" s="20">
        <v>42080</v>
      </c>
      <c r="B1604" s="21">
        <v>15114</v>
      </c>
      <c r="C1604" s="14" t="s">
        <v>87</v>
      </c>
      <c r="D1604" s="105">
        <v>2086.8000000000002</v>
      </c>
      <c r="E1604" s="23">
        <v>42080</v>
      </c>
      <c r="F1604" s="106">
        <v>2086.8000000000002</v>
      </c>
      <c r="G1604" s="31">
        <f t="shared" si="25"/>
        <v>0</v>
      </c>
      <c r="H1604" s="39" t="s">
        <v>46</v>
      </c>
      <c r="I1604" s="4"/>
      <c r="J1604" s="43"/>
    </row>
    <row r="1605" spans="1:10" s="3" customFormat="1" x14ac:dyDescent="0.25">
      <c r="A1605" s="59">
        <v>42080</v>
      </c>
      <c r="B1605" s="21">
        <v>15115</v>
      </c>
      <c r="C1605" s="14" t="s">
        <v>591</v>
      </c>
      <c r="D1605" s="105">
        <v>10692</v>
      </c>
      <c r="E1605" s="23">
        <v>42080</v>
      </c>
      <c r="F1605" s="106">
        <v>10692</v>
      </c>
      <c r="G1605" s="31">
        <f t="shared" si="25"/>
        <v>0</v>
      </c>
      <c r="H1605" s="39" t="s">
        <v>94</v>
      </c>
      <c r="I1605" s="4"/>
      <c r="J1605" s="43"/>
    </row>
    <row r="1606" spans="1:10" s="3" customFormat="1" x14ac:dyDescent="0.25">
      <c r="A1606" s="20">
        <v>42080</v>
      </c>
      <c r="B1606" s="21">
        <v>15116</v>
      </c>
      <c r="C1606" s="14" t="s">
        <v>50</v>
      </c>
      <c r="D1606" s="105">
        <v>2837.6</v>
      </c>
      <c r="E1606" s="23">
        <v>42080</v>
      </c>
      <c r="F1606" s="106">
        <v>2837.6</v>
      </c>
      <c r="G1606" s="31">
        <f t="shared" si="25"/>
        <v>0</v>
      </c>
      <c r="H1606" s="39" t="s">
        <v>46</v>
      </c>
      <c r="I1606" s="4"/>
      <c r="J1606" s="43"/>
    </row>
    <row r="1607" spans="1:10" s="3" customFormat="1" x14ac:dyDescent="0.25">
      <c r="A1607" s="59">
        <v>42080</v>
      </c>
      <c r="B1607" s="21">
        <v>15117</v>
      </c>
      <c r="C1607" s="14" t="s">
        <v>43</v>
      </c>
      <c r="D1607" s="105">
        <v>6954.6</v>
      </c>
      <c r="E1607" s="23">
        <v>42080</v>
      </c>
      <c r="F1607" s="106">
        <v>6954.6</v>
      </c>
      <c r="G1607" s="31">
        <f t="shared" si="25"/>
        <v>0</v>
      </c>
      <c r="H1607" s="39" t="s">
        <v>9</v>
      </c>
      <c r="I1607" s="4"/>
      <c r="J1607" s="43"/>
    </row>
    <row r="1608" spans="1:10" s="3" customFormat="1" x14ac:dyDescent="0.25">
      <c r="A1608" s="20">
        <v>42080</v>
      </c>
      <c r="B1608" s="21">
        <v>15118</v>
      </c>
      <c r="C1608" s="14" t="s">
        <v>138</v>
      </c>
      <c r="D1608" s="105">
        <v>4343.8</v>
      </c>
      <c r="E1608" s="23">
        <v>42080</v>
      </c>
      <c r="F1608" s="106">
        <v>4343.8</v>
      </c>
      <c r="G1608" s="31">
        <f t="shared" si="25"/>
        <v>0</v>
      </c>
      <c r="H1608" s="39" t="s">
        <v>46</v>
      </c>
      <c r="I1608" s="4"/>
      <c r="J1608" s="43"/>
    </row>
    <row r="1609" spans="1:10" s="3" customFormat="1" x14ac:dyDescent="0.25">
      <c r="A1609" s="59">
        <v>42080</v>
      </c>
      <c r="B1609" s="21">
        <v>15119</v>
      </c>
      <c r="C1609" s="14" t="s">
        <v>130</v>
      </c>
      <c r="D1609" s="105">
        <v>4589.5</v>
      </c>
      <c r="E1609" s="23">
        <v>42082</v>
      </c>
      <c r="F1609" s="106">
        <v>4589.5</v>
      </c>
      <c r="G1609" s="31">
        <f t="shared" si="25"/>
        <v>0</v>
      </c>
      <c r="H1609" s="39" t="s">
        <v>17</v>
      </c>
      <c r="I1609" s="4"/>
      <c r="J1609" s="43"/>
    </row>
    <row r="1610" spans="1:10" s="3" customFormat="1" x14ac:dyDescent="0.25">
      <c r="A1610" s="20">
        <v>42080</v>
      </c>
      <c r="B1610" s="21">
        <v>15120</v>
      </c>
      <c r="C1610" s="14" t="s">
        <v>131</v>
      </c>
      <c r="D1610" s="105">
        <v>6979.1</v>
      </c>
      <c r="E1610" s="23">
        <v>42081</v>
      </c>
      <c r="F1610" s="106">
        <v>6979.1</v>
      </c>
      <c r="G1610" s="31">
        <f t="shared" si="25"/>
        <v>0</v>
      </c>
      <c r="H1610" s="39" t="s">
        <v>17</v>
      </c>
      <c r="I1610" s="4"/>
      <c r="J1610" s="43"/>
    </row>
    <row r="1611" spans="1:10" s="3" customFormat="1" x14ac:dyDescent="0.25">
      <c r="A1611" s="59">
        <v>42080</v>
      </c>
      <c r="B1611" s="21">
        <v>15121</v>
      </c>
      <c r="C1611" s="14" t="s">
        <v>100</v>
      </c>
      <c r="D1611" s="105">
        <v>2115.8000000000002</v>
      </c>
      <c r="E1611" s="23">
        <v>42080</v>
      </c>
      <c r="F1611" s="106">
        <v>2115.8000000000002</v>
      </c>
      <c r="G1611" s="31">
        <f t="shared" si="25"/>
        <v>0</v>
      </c>
      <c r="H1611" s="39" t="s">
        <v>9</v>
      </c>
      <c r="I1611" s="4"/>
      <c r="J1611" s="43"/>
    </row>
    <row r="1612" spans="1:10" s="3" customFormat="1" x14ac:dyDescent="0.25">
      <c r="A1612" s="20">
        <v>42080</v>
      </c>
      <c r="B1612" s="21">
        <v>15122</v>
      </c>
      <c r="C1612" s="14" t="s">
        <v>192</v>
      </c>
      <c r="D1612" s="105">
        <v>6144</v>
      </c>
      <c r="E1612" s="30">
        <v>42115</v>
      </c>
      <c r="F1612" s="144">
        <v>6144</v>
      </c>
      <c r="G1612" s="31">
        <f t="shared" si="25"/>
        <v>0</v>
      </c>
      <c r="H1612" s="39" t="s">
        <v>17</v>
      </c>
      <c r="I1612" s="4"/>
      <c r="J1612" s="43"/>
    </row>
    <row r="1613" spans="1:10" s="3" customFormat="1" x14ac:dyDescent="0.25">
      <c r="A1613" s="59">
        <v>42080</v>
      </c>
      <c r="B1613" s="21">
        <v>15123</v>
      </c>
      <c r="C1613" s="14" t="s">
        <v>14</v>
      </c>
      <c r="D1613" s="105">
        <v>4960.8</v>
      </c>
      <c r="E1613" s="23">
        <v>42089</v>
      </c>
      <c r="F1613" s="106">
        <v>4960.8</v>
      </c>
      <c r="G1613" s="31">
        <f t="shared" si="25"/>
        <v>0</v>
      </c>
      <c r="H1613" s="39" t="s">
        <v>15</v>
      </c>
      <c r="I1613" s="4"/>
      <c r="J1613" s="43"/>
    </row>
    <row r="1614" spans="1:10" s="3" customFormat="1" x14ac:dyDescent="0.25">
      <c r="A1614" s="20">
        <v>42080</v>
      </c>
      <c r="B1614" s="21">
        <v>15124</v>
      </c>
      <c r="C1614" s="14" t="s">
        <v>332</v>
      </c>
      <c r="D1614" s="105">
        <v>2146</v>
      </c>
      <c r="E1614" s="23">
        <v>42080</v>
      </c>
      <c r="F1614" s="106">
        <v>2146</v>
      </c>
      <c r="G1614" s="31">
        <f t="shared" si="25"/>
        <v>0</v>
      </c>
      <c r="H1614" s="39" t="s">
        <v>9</v>
      </c>
      <c r="I1614" s="4"/>
      <c r="J1614" s="43"/>
    </row>
    <row r="1615" spans="1:10" s="3" customFormat="1" x14ac:dyDescent="0.25">
      <c r="A1615" s="59">
        <v>42080</v>
      </c>
      <c r="B1615" s="21">
        <v>15125</v>
      </c>
      <c r="C1615" s="14" t="s">
        <v>131</v>
      </c>
      <c r="D1615" s="105">
        <v>2215.4</v>
      </c>
      <c r="E1615" s="23">
        <v>42080</v>
      </c>
      <c r="F1615" s="106">
        <v>2215.4</v>
      </c>
      <c r="G1615" s="31">
        <f t="shared" si="25"/>
        <v>0</v>
      </c>
      <c r="H1615" s="39" t="s">
        <v>17</v>
      </c>
      <c r="I1615" s="4"/>
      <c r="J1615" s="43"/>
    </row>
    <row r="1616" spans="1:10" s="3" customFormat="1" x14ac:dyDescent="0.25">
      <c r="A1616" s="20">
        <v>42080</v>
      </c>
      <c r="B1616" s="21">
        <v>15126</v>
      </c>
      <c r="C1616" s="14" t="s">
        <v>675</v>
      </c>
      <c r="D1616" s="105">
        <v>1080</v>
      </c>
      <c r="E1616" s="23">
        <v>42080</v>
      </c>
      <c r="F1616" s="106">
        <v>1080</v>
      </c>
      <c r="G1616" s="31">
        <f t="shared" si="25"/>
        <v>0</v>
      </c>
      <c r="H1616" s="39" t="s">
        <v>9</v>
      </c>
      <c r="I1616" s="4"/>
      <c r="J1616" s="120"/>
    </row>
    <row r="1617" spans="1:10" s="3" customFormat="1" x14ac:dyDescent="0.25">
      <c r="A1617" s="59">
        <v>42080</v>
      </c>
      <c r="B1617" s="21">
        <v>15127</v>
      </c>
      <c r="C1617" s="14" t="s">
        <v>882</v>
      </c>
      <c r="D1617" s="105">
        <v>19671.25</v>
      </c>
      <c r="E1617" s="23">
        <v>42081</v>
      </c>
      <c r="F1617" s="106">
        <v>19671.25</v>
      </c>
      <c r="G1617" s="31">
        <f t="shared" si="25"/>
        <v>0</v>
      </c>
      <c r="H1617" s="39" t="s">
        <v>19</v>
      </c>
      <c r="I1617" s="4"/>
      <c r="J1617" s="43"/>
    </row>
    <row r="1618" spans="1:10" s="3" customFormat="1" x14ac:dyDescent="0.25">
      <c r="A1618" s="20">
        <v>42080</v>
      </c>
      <c r="B1618" s="21">
        <v>15128</v>
      </c>
      <c r="C1618" s="14" t="s">
        <v>49</v>
      </c>
      <c r="D1618" s="105">
        <v>1645.6</v>
      </c>
      <c r="E1618" s="23">
        <v>42081</v>
      </c>
      <c r="F1618" s="106">
        <v>1645.6</v>
      </c>
      <c r="G1618" s="31">
        <f t="shared" si="25"/>
        <v>0</v>
      </c>
      <c r="H1618" s="39" t="s">
        <v>19</v>
      </c>
      <c r="I1618" s="4"/>
      <c r="J1618" s="43"/>
    </row>
    <row r="1619" spans="1:10" s="3" customFormat="1" x14ac:dyDescent="0.25">
      <c r="A1619" s="59">
        <v>42080</v>
      </c>
      <c r="B1619" s="21">
        <v>15129</v>
      </c>
      <c r="C1619" s="14" t="s">
        <v>325</v>
      </c>
      <c r="D1619" s="105">
        <v>939.9</v>
      </c>
      <c r="E1619" s="23">
        <v>42081</v>
      </c>
      <c r="F1619" s="106">
        <v>939.9</v>
      </c>
      <c r="G1619" s="31">
        <f t="shared" si="25"/>
        <v>0</v>
      </c>
      <c r="H1619" s="39" t="s">
        <v>19</v>
      </c>
      <c r="J1619" s="42"/>
    </row>
    <row r="1620" spans="1:10" s="3" customFormat="1" x14ac:dyDescent="0.25">
      <c r="A1620" s="20">
        <v>42080</v>
      </c>
      <c r="B1620" s="21">
        <v>15130</v>
      </c>
      <c r="C1620" s="14" t="s">
        <v>223</v>
      </c>
      <c r="D1620" s="105">
        <v>780</v>
      </c>
      <c r="E1620" s="23">
        <v>42081</v>
      </c>
      <c r="F1620" s="106">
        <v>780</v>
      </c>
      <c r="G1620" s="31">
        <f t="shared" si="25"/>
        <v>0</v>
      </c>
      <c r="H1620" s="39" t="s">
        <v>19</v>
      </c>
      <c r="J1620" s="42"/>
    </row>
    <row r="1621" spans="1:10" s="3" customFormat="1" x14ac:dyDescent="0.25">
      <c r="A1621" s="59">
        <v>42080</v>
      </c>
      <c r="B1621" s="21">
        <v>15131</v>
      </c>
      <c r="C1621" s="26" t="s">
        <v>218</v>
      </c>
      <c r="D1621" s="108">
        <v>0</v>
      </c>
      <c r="E1621" s="23"/>
      <c r="F1621" s="106"/>
      <c r="G1621" s="31">
        <f t="shared" si="25"/>
        <v>0</v>
      </c>
      <c r="H1621" s="39" t="s">
        <v>13</v>
      </c>
      <c r="J1621" s="42"/>
    </row>
    <row r="1622" spans="1:10" s="3" customFormat="1" x14ac:dyDescent="0.25">
      <c r="A1622" s="20">
        <v>42080</v>
      </c>
      <c r="B1622" s="21">
        <v>15132</v>
      </c>
      <c r="C1622" s="14" t="s">
        <v>24</v>
      </c>
      <c r="D1622" s="105">
        <v>3264</v>
      </c>
      <c r="E1622" s="23">
        <v>42093</v>
      </c>
      <c r="F1622" s="106">
        <v>3264</v>
      </c>
      <c r="G1622" s="31">
        <f t="shared" si="25"/>
        <v>0</v>
      </c>
      <c r="H1622" s="39" t="s">
        <v>41</v>
      </c>
      <c r="J1622" s="42"/>
    </row>
    <row r="1623" spans="1:10" s="3" customFormat="1" x14ac:dyDescent="0.25">
      <c r="A1623" s="59">
        <v>42080</v>
      </c>
      <c r="B1623" s="21">
        <v>15133</v>
      </c>
      <c r="C1623" s="14" t="s">
        <v>98</v>
      </c>
      <c r="D1623" s="105">
        <v>1763.5</v>
      </c>
      <c r="E1623" s="23">
        <v>42081</v>
      </c>
      <c r="F1623" s="106">
        <v>1763.5</v>
      </c>
      <c r="G1623" s="31">
        <f t="shared" si="25"/>
        <v>0</v>
      </c>
      <c r="H1623" s="39" t="s">
        <v>19</v>
      </c>
      <c r="J1623" s="42"/>
    </row>
    <row r="1624" spans="1:10" s="3" customFormat="1" x14ac:dyDescent="0.25">
      <c r="A1624" s="20">
        <v>42080</v>
      </c>
      <c r="B1624" s="21">
        <v>15134</v>
      </c>
      <c r="C1624" s="14" t="s">
        <v>393</v>
      </c>
      <c r="D1624" s="105">
        <v>492.2</v>
      </c>
      <c r="E1624" s="23">
        <v>42081</v>
      </c>
      <c r="F1624" s="106">
        <v>492.2</v>
      </c>
      <c r="G1624" s="31">
        <f t="shared" si="25"/>
        <v>0</v>
      </c>
      <c r="H1624" s="39" t="s">
        <v>19</v>
      </c>
      <c r="J1624" s="42"/>
    </row>
    <row r="1625" spans="1:10" s="3" customFormat="1" x14ac:dyDescent="0.25">
      <c r="A1625" s="59">
        <v>42080</v>
      </c>
      <c r="B1625" s="21">
        <v>15135</v>
      </c>
      <c r="C1625" s="14" t="s">
        <v>229</v>
      </c>
      <c r="D1625" s="105">
        <v>4232.24</v>
      </c>
      <c r="E1625" s="23">
        <v>42080</v>
      </c>
      <c r="F1625" s="106">
        <v>4232.24</v>
      </c>
      <c r="G1625" s="31">
        <f t="shared" si="25"/>
        <v>0</v>
      </c>
      <c r="H1625" s="39" t="s">
        <v>9</v>
      </c>
      <c r="J1625" s="42"/>
    </row>
    <row r="1626" spans="1:10" s="3" customFormat="1" x14ac:dyDescent="0.25">
      <c r="A1626" s="20">
        <v>42080</v>
      </c>
      <c r="B1626" s="21">
        <v>15136</v>
      </c>
      <c r="C1626" s="14" t="s">
        <v>143</v>
      </c>
      <c r="D1626" s="105">
        <v>20477.8</v>
      </c>
      <c r="E1626" s="23">
        <v>42080</v>
      </c>
      <c r="F1626" s="106">
        <v>20477.8</v>
      </c>
      <c r="G1626" s="31">
        <f t="shared" si="25"/>
        <v>0</v>
      </c>
      <c r="H1626" s="39" t="s">
        <v>41</v>
      </c>
      <c r="J1626" s="42"/>
    </row>
    <row r="1627" spans="1:10" s="3" customFormat="1" x14ac:dyDescent="0.25">
      <c r="A1627" s="59">
        <v>42080</v>
      </c>
      <c r="B1627" s="21">
        <v>15137</v>
      </c>
      <c r="C1627" s="14" t="s">
        <v>24</v>
      </c>
      <c r="D1627" s="105">
        <v>24567.1</v>
      </c>
      <c r="E1627" s="30">
        <v>42108</v>
      </c>
      <c r="F1627" s="144">
        <v>24567.1</v>
      </c>
      <c r="G1627" s="31">
        <f t="shared" si="25"/>
        <v>0</v>
      </c>
      <c r="H1627" s="39" t="s">
        <v>62</v>
      </c>
      <c r="J1627" s="42"/>
    </row>
    <row r="1628" spans="1:10" s="3" customFormat="1" x14ac:dyDescent="0.25">
      <c r="A1628" s="20">
        <v>42080</v>
      </c>
      <c r="B1628" s="21">
        <v>15138</v>
      </c>
      <c r="C1628" s="14" t="s">
        <v>883</v>
      </c>
      <c r="D1628" s="105">
        <v>2739.3</v>
      </c>
      <c r="E1628" s="23">
        <v>42082</v>
      </c>
      <c r="F1628" s="106">
        <v>2739.3</v>
      </c>
      <c r="G1628" s="31">
        <f t="shared" si="25"/>
        <v>0</v>
      </c>
      <c r="H1628" s="39" t="s">
        <v>9</v>
      </c>
      <c r="J1628" s="42"/>
    </row>
    <row r="1629" spans="1:10" s="3" customFormat="1" x14ac:dyDescent="0.25">
      <c r="A1629" s="59">
        <v>42080</v>
      </c>
      <c r="B1629" s="21">
        <v>15139</v>
      </c>
      <c r="C1629" s="14" t="s">
        <v>71</v>
      </c>
      <c r="D1629" s="105">
        <v>1273.4000000000001</v>
      </c>
      <c r="E1629" s="23">
        <v>42080</v>
      </c>
      <c r="F1629" s="106">
        <v>1273.4000000000001</v>
      </c>
      <c r="G1629" s="31">
        <f t="shared" si="25"/>
        <v>0</v>
      </c>
      <c r="H1629" s="39" t="s">
        <v>9</v>
      </c>
      <c r="J1629" s="42"/>
    </row>
    <row r="1630" spans="1:10" s="3" customFormat="1" x14ac:dyDescent="0.25">
      <c r="A1630" s="20">
        <v>42080</v>
      </c>
      <c r="B1630" s="21">
        <v>15140</v>
      </c>
      <c r="C1630" s="150" t="s">
        <v>112</v>
      </c>
      <c r="D1630" s="105">
        <v>14020.7</v>
      </c>
      <c r="E1630" s="29" t="s">
        <v>884</v>
      </c>
      <c r="F1630" s="106">
        <f>13000+1020.7</f>
        <v>14020.7</v>
      </c>
      <c r="G1630" s="31">
        <f t="shared" si="25"/>
        <v>0</v>
      </c>
      <c r="H1630" s="39" t="s">
        <v>9</v>
      </c>
      <c r="J1630" s="42"/>
    </row>
    <row r="1631" spans="1:10" s="3" customFormat="1" x14ac:dyDescent="0.25">
      <c r="A1631" s="59">
        <v>42080</v>
      </c>
      <c r="B1631" s="21">
        <v>15141</v>
      </c>
      <c r="C1631" s="14" t="s">
        <v>111</v>
      </c>
      <c r="D1631" s="105">
        <v>15619.2</v>
      </c>
      <c r="E1631" s="23">
        <v>42081</v>
      </c>
      <c r="F1631" s="106">
        <v>15619.2</v>
      </c>
      <c r="G1631" s="31">
        <f t="shared" si="25"/>
        <v>0</v>
      </c>
      <c r="H1631" s="39" t="s">
        <v>46</v>
      </c>
      <c r="J1631" s="42"/>
    </row>
    <row r="1632" spans="1:10" s="3" customFormat="1" x14ac:dyDescent="0.25">
      <c r="A1632" s="20">
        <v>42080</v>
      </c>
      <c r="B1632" s="21">
        <v>15142</v>
      </c>
      <c r="C1632" s="14" t="s">
        <v>111</v>
      </c>
      <c r="D1632" s="105">
        <v>144912</v>
      </c>
      <c r="E1632" s="23">
        <v>42081</v>
      </c>
      <c r="F1632" s="106">
        <v>144912</v>
      </c>
      <c r="G1632" s="31">
        <f t="shared" si="25"/>
        <v>0</v>
      </c>
      <c r="H1632" s="39" t="s">
        <v>46</v>
      </c>
      <c r="J1632" s="42"/>
    </row>
    <row r="1633" spans="1:10" s="3" customFormat="1" x14ac:dyDescent="0.25">
      <c r="A1633" s="59">
        <v>42080</v>
      </c>
      <c r="B1633" s="21">
        <v>15143</v>
      </c>
      <c r="C1633" s="14" t="s">
        <v>111</v>
      </c>
      <c r="D1633" s="105">
        <v>125484</v>
      </c>
      <c r="E1633" s="23">
        <v>42081</v>
      </c>
      <c r="F1633" s="106">
        <v>125484</v>
      </c>
      <c r="G1633" s="31">
        <f t="shared" si="25"/>
        <v>0</v>
      </c>
      <c r="H1633" s="39" t="s">
        <v>46</v>
      </c>
      <c r="J1633" s="42"/>
    </row>
    <row r="1634" spans="1:10" s="3" customFormat="1" x14ac:dyDescent="0.25">
      <c r="A1634" s="20">
        <v>42080</v>
      </c>
      <c r="B1634" s="21">
        <v>15144</v>
      </c>
      <c r="C1634" s="14" t="s">
        <v>136</v>
      </c>
      <c r="D1634" s="105">
        <v>34108.800000000003</v>
      </c>
      <c r="E1634" s="23">
        <v>42081</v>
      </c>
      <c r="F1634" s="106">
        <v>34108.800000000003</v>
      </c>
      <c r="G1634" s="31">
        <f t="shared" si="25"/>
        <v>0</v>
      </c>
      <c r="H1634" s="39" t="s">
        <v>17</v>
      </c>
      <c r="J1634" s="42"/>
    </row>
    <row r="1635" spans="1:10" s="3" customFormat="1" x14ac:dyDescent="0.25">
      <c r="A1635" s="59">
        <v>42080</v>
      </c>
      <c r="B1635" s="21">
        <v>15145</v>
      </c>
      <c r="C1635" s="14" t="s">
        <v>256</v>
      </c>
      <c r="D1635" s="105">
        <v>4399.6000000000004</v>
      </c>
      <c r="E1635" s="23">
        <v>42080</v>
      </c>
      <c r="F1635" s="106">
        <v>4399.6000000000004</v>
      </c>
      <c r="G1635" s="31">
        <f t="shared" si="25"/>
        <v>0</v>
      </c>
      <c r="H1635" s="39" t="s">
        <v>41</v>
      </c>
      <c r="I1635" s="4"/>
      <c r="J1635" s="43"/>
    </row>
    <row r="1636" spans="1:10" s="3" customFormat="1" x14ac:dyDescent="0.25">
      <c r="A1636" s="20">
        <v>42080</v>
      </c>
      <c r="B1636" s="21">
        <v>15146</v>
      </c>
      <c r="C1636" s="14" t="s">
        <v>108</v>
      </c>
      <c r="D1636" s="105">
        <v>25452</v>
      </c>
      <c r="E1636" s="29" t="s">
        <v>885</v>
      </c>
      <c r="F1636" s="106">
        <f>554.4+24897.6</f>
        <v>25452</v>
      </c>
      <c r="G1636" s="31">
        <f t="shared" si="25"/>
        <v>0</v>
      </c>
      <c r="H1636" s="39" t="s">
        <v>17</v>
      </c>
      <c r="I1636" s="4"/>
      <c r="J1636" s="43"/>
    </row>
    <row r="1637" spans="1:10" s="3" customFormat="1" x14ac:dyDescent="0.25">
      <c r="A1637" s="59">
        <v>42080</v>
      </c>
      <c r="B1637" s="21">
        <v>15147</v>
      </c>
      <c r="C1637" s="14" t="s">
        <v>80</v>
      </c>
      <c r="D1637" s="105">
        <v>4097.6000000000004</v>
      </c>
      <c r="E1637" s="23">
        <v>42080</v>
      </c>
      <c r="F1637" s="106">
        <v>4097.6000000000004</v>
      </c>
      <c r="G1637" s="31">
        <f t="shared" si="25"/>
        <v>0</v>
      </c>
      <c r="H1637" s="39" t="s">
        <v>9</v>
      </c>
      <c r="I1637" s="4"/>
      <c r="J1637" s="43"/>
    </row>
    <row r="1638" spans="1:10" s="3" customFormat="1" x14ac:dyDescent="0.25">
      <c r="A1638" s="20">
        <v>42080</v>
      </c>
      <c r="B1638" s="21">
        <v>15148</v>
      </c>
      <c r="C1638" s="14" t="s">
        <v>237</v>
      </c>
      <c r="D1638" s="105">
        <v>850</v>
      </c>
      <c r="E1638" s="23">
        <v>42080</v>
      </c>
      <c r="F1638" s="106">
        <v>850</v>
      </c>
      <c r="G1638" s="31">
        <f t="shared" si="25"/>
        <v>0</v>
      </c>
      <c r="H1638" s="39" t="s">
        <v>9</v>
      </c>
      <c r="I1638" s="4"/>
      <c r="J1638" s="43"/>
    </row>
    <row r="1639" spans="1:10" s="3" customFormat="1" x14ac:dyDescent="0.25">
      <c r="A1639" s="59">
        <v>42080</v>
      </c>
      <c r="B1639" s="21">
        <v>15149</v>
      </c>
      <c r="C1639" s="14" t="s">
        <v>42</v>
      </c>
      <c r="D1639" s="105">
        <v>76</v>
      </c>
      <c r="E1639" s="23">
        <v>42080</v>
      </c>
      <c r="F1639" s="106">
        <v>76</v>
      </c>
      <c r="G1639" s="31">
        <f t="shared" si="25"/>
        <v>0</v>
      </c>
      <c r="H1639" s="39" t="s">
        <v>9</v>
      </c>
      <c r="I1639" s="4"/>
      <c r="J1639" s="43"/>
    </row>
    <row r="1640" spans="1:10" s="3" customFormat="1" x14ac:dyDescent="0.25">
      <c r="A1640" s="20">
        <v>42080</v>
      </c>
      <c r="B1640" s="21">
        <v>15150</v>
      </c>
      <c r="C1640" s="14" t="s">
        <v>90</v>
      </c>
      <c r="D1640" s="105">
        <v>789.5</v>
      </c>
      <c r="E1640" s="23">
        <v>42080</v>
      </c>
      <c r="F1640" s="106">
        <v>789.5</v>
      </c>
      <c r="G1640" s="31">
        <f t="shared" si="25"/>
        <v>0</v>
      </c>
      <c r="H1640" s="39" t="s">
        <v>9</v>
      </c>
      <c r="I1640" s="4"/>
      <c r="J1640" s="43"/>
    </row>
    <row r="1641" spans="1:10" s="3" customFormat="1" x14ac:dyDescent="0.25">
      <c r="A1641" s="59">
        <v>42080</v>
      </c>
      <c r="B1641" s="21">
        <v>15151</v>
      </c>
      <c r="C1641" s="14" t="s">
        <v>237</v>
      </c>
      <c r="D1641" s="105">
        <v>126</v>
      </c>
      <c r="E1641" s="23">
        <v>42080</v>
      </c>
      <c r="F1641" s="106">
        <v>126</v>
      </c>
      <c r="G1641" s="31">
        <f t="shared" si="25"/>
        <v>0</v>
      </c>
      <c r="H1641" s="39" t="s">
        <v>9</v>
      </c>
      <c r="I1641" s="4"/>
      <c r="J1641" s="43"/>
    </row>
    <row r="1642" spans="1:10" s="3" customFormat="1" x14ac:dyDescent="0.25">
      <c r="A1642" s="20">
        <v>42080</v>
      </c>
      <c r="B1642" s="21">
        <v>15152</v>
      </c>
      <c r="C1642" s="14" t="s">
        <v>32</v>
      </c>
      <c r="D1642" s="105">
        <v>154991.20000000001</v>
      </c>
      <c r="E1642" s="23">
        <v>42089</v>
      </c>
      <c r="F1642" s="106">
        <v>154991.20000000001</v>
      </c>
      <c r="G1642" s="31">
        <f t="shared" si="25"/>
        <v>0</v>
      </c>
      <c r="H1642" s="39" t="s">
        <v>9</v>
      </c>
      <c r="I1642" s="4"/>
      <c r="J1642" s="43"/>
    </row>
    <row r="1643" spans="1:10" s="3" customFormat="1" x14ac:dyDescent="0.25">
      <c r="A1643" s="59">
        <v>42080</v>
      </c>
      <c r="B1643" s="21">
        <v>15153</v>
      </c>
      <c r="C1643" s="14" t="s">
        <v>24</v>
      </c>
      <c r="D1643" s="105">
        <v>167272.16</v>
      </c>
      <c r="E1643" s="30">
        <v>42108</v>
      </c>
      <c r="F1643" s="144">
        <v>167272.16</v>
      </c>
      <c r="G1643" s="31">
        <f t="shared" si="25"/>
        <v>0</v>
      </c>
      <c r="H1643" s="39" t="s">
        <v>94</v>
      </c>
      <c r="I1643" s="4"/>
      <c r="J1643" s="107"/>
    </row>
    <row r="1644" spans="1:10" s="3" customFormat="1" x14ac:dyDescent="0.25">
      <c r="A1644" s="20">
        <v>42080</v>
      </c>
      <c r="B1644" s="21">
        <v>15154</v>
      </c>
      <c r="C1644" s="14" t="s">
        <v>834</v>
      </c>
      <c r="D1644" s="105">
        <v>4788.8</v>
      </c>
      <c r="E1644" s="23">
        <v>42080</v>
      </c>
      <c r="F1644" s="106">
        <v>4788.8</v>
      </c>
      <c r="G1644" s="31">
        <f t="shared" si="25"/>
        <v>0</v>
      </c>
      <c r="H1644" s="39" t="s">
        <v>9</v>
      </c>
      <c r="I1644" s="4"/>
      <c r="J1644" s="43"/>
    </row>
    <row r="1645" spans="1:10" s="3" customFormat="1" x14ac:dyDescent="0.25">
      <c r="A1645" s="59">
        <v>42080</v>
      </c>
      <c r="B1645" s="21">
        <v>15155</v>
      </c>
      <c r="C1645" s="14" t="s">
        <v>59</v>
      </c>
      <c r="D1645" s="105">
        <v>19.5</v>
      </c>
      <c r="E1645" s="23">
        <v>42081</v>
      </c>
      <c r="F1645" s="106">
        <v>19.5</v>
      </c>
      <c r="G1645" s="31">
        <f t="shared" si="25"/>
        <v>0</v>
      </c>
      <c r="H1645" s="39" t="s">
        <v>9</v>
      </c>
      <c r="I1645" s="4"/>
      <c r="J1645" s="43"/>
    </row>
    <row r="1646" spans="1:10" s="3" customFormat="1" x14ac:dyDescent="0.25">
      <c r="A1646" s="20">
        <v>42080</v>
      </c>
      <c r="B1646" s="21">
        <v>15156</v>
      </c>
      <c r="C1646" s="14" t="s">
        <v>693</v>
      </c>
      <c r="D1646" s="105">
        <v>38.4</v>
      </c>
      <c r="E1646" s="23">
        <v>42081</v>
      </c>
      <c r="F1646" s="106">
        <v>38.4</v>
      </c>
      <c r="G1646" s="31">
        <f t="shared" si="25"/>
        <v>0</v>
      </c>
      <c r="H1646" s="39" t="s">
        <v>9</v>
      </c>
      <c r="I1646" s="4"/>
      <c r="J1646" s="43"/>
    </row>
    <row r="1647" spans="1:10" s="3" customFormat="1" x14ac:dyDescent="0.25">
      <c r="A1647" s="20">
        <v>42081</v>
      </c>
      <c r="B1647" s="21">
        <v>15157</v>
      </c>
      <c r="C1647" s="14" t="s">
        <v>11</v>
      </c>
      <c r="D1647" s="105">
        <v>1066.2</v>
      </c>
      <c r="E1647" s="23">
        <v>42081</v>
      </c>
      <c r="F1647" s="106">
        <v>1066.2</v>
      </c>
      <c r="G1647" s="31">
        <f t="shared" si="25"/>
        <v>0</v>
      </c>
      <c r="H1647" s="39" t="s">
        <v>9</v>
      </c>
      <c r="I1647" s="4"/>
      <c r="J1647" s="43"/>
    </row>
    <row r="1648" spans="1:10" s="3" customFormat="1" x14ac:dyDescent="0.25">
      <c r="A1648" s="20">
        <v>42081</v>
      </c>
      <c r="B1648" s="21">
        <v>15158</v>
      </c>
      <c r="C1648" s="14" t="s">
        <v>111</v>
      </c>
      <c r="D1648" s="105">
        <v>7002</v>
      </c>
      <c r="E1648" s="23">
        <v>42084</v>
      </c>
      <c r="F1648" s="106">
        <v>7002</v>
      </c>
      <c r="G1648" s="31">
        <f t="shared" si="25"/>
        <v>0</v>
      </c>
      <c r="H1648" s="39" t="s">
        <v>17</v>
      </c>
      <c r="I1648" s="4"/>
      <c r="J1648" s="43"/>
    </row>
    <row r="1649" spans="1:10" s="3" customFormat="1" x14ac:dyDescent="0.25">
      <c r="A1649" s="20">
        <v>42081</v>
      </c>
      <c r="B1649" s="21">
        <v>15159</v>
      </c>
      <c r="C1649" s="14" t="s">
        <v>16</v>
      </c>
      <c r="D1649" s="105">
        <v>4006.4</v>
      </c>
      <c r="E1649" s="23">
        <v>42081</v>
      </c>
      <c r="F1649" s="106">
        <v>4006.4</v>
      </c>
      <c r="G1649" s="31">
        <f t="shared" si="25"/>
        <v>0</v>
      </c>
      <c r="H1649" s="39" t="s">
        <v>17</v>
      </c>
      <c r="I1649" s="4"/>
      <c r="J1649" s="43"/>
    </row>
    <row r="1650" spans="1:10" s="3" customFormat="1" x14ac:dyDescent="0.25">
      <c r="A1650" s="20">
        <v>42081</v>
      </c>
      <c r="B1650" s="21">
        <v>15160</v>
      </c>
      <c r="C1650" s="14" t="s">
        <v>16</v>
      </c>
      <c r="D1650" s="105">
        <v>183.6</v>
      </c>
      <c r="E1650" s="23">
        <v>42081</v>
      </c>
      <c r="F1650" s="106">
        <v>183.6</v>
      </c>
      <c r="G1650" s="31">
        <f t="shared" si="25"/>
        <v>0</v>
      </c>
      <c r="H1650" s="39" t="s">
        <v>17</v>
      </c>
      <c r="I1650" s="4"/>
      <c r="J1650" s="43"/>
    </row>
    <row r="1651" spans="1:10" s="3" customFormat="1" x14ac:dyDescent="0.25">
      <c r="A1651" s="20">
        <v>42081</v>
      </c>
      <c r="B1651" s="21">
        <v>15161</v>
      </c>
      <c r="C1651" s="14" t="s">
        <v>720</v>
      </c>
      <c r="D1651" s="105">
        <v>4782</v>
      </c>
      <c r="E1651" s="23">
        <v>42081</v>
      </c>
      <c r="F1651" s="106">
        <v>4782</v>
      </c>
      <c r="G1651" s="31">
        <f t="shared" si="25"/>
        <v>0</v>
      </c>
      <c r="H1651" s="39" t="s">
        <v>9</v>
      </c>
      <c r="J1651" s="42"/>
    </row>
    <row r="1652" spans="1:10" s="3" customFormat="1" x14ac:dyDescent="0.25">
      <c r="A1652" s="20">
        <v>42081</v>
      </c>
      <c r="B1652" s="21">
        <v>15162</v>
      </c>
      <c r="C1652" s="14" t="s">
        <v>14</v>
      </c>
      <c r="D1652" s="105">
        <v>19258.400000000001</v>
      </c>
      <c r="E1652" s="23">
        <v>42089</v>
      </c>
      <c r="F1652" s="106">
        <v>19258.400000000001</v>
      </c>
      <c r="G1652" s="31">
        <f t="shared" si="25"/>
        <v>0</v>
      </c>
      <c r="H1652" s="39" t="s">
        <v>15</v>
      </c>
      <c r="J1652" s="42"/>
    </row>
    <row r="1653" spans="1:10" s="3" customFormat="1" x14ac:dyDescent="0.25">
      <c r="A1653" s="20">
        <v>42081</v>
      </c>
      <c r="B1653" s="21">
        <v>15163</v>
      </c>
      <c r="C1653" s="14" t="s">
        <v>18</v>
      </c>
      <c r="D1653" s="105">
        <v>1904</v>
      </c>
      <c r="E1653" s="23">
        <v>42081</v>
      </c>
      <c r="F1653" s="106">
        <v>1904</v>
      </c>
      <c r="G1653" s="31">
        <f t="shared" si="25"/>
        <v>0</v>
      </c>
      <c r="H1653" s="39" t="s">
        <v>9</v>
      </c>
      <c r="J1653" s="42"/>
    </row>
    <row r="1654" spans="1:10" s="3" customFormat="1" x14ac:dyDescent="0.25">
      <c r="A1654" s="20">
        <v>42081</v>
      </c>
      <c r="B1654" s="21">
        <v>15164</v>
      </c>
      <c r="C1654" s="14" t="s">
        <v>121</v>
      </c>
      <c r="D1654" s="105">
        <v>2325.8000000000002</v>
      </c>
      <c r="E1654" s="23">
        <v>42081</v>
      </c>
      <c r="F1654" s="106">
        <v>2325.8000000000002</v>
      </c>
      <c r="G1654" s="31">
        <f t="shared" si="25"/>
        <v>0</v>
      </c>
      <c r="H1654" s="39" t="s">
        <v>9</v>
      </c>
      <c r="J1654" s="42"/>
    </row>
    <row r="1655" spans="1:10" s="3" customFormat="1" x14ac:dyDescent="0.25">
      <c r="A1655" s="20">
        <v>42081</v>
      </c>
      <c r="B1655" s="21">
        <v>15165</v>
      </c>
      <c r="C1655" s="14" t="s">
        <v>158</v>
      </c>
      <c r="D1655" s="105">
        <v>8916.2000000000007</v>
      </c>
      <c r="E1655" s="23">
        <v>42081</v>
      </c>
      <c r="F1655" s="106">
        <v>8916.2000000000007</v>
      </c>
      <c r="G1655" s="31">
        <f t="shared" si="25"/>
        <v>0</v>
      </c>
      <c r="H1655" s="39" t="s">
        <v>9</v>
      </c>
      <c r="J1655" s="42"/>
    </row>
    <row r="1656" spans="1:10" s="3" customFormat="1" x14ac:dyDescent="0.25">
      <c r="A1656" s="20">
        <v>42081</v>
      </c>
      <c r="B1656" s="21">
        <v>15166</v>
      </c>
      <c r="C1656" s="14" t="s">
        <v>215</v>
      </c>
      <c r="D1656" s="105">
        <v>34533.5</v>
      </c>
      <c r="E1656" s="23">
        <v>42081</v>
      </c>
      <c r="F1656" s="106">
        <v>34533.5</v>
      </c>
      <c r="G1656" s="31">
        <f t="shared" si="25"/>
        <v>0</v>
      </c>
      <c r="H1656" s="39" t="s">
        <v>19</v>
      </c>
      <c r="J1656" s="42"/>
    </row>
    <row r="1657" spans="1:10" s="3" customFormat="1" x14ac:dyDescent="0.25">
      <c r="A1657" s="20">
        <v>42081</v>
      </c>
      <c r="B1657" s="21">
        <v>15167</v>
      </c>
      <c r="C1657" s="14" t="s">
        <v>20</v>
      </c>
      <c r="D1657" s="105">
        <v>12076.4</v>
      </c>
      <c r="E1657" s="23">
        <v>42081</v>
      </c>
      <c r="F1657" s="106">
        <v>12076.4</v>
      </c>
      <c r="G1657" s="31">
        <f t="shared" si="25"/>
        <v>0</v>
      </c>
      <c r="H1657" s="39" t="s">
        <v>94</v>
      </c>
      <c r="J1657" s="42"/>
    </row>
    <row r="1658" spans="1:10" s="3" customFormat="1" x14ac:dyDescent="0.25">
      <c r="A1658" s="20">
        <v>42081</v>
      </c>
      <c r="B1658" s="21">
        <v>15168</v>
      </c>
      <c r="C1658" s="26" t="s">
        <v>218</v>
      </c>
      <c r="D1658" s="108">
        <v>0</v>
      </c>
      <c r="E1658" s="23"/>
      <c r="F1658" s="106"/>
      <c r="G1658" s="31">
        <f t="shared" si="25"/>
        <v>0</v>
      </c>
      <c r="H1658" s="39" t="s">
        <v>13</v>
      </c>
      <c r="J1658" s="42"/>
    </row>
    <row r="1659" spans="1:10" s="3" customFormat="1" x14ac:dyDescent="0.25">
      <c r="A1659" s="20">
        <v>42081</v>
      </c>
      <c r="B1659" s="21">
        <v>15169</v>
      </c>
      <c r="C1659" s="14" t="s">
        <v>114</v>
      </c>
      <c r="D1659" s="105">
        <v>2588.4</v>
      </c>
      <c r="E1659" s="23">
        <v>42081</v>
      </c>
      <c r="F1659" s="106">
        <v>2588.4</v>
      </c>
      <c r="G1659" s="31">
        <f t="shared" si="25"/>
        <v>0</v>
      </c>
      <c r="H1659" s="39" t="s">
        <v>9</v>
      </c>
      <c r="J1659" s="42"/>
    </row>
    <row r="1660" spans="1:10" s="3" customFormat="1" x14ac:dyDescent="0.25">
      <c r="A1660" s="20">
        <v>42081</v>
      </c>
      <c r="B1660" s="21">
        <v>15170</v>
      </c>
      <c r="C1660" s="14" t="s">
        <v>151</v>
      </c>
      <c r="D1660" s="105">
        <v>5788.8</v>
      </c>
      <c r="E1660" s="23">
        <v>42082</v>
      </c>
      <c r="F1660" s="106">
        <v>5788.8</v>
      </c>
      <c r="G1660" s="31">
        <f t="shared" si="25"/>
        <v>0</v>
      </c>
      <c r="H1660" s="39" t="s">
        <v>9</v>
      </c>
      <c r="J1660" s="42"/>
    </row>
    <row r="1661" spans="1:10" s="3" customFormat="1" x14ac:dyDescent="0.25">
      <c r="A1661" s="20">
        <v>42081</v>
      </c>
      <c r="B1661" s="21">
        <v>15171</v>
      </c>
      <c r="C1661" s="14" t="s">
        <v>145</v>
      </c>
      <c r="D1661" s="105">
        <v>1948</v>
      </c>
      <c r="E1661" s="23">
        <v>42081</v>
      </c>
      <c r="F1661" s="106">
        <v>1948</v>
      </c>
      <c r="G1661" s="31">
        <f t="shared" si="25"/>
        <v>0</v>
      </c>
      <c r="H1661" s="39" t="s">
        <v>9</v>
      </c>
      <c r="J1661" s="42"/>
    </row>
    <row r="1662" spans="1:10" s="3" customFormat="1" x14ac:dyDescent="0.25">
      <c r="A1662" s="20">
        <v>42081</v>
      </c>
      <c r="B1662" s="21">
        <v>15172</v>
      </c>
      <c r="C1662" s="14" t="s">
        <v>215</v>
      </c>
      <c r="D1662" s="105">
        <v>4817.2</v>
      </c>
      <c r="E1662" s="23">
        <v>42081</v>
      </c>
      <c r="F1662" s="106">
        <v>4817.2</v>
      </c>
      <c r="G1662" s="31">
        <f t="shared" si="25"/>
        <v>0</v>
      </c>
      <c r="H1662" s="39" t="s">
        <v>19</v>
      </c>
      <c r="J1662" s="42"/>
    </row>
    <row r="1663" spans="1:10" s="3" customFormat="1" x14ac:dyDescent="0.25">
      <c r="A1663" s="20">
        <v>42081</v>
      </c>
      <c r="B1663" s="21">
        <v>15173</v>
      </c>
      <c r="C1663" s="14" t="s">
        <v>21</v>
      </c>
      <c r="D1663" s="105">
        <v>8244.7000000000007</v>
      </c>
      <c r="E1663" s="23">
        <v>42081</v>
      </c>
      <c r="F1663" s="106">
        <v>8244.7000000000007</v>
      </c>
      <c r="G1663" s="31">
        <f t="shared" si="25"/>
        <v>0</v>
      </c>
      <c r="H1663" s="39" t="s">
        <v>9</v>
      </c>
      <c r="J1663" s="42"/>
    </row>
    <row r="1664" spans="1:10" s="3" customFormat="1" x14ac:dyDescent="0.25">
      <c r="A1664" s="20">
        <v>42081</v>
      </c>
      <c r="B1664" s="21">
        <v>15174</v>
      </c>
      <c r="C1664" s="14" t="s">
        <v>136</v>
      </c>
      <c r="D1664" s="105">
        <v>540</v>
      </c>
      <c r="E1664" s="23">
        <v>42081</v>
      </c>
      <c r="F1664" s="106">
        <v>540</v>
      </c>
      <c r="G1664" s="31">
        <f t="shared" si="25"/>
        <v>0</v>
      </c>
      <c r="H1664" s="39" t="s">
        <v>9</v>
      </c>
      <c r="J1664" s="42"/>
    </row>
    <row r="1665" spans="1:10" s="3" customFormat="1" x14ac:dyDescent="0.25">
      <c r="A1665" s="20">
        <v>42081</v>
      </c>
      <c r="B1665" s="21">
        <v>15175</v>
      </c>
      <c r="C1665" s="26" t="s">
        <v>218</v>
      </c>
      <c r="D1665" s="108">
        <v>0</v>
      </c>
      <c r="E1665" s="23"/>
      <c r="F1665" s="106"/>
      <c r="G1665" s="31">
        <f t="shared" si="25"/>
        <v>0</v>
      </c>
      <c r="H1665" s="39" t="s">
        <v>13</v>
      </c>
      <c r="J1665" s="42"/>
    </row>
    <row r="1666" spans="1:10" s="3" customFormat="1" x14ac:dyDescent="0.25">
      <c r="A1666" s="20">
        <v>42081</v>
      </c>
      <c r="B1666" s="21">
        <v>15176</v>
      </c>
      <c r="C1666" s="14" t="s">
        <v>604</v>
      </c>
      <c r="D1666" s="105">
        <v>7947.2</v>
      </c>
      <c r="E1666" s="23">
        <v>42081</v>
      </c>
      <c r="F1666" s="106">
        <v>7947.2</v>
      </c>
      <c r="G1666" s="31">
        <f t="shared" si="25"/>
        <v>0</v>
      </c>
      <c r="H1666" s="39" t="s">
        <v>9</v>
      </c>
      <c r="J1666" s="42"/>
    </row>
    <row r="1667" spans="1:10" s="3" customFormat="1" x14ac:dyDescent="0.25">
      <c r="A1667" s="20">
        <v>42081</v>
      </c>
      <c r="B1667" s="21">
        <v>15177</v>
      </c>
      <c r="C1667" s="14" t="s">
        <v>854</v>
      </c>
      <c r="D1667" s="105">
        <v>2602.1999999999998</v>
      </c>
      <c r="E1667" s="51">
        <v>42081</v>
      </c>
      <c r="F1667" s="106">
        <v>2602.1999999999998</v>
      </c>
      <c r="G1667" s="31">
        <f t="shared" ref="G1667:G1730" si="26">D1667-F1667</f>
        <v>0</v>
      </c>
      <c r="H1667" s="39" t="s">
        <v>9</v>
      </c>
      <c r="I1667" s="4"/>
      <c r="J1667" s="43"/>
    </row>
    <row r="1668" spans="1:10" s="3" customFormat="1" x14ac:dyDescent="0.25">
      <c r="A1668" s="20">
        <v>42081</v>
      </c>
      <c r="B1668" s="21">
        <v>15178</v>
      </c>
      <c r="C1668" s="14" t="s">
        <v>37</v>
      </c>
      <c r="D1668" s="105">
        <v>20417.5</v>
      </c>
      <c r="E1668" s="23">
        <v>42088</v>
      </c>
      <c r="F1668" s="106">
        <v>20417.5</v>
      </c>
      <c r="G1668" s="31">
        <f t="shared" si="26"/>
        <v>0</v>
      </c>
      <c r="H1668" s="39" t="s">
        <v>9</v>
      </c>
      <c r="I1668" s="4"/>
      <c r="J1668" s="43"/>
    </row>
    <row r="1669" spans="1:10" s="3" customFormat="1" x14ac:dyDescent="0.25">
      <c r="A1669" s="20">
        <v>42081</v>
      </c>
      <c r="B1669" s="21">
        <v>15179</v>
      </c>
      <c r="C1669" s="14" t="s">
        <v>256</v>
      </c>
      <c r="D1669" s="105">
        <v>3124</v>
      </c>
      <c r="E1669" s="23">
        <v>42081</v>
      </c>
      <c r="F1669" s="106">
        <v>3124</v>
      </c>
      <c r="G1669" s="31">
        <f t="shared" si="26"/>
        <v>0</v>
      </c>
      <c r="H1669" s="39" t="s">
        <v>773</v>
      </c>
      <c r="I1669" s="4"/>
      <c r="J1669" s="43"/>
    </row>
    <row r="1670" spans="1:10" s="3" customFormat="1" x14ac:dyDescent="0.25">
      <c r="A1670" s="20">
        <v>42081</v>
      </c>
      <c r="B1670" s="21">
        <v>15180</v>
      </c>
      <c r="C1670" s="14" t="s">
        <v>56</v>
      </c>
      <c r="D1670" s="105">
        <v>12327.2</v>
      </c>
      <c r="E1670" s="23">
        <v>42081</v>
      </c>
      <c r="F1670" s="106">
        <v>12327.2</v>
      </c>
      <c r="G1670" s="31">
        <f t="shared" si="26"/>
        <v>0</v>
      </c>
      <c r="H1670" s="19" t="s">
        <v>773</v>
      </c>
      <c r="I1670" s="4"/>
      <c r="J1670" s="43"/>
    </row>
    <row r="1671" spans="1:10" s="3" customFormat="1" x14ac:dyDescent="0.25">
      <c r="A1671" s="20">
        <v>42081</v>
      </c>
      <c r="B1671" s="21">
        <v>15181</v>
      </c>
      <c r="C1671" s="14" t="s">
        <v>18</v>
      </c>
      <c r="D1671" s="105">
        <v>56349</v>
      </c>
      <c r="E1671" s="23">
        <v>42087</v>
      </c>
      <c r="F1671" s="106">
        <v>56349</v>
      </c>
      <c r="G1671" s="31">
        <f t="shared" si="26"/>
        <v>0</v>
      </c>
      <c r="H1671" s="19" t="s">
        <v>46</v>
      </c>
      <c r="I1671" s="4"/>
      <c r="J1671" s="43"/>
    </row>
    <row r="1672" spans="1:10" s="3" customFormat="1" x14ac:dyDescent="0.25">
      <c r="A1672" s="20">
        <v>42081</v>
      </c>
      <c r="B1672" s="21">
        <v>15182</v>
      </c>
      <c r="C1672" s="14" t="s">
        <v>239</v>
      </c>
      <c r="D1672" s="105">
        <v>629.20000000000005</v>
      </c>
      <c r="E1672" s="23">
        <v>42081</v>
      </c>
      <c r="F1672" s="106">
        <v>629.20000000000005</v>
      </c>
      <c r="G1672" s="31">
        <f t="shared" si="26"/>
        <v>0</v>
      </c>
      <c r="H1672" s="19" t="s">
        <v>9</v>
      </c>
      <c r="I1672" s="4"/>
      <c r="J1672" s="43"/>
    </row>
    <row r="1673" spans="1:10" s="3" customFormat="1" x14ac:dyDescent="0.25">
      <c r="A1673" s="20">
        <v>42081</v>
      </c>
      <c r="B1673" s="21">
        <v>15183</v>
      </c>
      <c r="C1673" s="14" t="s">
        <v>26</v>
      </c>
      <c r="D1673" s="105">
        <v>1644</v>
      </c>
      <c r="E1673" s="23">
        <v>42081</v>
      </c>
      <c r="F1673" s="106">
        <v>1644</v>
      </c>
      <c r="G1673" s="31">
        <f t="shared" si="26"/>
        <v>0</v>
      </c>
      <c r="H1673" s="19" t="s">
        <v>27</v>
      </c>
      <c r="I1673" s="4"/>
      <c r="J1673" s="107"/>
    </row>
    <row r="1674" spans="1:10" s="3" customFormat="1" x14ac:dyDescent="0.25">
      <c r="A1674" s="20">
        <v>42081</v>
      </c>
      <c r="B1674" s="21">
        <v>15184</v>
      </c>
      <c r="C1674" s="14" t="s">
        <v>57</v>
      </c>
      <c r="D1674" s="105">
        <v>360</v>
      </c>
      <c r="E1674" s="23">
        <v>42081</v>
      </c>
      <c r="F1674" s="106">
        <v>360</v>
      </c>
      <c r="G1674" s="31">
        <f t="shared" si="26"/>
        <v>0</v>
      </c>
      <c r="H1674" s="19" t="s">
        <v>9</v>
      </c>
      <c r="I1674" s="4"/>
      <c r="J1674" s="107"/>
    </row>
    <row r="1675" spans="1:10" s="3" customFormat="1" x14ac:dyDescent="0.25">
      <c r="A1675" s="20">
        <v>42081</v>
      </c>
      <c r="B1675" s="21">
        <v>15185</v>
      </c>
      <c r="C1675" s="14" t="s">
        <v>589</v>
      </c>
      <c r="D1675" s="105">
        <v>23427.5</v>
      </c>
      <c r="E1675" s="23">
        <v>42081</v>
      </c>
      <c r="F1675" s="106">
        <v>23427.5</v>
      </c>
      <c r="G1675" s="31">
        <f t="shared" si="26"/>
        <v>0</v>
      </c>
      <c r="H1675" s="19" t="s">
        <v>17</v>
      </c>
      <c r="I1675" s="4"/>
      <c r="J1675" s="43"/>
    </row>
    <row r="1676" spans="1:10" s="3" customFormat="1" x14ac:dyDescent="0.25">
      <c r="A1676" s="20">
        <v>42081</v>
      </c>
      <c r="B1676" s="21">
        <v>15186</v>
      </c>
      <c r="C1676" s="14" t="s">
        <v>125</v>
      </c>
      <c r="D1676" s="105">
        <v>10869.6</v>
      </c>
      <c r="E1676" s="23">
        <v>42081</v>
      </c>
      <c r="F1676" s="106">
        <v>10869.6</v>
      </c>
      <c r="G1676" s="31">
        <f t="shared" si="26"/>
        <v>0</v>
      </c>
      <c r="H1676" s="19" t="s">
        <v>9</v>
      </c>
      <c r="I1676" s="4"/>
      <c r="J1676" s="43"/>
    </row>
    <row r="1677" spans="1:10" s="3" customFormat="1" x14ac:dyDescent="0.25">
      <c r="A1677" s="20">
        <v>42081</v>
      </c>
      <c r="B1677" s="21">
        <v>15187</v>
      </c>
      <c r="C1677" s="14" t="s">
        <v>75</v>
      </c>
      <c r="D1677" s="105">
        <v>21006.799999999999</v>
      </c>
      <c r="E1677" s="23">
        <v>42082</v>
      </c>
      <c r="F1677" s="106">
        <v>21006.799999999999</v>
      </c>
      <c r="G1677" s="31">
        <f t="shared" si="26"/>
        <v>0</v>
      </c>
      <c r="H1677" s="19" t="s">
        <v>62</v>
      </c>
      <c r="I1677" s="4"/>
      <c r="J1677" s="43"/>
    </row>
    <row r="1678" spans="1:10" s="3" customFormat="1" x14ac:dyDescent="0.25">
      <c r="A1678" s="20">
        <v>42081</v>
      </c>
      <c r="B1678" s="21">
        <v>15188</v>
      </c>
      <c r="C1678" s="14" t="s">
        <v>881</v>
      </c>
      <c r="D1678" s="105">
        <v>1325.4</v>
      </c>
      <c r="E1678" s="23">
        <v>42081</v>
      </c>
      <c r="F1678" s="106">
        <v>1325.4</v>
      </c>
      <c r="G1678" s="31">
        <f t="shared" si="26"/>
        <v>0</v>
      </c>
      <c r="H1678" s="19" t="s">
        <v>9</v>
      </c>
      <c r="I1678" s="4"/>
      <c r="J1678" s="43"/>
    </row>
    <row r="1679" spans="1:10" s="3" customFormat="1" x14ac:dyDescent="0.25">
      <c r="A1679" s="20">
        <v>42081</v>
      </c>
      <c r="B1679" s="21">
        <v>15189</v>
      </c>
      <c r="C1679" s="14" t="s">
        <v>78</v>
      </c>
      <c r="D1679" s="105">
        <v>5827</v>
      </c>
      <c r="E1679" s="23">
        <v>42082</v>
      </c>
      <c r="F1679" s="106">
        <v>5827</v>
      </c>
      <c r="G1679" s="31">
        <f t="shared" si="26"/>
        <v>0</v>
      </c>
      <c r="H1679" s="19" t="s">
        <v>62</v>
      </c>
      <c r="I1679" s="4"/>
      <c r="J1679" s="43"/>
    </row>
    <row r="1680" spans="1:10" s="3" customFormat="1" x14ac:dyDescent="0.25">
      <c r="A1680" s="20">
        <v>42081</v>
      </c>
      <c r="B1680" s="21">
        <v>15190</v>
      </c>
      <c r="C1680" s="14" t="s">
        <v>170</v>
      </c>
      <c r="D1680" s="105">
        <v>3664.8</v>
      </c>
      <c r="E1680" s="23">
        <v>42082</v>
      </c>
      <c r="F1680" s="106">
        <v>3664.8</v>
      </c>
      <c r="G1680" s="31">
        <f t="shared" si="26"/>
        <v>0</v>
      </c>
      <c r="H1680" s="19" t="s">
        <v>62</v>
      </c>
      <c r="I1680" s="4"/>
      <c r="J1680" s="43"/>
    </row>
    <row r="1681" spans="1:10" s="3" customFormat="1" x14ac:dyDescent="0.25">
      <c r="A1681" s="20">
        <v>42081</v>
      </c>
      <c r="B1681" s="21">
        <v>15191</v>
      </c>
      <c r="C1681" s="14" t="s">
        <v>102</v>
      </c>
      <c r="D1681" s="105">
        <v>1460.9</v>
      </c>
      <c r="E1681" s="23">
        <v>42081</v>
      </c>
      <c r="F1681" s="106">
        <v>1460.9</v>
      </c>
      <c r="G1681" s="31">
        <f t="shared" si="26"/>
        <v>0</v>
      </c>
      <c r="H1681" s="19" t="s">
        <v>9</v>
      </c>
      <c r="I1681" s="4"/>
      <c r="J1681" s="43"/>
    </row>
    <row r="1682" spans="1:10" s="3" customFormat="1" x14ac:dyDescent="0.25">
      <c r="A1682" s="20">
        <v>42081</v>
      </c>
      <c r="B1682" s="21">
        <v>15192</v>
      </c>
      <c r="C1682" s="14" t="s">
        <v>67</v>
      </c>
      <c r="D1682" s="105">
        <v>2181.6</v>
      </c>
      <c r="E1682" s="23">
        <v>42082</v>
      </c>
      <c r="F1682" s="106">
        <v>2181.6</v>
      </c>
      <c r="G1682" s="31">
        <f t="shared" si="26"/>
        <v>0</v>
      </c>
      <c r="H1682" s="19" t="s">
        <v>62</v>
      </c>
      <c r="I1682" s="4"/>
      <c r="J1682" s="43"/>
    </row>
    <row r="1683" spans="1:10" s="3" customFormat="1" x14ac:dyDescent="0.25">
      <c r="A1683" s="20">
        <v>42081</v>
      </c>
      <c r="B1683" s="21">
        <v>15193</v>
      </c>
      <c r="C1683" s="14" t="s">
        <v>65</v>
      </c>
      <c r="D1683" s="105">
        <v>13104</v>
      </c>
      <c r="E1683" s="23">
        <v>42082</v>
      </c>
      <c r="F1683" s="106">
        <v>13104</v>
      </c>
      <c r="G1683" s="31">
        <f t="shared" si="26"/>
        <v>0</v>
      </c>
      <c r="H1683" s="19" t="s">
        <v>62</v>
      </c>
      <c r="I1683" s="4"/>
      <c r="J1683" s="43"/>
    </row>
    <row r="1684" spans="1:10" s="3" customFormat="1" x14ac:dyDescent="0.25">
      <c r="A1684" s="20">
        <v>42081</v>
      </c>
      <c r="B1684" s="21">
        <v>15194</v>
      </c>
      <c r="C1684" s="14" t="s">
        <v>34</v>
      </c>
      <c r="D1684" s="105">
        <v>3009.6</v>
      </c>
      <c r="E1684" s="23">
        <v>42081</v>
      </c>
      <c r="F1684" s="106">
        <v>3009.6</v>
      </c>
      <c r="G1684" s="31">
        <f t="shared" si="26"/>
        <v>0</v>
      </c>
      <c r="H1684" s="62" t="s">
        <v>9</v>
      </c>
      <c r="I1684" s="4"/>
      <c r="J1684" s="107"/>
    </row>
    <row r="1685" spans="1:10" s="3" customFormat="1" x14ac:dyDescent="0.25">
      <c r="A1685" s="20">
        <v>42081</v>
      </c>
      <c r="B1685" s="21">
        <v>15195</v>
      </c>
      <c r="C1685" s="14" t="s">
        <v>61</v>
      </c>
      <c r="D1685" s="105">
        <v>10151.200000000001</v>
      </c>
      <c r="E1685" s="23">
        <v>42082</v>
      </c>
      <c r="F1685" s="106">
        <v>10151.200000000001</v>
      </c>
      <c r="G1685" s="31">
        <f t="shared" si="26"/>
        <v>0</v>
      </c>
      <c r="H1685" s="62" t="s">
        <v>62</v>
      </c>
      <c r="I1685" s="4"/>
      <c r="J1685" s="107"/>
    </row>
    <row r="1686" spans="1:10" s="3" customFormat="1" x14ac:dyDescent="0.25">
      <c r="A1686" s="20">
        <v>42081</v>
      </c>
      <c r="B1686" s="21">
        <v>15196</v>
      </c>
      <c r="C1686" s="14" t="s">
        <v>30</v>
      </c>
      <c r="D1686" s="105">
        <v>2374.6</v>
      </c>
      <c r="E1686" s="23">
        <v>42081</v>
      </c>
      <c r="F1686" s="106">
        <v>2374.6</v>
      </c>
      <c r="G1686" s="31">
        <f t="shared" si="26"/>
        <v>0</v>
      </c>
      <c r="H1686" s="62" t="s">
        <v>9</v>
      </c>
      <c r="I1686" s="4"/>
      <c r="J1686" s="43"/>
    </row>
    <row r="1687" spans="1:10" s="3" customFormat="1" x14ac:dyDescent="0.25">
      <c r="A1687" s="20">
        <v>42081</v>
      </c>
      <c r="B1687" s="21">
        <v>15197</v>
      </c>
      <c r="C1687" s="14" t="s">
        <v>128</v>
      </c>
      <c r="D1687" s="105">
        <v>11126.4</v>
      </c>
      <c r="E1687" s="23">
        <v>42081</v>
      </c>
      <c r="F1687" s="106">
        <v>11126.4</v>
      </c>
      <c r="G1687" s="31">
        <f t="shared" si="26"/>
        <v>0</v>
      </c>
      <c r="H1687" s="62" t="s">
        <v>17</v>
      </c>
      <c r="I1687" s="4"/>
      <c r="J1687" s="43"/>
    </row>
    <row r="1688" spans="1:10" s="3" customFormat="1" x14ac:dyDescent="0.25">
      <c r="A1688" s="20">
        <v>42081</v>
      </c>
      <c r="B1688" s="21">
        <v>15198</v>
      </c>
      <c r="C1688" s="14" t="s">
        <v>110</v>
      </c>
      <c r="D1688" s="105">
        <v>7640.4</v>
      </c>
      <c r="E1688" s="23">
        <v>42087</v>
      </c>
      <c r="F1688" s="106">
        <v>7640.4</v>
      </c>
      <c r="G1688" s="31">
        <f t="shared" si="26"/>
        <v>0</v>
      </c>
      <c r="H1688" s="62" t="s">
        <v>41</v>
      </c>
      <c r="I1688" s="4"/>
      <c r="J1688" s="43"/>
    </row>
    <row r="1689" spans="1:10" s="3" customFormat="1" x14ac:dyDescent="0.25">
      <c r="A1689" s="20">
        <v>42081</v>
      </c>
      <c r="B1689" s="21">
        <v>15199</v>
      </c>
      <c r="C1689" s="14" t="s">
        <v>72</v>
      </c>
      <c r="D1689" s="105">
        <v>5756.55</v>
      </c>
      <c r="E1689" s="30" t="s">
        <v>972</v>
      </c>
      <c r="F1689" s="144">
        <v>5756.55</v>
      </c>
      <c r="G1689" s="31">
        <f t="shared" si="26"/>
        <v>0</v>
      </c>
      <c r="H1689" s="62" t="s">
        <v>62</v>
      </c>
      <c r="I1689" s="4"/>
      <c r="J1689" s="43"/>
    </row>
    <row r="1690" spans="1:10" s="3" customFormat="1" x14ac:dyDescent="0.25">
      <c r="A1690" s="20">
        <v>42081</v>
      </c>
      <c r="B1690" s="21">
        <v>15200</v>
      </c>
      <c r="C1690" s="14" t="s">
        <v>125</v>
      </c>
      <c r="D1690" s="105">
        <v>9976.5</v>
      </c>
      <c r="E1690" s="23">
        <v>42092</v>
      </c>
      <c r="F1690" s="106">
        <v>9976.5</v>
      </c>
      <c r="G1690" s="31">
        <f t="shared" si="26"/>
        <v>0</v>
      </c>
      <c r="H1690" s="62" t="s">
        <v>17</v>
      </c>
      <c r="I1690" s="4"/>
      <c r="J1690" s="43"/>
    </row>
    <row r="1691" spans="1:10" s="3" customFormat="1" x14ac:dyDescent="0.25">
      <c r="A1691" s="20">
        <v>42081</v>
      </c>
      <c r="B1691" s="21">
        <v>15201</v>
      </c>
      <c r="C1691" s="14" t="s">
        <v>14</v>
      </c>
      <c r="D1691" s="105">
        <v>4057.6</v>
      </c>
      <c r="E1691" s="23">
        <v>42089</v>
      </c>
      <c r="F1691" s="106">
        <v>4057.6</v>
      </c>
      <c r="G1691" s="31">
        <f t="shared" si="26"/>
        <v>0</v>
      </c>
      <c r="H1691" s="19" t="s">
        <v>15</v>
      </c>
      <c r="I1691" s="4"/>
      <c r="J1691" s="43"/>
    </row>
    <row r="1692" spans="1:10" s="3" customFormat="1" x14ac:dyDescent="0.25">
      <c r="A1692" s="20">
        <v>42081</v>
      </c>
      <c r="B1692" s="21">
        <v>15202</v>
      </c>
      <c r="C1692" s="14" t="s">
        <v>71</v>
      </c>
      <c r="D1692" s="105">
        <v>606.79999999999995</v>
      </c>
      <c r="E1692" s="23">
        <v>42081</v>
      </c>
      <c r="F1692" s="106">
        <v>606.79999999999995</v>
      </c>
      <c r="G1692" s="31">
        <f t="shared" si="26"/>
        <v>0</v>
      </c>
      <c r="H1692" s="62" t="s">
        <v>9</v>
      </c>
      <c r="I1692" s="4"/>
      <c r="J1692" s="43"/>
    </row>
    <row r="1693" spans="1:10" s="3" customFormat="1" x14ac:dyDescent="0.25">
      <c r="A1693" s="20">
        <v>42081</v>
      </c>
      <c r="B1693" s="21">
        <v>15203</v>
      </c>
      <c r="C1693" s="14" t="s">
        <v>71</v>
      </c>
      <c r="D1693" s="105">
        <v>5844.16</v>
      </c>
      <c r="E1693" s="23">
        <v>42081</v>
      </c>
      <c r="F1693" s="106">
        <v>5844.16</v>
      </c>
      <c r="G1693" s="31">
        <f t="shared" si="26"/>
        <v>0</v>
      </c>
      <c r="H1693" s="62" t="s">
        <v>9</v>
      </c>
      <c r="I1693" s="4"/>
      <c r="J1693" s="43"/>
    </row>
    <row r="1694" spans="1:10" s="3" customFormat="1" x14ac:dyDescent="0.25">
      <c r="A1694" s="20">
        <v>42081</v>
      </c>
      <c r="B1694" s="21">
        <v>15204</v>
      </c>
      <c r="C1694" s="14" t="s">
        <v>106</v>
      </c>
      <c r="D1694" s="105">
        <v>14120.64</v>
      </c>
      <c r="E1694" s="30">
        <v>42101</v>
      </c>
      <c r="F1694" s="144">
        <v>14120.64</v>
      </c>
      <c r="G1694" s="31">
        <f t="shared" si="26"/>
        <v>0</v>
      </c>
      <c r="H1694" s="62" t="s">
        <v>15</v>
      </c>
      <c r="I1694" s="4"/>
      <c r="J1694" s="43"/>
    </row>
    <row r="1695" spans="1:10" s="3" customFormat="1" x14ac:dyDescent="0.25">
      <c r="A1695" s="20">
        <v>42081</v>
      </c>
      <c r="B1695" s="21">
        <v>15205</v>
      </c>
      <c r="C1695" s="110" t="s">
        <v>173</v>
      </c>
      <c r="D1695" s="105">
        <v>21442.35</v>
      </c>
      <c r="E1695" s="30" t="s">
        <v>953</v>
      </c>
      <c r="F1695" s="144">
        <v>21442.35</v>
      </c>
      <c r="G1695" s="31">
        <f t="shared" si="26"/>
        <v>0</v>
      </c>
      <c r="H1695" s="62" t="s">
        <v>62</v>
      </c>
      <c r="I1695" s="4"/>
      <c r="J1695" s="43"/>
    </row>
    <row r="1696" spans="1:10" s="3" customFormat="1" x14ac:dyDescent="0.25">
      <c r="A1696" s="20">
        <v>42081</v>
      </c>
      <c r="B1696" s="21">
        <v>15206</v>
      </c>
      <c r="C1696" s="14" t="s">
        <v>165</v>
      </c>
      <c r="D1696" s="105">
        <v>2111.1999999999998</v>
      </c>
      <c r="E1696" s="23">
        <v>42081</v>
      </c>
      <c r="F1696" s="106">
        <v>2111.1999999999998</v>
      </c>
      <c r="G1696" s="31">
        <f t="shared" si="26"/>
        <v>0</v>
      </c>
      <c r="H1696" s="62" t="s">
        <v>17</v>
      </c>
      <c r="I1696" s="4"/>
      <c r="J1696" s="43"/>
    </row>
    <row r="1697" spans="1:10" s="3" customFormat="1" x14ac:dyDescent="0.25">
      <c r="A1697" s="20">
        <v>42081</v>
      </c>
      <c r="B1697" s="21">
        <v>15207</v>
      </c>
      <c r="C1697" s="14" t="s">
        <v>47</v>
      </c>
      <c r="D1697" s="105">
        <v>20548.96</v>
      </c>
      <c r="E1697" s="23">
        <v>42081</v>
      </c>
      <c r="F1697" s="106">
        <v>20548.96</v>
      </c>
      <c r="G1697" s="31">
        <f t="shared" si="26"/>
        <v>0</v>
      </c>
      <c r="H1697" s="62" t="s">
        <v>9</v>
      </c>
      <c r="I1697" s="4"/>
      <c r="J1697" s="43"/>
    </row>
    <row r="1698" spans="1:10" s="3" customFormat="1" x14ac:dyDescent="0.25">
      <c r="A1698" s="20">
        <v>42081</v>
      </c>
      <c r="B1698" s="21">
        <v>15208</v>
      </c>
      <c r="C1698" s="14" t="s">
        <v>130</v>
      </c>
      <c r="D1698" s="105">
        <v>16557.8</v>
      </c>
      <c r="E1698" s="29" t="s">
        <v>886</v>
      </c>
      <c r="F1698" s="106">
        <f>3327.8+13230</f>
        <v>16557.8</v>
      </c>
      <c r="G1698" s="31">
        <f t="shared" si="26"/>
        <v>0</v>
      </c>
      <c r="H1698" s="62" t="s">
        <v>17</v>
      </c>
      <c r="I1698" s="4"/>
      <c r="J1698" s="43"/>
    </row>
    <row r="1699" spans="1:10" s="3" customFormat="1" x14ac:dyDescent="0.25">
      <c r="A1699" s="20">
        <v>42081</v>
      </c>
      <c r="B1699" s="21">
        <v>15209</v>
      </c>
      <c r="C1699" s="14" t="s">
        <v>131</v>
      </c>
      <c r="D1699" s="105">
        <v>7285.6</v>
      </c>
      <c r="E1699" s="23">
        <v>42082</v>
      </c>
      <c r="F1699" s="118">
        <v>7285.6</v>
      </c>
      <c r="G1699" s="31">
        <f t="shared" si="26"/>
        <v>0</v>
      </c>
      <c r="H1699" s="62" t="s">
        <v>17</v>
      </c>
      <c r="I1699" s="4"/>
      <c r="J1699" s="43"/>
    </row>
    <row r="1700" spans="1:10" s="3" customFormat="1" x14ac:dyDescent="0.25">
      <c r="A1700" s="20">
        <v>42081</v>
      </c>
      <c r="B1700" s="21">
        <v>15210</v>
      </c>
      <c r="C1700" s="14" t="s">
        <v>225</v>
      </c>
      <c r="D1700" s="105">
        <v>2775</v>
      </c>
      <c r="E1700" s="23">
        <v>42081</v>
      </c>
      <c r="F1700" s="118">
        <v>2775</v>
      </c>
      <c r="G1700" s="31">
        <f t="shared" si="26"/>
        <v>0</v>
      </c>
      <c r="H1700" s="62" t="s">
        <v>9</v>
      </c>
      <c r="I1700" s="4"/>
      <c r="J1700" s="43"/>
    </row>
    <row r="1701" spans="1:10" s="3" customFormat="1" x14ac:dyDescent="0.25">
      <c r="A1701" s="20">
        <v>42081</v>
      </c>
      <c r="B1701" s="21">
        <v>15211</v>
      </c>
      <c r="C1701" s="14" t="s">
        <v>131</v>
      </c>
      <c r="D1701" s="105">
        <v>3993.6</v>
      </c>
      <c r="E1701" s="23">
        <v>42082</v>
      </c>
      <c r="F1701" s="118">
        <v>3993.6</v>
      </c>
      <c r="G1701" s="31">
        <f t="shared" si="26"/>
        <v>0</v>
      </c>
      <c r="H1701" s="62" t="s">
        <v>17</v>
      </c>
      <c r="I1701" s="4"/>
      <c r="J1701" s="43"/>
    </row>
    <row r="1702" spans="1:10" s="3" customFormat="1" x14ac:dyDescent="0.25">
      <c r="A1702" s="20">
        <v>42081</v>
      </c>
      <c r="B1702" s="21">
        <v>15212</v>
      </c>
      <c r="C1702" s="14" t="s">
        <v>176</v>
      </c>
      <c r="D1702" s="105">
        <v>6338.2</v>
      </c>
      <c r="E1702" s="30" t="s">
        <v>796</v>
      </c>
      <c r="F1702" s="118">
        <v>6338.2</v>
      </c>
      <c r="G1702" s="31">
        <f t="shared" si="26"/>
        <v>0</v>
      </c>
      <c r="H1702" s="62" t="s">
        <v>62</v>
      </c>
      <c r="I1702" s="4"/>
      <c r="J1702" s="43"/>
    </row>
    <row r="1703" spans="1:10" s="3" customFormat="1" x14ac:dyDescent="0.25">
      <c r="A1703" s="20">
        <v>42081</v>
      </c>
      <c r="B1703" s="21">
        <v>15213</v>
      </c>
      <c r="C1703" s="14" t="s">
        <v>444</v>
      </c>
      <c r="D1703" s="105">
        <v>6620.7</v>
      </c>
      <c r="E1703" s="23">
        <v>42082</v>
      </c>
      <c r="F1703" s="118">
        <v>6620.7</v>
      </c>
      <c r="G1703" s="31">
        <f t="shared" si="26"/>
        <v>0</v>
      </c>
      <c r="H1703" s="62" t="s">
        <v>62</v>
      </c>
      <c r="I1703" s="4"/>
      <c r="J1703" s="43"/>
    </row>
    <row r="1704" spans="1:10" s="3" customFormat="1" x14ac:dyDescent="0.25">
      <c r="A1704" s="20">
        <v>42081</v>
      </c>
      <c r="B1704" s="21">
        <v>15214</v>
      </c>
      <c r="C1704" s="14" t="s">
        <v>444</v>
      </c>
      <c r="D1704" s="105">
        <v>7244.2</v>
      </c>
      <c r="E1704" s="23">
        <v>42082</v>
      </c>
      <c r="F1704" s="118">
        <v>7244.2</v>
      </c>
      <c r="G1704" s="31">
        <f t="shared" si="26"/>
        <v>0</v>
      </c>
      <c r="H1704" s="62" t="s">
        <v>62</v>
      </c>
      <c r="I1704" s="4"/>
      <c r="J1704" s="43"/>
    </row>
    <row r="1705" spans="1:10" s="3" customFormat="1" x14ac:dyDescent="0.25">
      <c r="A1705" s="20">
        <v>42081</v>
      </c>
      <c r="B1705" s="21">
        <v>15215</v>
      </c>
      <c r="C1705" s="14" t="s">
        <v>426</v>
      </c>
      <c r="D1705" s="105">
        <v>6629.4</v>
      </c>
      <c r="E1705" s="23">
        <v>42082</v>
      </c>
      <c r="F1705" s="118">
        <v>6629.4</v>
      </c>
      <c r="G1705" s="31">
        <f t="shared" si="26"/>
        <v>0</v>
      </c>
      <c r="H1705" s="62" t="s">
        <v>62</v>
      </c>
      <c r="I1705" s="4"/>
      <c r="J1705" s="107"/>
    </row>
    <row r="1706" spans="1:10" s="3" customFormat="1" x14ac:dyDescent="0.25">
      <c r="A1706" s="20">
        <v>42081</v>
      </c>
      <c r="B1706" s="21">
        <v>15216</v>
      </c>
      <c r="C1706" s="14" t="s">
        <v>120</v>
      </c>
      <c r="D1706" s="105">
        <v>1294.8</v>
      </c>
      <c r="E1706" s="23">
        <v>42081</v>
      </c>
      <c r="F1706" s="118">
        <v>1294.8</v>
      </c>
      <c r="G1706" s="31">
        <f t="shared" si="26"/>
        <v>0</v>
      </c>
      <c r="H1706" s="62" t="s">
        <v>94</v>
      </c>
      <c r="I1706" s="4"/>
      <c r="J1706" s="43"/>
    </row>
    <row r="1707" spans="1:10" s="3" customFormat="1" x14ac:dyDescent="0.25">
      <c r="A1707" s="20">
        <v>42081</v>
      </c>
      <c r="B1707" s="21">
        <v>15217</v>
      </c>
      <c r="C1707" s="14" t="s">
        <v>82</v>
      </c>
      <c r="D1707" s="105">
        <v>3718.5</v>
      </c>
      <c r="E1707" s="23">
        <v>42081</v>
      </c>
      <c r="F1707" s="118">
        <v>3718.5</v>
      </c>
      <c r="G1707" s="31">
        <f t="shared" si="26"/>
        <v>0</v>
      </c>
      <c r="H1707" s="62" t="s">
        <v>94</v>
      </c>
      <c r="I1707" s="4"/>
      <c r="J1707" s="43"/>
    </row>
    <row r="1708" spans="1:10" s="3" customFormat="1" x14ac:dyDescent="0.25">
      <c r="A1708" s="20">
        <v>42081</v>
      </c>
      <c r="B1708" s="21">
        <v>15218</v>
      </c>
      <c r="C1708" s="14" t="s">
        <v>83</v>
      </c>
      <c r="D1708" s="105">
        <v>5453.6</v>
      </c>
      <c r="E1708" s="30">
        <v>42081</v>
      </c>
      <c r="F1708" s="118">
        <v>5453.6</v>
      </c>
      <c r="G1708" s="31">
        <f t="shared" si="26"/>
        <v>0</v>
      </c>
      <c r="H1708" s="62" t="s">
        <v>94</v>
      </c>
      <c r="I1708" s="4"/>
      <c r="J1708" s="43"/>
    </row>
    <row r="1709" spans="1:10" s="3" customFormat="1" x14ac:dyDescent="0.25">
      <c r="A1709" s="20">
        <v>42081</v>
      </c>
      <c r="B1709" s="21">
        <v>15219</v>
      </c>
      <c r="C1709" s="14" t="s">
        <v>58</v>
      </c>
      <c r="D1709" s="105">
        <v>360</v>
      </c>
      <c r="E1709" s="23">
        <v>42081</v>
      </c>
      <c r="F1709" s="118">
        <v>360</v>
      </c>
      <c r="G1709" s="31">
        <f t="shared" si="26"/>
        <v>0</v>
      </c>
      <c r="H1709" s="62" t="s">
        <v>94</v>
      </c>
      <c r="I1709" s="4"/>
      <c r="J1709" s="43"/>
    </row>
    <row r="1710" spans="1:10" s="3" customFormat="1" x14ac:dyDescent="0.25">
      <c r="A1710" s="20">
        <v>42081</v>
      </c>
      <c r="B1710" s="21">
        <v>15220</v>
      </c>
      <c r="C1710" s="110">
        <v>105</v>
      </c>
      <c r="D1710" s="105">
        <v>900</v>
      </c>
      <c r="E1710" s="23">
        <v>42081</v>
      </c>
      <c r="F1710" s="118">
        <v>900</v>
      </c>
      <c r="G1710" s="31">
        <f t="shared" si="26"/>
        <v>0</v>
      </c>
      <c r="H1710" s="62" t="s">
        <v>94</v>
      </c>
      <c r="I1710" s="4"/>
      <c r="J1710" s="43"/>
    </row>
    <row r="1711" spans="1:10" s="3" customFormat="1" x14ac:dyDescent="0.25">
      <c r="A1711" s="20">
        <v>42081</v>
      </c>
      <c r="B1711" s="21">
        <v>15221</v>
      </c>
      <c r="C1711" s="14" t="s">
        <v>112</v>
      </c>
      <c r="D1711" s="105">
        <v>1341</v>
      </c>
      <c r="E1711" s="23">
        <v>42081</v>
      </c>
      <c r="F1711" s="118">
        <v>1341</v>
      </c>
      <c r="G1711" s="31">
        <f t="shared" si="26"/>
        <v>0</v>
      </c>
      <c r="H1711" s="62" t="s">
        <v>9</v>
      </c>
      <c r="I1711" s="4"/>
      <c r="J1711" s="43"/>
    </row>
    <row r="1712" spans="1:10" s="3" customFormat="1" x14ac:dyDescent="0.25">
      <c r="A1712" s="20">
        <v>42081</v>
      </c>
      <c r="B1712" s="21">
        <v>15222</v>
      </c>
      <c r="C1712" s="14" t="s">
        <v>168</v>
      </c>
      <c r="D1712" s="105">
        <v>8239.4</v>
      </c>
      <c r="E1712" s="23">
        <v>42081</v>
      </c>
      <c r="F1712" s="118">
        <v>8239.4</v>
      </c>
      <c r="G1712" s="31">
        <f t="shared" si="26"/>
        <v>0</v>
      </c>
      <c r="H1712" s="62" t="s">
        <v>94</v>
      </c>
      <c r="I1712" s="4"/>
      <c r="J1712" s="43"/>
    </row>
    <row r="1713" spans="1:10" s="3" customFormat="1" x14ac:dyDescent="0.25">
      <c r="A1713" s="20">
        <v>42081</v>
      </c>
      <c r="B1713" s="21">
        <v>15223</v>
      </c>
      <c r="C1713" s="14" t="s">
        <v>20</v>
      </c>
      <c r="D1713" s="105">
        <v>9875.25</v>
      </c>
      <c r="E1713" s="23">
        <v>42083</v>
      </c>
      <c r="F1713" s="118">
        <v>9875.25</v>
      </c>
      <c r="G1713" s="31">
        <f t="shared" si="26"/>
        <v>0</v>
      </c>
      <c r="H1713" s="62" t="s">
        <v>19</v>
      </c>
      <c r="I1713" s="4"/>
      <c r="J1713" s="43"/>
    </row>
    <row r="1714" spans="1:10" s="3" customFormat="1" x14ac:dyDescent="0.25">
      <c r="A1714" s="20">
        <v>42081</v>
      </c>
      <c r="B1714" s="21">
        <v>15224</v>
      </c>
      <c r="C1714" s="14" t="s">
        <v>564</v>
      </c>
      <c r="D1714" s="105">
        <v>3029.52</v>
      </c>
      <c r="E1714" s="30" t="s">
        <v>887</v>
      </c>
      <c r="F1714" s="118">
        <v>3029.52</v>
      </c>
      <c r="G1714" s="31">
        <f t="shared" si="26"/>
        <v>0</v>
      </c>
      <c r="H1714" s="62" t="s">
        <v>9</v>
      </c>
      <c r="I1714" s="4"/>
      <c r="J1714" s="43"/>
    </row>
    <row r="1715" spans="1:10" s="3" customFormat="1" x14ac:dyDescent="0.25">
      <c r="A1715" s="20">
        <v>42081</v>
      </c>
      <c r="B1715" s="21">
        <v>15225</v>
      </c>
      <c r="C1715" s="14" t="s">
        <v>81</v>
      </c>
      <c r="D1715" s="105">
        <v>1496.4</v>
      </c>
      <c r="E1715" s="23">
        <v>42081</v>
      </c>
      <c r="F1715" s="118">
        <v>1496.4</v>
      </c>
      <c r="G1715" s="31">
        <f t="shared" si="26"/>
        <v>0</v>
      </c>
      <c r="H1715" s="62" t="s">
        <v>94</v>
      </c>
      <c r="J1715" s="42"/>
    </row>
    <row r="1716" spans="1:10" s="3" customFormat="1" x14ac:dyDescent="0.25">
      <c r="A1716" s="20">
        <v>42081</v>
      </c>
      <c r="B1716" s="21">
        <v>15226</v>
      </c>
      <c r="C1716" s="14" t="s">
        <v>53</v>
      </c>
      <c r="D1716" s="105">
        <v>608.6</v>
      </c>
      <c r="E1716" s="23">
        <v>42081</v>
      </c>
      <c r="F1716" s="118">
        <v>608.6</v>
      </c>
      <c r="G1716" s="31">
        <f t="shared" si="26"/>
        <v>0</v>
      </c>
      <c r="H1716" s="62" t="s">
        <v>94</v>
      </c>
      <c r="J1716" s="42"/>
    </row>
    <row r="1717" spans="1:10" s="3" customFormat="1" x14ac:dyDescent="0.25">
      <c r="A1717" s="20">
        <v>42081</v>
      </c>
      <c r="B1717" s="21">
        <v>15227</v>
      </c>
      <c r="C1717" s="14" t="s">
        <v>45</v>
      </c>
      <c r="D1717" s="105">
        <v>12756.6</v>
      </c>
      <c r="E1717" s="23">
        <v>42089</v>
      </c>
      <c r="F1717" s="118">
        <v>12756.6</v>
      </c>
      <c r="G1717" s="31">
        <f t="shared" si="26"/>
        <v>0</v>
      </c>
      <c r="H1717" s="62" t="s">
        <v>94</v>
      </c>
      <c r="J1717" s="42"/>
    </row>
    <row r="1718" spans="1:10" s="3" customFormat="1" x14ac:dyDescent="0.25">
      <c r="A1718" s="20">
        <v>42081</v>
      </c>
      <c r="B1718" s="21">
        <v>15228</v>
      </c>
      <c r="C1718" s="14" t="s">
        <v>729</v>
      </c>
      <c r="D1718" s="105">
        <v>1883.7</v>
      </c>
      <c r="E1718" s="23">
        <v>42081</v>
      </c>
      <c r="F1718" s="118">
        <v>1883.7</v>
      </c>
      <c r="G1718" s="31">
        <f t="shared" si="26"/>
        <v>0</v>
      </c>
      <c r="H1718" s="62" t="s">
        <v>94</v>
      </c>
      <c r="J1718" s="42"/>
    </row>
    <row r="1719" spans="1:10" s="3" customFormat="1" x14ac:dyDescent="0.25">
      <c r="A1719" s="20">
        <v>42081</v>
      </c>
      <c r="B1719" s="21">
        <v>15229</v>
      </c>
      <c r="C1719" s="14" t="s">
        <v>697</v>
      </c>
      <c r="D1719" s="105">
        <v>3936.6</v>
      </c>
      <c r="E1719" s="30" t="s">
        <v>888</v>
      </c>
      <c r="F1719" s="118">
        <v>3936.6</v>
      </c>
      <c r="G1719" s="31">
        <f t="shared" si="26"/>
        <v>0</v>
      </c>
      <c r="H1719" s="62" t="s">
        <v>19</v>
      </c>
      <c r="J1719" s="42"/>
    </row>
    <row r="1720" spans="1:10" s="3" customFormat="1" x14ac:dyDescent="0.25">
      <c r="A1720" s="20">
        <v>42081</v>
      </c>
      <c r="B1720" s="21">
        <v>15230</v>
      </c>
      <c r="C1720" s="26" t="s">
        <v>218</v>
      </c>
      <c r="D1720" s="108">
        <v>0</v>
      </c>
      <c r="E1720" s="23"/>
      <c r="F1720" s="118"/>
      <c r="G1720" s="31">
        <f t="shared" si="26"/>
        <v>0</v>
      </c>
      <c r="H1720" s="62" t="s">
        <v>13</v>
      </c>
      <c r="J1720" s="42"/>
    </row>
    <row r="1721" spans="1:10" s="3" customFormat="1" x14ac:dyDescent="0.25">
      <c r="A1721" s="20">
        <v>42081</v>
      </c>
      <c r="B1721" s="21">
        <v>15231</v>
      </c>
      <c r="C1721" s="14" t="s">
        <v>697</v>
      </c>
      <c r="D1721" s="105">
        <v>20463.2</v>
      </c>
      <c r="E1721" s="30" t="s">
        <v>889</v>
      </c>
      <c r="F1721" s="118">
        <v>20463.2</v>
      </c>
      <c r="G1721" s="31">
        <f t="shared" si="26"/>
        <v>0</v>
      </c>
      <c r="H1721" s="62" t="s">
        <v>94</v>
      </c>
      <c r="J1721" s="42"/>
    </row>
    <row r="1722" spans="1:10" s="3" customFormat="1" x14ac:dyDescent="0.25">
      <c r="A1722" s="20">
        <v>42081</v>
      </c>
      <c r="B1722" s="21">
        <v>15232</v>
      </c>
      <c r="C1722" s="14" t="s">
        <v>136</v>
      </c>
      <c r="D1722" s="105">
        <v>540</v>
      </c>
      <c r="E1722" s="23">
        <v>42081</v>
      </c>
      <c r="F1722" s="118">
        <v>540</v>
      </c>
      <c r="G1722" s="31">
        <f t="shared" si="26"/>
        <v>0</v>
      </c>
      <c r="H1722" s="62" t="s">
        <v>9</v>
      </c>
      <c r="J1722" s="42"/>
    </row>
    <row r="1723" spans="1:10" s="3" customFormat="1" x14ac:dyDescent="0.25">
      <c r="A1723" s="20">
        <v>42081</v>
      </c>
      <c r="B1723" s="21">
        <v>15233</v>
      </c>
      <c r="C1723" s="14" t="s">
        <v>35</v>
      </c>
      <c r="D1723" s="105">
        <v>21767.1</v>
      </c>
      <c r="E1723" s="23">
        <v>42081</v>
      </c>
      <c r="F1723" s="118">
        <v>21767.1</v>
      </c>
      <c r="G1723" s="31">
        <f t="shared" si="26"/>
        <v>0</v>
      </c>
      <c r="H1723" s="62" t="s">
        <v>773</v>
      </c>
      <c r="J1723" s="42"/>
    </row>
    <row r="1724" spans="1:10" s="3" customFormat="1" x14ac:dyDescent="0.25">
      <c r="A1724" s="20">
        <v>42081</v>
      </c>
      <c r="B1724" s="21">
        <v>15234</v>
      </c>
      <c r="C1724" s="14" t="s">
        <v>334</v>
      </c>
      <c r="D1724" s="105">
        <v>2367.1999999999998</v>
      </c>
      <c r="E1724" s="23">
        <v>42081</v>
      </c>
      <c r="F1724" s="118">
        <v>2367.1999999999998</v>
      </c>
      <c r="G1724" s="31">
        <f t="shared" si="26"/>
        <v>0</v>
      </c>
      <c r="H1724" s="62" t="s">
        <v>773</v>
      </c>
      <c r="J1724" s="42"/>
    </row>
    <row r="1725" spans="1:10" s="3" customFormat="1" x14ac:dyDescent="0.25">
      <c r="A1725" s="20">
        <v>42081</v>
      </c>
      <c r="B1725" s="21">
        <v>15235</v>
      </c>
      <c r="C1725" s="14" t="s">
        <v>86</v>
      </c>
      <c r="D1725" s="105">
        <v>265</v>
      </c>
      <c r="E1725" s="23">
        <v>42081</v>
      </c>
      <c r="F1725" s="118">
        <v>265</v>
      </c>
      <c r="G1725" s="31">
        <f t="shared" si="26"/>
        <v>0</v>
      </c>
      <c r="H1725" s="62" t="s">
        <v>9</v>
      </c>
      <c r="J1725" s="42"/>
    </row>
    <row r="1726" spans="1:10" s="3" customFormat="1" x14ac:dyDescent="0.25">
      <c r="A1726" s="20">
        <v>42081</v>
      </c>
      <c r="B1726" s="21">
        <v>15236</v>
      </c>
      <c r="C1726" s="14" t="s">
        <v>93</v>
      </c>
      <c r="D1726" s="105">
        <v>1533.4</v>
      </c>
      <c r="E1726" s="23">
        <v>42082</v>
      </c>
      <c r="F1726" s="118">
        <v>1533.4</v>
      </c>
      <c r="G1726" s="31">
        <f t="shared" si="26"/>
        <v>0</v>
      </c>
      <c r="H1726" s="62" t="s">
        <v>19</v>
      </c>
      <c r="J1726" s="42"/>
    </row>
    <row r="1727" spans="1:10" s="3" customFormat="1" x14ac:dyDescent="0.25">
      <c r="A1727" s="20">
        <v>42081</v>
      </c>
      <c r="B1727" s="21">
        <v>15237</v>
      </c>
      <c r="C1727" s="14" t="s">
        <v>411</v>
      </c>
      <c r="D1727" s="105">
        <v>2290.8000000000002</v>
      </c>
      <c r="E1727" s="23">
        <v>42081</v>
      </c>
      <c r="F1727" s="118">
        <v>2290.8000000000002</v>
      </c>
      <c r="G1727" s="31">
        <f t="shared" si="26"/>
        <v>0</v>
      </c>
      <c r="H1727" s="62" t="s">
        <v>9</v>
      </c>
      <c r="J1727" s="42"/>
    </row>
    <row r="1728" spans="1:10" s="3" customFormat="1" x14ac:dyDescent="0.25">
      <c r="A1728" s="20">
        <v>42081</v>
      </c>
      <c r="B1728" s="21">
        <v>15238</v>
      </c>
      <c r="C1728" s="14" t="s">
        <v>95</v>
      </c>
      <c r="D1728" s="105">
        <v>1825.8</v>
      </c>
      <c r="E1728" s="23">
        <v>42082</v>
      </c>
      <c r="F1728" s="118">
        <v>1825.8</v>
      </c>
      <c r="G1728" s="31">
        <f t="shared" si="26"/>
        <v>0</v>
      </c>
      <c r="H1728" s="62" t="s">
        <v>19</v>
      </c>
      <c r="J1728" s="42"/>
    </row>
    <row r="1729" spans="1:10" s="3" customFormat="1" x14ac:dyDescent="0.25">
      <c r="A1729" s="20">
        <v>42081</v>
      </c>
      <c r="B1729" s="21">
        <v>15239</v>
      </c>
      <c r="C1729" s="14" t="s">
        <v>96</v>
      </c>
      <c r="D1729" s="105">
        <v>2589.5</v>
      </c>
      <c r="E1729" s="23">
        <v>42082</v>
      </c>
      <c r="F1729" s="118">
        <v>2589.5</v>
      </c>
      <c r="G1729" s="31">
        <f t="shared" si="26"/>
        <v>0</v>
      </c>
      <c r="H1729" s="62" t="s">
        <v>19</v>
      </c>
      <c r="J1729" s="42"/>
    </row>
    <row r="1730" spans="1:10" s="3" customFormat="1" x14ac:dyDescent="0.25">
      <c r="A1730" s="20">
        <v>42081</v>
      </c>
      <c r="B1730" s="21">
        <v>15240</v>
      </c>
      <c r="C1730" s="14" t="s">
        <v>789</v>
      </c>
      <c r="D1730" s="105">
        <v>3404.8</v>
      </c>
      <c r="E1730" s="23">
        <v>42081</v>
      </c>
      <c r="F1730" s="118">
        <v>3404.8</v>
      </c>
      <c r="G1730" s="31">
        <f t="shared" si="26"/>
        <v>0</v>
      </c>
      <c r="H1730" s="62" t="s">
        <v>9</v>
      </c>
      <c r="J1730" s="42"/>
    </row>
    <row r="1731" spans="1:10" s="3" customFormat="1" x14ac:dyDescent="0.25">
      <c r="A1731" s="20">
        <v>42081</v>
      </c>
      <c r="B1731" s="21">
        <v>15241</v>
      </c>
      <c r="C1731" s="14" t="s">
        <v>571</v>
      </c>
      <c r="D1731" s="105">
        <v>14148.2</v>
      </c>
      <c r="E1731" s="23">
        <v>42082</v>
      </c>
      <c r="F1731" s="118">
        <v>14148.2</v>
      </c>
      <c r="G1731" s="31">
        <f t="shared" ref="G1731:G1794" si="27">D1731-F1731</f>
        <v>0</v>
      </c>
      <c r="H1731" s="62" t="s">
        <v>19</v>
      </c>
      <c r="I1731" s="4"/>
      <c r="J1731" s="43"/>
    </row>
    <row r="1732" spans="1:10" s="3" customFormat="1" x14ac:dyDescent="0.25">
      <c r="A1732" s="20">
        <v>42081</v>
      </c>
      <c r="B1732" s="21">
        <v>15242</v>
      </c>
      <c r="C1732" s="14" t="s">
        <v>438</v>
      </c>
      <c r="D1732" s="105">
        <v>4896.3999999999996</v>
      </c>
      <c r="E1732" s="23">
        <v>42084</v>
      </c>
      <c r="F1732" s="118">
        <v>4896.3999999999996</v>
      </c>
      <c r="G1732" s="31">
        <f t="shared" si="27"/>
        <v>0</v>
      </c>
      <c r="H1732" s="62" t="s">
        <v>9</v>
      </c>
      <c r="I1732" s="4"/>
      <c r="J1732" s="43"/>
    </row>
    <row r="1733" spans="1:10" s="3" customFormat="1" x14ac:dyDescent="0.25">
      <c r="A1733" s="20">
        <v>42081</v>
      </c>
      <c r="B1733" s="21">
        <v>15243</v>
      </c>
      <c r="C1733" s="14" t="s">
        <v>35</v>
      </c>
      <c r="D1733" s="105">
        <v>3916.8</v>
      </c>
      <c r="E1733" s="23">
        <v>42081</v>
      </c>
      <c r="F1733" s="118">
        <v>3916.8</v>
      </c>
      <c r="G1733" s="31">
        <f t="shared" si="27"/>
        <v>0</v>
      </c>
      <c r="H1733" s="62" t="s">
        <v>9</v>
      </c>
      <c r="I1733" s="4"/>
      <c r="J1733" s="43"/>
    </row>
    <row r="1734" spans="1:10" s="3" customFormat="1" x14ac:dyDescent="0.25">
      <c r="A1734" s="20">
        <v>42081</v>
      </c>
      <c r="B1734" s="21">
        <v>15244</v>
      </c>
      <c r="C1734" s="14" t="s">
        <v>571</v>
      </c>
      <c r="D1734" s="105">
        <v>3679.2</v>
      </c>
      <c r="E1734" s="23">
        <v>42082</v>
      </c>
      <c r="F1734" s="118">
        <v>3679.2</v>
      </c>
      <c r="G1734" s="31">
        <f t="shared" si="27"/>
        <v>0</v>
      </c>
      <c r="H1734" s="62" t="s">
        <v>19</v>
      </c>
      <c r="I1734" s="4"/>
      <c r="J1734" s="43"/>
    </row>
    <row r="1735" spans="1:10" s="3" customFormat="1" x14ac:dyDescent="0.25">
      <c r="A1735" s="20">
        <v>42081</v>
      </c>
      <c r="B1735" s="21">
        <v>15245</v>
      </c>
      <c r="C1735" s="14" t="s">
        <v>112</v>
      </c>
      <c r="D1735" s="105">
        <v>11242</v>
      </c>
      <c r="E1735" s="23">
        <v>42083</v>
      </c>
      <c r="F1735" s="118">
        <v>11242</v>
      </c>
      <c r="G1735" s="31">
        <f t="shared" si="27"/>
        <v>0</v>
      </c>
      <c r="H1735" s="62" t="s">
        <v>9</v>
      </c>
      <c r="I1735" s="4"/>
      <c r="J1735" s="43"/>
    </row>
    <row r="1736" spans="1:10" s="3" customFormat="1" x14ac:dyDescent="0.25">
      <c r="A1736" s="20">
        <v>42081</v>
      </c>
      <c r="B1736" s="21">
        <v>15246</v>
      </c>
      <c r="C1736" s="14" t="s">
        <v>131</v>
      </c>
      <c r="D1736" s="105">
        <v>1764.9</v>
      </c>
      <c r="E1736" s="23">
        <v>42081</v>
      </c>
      <c r="F1736" s="118">
        <v>1764.9</v>
      </c>
      <c r="G1736" s="31">
        <f t="shared" si="27"/>
        <v>0</v>
      </c>
      <c r="H1736" s="62" t="s">
        <v>9</v>
      </c>
      <c r="I1736" s="4"/>
      <c r="J1736" s="43"/>
    </row>
    <row r="1737" spans="1:10" s="3" customFormat="1" x14ac:dyDescent="0.25">
      <c r="A1737" s="20">
        <v>42081</v>
      </c>
      <c r="B1737" s="21">
        <v>15247</v>
      </c>
      <c r="C1737" s="14" t="s">
        <v>821</v>
      </c>
      <c r="D1737" s="105">
        <v>8472.7999999999993</v>
      </c>
      <c r="E1737" s="23">
        <v>42081</v>
      </c>
      <c r="F1737" s="118">
        <v>8472.7999999999993</v>
      </c>
      <c r="G1737" s="31">
        <f t="shared" si="27"/>
        <v>0</v>
      </c>
      <c r="H1737" s="62" t="s">
        <v>9</v>
      </c>
      <c r="I1737" s="4"/>
      <c r="J1737" s="43"/>
    </row>
    <row r="1738" spans="1:10" s="3" customFormat="1" x14ac:dyDescent="0.25">
      <c r="A1738" s="20">
        <v>42081</v>
      </c>
      <c r="B1738" s="21">
        <v>15248</v>
      </c>
      <c r="C1738" s="14" t="s">
        <v>74</v>
      </c>
      <c r="D1738" s="105">
        <v>2053.9</v>
      </c>
      <c r="E1738" s="23">
        <v>42081</v>
      </c>
      <c r="F1738" s="118">
        <v>2053.9</v>
      </c>
      <c r="G1738" s="31">
        <f t="shared" si="27"/>
        <v>0</v>
      </c>
      <c r="H1738" s="62" t="s">
        <v>9</v>
      </c>
      <c r="I1738" s="4"/>
      <c r="J1738" s="43"/>
    </row>
    <row r="1739" spans="1:10" s="3" customFormat="1" x14ac:dyDescent="0.25">
      <c r="A1739" s="20">
        <v>42081</v>
      </c>
      <c r="B1739" s="21">
        <v>15249</v>
      </c>
      <c r="C1739" s="14" t="s">
        <v>251</v>
      </c>
      <c r="D1739" s="105">
        <v>16392.599999999999</v>
      </c>
      <c r="E1739" s="23">
        <v>42082</v>
      </c>
      <c r="F1739" s="118">
        <v>16392.599999999999</v>
      </c>
      <c r="G1739" s="31">
        <f t="shared" si="27"/>
        <v>0</v>
      </c>
      <c r="H1739" s="62" t="s">
        <v>41</v>
      </c>
      <c r="I1739" s="4"/>
      <c r="J1739" s="43"/>
    </row>
    <row r="1740" spans="1:10" s="3" customFormat="1" x14ac:dyDescent="0.25">
      <c r="A1740" s="20">
        <v>42081</v>
      </c>
      <c r="B1740" s="21">
        <v>15250</v>
      </c>
      <c r="C1740" s="14" t="s">
        <v>419</v>
      </c>
      <c r="D1740" s="105">
        <v>551.20000000000005</v>
      </c>
      <c r="E1740" s="23">
        <v>42081</v>
      </c>
      <c r="F1740" s="118">
        <v>551.20000000000005</v>
      </c>
      <c r="G1740" s="31">
        <f t="shared" si="27"/>
        <v>0</v>
      </c>
      <c r="H1740" s="62" t="s">
        <v>9</v>
      </c>
      <c r="I1740" s="4"/>
      <c r="J1740" s="43"/>
    </row>
    <row r="1741" spans="1:10" s="3" customFormat="1" x14ac:dyDescent="0.25">
      <c r="A1741" s="20">
        <v>42081</v>
      </c>
      <c r="B1741" s="21">
        <v>15251</v>
      </c>
      <c r="C1741" s="14" t="s">
        <v>111</v>
      </c>
      <c r="D1741" s="105">
        <v>114561</v>
      </c>
      <c r="E1741" s="23">
        <v>42084</v>
      </c>
      <c r="F1741" s="118">
        <v>114561</v>
      </c>
      <c r="G1741" s="31">
        <f t="shared" si="27"/>
        <v>0</v>
      </c>
      <c r="H1741" s="62" t="s">
        <v>9</v>
      </c>
      <c r="I1741" s="4"/>
      <c r="J1741" s="43"/>
    </row>
    <row r="1742" spans="1:10" s="3" customFormat="1" x14ac:dyDescent="0.25">
      <c r="A1742" s="20">
        <v>42081</v>
      </c>
      <c r="B1742" s="21">
        <v>15252</v>
      </c>
      <c r="C1742" s="14" t="s">
        <v>651</v>
      </c>
      <c r="D1742" s="105">
        <v>15258</v>
      </c>
      <c r="E1742" s="23">
        <v>42082</v>
      </c>
      <c r="F1742" s="118">
        <v>15258</v>
      </c>
      <c r="G1742" s="31">
        <f t="shared" si="27"/>
        <v>0</v>
      </c>
      <c r="H1742" s="62" t="s">
        <v>17</v>
      </c>
      <c r="I1742" s="4"/>
      <c r="J1742" s="43"/>
    </row>
    <row r="1743" spans="1:10" s="3" customFormat="1" x14ac:dyDescent="0.25">
      <c r="A1743" s="20">
        <v>42081</v>
      </c>
      <c r="B1743" s="21">
        <v>15253</v>
      </c>
      <c r="C1743" s="14" t="s">
        <v>141</v>
      </c>
      <c r="D1743" s="105">
        <v>2675.4</v>
      </c>
      <c r="E1743" s="23">
        <v>42081</v>
      </c>
      <c r="F1743" s="118">
        <v>2675.4</v>
      </c>
      <c r="G1743" s="31">
        <f t="shared" si="27"/>
        <v>0</v>
      </c>
      <c r="H1743" s="62" t="s">
        <v>9</v>
      </c>
      <c r="I1743" s="4"/>
      <c r="J1743" s="43"/>
    </row>
    <row r="1744" spans="1:10" s="3" customFormat="1" x14ac:dyDescent="0.25">
      <c r="A1744" s="20">
        <v>42081</v>
      </c>
      <c r="B1744" s="21">
        <v>15254</v>
      </c>
      <c r="C1744" s="14" t="s">
        <v>80</v>
      </c>
      <c r="D1744" s="105">
        <v>7391.6</v>
      </c>
      <c r="E1744" s="23">
        <v>42081</v>
      </c>
      <c r="F1744" s="118">
        <v>7391.6</v>
      </c>
      <c r="G1744" s="31">
        <f t="shared" si="27"/>
        <v>0</v>
      </c>
      <c r="H1744" s="62" t="s">
        <v>9</v>
      </c>
      <c r="I1744" s="4"/>
      <c r="J1744" s="43"/>
    </row>
    <row r="1745" spans="1:10" s="3" customFormat="1" x14ac:dyDescent="0.25">
      <c r="A1745" s="20">
        <v>42081</v>
      </c>
      <c r="B1745" s="21">
        <v>15255</v>
      </c>
      <c r="C1745" s="14" t="s">
        <v>24</v>
      </c>
      <c r="D1745" s="105">
        <v>21475.4</v>
      </c>
      <c r="E1745" s="23">
        <v>42093</v>
      </c>
      <c r="F1745" s="118">
        <v>21475.4</v>
      </c>
      <c r="G1745" s="31">
        <f t="shared" si="27"/>
        <v>0</v>
      </c>
      <c r="H1745" s="62" t="s">
        <v>773</v>
      </c>
      <c r="I1745" s="4"/>
      <c r="J1745" s="43"/>
    </row>
    <row r="1746" spans="1:10" s="3" customFormat="1" x14ac:dyDescent="0.25">
      <c r="A1746" s="20">
        <v>42081</v>
      </c>
      <c r="B1746" s="21">
        <v>15256</v>
      </c>
      <c r="C1746" s="14" t="s">
        <v>834</v>
      </c>
      <c r="D1746" s="105">
        <v>3092.6</v>
      </c>
      <c r="E1746" s="23">
        <v>42081</v>
      </c>
      <c r="F1746" s="118">
        <v>3092.6</v>
      </c>
      <c r="G1746" s="31">
        <f t="shared" si="27"/>
        <v>0</v>
      </c>
      <c r="H1746" s="62" t="s">
        <v>9</v>
      </c>
      <c r="I1746" s="4"/>
      <c r="J1746" s="107"/>
    </row>
    <row r="1747" spans="1:10" s="3" customFormat="1" x14ac:dyDescent="0.25">
      <c r="A1747" s="20">
        <v>42081</v>
      </c>
      <c r="B1747" s="21">
        <v>15257</v>
      </c>
      <c r="C1747" s="14" t="s">
        <v>110</v>
      </c>
      <c r="D1747" s="105">
        <v>47700.75</v>
      </c>
      <c r="E1747" s="23">
        <v>42087</v>
      </c>
      <c r="F1747" s="118">
        <v>47700.75</v>
      </c>
      <c r="G1747" s="31">
        <f t="shared" si="27"/>
        <v>0</v>
      </c>
      <c r="H1747" s="62" t="s">
        <v>9</v>
      </c>
      <c r="I1747" s="4"/>
      <c r="J1747" s="107"/>
    </row>
    <row r="1748" spans="1:10" s="3" customFormat="1" x14ac:dyDescent="0.25">
      <c r="A1748" s="20">
        <v>42081</v>
      </c>
      <c r="B1748" s="21">
        <v>15258</v>
      </c>
      <c r="C1748" s="150" t="s">
        <v>24</v>
      </c>
      <c r="D1748" s="105">
        <v>145783.79999999999</v>
      </c>
      <c r="E1748" s="30">
        <v>42108</v>
      </c>
      <c r="F1748" s="145">
        <v>145783.79999999999</v>
      </c>
      <c r="G1748" s="31">
        <f t="shared" si="27"/>
        <v>0</v>
      </c>
      <c r="H1748" s="62" t="s">
        <v>46</v>
      </c>
      <c r="I1748" s="4"/>
      <c r="J1748" s="43"/>
    </row>
    <row r="1749" spans="1:10" s="3" customFormat="1" x14ac:dyDescent="0.25">
      <c r="A1749" s="20">
        <v>42081</v>
      </c>
      <c r="B1749" s="21">
        <v>15259</v>
      </c>
      <c r="C1749" s="14" t="s">
        <v>829</v>
      </c>
      <c r="D1749" s="105">
        <v>3988.6</v>
      </c>
      <c r="E1749" s="23">
        <v>42081</v>
      </c>
      <c r="F1749" s="118">
        <v>3988.6</v>
      </c>
      <c r="G1749" s="31">
        <f t="shared" si="27"/>
        <v>0</v>
      </c>
      <c r="H1749" s="62" t="s">
        <v>9</v>
      </c>
      <c r="I1749" s="4"/>
      <c r="J1749" s="43"/>
    </row>
    <row r="1750" spans="1:10" s="3" customFormat="1" x14ac:dyDescent="0.25">
      <c r="A1750" s="20">
        <v>42081</v>
      </c>
      <c r="B1750" s="21">
        <v>15260</v>
      </c>
      <c r="C1750" s="14" t="s">
        <v>693</v>
      </c>
      <c r="D1750" s="105">
        <v>68.400000000000006</v>
      </c>
      <c r="E1750" s="23">
        <v>42082</v>
      </c>
      <c r="F1750" s="118">
        <v>68.400000000000006</v>
      </c>
      <c r="G1750" s="31">
        <f t="shared" si="27"/>
        <v>0</v>
      </c>
      <c r="H1750" s="62" t="s">
        <v>9</v>
      </c>
      <c r="I1750" s="4"/>
      <c r="J1750" s="43"/>
    </row>
    <row r="1751" spans="1:10" s="3" customFormat="1" x14ac:dyDescent="0.25">
      <c r="A1751" s="20">
        <v>42082</v>
      </c>
      <c r="B1751" s="21">
        <v>15261</v>
      </c>
      <c r="C1751" s="14" t="s">
        <v>799</v>
      </c>
      <c r="D1751" s="105">
        <v>67675</v>
      </c>
      <c r="E1751" s="23">
        <v>42084</v>
      </c>
      <c r="F1751" s="118">
        <v>67675</v>
      </c>
      <c r="G1751" s="31">
        <f t="shared" si="27"/>
        <v>0</v>
      </c>
      <c r="H1751" s="62" t="s">
        <v>9</v>
      </c>
      <c r="I1751" s="4"/>
      <c r="J1751" s="43"/>
    </row>
    <row r="1752" spans="1:10" s="3" customFormat="1" x14ac:dyDescent="0.25">
      <c r="A1752" s="20">
        <v>42082</v>
      </c>
      <c r="B1752" s="21">
        <v>15262</v>
      </c>
      <c r="C1752" s="14" t="s">
        <v>267</v>
      </c>
      <c r="D1752" s="105">
        <v>1664.8</v>
      </c>
      <c r="E1752" s="23">
        <v>42082</v>
      </c>
      <c r="F1752" s="118">
        <v>1664.8</v>
      </c>
      <c r="G1752" s="31">
        <f t="shared" si="27"/>
        <v>0</v>
      </c>
      <c r="H1752" s="62" t="s">
        <v>17</v>
      </c>
      <c r="I1752" s="4"/>
      <c r="J1752" s="43"/>
    </row>
    <row r="1753" spans="1:10" s="3" customFormat="1" x14ac:dyDescent="0.25">
      <c r="A1753" s="20">
        <v>42082</v>
      </c>
      <c r="B1753" s="21">
        <v>15263</v>
      </c>
      <c r="C1753" s="26" t="s">
        <v>218</v>
      </c>
      <c r="D1753" s="108">
        <v>0</v>
      </c>
      <c r="E1753" s="51"/>
      <c r="F1753" s="118"/>
      <c r="G1753" s="31">
        <f t="shared" si="27"/>
        <v>0</v>
      </c>
      <c r="H1753" s="62" t="s">
        <v>13</v>
      </c>
      <c r="I1753" s="4"/>
      <c r="J1753" s="43"/>
    </row>
    <row r="1754" spans="1:10" s="3" customFormat="1" x14ac:dyDescent="0.25">
      <c r="A1754" s="20">
        <v>42082</v>
      </c>
      <c r="B1754" s="21">
        <v>15264</v>
      </c>
      <c r="C1754" s="14" t="s">
        <v>14</v>
      </c>
      <c r="D1754" s="105">
        <v>13070.4</v>
      </c>
      <c r="E1754" s="23">
        <v>42089</v>
      </c>
      <c r="F1754" s="118">
        <v>13070.4</v>
      </c>
      <c r="G1754" s="31">
        <f t="shared" si="27"/>
        <v>0</v>
      </c>
      <c r="H1754" s="62" t="s">
        <v>15</v>
      </c>
      <c r="I1754" s="4"/>
      <c r="J1754" s="43"/>
    </row>
    <row r="1755" spans="1:10" s="3" customFormat="1" x14ac:dyDescent="0.25">
      <c r="A1755" s="20">
        <v>42082</v>
      </c>
      <c r="B1755" s="21">
        <v>15265</v>
      </c>
      <c r="C1755" s="14" t="s">
        <v>24</v>
      </c>
      <c r="D1755" s="105">
        <v>38617.599999999999</v>
      </c>
      <c r="E1755" s="30">
        <v>42125</v>
      </c>
      <c r="F1755" s="145">
        <v>38617.599999999999</v>
      </c>
      <c r="G1755" s="31">
        <f t="shared" si="27"/>
        <v>0</v>
      </c>
      <c r="H1755" s="62" t="s">
        <v>187</v>
      </c>
      <c r="I1755" s="4"/>
      <c r="J1755" s="43"/>
    </row>
    <row r="1756" spans="1:10" s="3" customFormat="1" x14ac:dyDescent="0.25">
      <c r="A1756" s="20">
        <v>42082</v>
      </c>
      <c r="B1756" s="21">
        <v>15266</v>
      </c>
      <c r="C1756" s="14" t="s">
        <v>20</v>
      </c>
      <c r="D1756" s="105">
        <v>11373.6</v>
      </c>
      <c r="E1756" s="23">
        <v>42082</v>
      </c>
      <c r="F1756" s="118">
        <v>11373.6</v>
      </c>
      <c r="G1756" s="31">
        <f t="shared" si="27"/>
        <v>0</v>
      </c>
      <c r="H1756" s="62" t="s">
        <v>94</v>
      </c>
      <c r="I1756" s="4"/>
      <c r="J1756" s="43"/>
    </row>
    <row r="1757" spans="1:10" s="3" customFormat="1" x14ac:dyDescent="0.25">
      <c r="A1757" s="20">
        <v>42082</v>
      </c>
      <c r="B1757" s="21">
        <v>15267</v>
      </c>
      <c r="C1757" s="14" t="s">
        <v>290</v>
      </c>
      <c r="D1757" s="105">
        <v>250.7</v>
      </c>
      <c r="E1757" s="23">
        <v>42082</v>
      </c>
      <c r="F1757" s="118">
        <v>250.7</v>
      </c>
      <c r="G1757" s="31">
        <f t="shared" si="27"/>
        <v>0</v>
      </c>
      <c r="H1757" s="62" t="s">
        <v>9</v>
      </c>
      <c r="I1757" s="4"/>
      <c r="J1757" s="43"/>
    </row>
    <row r="1758" spans="1:10" s="3" customFormat="1" x14ac:dyDescent="0.25">
      <c r="A1758" s="20">
        <v>42082</v>
      </c>
      <c r="B1758" s="21">
        <v>15268</v>
      </c>
      <c r="C1758" s="14" t="s">
        <v>720</v>
      </c>
      <c r="D1758" s="105">
        <v>3347.2</v>
      </c>
      <c r="E1758" s="51">
        <v>42082</v>
      </c>
      <c r="F1758" s="118">
        <v>3347.2</v>
      </c>
      <c r="G1758" s="31">
        <f t="shared" si="27"/>
        <v>0</v>
      </c>
      <c r="H1758" s="62" t="s">
        <v>9</v>
      </c>
      <c r="I1758" s="4"/>
      <c r="J1758" s="43"/>
    </row>
    <row r="1759" spans="1:10" s="3" customFormat="1" x14ac:dyDescent="0.25">
      <c r="A1759" s="20">
        <v>42082</v>
      </c>
      <c r="B1759" s="21">
        <v>15269</v>
      </c>
      <c r="C1759" s="14" t="s">
        <v>239</v>
      </c>
      <c r="D1759" s="105">
        <v>483.6</v>
      </c>
      <c r="E1759" s="23">
        <v>42082</v>
      </c>
      <c r="F1759" s="118">
        <v>483.6</v>
      </c>
      <c r="G1759" s="31">
        <f t="shared" si="27"/>
        <v>0</v>
      </c>
      <c r="H1759" s="62" t="s">
        <v>9</v>
      </c>
      <c r="I1759" s="4"/>
      <c r="J1759" s="43"/>
    </row>
    <row r="1760" spans="1:10" s="3" customFormat="1" x14ac:dyDescent="0.25">
      <c r="A1760" s="20">
        <v>42082</v>
      </c>
      <c r="B1760" s="21">
        <v>15270</v>
      </c>
      <c r="C1760" s="14" t="s">
        <v>158</v>
      </c>
      <c r="D1760" s="105">
        <v>2984</v>
      </c>
      <c r="E1760" s="23">
        <v>42082</v>
      </c>
      <c r="F1760" s="118">
        <v>2984</v>
      </c>
      <c r="G1760" s="31">
        <f t="shared" si="27"/>
        <v>0</v>
      </c>
      <c r="H1760" s="62" t="s">
        <v>9</v>
      </c>
      <c r="I1760" s="4"/>
      <c r="J1760" s="43"/>
    </row>
    <row r="1761" spans="1:10" s="3" customFormat="1" x14ac:dyDescent="0.25">
      <c r="A1761" s="20">
        <v>42082</v>
      </c>
      <c r="B1761" s="21">
        <v>15271</v>
      </c>
      <c r="C1761" s="14" t="s">
        <v>47</v>
      </c>
      <c r="D1761" s="105">
        <v>10740</v>
      </c>
      <c r="E1761" s="23">
        <v>42083</v>
      </c>
      <c r="F1761" s="118">
        <v>10740</v>
      </c>
      <c r="G1761" s="31">
        <f t="shared" si="27"/>
        <v>0</v>
      </c>
      <c r="H1761" s="62" t="s">
        <v>773</v>
      </c>
      <c r="I1761" s="4"/>
      <c r="J1761" s="43"/>
    </row>
    <row r="1762" spans="1:10" s="3" customFormat="1" x14ac:dyDescent="0.25">
      <c r="A1762" s="20">
        <v>42082</v>
      </c>
      <c r="B1762" s="21">
        <v>15272</v>
      </c>
      <c r="C1762" s="14" t="s">
        <v>18</v>
      </c>
      <c r="D1762" s="105">
        <v>62858.7</v>
      </c>
      <c r="E1762" s="30" t="s">
        <v>997</v>
      </c>
      <c r="F1762" s="145">
        <f>50000+12858.7</f>
        <v>62858.7</v>
      </c>
      <c r="G1762" s="31">
        <f t="shared" si="27"/>
        <v>0</v>
      </c>
      <c r="H1762" s="62" t="s">
        <v>149</v>
      </c>
      <c r="I1762" s="4"/>
      <c r="J1762" s="43"/>
    </row>
    <row r="1763" spans="1:10" s="3" customFormat="1" x14ac:dyDescent="0.25">
      <c r="A1763" s="20">
        <v>42082</v>
      </c>
      <c r="B1763" s="21">
        <v>15273</v>
      </c>
      <c r="C1763" s="14" t="s">
        <v>37</v>
      </c>
      <c r="D1763" s="105">
        <v>41791.5</v>
      </c>
      <c r="E1763" s="23">
        <v>42088</v>
      </c>
      <c r="F1763" s="118">
        <v>41791.5</v>
      </c>
      <c r="G1763" s="31">
        <f t="shared" si="27"/>
        <v>0</v>
      </c>
      <c r="H1763" s="62" t="s">
        <v>773</v>
      </c>
      <c r="J1763" s="42"/>
    </row>
    <row r="1764" spans="1:10" s="3" customFormat="1" x14ac:dyDescent="0.25">
      <c r="A1764" s="20">
        <v>42082</v>
      </c>
      <c r="B1764" s="21">
        <v>15274</v>
      </c>
      <c r="C1764" s="14" t="s">
        <v>854</v>
      </c>
      <c r="D1764" s="105">
        <v>3916.8</v>
      </c>
      <c r="E1764" s="23">
        <v>42082</v>
      </c>
      <c r="F1764" s="118">
        <v>3916.8</v>
      </c>
      <c r="G1764" s="31">
        <f t="shared" si="27"/>
        <v>0</v>
      </c>
      <c r="H1764" s="62" t="s">
        <v>9</v>
      </c>
      <c r="J1764" s="42"/>
    </row>
    <row r="1765" spans="1:10" s="3" customFormat="1" x14ac:dyDescent="0.25">
      <c r="A1765" s="20">
        <v>42082</v>
      </c>
      <c r="B1765" s="21">
        <v>15275</v>
      </c>
      <c r="C1765" s="14" t="s">
        <v>114</v>
      </c>
      <c r="D1765" s="105">
        <v>1476</v>
      </c>
      <c r="E1765" s="23">
        <v>42082</v>
      </c>
      <c r="F1765" s="118">
        <v>1476</v>
      </c>
      <c r="G1765" s="31">
        <f t="shared" si="27"/>
        <v>0</v>
      </c>
      <c r="H1765" s="62" t="s">
        <v>9</v>
      </c>
      <c r="J1765" s="42"/>
    </row>
    <row r="1766" spans="1:10" s="3" customFormat="1" x14ac:dyDescent="0.25">
      <c r="A1766" s="20">
        <v>42082</v>
      </c>
      <c r="B1766" s="21">
        <v>15276</v>
      </c>
      <c r="C1766" s="14" t="s">
        <v>16</v>
      </c>
      <c r="D1766" s="105">
        <v>7129.6</v>
      </c>
      <c r="E1766" s="23">
        <v>42082</v>
      </c>
      <c r="F1766" s="118">
        <v>7129.6</v>
      </c>
      <c r="G1766" s="31">
        <f t="shared" si="27"/>
        <v>0</v>
      </c>
      <c r="H1766" s="62" t="s">
        <v>17</v>
      </c>
      <c r="J1766" s="42"/>
    </row>
    <row r="1767" spans="1:10" s="3" customFormat="1" x14ac:dyDescent="0.25">
      <c r="A1767" s="20">
        <v>42082</v>
      </c>
      <c r="B1767" s="21">
        <v>15277</v>
      </c>
      <c r="C1767" s="14" t="s">
        <v>97</v>
      </c>
      <c r="D1767" s="105">
        <v>5546.4</v>
      </c>
      <c r="E1767" s="23">
        <v>42082</v>
      </c>
      <c r="F1767" s="118">
        <v>5546.4</v>
      </c>
      <c r="G1767" s="31">
        <f t="shared" si="27"/>
        <v>0</v>
      </c>
      <c r="H1767" s="62" t="s">
        <v>9</v>
      </c>
      <c r="J1767" s="42"/>
    </row>
    <row r="1768" spans="1:10" s="3" customFormat="1" x14ac:dyDescent="0.25">
      <c r="A1768" s="20">
        <v>42082</v>
      </c>
      <c r="B1768" s="21">
        <v>15278</v>
      </c>
      <c r="C1768" s="14" t="s">
        <v>35</v>
      </c>
      <c r="D1768" s="105">
        <v>19365</v>
      </c>
      <c r="E1768" s="23">
        <v>42082</v>
      </c>
      <c r="F1768" s="118">
        <v>19365</v>
      </c>
      <c r="G1768" s="31">
        <f t="shared" si="27"/>
        <v>0</v>
      </c>
      <c r="H1768" s="62" t="s">
        <v>773</v>
      </c>
      <c r="J1768" s="42"/>
    </row>
    <row r="1769" spans="1:10" s="3" customFormat="1" x14ac:dyDescent="0.25">
      <c r="A1769" s="20">
        <v>42082</v>
      </c>
      <c r="B1769" s="21">
        <v>15279</v>
      </c>
      <c r="C1769" s="14" t="s">
        <v>55</v>
      </c>
      <c r="D1769" s="105">
        <v>21065.75</v>
      </c>
      <c r="E1769" s="23">
        <v>42082</v>
      </c>
      <c r="F1769" s="118">
        <v>21065.75</v>
      </c>
      <c r="G1769" s="31">
        <f t="shared" si="27"/>
        <v>0</v>
      </c>
      <c r="H1769" s="62" t="s">
        <v>773</v>
      </c>
      <c r="J1769" s="42"/>
    </row>
    <row r="1770" spans="1:10" s="3" customFormat="1" x14ac:dyDescent="0.25">
      <c r="A1770" s="20">
        <v>42082</v>
      </c>
      <c r="B1770" s="21">
        <v>15280</v>
      </c>
      <c r="C1770" s="14" t="s">
        <v>88</v>
      </c>
      <c r="D1770" s="105">
        <v>122.4</v>
      </c>
      <c r="E1770" s="23">
        <v>42082</v>
      </c>
      <c r="F1770" s="118">
        <v>122.4</v>
      </c>
      <c r="G1770" s="31">
        <f t="shared" si="27"/>
        <v>0</v>
      </c>
      <c r="H1770" s="62" t="s">
        <v>9</v>
      </c>
      <c r="J1770" s="42"/>
    </row>
    <row r="1771" spans="1:10" s="3" customFormat="1" x14ac:dyDescent="0.25">
      <c r="A1771" s="20">
        <v>42082</v>
      </c>
      <c r="B1771" s="21">
        <v>15281</v>
      </c>
      <c r="C1771" s="14" t="s">
        <v>56</v>
      </c>
      <c r="D1771" s="105">
        <v>4872.3999999999996</v>
      </c>
      <c r="E1771" s="23">
        <v>42082</v>
      </c>
      <c r="F1771" s="118">
        <v>4872.3999999999996</v>
      </c>
      <c r="G1771" s="31">
        <f t="shared" si="27"/>
        <v>0</v>
      </c>
      <c r="H1771" s="62" t="s">
        <v>773</v>
      </c>
      <c r="J1771" s="42"/>
    </row>
    <row r="1772" spans="1:10" s="3" customFormat="1" x14ac:dyDescent="0.25">
      <c r="A1772" s="20">
        <v>42082</v>
      </c>
      <c r="B1772" s="21">
        <v>15282</v>
      </c>
      <c r="C1772" s="14" t="s">
        <v>829</v>
      </c>
      <c r="D1772" s="105">
        <v>16065.2</v>
      </c>
      <c r="E1772" s="23">
        <v>42082</v>
      </c>
      <c r="F1772" s="118">
        <v>16065.2</v>
      </c>
      <c r="G1772" s="31">
        <f t="shared" si="27"/>
        <v>0</v>
      </c>
      <c r="H1772" s="62" t="s">
        <v>9</v>
      </c>
      <c r="J1772" s="42"/>
    </row>
    <row r="1773" spans="1:10" s="3" customFormat="1" x14ac:dyDescent="0.25">
      <c r="A1773" s="20">
        <v>42082</v>
      </c>
      <c r="B1773" s="21">
        <v>15283</v>
      </c>
      <c r="C1773" s="14" t="s">
        <v>21</v>
      </c>
      <c r="D1773" s="105">
        <v>3441.6</v>
      </c>
      <c r="E1773" s="23">
        <v>42082</v>
      </c>
      <c r="F1773" s="118">
        <v>3441.6</v>
      </c>
      <c r="G1773" s="31">
        <f t="shared" si="27"/>
        <v>0</v>
      </c>
      <c r="H1773" s="62" t="s">
        <v>9</v>
      </c>
      <c r="J1773" s="42"/>
    </row>
    <row r="1774" spans="1:10" s="3" customFormat="1" x14ac:dyDescent="0.25">
      <c r="A1774" s="20">
        <v>42082</v>
      </c>
      <c r="B1774" s="21">
        <v>15284</v>
      </c>
      <c r="C1774" s="14" t="s">
        <v>145</v>
      </c>
      <c r="D1774" s="105">
        <v>1348</v>
      </c>
      <c r="E1774" s="23">
        <v>42082</v>
      </c>
      <c r="F1774" s="118">
        <v>1348</v>
      </c>
      <c r="G1774" s="31">
        <f t="shared" si="27"/>
        <v>0</v>
      </c>
      <c r="H1774" s="62" t="s">
        <v>9</v>
      </c>
      <c r="J1774" s="42"/>
    </row>
    <row r="1775" spans="1:10" s="3" customFormat="1" x14ac:dyDescent="0.25">
      <c r="A1775" s="20">
        <v>42082</v>
      </c>
      <c r="B1775" s="21">
        <v>15285</v>
      </c>
      <c r="C1775" s="14" t="s">
        <v>45</v>
      </c>
      <c r="D1775" s="105">
        <v>5357</v>
      </c>
      <c r="E1775" s="23">
        <v>42089</v>
      </c>
      <c r="F1775" s="118">
        <v>5357</v>
      </c>
      <c r="G1775" s="31">
        <f t="shared" si="27"/>
        <v>0</v>
      </c>
      <c r="H1775" s="62" t="s">
        <v>59</v>
      </c>
      <c r="J1775" s="42"/>
    </row>
    <row r="1776" spans="1:10" s="3" customFormat="1" x14ac:dyDescent="0.25">
      <c r="A1776" s="20">
        <v>42082</v>
      </c>
      <c r="B1776" s="21">
        <v>15286</v>
      </c>
      <c r="C1776" s="14" t="s">
        <v>664</v>
      </c>
      <c r="D1776" s="105">
        <v>2275.4</v>
      </c>
      <c r="E1776" s="23">
        <v>42082</v>
      </c>
      <c r="F1776" s="118">
        <v>2275.4</v>
      </c>
      <c r="G1776" s="31">
        <f t="shared" si="27"/>
        <v>0</v>
      </c>
      <c r="H1776" s="62" t="s">
        <v>59</v>
      </c>
      <c r="J1776" s="42"/>
    </row>
    <row r="1777" spans="1:10" s="3" customFormat="1" x14ac:dyDescent="0.25">
      <c r="A1777" s="20">
        <v>42082</v>
      </c>
      <c r="B1777" s="21">
        <v>15287</v>
      </c>
      <c r="C1777" s="14" t="s">
        <v>81</v>
      </c>
      <c r="D1777" s="105">
        <v>1502.6</v>
      </c>
      <c r="E1777" s="23">
        <v>42082</v>
      </c>
      <c r="F1777" s="118">
        <v>1502.6</v>
      </c>
      <c r="G1777" s="31">
        <f t="shared" si="27"/>
        <v>0</v>
      </c>
      <c r="H1777" s="62" t="s">
        <v>59</v>
      </c>
      <c r="J1777" s="42"/>
    </row>
    <row r="1778" spans="1:10" s="3" customFormat="1" x14ac:dyDescent="0.25">
      <c r="A1778" s="20">
        <v>42082</v>
      </c>
      <c r="B1778" s="21">
        <v>15288</v>
      </c>
      <c r="C1778" s="14" t="s">
        <v>82</v>
      </c>
      <c r="D1778" s="105">
        <v>7566.6</v>
      </c>
      <c r="E1778" s="23">
        <v>42082</v>
      </c>
      <c r="F1778" s="118">
        <v>7566.6</v>
      </c>
      <c r="G1778" s="31">
        <f t="shared" si="27"/>
        <v>0</v>
      </c>
      <c r="H1778" s="62" t="s">
        <v>59</v>
      </c>
      <c r="J1778" s="42"/>
    </row>
    <row r="1779" spans="1:10" s="3" customFormat="1" x14ac:dyDescent="0.25">
      <c r="A1779" s="20">
        <v>42082</v>
      </c>
      <c r="B1779" s="21">
        <v>15289</v>
      </c>
      <c r="C1779" s="14" t="s">
        <v>135</v>
      </c>
      <c r="D1779" s="105">
        <v>3215.2</v>
      </c>
      <c r="E1779" s="23">
        <v>42082</v>
      </c>
      <c r="F1779" s="118">
        <v>3215.2</v>
      </c>
      <c r="G1779" s="31">
        <f t="shared" si="27"/>
        <v>0</v>
      </c>
      <c r="H1779" s="62" t="s">
        <v>9</v>
      </c>
      <c r="I1779" s="4"/>
      <c r="J1779" s="43"/>
    </row>
    <row r="1780" spans="1:10" s="3" customFormat="1" x14ac:dyDescent="0.25">
      <c r="A1780" s="20">
        <v>42082</v>
      </c>
      <c r="B1780" s="21">
        <v>15290</v>
      </c>
      <c r="C1780" s="14" t="s">
        <v>53</v>
      </c>
      <c r="D1780" s="105">
        <v>1131.9000000000001</v>
      </c>
      <c r="E1780" s="23">
        <v>42082</v>
      </c>
      <c r="F1780" s="118">
        <v>1131.9000000000001</v>
      </c>
      <c r="G1780" s="31">
        <f t="shared" si="27"/>
        <v>0</v>
      </c>
      <c r="H1780" s="62" t="s">
        <v>59</v>
      </c>
      <c r="I1780" s="4"/>
      <c r="J1780" s="43"/>
    </row>
    <row r="1781" spans="1:10" s="3" customFormat="1" x14ac:dyDescent="0.25">
      <c r="A1781" s="20">
        <v>42082</v>
      </c>
      <c r="B1781" s="21">
        <v>15291</v>
      </c>
      <c r="C1781" s="14" t="s">
        <v>168</v>
      </c>
      <c r="D1781" s="105">
        <v>8732.1</v>
      </c>
      <c r="E1781" s="23">
        <v>42082</v>
      </c>
      <c r="F1781" s="118">
        <v>8732.1</v>
      </c>
      <c r="G1781" s="31">
        <f t="shared" si="27"/>
        <v>0</v>
      </c>
      <c r="H1781" s="62" t="s">
        <v>59</v>
      </c>
      <c r="I1781" s="4"/>
      <c r="J1781" s="43"/>
    </row>
    <row r="1782" spans="1:10" s="3" customFormat="1" x14ac:dyDescent="0.25">
      <c r="A1782" s="20">
        <v>42082</v>
      </c>
      <c r="B1782" s="21">
        <v>15292</v>
      </c>
      <c r="C1782" s="14" t="s">
        <v>23</v>
      </c>
      <c r="D1782" s="105">
        <v>1402</v>
      </c>
      <c r="E1782" s="23">
        <v>42082</v>
      </c>
      <c r="F1782" s="118">
        <v>1402</v>
      </c>
      <c r="G1782" s="31">
        <f t="shared" si="27"/>
        <v>0</v>
      </c>
      <c r="H1782" s="62" t="s">
        <v>9</v>
      </c>
      <c r="I1782" s="4"/>
      <c r="J1782" s="43"/>
    </row>
    <row r="1783" spans="1:10" s="3" customFormat="1" x14ac:dyDescent="0.25">
      <c r="A1783" s="20">
        <v>42082</v>
      </c>
      <c r="B1783" s="21">
        <v>15293</v>
      </c>
      <c r="C1783" s="14" t="s">
        <v>169</v>
      </c>
      <c r="D1783" s="105">
        <v>1327.2</v>
      </c>
      <c r="E1783" s="23">
        <v>42082</v>
      </c>
      <c r="F1783" s="118">
        <v>1327.2</v>
      </c>
      <c r="G1783" s="31">
        <f t="shared" si="27"/>
        <v>0</v>
      </c>
      <c r="H1783" s="62" t="s">
        <v>59</v>
      </c>
      <c r="I1783" s="4"/>
      <c r="J1783" s="43"/>
    </row>
    <row r="1784" spans="1:10" s="3" customFormat="1" x14ac:dyDescent="0.25">
      <c r="A1784" s="20">
        <v>42082</v>
      </c>
      <c r="B1784" s="21">
        <v>15294</v>
      </c>
      <c r="C1784" s="14" t="s">
        <v>256</v>
      </c>
      <c r="D1784" s="105">
        <v>3251.6</v>
      </c>
      <c r="E1784" s="23">
        <v>42082</v>
      </c>
      <c r="F1784" s="118">
        <v>3251.6</v>
      </c>
      <c r="G1784" s="31">
        <f t="shared" si="27"/>
        <v>0</v>
      </c>
      <c r="H1784" s="62" t="s">
        <v>773</v>
      </c>
      <c r="I1784" s="4"/>
      <c r="J1784" s="43"/>
    </row>
    <row r="1785" spans="1:10" s="3" customFormat="1" x14ac:dyDescent="0.25">
      <c r="A1785" s="20">
        <v>42082</v>
      </c>
      <c r="B1785" s="21">
        <v>15295</v>
      </c>
      <c r="C1785" s="14" t="s">
        <v>57</v>
      </c>
      <c r="D1785" s="122">
        <v>1304</v>
      </c>
      <c r="E1785" s="23">
        <v>42082</v>
      </c>
      <c r="F1785" s="118">
        <v>1304</v>
      </c>
      <c r="G1785" s="31">
        <f t="shared" si="27"/>
        <v>0</v>
      </c>
      <c r="H1785" s="56" t="s">
        <v>59</v>
      </c>
      <c r="I1785" s="4"/>
      <c r="J1785" s="43"/>
    </row>
    <row r="1786" spans="1:10" s="3" customFormat="1" x14ac:dyDescent="0.25">
      <c r="A1786" s="20">
        <v>42082</v>
      </c>
      <c r="B1786" s="21">
        <v>15296</v>
      </c>
      <c r="C1786" s="14">
        <v>105</v>
      </c>
      <c r="D1786" s="105">
        <v>1332</v>
      </c>
      <c r="E1786" s="23">
        <v>42082</v>
      </c>
      <c r="F1786" s="118">
        <v>1332</v>
      </c>
      <c r="G1786" s="31">
        <f t="shared" si="27"/>
        <v>0</v>
      </c>
      <c r="H1786" s="56" t="s">
        <v>59</v>
      </c>
      <c r="I1786" s="4"/>
      <c r="J1786" s="43"/>
    </row>
    <row r="1787" spans="1:10" s="3" customFormat="1" x14ac:dyDescent="0.25">
      <c r="A1787" s="20">
        <v>42082</v>
      </c>
      <c r="B1787" s="21">
        <v>15297</v>
      </c>
      <c r="C1787" s="14" t="s">
        <v>214</v>
      </c>
      <c r="D1787" s="105">
        <v>900</v>
      </c>
      <c r="E1787" s="23">
        <v>42082</v>
      </c>
      <c r="F1787" s="118">
        <v>900</v>
      </c>
      <c r="G1787" s="31">
        <f t="shared" si="27"/>
        <v>0</v>
      </c>
      <c r="H1787" s="56" t="s">
        <v>59</v>
      </c>
      <c r="I1787" s="4"/>
      <c r="J1787" s="107"/>
    </row>
    <row r="1788" spans="1:10" s="3" customFormat="1" x14ac:dyDescent="0.25">
      <c r="A1788" s="20">
        <v>42082</v>
      </c>
      <c r="B1788" s="21">
        <v>15298</v>
      </c>
      <c r="C1788" s="14" t="s">
        <v>49</v>
      </c>
      <c r="D1788" s="105">
        <v>1348.2</v>
      </c>
      <c r="E1788" s="23">
        <v>42082</v>
      </c>
      <c r="F1788" s="118">
        <v>1348.2</v>
      </c>
      <c r="G1788" s="31">
        <f t="shared" si="27"/>
        <v>0</v>
      </c>
      <c r="H1788" s="56" t="s">
        <v>41</v>
      </c>
      <c r="I1788" s="4"/>
      <c r="J1788" s="43"/>
    </row>
    <row r="1789" spans="1:10" s="3" customFormat="1" x14ac:dyDescent="0.25">
      <c r="A1789" s="20">
        <v>42082</v>
      </c>
      <c r="B1789" s="21">
        <v>15299</v>
      </c>
      <c r="C1789" s="14" t="s">
        <v>14</v>
      </c>
      <c r="D1789" s="105">
        <v>133662.38</v>
      </c>
      <c r="E1789" s="23">
        <v>42089</v>
      </c>
      <c r="F1789" s="118">
        <v>133662.38</v>
      </c>
      <c r="G1789" s="31">
        <f t="shared" si="27"/>
        <v>0</v>
      </c>
      <c r="H1789" s="56" t="s">
        <v>46</v>
      </c>
      <c r="I1789" s="4"/>
      <c r="J1789" s="43"/>
    </row>
    <row r="1790" spans="1:10" s="3" customFormat="1" x14ac:dyDescent="0.25">
      <c r="A1790" s="20">
        <v>42082</v>
      </c>
      <c r="B1790" s="21">
        <v>15300</v>
      </c>
      <c r="C1790" s="14" t="s">
        <v>151</v>
      </c>
      <c r="D1790" s="105">
        <v>32675.439999999999</v>
      </c>
      <c r="E1790" s="29" t="s">
        <v>890</v>
      </c>
      <c r="F1790" s="118">
        <f>22500+10175.44</f>
        <v>32675.440000000002</v>
      </c>
      <c r="G1790" s="31">
        <f t="shared" si="27"/>
        <v>0</v>
      </c>
      <c r="H1790" s="56" t="s">
        <v>9</v>
      </c>
      <c r="I1790" s="4"/>
      <c r="J1790" s="43"/>
    </row>
    <row r="1791" spans="1:10" s="3" customFormat="1" x14ac:dyDescent="0.25">
      <c r="A1791" s="20">
        <v>42082</v>
      </c>
      <c r="B1791" s="21">
        <v>15301</v>
      </c>
      <c r="C1791" s="14" t="s">
        <v>26</v>
      </c>
      <c r="D1791" s="105">
        <v>1644</v>
      </c>
      <c r="E1791" s="23">
        <v>42082</v>
      </c>
      <c r="F1791" s="118">
        <v>1644</v>
      </c>
      <c r="G1791" s="31">
        <f t="shared" si="27"/>
        <v>0</v>
      </c>
      <c r="H1791" s="56" t="s">
        <v>27</v>
      </c>
      <c r="I1791" s="4"/>
      <c r="J1791" s="43"/>
    </row>
    <row r="1792" spans="1:10" s="3" customFormat="1" x14ac:dyDescent="0.25">
      <c r="A1792" s="20">
        <v>42082</v>
      </c>
      <c r="B1792" s="21">
        <v>15302</v>
      </c>
      <c r="C1792" s="14" t="s">
        <v>229</v>
      </c>
      <c r="D1792" s="105">
        <v>4813.3999999999996</v>
      </c>
      <c r="E1792" s="23">
        <v>42082</v>
      </c>
      <c r="F1792" s="118">
        <v>4813.3999999999996</v>
      </c>
      <c r="G1792" s="31">
        <f t="shared" si="27"/>
        <v>0</v>
      </c>
      <c r="H1792" s="56" t="s">
        <v>9</v>
      </c>
      <c r="I1792" s="4"/>
      <c r="J1792" s="43"/>
    </row>
    <row r="1793" spans="1:10" s="3" customFormat="1" x14ac:dyDescent="0.25">
      <c r="A1793" s="20">
        <v>42082</v>
      </c>
      <c r="B1793" s="21">
        <v>15303</v>
      </c>
      <c r="C1793" s="14" t="s">
        <v>881</v>
      </c>
      <c r="D1793" s="105">
        <v>1372.2</v>
      </c>
      <c r="E1793" s="23">
        <v>42082</v>
      </c>
      <c r="F1793" s="118">
        <v>1372.2</v>
      </c>
      <c r="G1793" s="31">
        <f t="shared" si="27"/>
        <v>0</v>
      </c>
      <c r="H1793" s="56" t="s">
        <v>9</v>
      </c>
      <c r="I1793" s="4"/>
      <c r="J1793" s="43"/>
    </row>
    <row r="1794" spans="1:10" s="3" customFormat="1" x14ac:dyDescent="0.25">
      <c r="A1794" s="20">
        <v>42082</v>
      </c>
      <c r="B1794" s="21">
        <v>15304</v>
      </c>
      <c r="C1794" s="14" t="s">
        <v>14</v>
      </c>
      <c r="D1794" s="105">
        <v>1672</v>
      </c>
      <c r="E1794" s="23">
        <v>42089</v>
      </c>
      <c r="F1794" s="118">
        <v>1672</v>
      </c>
      <c r="G1794" s="31">
        <f t="shared" si="27"/>
        <v>0</v>
      </c>
      <c r="H1794" s="56" t="s">
        <v>15</v>
      </c>
      <c r="I1794" s="4"/>
      <c r="J1794" s="43"/>
    </row>
    <row r="1795" spans="1:10" s="3" customFormat="1" x14ac:dyDescent="0.25">
      <c r="A1795" s="20">
        <v>42082</v>
      </c>
      <c r="B1795" s="21">
        <v>15305</v>
      </c>
      <c r="C1795" s="14" t="s">
        <v>675</v>
      </c>
      <c r="D1795" s="105">
        <v>540</v>
      </c>
      <c r="E1795" s="23">
        <v>42082</v>
      </c>
      <c r="F1795" s="118">
        <v>540</v>
      </c>
      <c r="G1795" s="31">
        <f t="shared" ref="G1795:G1858" si="28">D1795-F1795</f>
        <v>0</v>
      </c>
      <c r="H1795" s="56" t="s">
        <v>9</v>
      </c>
      <c r="I1795" s="4"/>
      <c r="J1795" s="107"/>
    </row>
    <row r="1796" spans="1:10" s="3" customFormat="1" x14ac:dyDescent="0.25">
      <c r="A1796" s="20">
        <v>42082</v>
      </c>
      <c r="B1796" s="21">
        <v>15306</v>
      </c>
      <c r="C1796" s="14" t="s">
        <v>249</v>
      </c>
      <c r="D1796" s="105">
        <v>4568.3999999999996</v>
      </c>
      <c r="E1796" s="23">
        <v>42082</v>
      </c>
      <c r="F1796" s="118">
        <v>4568.3999999999996</v>
      </c>
      <c r="G1796" s="31">
        <f t="shared" si="28"/>
        <v>0</v>
      </c>
      <c r="H1796" s="56" t="s">
        <v>94</v>
      </c>
      <c r="I1796" s="4"/>
      <c r="J1796" s="123"/>
    </row>
    <row r="1797" spans="1:10" s="3" customFormat="1" x14ac:dyDescent="0.25">
      <c r="A1797" s="20">
        <v>42082</v>
      </c>
      <c r="B1797" s="21">
        <v>15307</v>
      </c>
      <c r="C1797" s="14" t="s">
        <v>34</v>
      </c>
      <c r="D1797" s="105">
        <v>2520</v>
      </c>
      <c r="E1797" s="23">
        <v>42082</v>
      </c>
      <c r="F1797" s="118">
        <v>2520</v>
      </c>
      <c r="G1797" s="31">
        <f t="shared" si="28"/>
        <v>0</v>
      </c>
      <c r="H1797" s="56" t="s">
        <v>9</v>
      </c>
      <c r="I1797" s="4"/>
      <c r="J1797" s="123"/>
    </row>
    <row r="1798" spans="1:10" s="3" customFormat="1" x14ac:dyDescent="0.25">
      <c r="A1798" s="20">
        <v>42082</v>
      </c>
      <c r="B1798" s="21">
        <v>15308</v>
      </c>
      <c r="C1798" s="14" t="s">
        <v>285</v>
      </c>
      <c r="D1798" s="105">
        <v>710.05</v>
      </c>
      <c r="E1798" s="23">
        <v>42086</v>
      </c>
      <c r="F1798" s="118">
        <v>710.05</v>
      </c>
      <c r="G1798" s="31">
        <f t="shared" si="28"/>
        <v>0</v>
      </c>
      <c r="H1798" s="56" t="s">
        <v>15</v>
      </c>
      <c r="I1798" s="4"/>
      <c r="J1798" s="123"/>
    </row>
    <row r="1799" spans="1:10" s="3" customFormat="1" x14ac:dyDescent="0.25">
      <c r="A1799" s="20">
        <v>42082</v>
      </c>
      <c r="B1799" s="21">
        <v>15309</v>
      </c>
      <c r="C1799" s="14" t="s">
        <v>224</v>
      </c>
      <c r="D1799" s="105">
        <v>4711.8</v>
      </c>
      <c r="E1799" s="23">
        <v>42086</v>
      </c>
      <c r="F1799" s="118">
        <v>4711.8</v>
      </c>
      <c r="G1799" s="31">
        <f t="shared" si="28"/>
        <v>0</v>
      </c>
      <c r="H1799" s="56" t="s">
        <v>15</v>
      </c>
      <c r="I1799" s="4"/>
      <c r="J1799" s="123"/>
    </row>
    <row r="1800" spans="1:10" s="3" customFormat="1" x14ac:dyDescent="0.25">
      <c r="A1800" s="20">
        <v>42082</v>
      </c>
      <c r="B1800" s="21">
        <v>15310</v>
      </c>
      <c r="C1800" s="26" t="s">
        <v>218</v>
      </c>
      <c r="D1800" s="108">
        <v>0</v>
      </c>
      <c r="E1800" s="23"/>
      <c r="F1800" s="118"/>
      <c r="G1800" s="31">
        <f t="shared" si="28"/>
        <v>0</v>
      </c>
      <c r="H1800" s="56" t="s">
        <v>13</v>
      </c>
      <c r="I1800" s="4"/>
      <c r="J1800" s="123"/>
    </row>
    <row r="1801" spans="1:10" s="3" customFormat="1" x14ac:dyDescent="0.25">
      <c r="A1801" s="20">
        <v>42082</v>
      </c>
      <c r="B1801" s="21">
        <v>15311</v>
      </c>
      <c r="C1801" s="14" t="s">
        <v>106</v>
      </c>
      <c r="D1801" s="105">
        <v>47958.3</v>
      </c>
      <c r="E1801" s="30">
        <v>42101</v>
      </c>
      <c r="F1801" s="145">
        <v>47958.3</v>
      </c>
      <c r="G1801" s="31">
        <f t="shared" si="28"/>
        <v>0</v>
      </c>
      <c r="H1801" s="56" t="s">
        <v>19</v>
      </c>
      <c r="I1801" s="4"/>
      <c r="J1801" s="123"/>
    </row>
    <row r="1802" spans="1:10" s="3" customFormat="1" x14ac:dyDescent="0.25">
      <c r="A1802" s="20">
        <v>42082</v>
      </c>
      <c r="B1802" s="21">
        <v>15312</v>
      </c>
      <c r="C1802" s="14" t="s">
        <v>131</v>
      </c>
      <c r="D1802" s="105">
        <v>11235.8</v>
      </c>
      <c r="E1802" s="23">
        <v>42086</v>
      </c>
      <c r="F1802" s="118">
        <v>11235.8</v>
      </c>
      <c r="G1802" s="31">
        <f t="shared" si="28"/>
        <v>0</v>
      </c>
      <c r="H1802" s="56" t="s">
        <v>9</v>
      </c>
      <c r="I1802" s="4"/>
      <c r="J1802" s="123"/>
    </row>
    <row r="1803" spans="1:10" s="3" customFormat="1" x14ac:dyDescent="0.25">
      <c r="A1803" s="20">
        <v>42082</v>
      </c>
      <c r="B1803" s="21">
        <v>15313</v>
      </c>
      <c r="C1803" s="14" t="s">
        <v>332</v>
      </c>
      <c r="D1803" s="105">
        <v>2311.3000000000002</v>
      </c>
      <c r="E1803" s="23">
        <v>42082</v>
      </c>
      <c r="F1803" s="118">
        <v>2311.3000000000002</v>
      </c>
      <c r="G1803" s="31">
        <f t="shared" si="28"/>
        <v>0</v>
      </c>
      <c r="H1803" s="56" t="s">
        <v>9</v>
      </c>
      <c r="I1803" s="4"/>
      <c r="J1803" s="123"/>
    </row>
    <row r="1804" spans="1:10" s="3" customFormat="1" x14ac:dyDescent="0.25">
      <c r="A1804" s="20">
        <v>42082</v>
      </c>
      <c r="B1804" s="21">
        <v>15314</v>
      </c>
      <c r="C1804" s="14" t="s">
        <v>112</v>
      </c>
      <c r="D1804" s="105">
        <v>2408</v>
      </c>
      <c r="E1804" s="23">
        <v>42082</v>
      </c>
      <c r="F1804" s="118">
        <v>2408</v>
      </c>
      <c r="G1804" s="31">
        <f t="shared" si="28"/>
        <v>0</v>
      </c>
      <c r="H1804" s="56" t="s">
        <v>9</v>
      </c>
      <c r="I1804" s="4"/>
      <c r="J1804" s="123"/>
    </row>
    <row r="1805" spans="1:10" s="3" customFormat="1" x14ac:dyDescent="0.25">
      <c r="A1805" s="20">
        <v>42082</v>
      </c>
      <c r="B1805" s="21">
        <v>15315</v>
      </c>
      <c r="C1805" s="14" t="s">
        <v>375</v>
      </c>
      <c r="D1805" s="105">
        <v>761.6</v>
      </c>
      <c r="E1805" s="23">
        <v>42082</v>
      </c>
      <c r="F1805" s="118">
        <v>761.6</v>
      </c>
      <c r="G1805" s="31">
        <f t="shared" si="28"/>
        <v>0</v>
      </c>
      <c r="H1805" s="56" t="s">
        <v>9</v>
      </c>
      <c r="I1805" s="4"/>
      <c r="J1805" s="123"/>
    </row>
    <row r="1806" spans="1:10" s="3" customFormat="1" x14ac:dyDescent="0.25">
      <c r="A1806" s="20">
        <v>42082</v>
      </c>
      <c r="B1806" s="21">
        <v>15316</v>
      </c>
      <c r="C1806" s="14" t="s">
        <v>30</v>
      </c>
      <c r="D1806" s="105">
        <v>2952.4</v>
      </c>
      <c r="E1806" s="23">
        <v>42082</v>
      </c>
      <c r="F1806" s="118">
        <v>2952.4</v>
      </c>
      <c r="G1806" s="31">
        <f t="shared" si="28"/>
        <v>0</v>
      </c>
      <c r="H1806" s="56" t="s">
        <v>9</v>
      </c>
      <c r="I1806" s="4"/>
      <c r="J1806" s="123"/>
    </row>
    <row r="1807" spans="1:10" s="3" customFormat="1" x14ac:dyDescent="0.25">
      <c r="A1807" s="20">
        <v>42082</v>
      </c>
      <c r="B1807" s="21">
        <v>15317</v>
      </c>
      <c r="C1807" s="14" t="s">
        <v>157</v>
      </c>
      <c r="D1807" s="105">
        <v>1911.8</v>
      </c>
      <c r="E1807" s="23">
        <v>42082</v>
      </c>
      <c r="F1807" s="118">
        <v>1911.8</v>
      </c>
      <c r="G1807" s="31">
        <f t="shared" si="28"/>
        <v>0</v>
      </c>
      <c r="H1807" s="56" t="s">
        <v>9</v>
      </c>
      <c r="I1807" s="4"/>
      <c r="J1807" s="123"/>
    </row>
    <row r="1808" spans="1:10" s="3" customFormat="1" x14ac:dyDescent="0.25">
      <c r="A1808" s="20">
        <v>42082</v>
      </c>
      <c r="B1808" s="21">
        <v>15318</v>
      </c>
      <c r="C1808" s="14" t="s">
        <v>130</v>
      </c>
      <c r="D1808" s="105">
        <v>3502.9</v>
      </c>
      <c r="E1808" s="23">
        <v>42084</v>
      </c>
      <c r="F1808" s="118">
        <v>3502.9</v>
      </c>
      <c r="G1808" s="31">
        <f t="shared" si="28"/>
        <v>0</v>
      </c>
      <c r="H1808" s="56" t="s">
        <v>17</v>
      </c>
      <c r="I1808" s="4"/>
      <c r="J1808" s="123"/>
    </row>
    <row r="1809" spans="1:10" s="3" customFormat="1" x14ac:dyDescent="0.25">
      <c r="A1809" s="20">
        <v>42082</v>
      </c>
      <c r="B1809" s="21">
        <v>15319</v>
      </c>
      <c r="C1809" s="14" t="s">
        <v>128</v>
      </c>
      <c r="D1809" s="105">
        <v>10147.200000000001</v>
      </c>
      <c r="E1809" s="23">
        <v>42082</v>
      </c>
      <c r="F1809" s="118">
        <v>10147.200000000001</v>
      </c>
      <c r="G1809" s="31">
        <f t="shared" si="28"/>
        <v>0</v>
      </c>
      <c r="H1809" s="56" t="s">
        <v>17</v>
      </c>
      <c r="I1809" s="4"/>
      <c r="J1809" s="123"/>
    </row>
    <row r="1810" spans="1:10" s="3" customFormat="1" x14ac:dyDescent="0.25">
      <c r="A1810" s="20">
        <v>42082</v>
      </c>
      <c r="B1810" s="21">
        <v>15320</v>
      </c>
      <c r="C1810" s="14" t="s">
        <v>165</v>
      </c>
      <c r="D1810" s="105">
        <v>2473.8000000000002</v>
      </c>
      <c r="E1810" s="23">
        <v>42082</v>
      </c>
      <c r="F1810" s="118">
        <v>2473.8000000000002</v>
      </c>
      <c r="G1810" s="31">
        <f t="shared" si="28"/>
        <v>0</v>
      </c>
      <c r="H1810" s="56" t="s">
        <v>17</v>
      </c>
      <c r="I1810" s="4"/>
      <c r="J1810" s="123"/>
    </row>
    <row r="1811" spans="1:10" s="3" customFormat="1" x14ac:dyDescent="0.25">
      <c r="A1811" s="20">
        <v>42082</v>
      </c>
      <c r="B1811" s="21">
        <v>15321</v>
      </c>
      <c r="C1811" s="14" t="s">
        <v>891</v>
      </c>
      <c r="D1811" s="105">
        <v>3955.2</v>
      </c>
      <c r="E1811" s="23">
        <v>42082</v>
      </c>
      <c r="F1811" s="118">
        <v>3955.2</v>
      </c>
      <c r="G1811" s="31">
        <f t="shared" si="28"/>
        <v>0</v>
      </c>
      <c r="H1811" s="56" t="s">
        <v>9</v>
      </c>
      <c r="I1811" s="4"/>
      <c r="J1811" s="123"/>
    </row>
    <row r="1812" spans="1:10" s="3" customFormat="1" x14ac:dyDescent="0.25">
      <c r="A1812" s="20">
        <v>42082</v>
      </c>
      <c r="B1812" s="21">
        <v>15322</v>
      </c>
      <c r="C1812" s="14" t="s">
        <v>305</v>
      </c>
      <c r="D1812" s="105">
        <v>1908.2</v>
      </c>
      <c r="E1812" s="23">
        <v>42082</v>
      </c>
      <c r="F1812" s="118">
        <v>1908.2</v>
      </c>
      <c r="G1812" s="31">
        <f t="shared" si="28"/>
        <v>0</v>
      </c>
      <c r="H1812" s="56" t="s">
        <v>9</v>
      </c>
      <c r="I1812" s="4"/>
      <c r="J1812" s="123"/>
    </row>
    <row r="1813" spans="1:10" s="3" customFormat="1" x14ac:dyDescent="0.25">
      <c r="A1813" s="20">
        <v>42082</v>
      </c>
      <c r="B1813" s="21">
        <v>15323</v>
      </c>
      <c r="C1813" s="14" t="s">
        <v>110</v>
      </c>
      <c r="D1813" s="105">
        <v>91808.6</v>
      </c>
      <c r="E1813" s="23" t="s">
        <v>892</v>
      </c>
      <c r="F1813" s="118">
        <f>60784.12+31024.48</f>
        <v>91808.6</v>
      </c>
      <c r="G1813" s="48">
        <f t="shared" si="28"/>
        <v>0</v>
      </c>
      <c r="H1813" s="56" t="s">
        <v>149</v>
      </c>
      <c r="I1813" s="4"/>
      <c r="J1813" s="123"/>
    </row>
    <row r="1814" spans="1:10" s="3" customFormat="1" x14ac:dyDescent="0.25">
      <c r="A1814" s="20">
        <v>42082</v>
      </c>
      <c r="B1814" s="21">
        <v>15324</v>
      </c>
      <c r="C1814" s="14" t="s">
        <v>247</v>
      </c>
      <c r="D1814" s="105">
        <v>3670.4</v>
      </c>
      <c r="E1814" s="23">
        <v>42082</v>
      </c>
      <c r="F1814" s="118">
        <v>3670.4</v>
      </c>
      <c r="G1814" s="31">
        <f t="shared" si="28"/>
        <v>0</v>
      </c>
      <c r="H1814" s="56" t="s">
        <v>41</v>
      </c>
      <c r="I1814" s="4"/>
      <c r="J1814" s="123"/>
    </row>
    <row r="1815" spans="1:10" s="3" customFormat="1" x14ac:dyDescent="0.25">
      <c r="A1815" s="20">
        <v>42082</v>
      </c>
      <c r="B1815" s="21">
        <v>15325</v>
      </c>
      <c r="C1815" s="14" t="s">
        <v>89</v>
      </c>
      <c r="D1815" s="105">
        <v>2696.4</v>
      </c>
      <c r="E1815" s="23">
        <v>42082</v>
      </c>
      <c r="F1815" s="118">
        <v>2696.4</v>
      </c>
      <c r="G1815" s="31">
        <f t="shared" si="28"/>
        <v>0</v>
      </c>
      <c r="H1815" s="56" t="s">
        <v>9</v>
      </c>
      <c r="I1815" s="4"/>
      <c r="J1815" s="123"/>
    </row>
    <row r="1816" spans="1:10" s="3" customFormat="1" x14ac:dyDescent="0.25">
      <c r="A1816" s="20">
        <v>42082</v>
      </c>
      <c r="B1816" s="21">
        <v>15326</v>
      </c>
      <c r="C1816" s="14" t="s">
        <v>50</v>
      </c>
      <c r="D1816" s="105">
        <v>412.8</v>
      </c>
      <c r="E1816" s="23">
        <v>42082</v>
      </c>
      <c r="F1816" s="118">
        <v>412.8</v>
      </c>
      <c r="G1816" s="31">
        <f t="shared" si="28"/>
        <v>0</v>
      </c>
      <c r="H1816" s="56" t="s">
        <v>41</v>
      </c>
      <c r="I1816" s="4"/>
      <c r="J1816" s="123"/>
    </row>
    <row r="1817" spans="1:10" s="3" customFormat="1" x14ac:dyDescent="0.25">
      <c r="A1817" s="20">
        <v>42082</v>
      </c>
      <c r="B1817" s="21">
        <v>15327</v>
      </c>
      <c r="C1817" s="14" t="s">
        <v>107</v>
      </c>
      <c r="D1817" s="105">
        <v>1751.2</v>
      </c>
      <c r="E1817" s="23">
        <v>42082</v>
      </c>
      <c r="F1817" s="118">
        <v>1751.2</v>
      </c>
      <c r="G1817" s="48">
        <f t="shared" si="28"/>
        <v>0</v>
      </c>
      <c r="H1817" s="56" t="s">
        <v>9</v>
      </c>
      <c r="I1817" s="4"/>
      <c r="J1817" s="123"/>
    </row>
    <row r="1818" spans="1:10" s="3" customFormat="1" x14ac:dyDescent="0.25">
      <c r="A1818" s="20">
        <v>42082</v>
      </c>
      <c r="B1818" s="21">
        <v>15328</v>
      </c>
      <c r="C1818" s="14" t="s">
        <v>254</v>
      </c>
      <c r="D1818" s="105">
        <v>6368.4</v>
      </c>
      <c r="E1818" s="23">
        <v>42082</v>
      </c>
      <c r="F1818" s="118">
        <v>6368.4</v>
      </c>
      <c r="G1818" s="31">
        <f t="shared" si="28"/>
        <v>0</v>
      </c>
      <c r="H1818" s="56" t="s">
        <v>9</v>
      </c>
      <c r="I1818" s="4"/>
      <c r="J1818" s="123"/>
    </row>
    <row r="1819" spans="1:10" s="3" customFormat="1" x14ac:dyDescent="0.25">
      <c r="A1819" s="20">
        <v>42082</v>
      </c>
      <c r="B1819" s="21">
        <v>15329</v>
      </c>
      <c r="C1819" s="14" t="s">
        <v>50</v>
      </c>
      <c r="D1819" s="105">
        <v>544</v>
      </c>
      <c r="E1819" s="23">
        <v>42082</v>
      </c>
      <c r="F1819" s="118">
        <v>544</v>
      </c>
      <c r="G1819" s="31">
        <f t="shared" si="28"/>
        <v>0</v>
      </c>
      <c r="H1819" s="56" t="s">
        <v>41</v>
      </c>
      <c r="I1819" s="4"/>
      <c r="J1819" s="123"/>
    </row>
    <row r="1820" spans="1:10" s="3" customFormat="1" x14ac:dyDescent="0.25">
      <c r="A1820" s="20">
        <v>42082</v>
      </c>
      <c r="B1820" s="21">
        <v>15330</v>
      </c>
      <c r="C1820" s="14" t="s">
        <v>24</v>
      </c>
      <c r="D1820" s="105">
        <v>257587.16</v>
      </c>
      <c r="E1820" s="23">
        <v>42094</v>
      </c>
      <c r="F1820" s="118">
        <v>257587.16</v>
      </c>
      <c r="G1820" s="31">
        <f t="shared" si="28"/>
        <v>0</v>
      </c>
      <c r="H1820" s="56" t="s">
        <v>9</v>
      </c>
      <c r="I1820" s="4"/>
      <c r="J1820" s="123"/>
    </row>
    <row r="1821" spans="1:10" s="3" customFormat="1" x14ac:dyDescent="0.25">
      <c r="A1821" s="20">
        <v>42082</v>
      </c>
      <c r="B1821" s="21">
        <v>15331</v>
      </c>
      <c r="C1821" s="14" t="s">
        <v>136</v>
      </c>
      <c r="D1821" s="105">
        <v>18407.400000000001</v>
      </c>
      <c r="E1821" s="29" t="s">
        <v>893</v>
      </c>
      <c r="F1821" s="118">
        <f>18000+407.4</f>
        <v>18407.400000000001</v>
      </c>
      <c r="G1821" s="31">
        <f t="shared" si="28"/>
        <v>0</v>
      </c>
      <c r="H1821" s="56" t="s">
        <v>9</v>
      </c>
      <c r="I1821" s="4"/>
      <c r="J1821" s="123"/>
    </row>
    <row r="1822" spans="1:10" s="3" customFormat="1" x14ac:dyDescent="0.25">
      <c r="A1822" s="20">
        <v>42082</v>
      </c>
      <c r="B1822" s="21">
        <v>15332</v>
      </c>
      <c r="C1822" s="14" t="s">
        <v>90</v>
      </c>
      <c r="D1822" s="105">
        <v>1708.4</v>
      </c>
      <c r="E1822" s="23">
        <v>42082</v>
      </c>
      <c r="F1822" s="118">
        <v>1708.4</v>
      </c>
      <c r="G1822" s="31">
        <f t="shared" si="28"/>
        <v>0</v>
      </c>
      <c r="H1822" s="56" t="s">
        <v>9</v>
      </c>
      <c r="I1822" s="4"/>
      <c r="J1822" s="123"/>
    </row>
    <row r="1823" spans="1:10" s="3" customFormat="1" x14ac:dyDescent="0.25">
      <c r="A1823" s="20">
        <v>42082</v>
      </c>
      <c r="B1823" s="21">
        <v>15333</v>
      </c>
      <c r="C1823" s="14" t="s">
        <v>111</v>
      </c>
      <c r="D1823" s="105">
        <v>117400</v>
      </c>
      <c r="E1823" s="23">
        <v>42087</v>
      </c>
      <c r="F1823" s="118">
        <v>117400</v>
      </c>
      <c r="G1823" s="31">
        <f t="shared" si="28"/>
        <v>0</v>
      </c>
      <c r="H1823" s="56" t="s">
        <v>9</v>
      </c>
      <c r="I1823" s="4"/>
      <c r="J1823" s="123"/>
    </row>
    <row r="1824" spans="1:10" s="3" customFormat="1" x14ac:dyDescent="0.25">
      <c r="A1824" s="20">
        <v>42082</v>
      </c>
      <c r="B1824" s="21">
        <v>15334</v>
      </c>
      <c r="C1824" s="14" t="s">
        <v>91</v>
      </c>
      <c r="D1824" s="105">
        <v>21156.5</v>
      </c>
      <c r="E1824" s="23">
        <v>42082</v>
      </c>
      <c r="F1824" s="118">
        <v>21156.5</v>
      </c>
      <c r="G1824" s="31">
        <f t="shared" si="28"/>
        <v>0</v>
      </c>
      <c r="H1824" s="56" t="s">
        <v>9</v>
      </c>
      <c r="I1824" s="4"/>
      <c r="J1824" s="123"/>
    </row>
    <row r="1825" spans="1:10" s="3" customFormat="1" x14ac:dyDescent="0.25">
      <c r="A1825" s="20">
        <v>42082</v>
      </c>
      <c r="B1825" s="21">
        <v>15335</v>
      </c>
      <c r="C1825" s="14" t="s">
        <v>58</v>
      </c>
      <c r="D1825" s="105">
        <v>360</v>
      </c>
      <c r="E1825" s="23">
        <v>42082</v>
      </c>
      <c r="F1825" s="118">
        <v>360</v>
      </c>
      <c r="G1825" s="31">
        <f t="shared" si="28"/>
        <v>0</v>
      </c>
      <c r="H1825" s="56" t="s">
        <v>59</v>
      </c>
      <c r="I1825" s="4"/>
      <c r="J1825" s="123"/>
    </row>
    <row r="1826" spans="1:10" s="3" customFormat="1" x14ac:dyDescent="0.25">
      <c r="A1826" s="20">
        <v>42082</v>
      </c>
      <c r="B1826" s="21">
        <v>15336</v>
      </c>
      <c r="C1826" s="14" t="s">
        <v>207</v>
      </c>
      <c r="D1826" s="105">
        <v>22967.25</v>
      </c>
      <c r="E1826" s="23">
        <v>42088</v>
      </c>
      <c r="F1826" s="118">
        <v>22967.25</v>
      </c>
      <c r="G1826" s="31">
        <f t="shared" si="28"/>
        <v>0</v>
      </c>
      <c r="H1826" s="56" t="s">
        <v>149</v>
      </c>
      <c r="I1826" s="4"/>
      <c r="J1826" s="123"/>
    </row>
    <row r="1827" spans="1:10" s="3" customFormat="1" x14ac:dyDescent="0.25">
      <c r="A1827" s="20">
        <v>42082</v>
      </c>
      <c r="B1827" s="21">
        <v>15337</v>
      </c>
      <c r="C1827" s="14" t="s">
        <v>262</v>
      </c>
      <c r="D1827" s="105">
        <v>6942.6</v>
      </c>
      <c r="E1827" s="23">
        <v>42084</v>
      </c>
      <c r="F1827" s="118">
        <v>6942.6</v>
      </c>
      <c r="G1827" s="31">
        <f t="shared" si="28"/>
        <v>0</v>
      </c>
      <c r="H1827" s="56" t="s">
        <v>149</v>
      </c>
      <c r="I1827" s="4"/>
      <c r="J1827" s="123"/>
    </row>
    <row r="1828" spans="1:10" s="3" customFormat="1" x14ac:dyDescent="0.25">
      <c r="A1828" s="20">
        <v>42082</v>
      </c>
      <c r="B1828" s="21">
        <v>15338</v>
      </c>
      <c r="C1828" s="14" t="s">
        <v>199</v>
      </c>
      <c r="D1828" s="105">
        <v>3208</v>
      </c>
      <c r="E1828" s="29" t="s">
        <v>894</v>
      </c>
      <c r="F1828" s="118">
        <f>2500+708</f>
        <v>3208</v>
      </c>
      <c r="G1828" s="31">
        <f t="shared" si="28"/>
        <v>0</v>
      </c>
      <c r="H1828" s="56" t="s">
        <v>149</v>
      </c>
      <c r="I1828" s="4"/>
      <c r="J1828" s="123"/>
    </row>
    <row r="1829" spans="1:10" s="3" customFormat="1" x14ac:dyDescent="0.25">
      <c r="A1829" s="20">
        <v>42082</v>
      </c>
      <c r="B1829" s="21">
        <v>15339</v>
      </c>
      <c r="C1829" s="14" t="s">
        <v>204</v>
      </c>
      <c r="D1829" s="105">
        <v>4160.8</v>
      </c>
      <c r="E1829" s="23">
        <v>42084</v>
      </c>
      <c r="F1829" s="118">
        <v>4160.8</v>
      </c>
      <c r="G1829" s="31">
        <f t="shared" si="28"/>
        <v>0</v>
      </c>
      <c r="H1829" s="56" t="s">
        <v>149</v>
      </c>
      <c r="I1829" s="4"/>
      <c r="J1829" s="123"/>
    </row>
    <row r="1830" spans="1:10" s="3" customFormat="1" x14ac:dyDescent="0.25">
      <c r="A1830" s="20">
        <v>42082</v>
      </c>
      <c r="B1830" s="21">
        <v>15340</v>
      </c>
      <c r="C1830" s="14" t="s">
        <v>574</v>
      </c>
      <c r="D1830" s="105">
        <v>13141.6</v>
      </c>
      <c r="E1830" s="23">
        <v>42084</v>
      </c>
      <c r="F1830" s="118">
        <v>13141.6</v>
      </c>
      <c r="G1830" s="31">
        <f t="shared" si="28"/>
        <v>0</v>
      </c>
      <c r="H1830" s="56" t="s">
        <v>149</v>
      </c>
      <c r="I1830" s="4"/>
      <c r="J1830" s="123"/>
    </row>
    <row r="1831" spans="1:10" s="3" customFormat="1" x14ac:dyDescent="0.25">
      <c r="A1831" s="20">
        <v>42082</v>
      </c>
      <c r="B1831" s="21">
        <v>15341</v>
      </c>
      <c r="C1831" s="14" t="s">
        <v>806</v>
      </c>
      <c r="D1831" s="105">
        <v>14635</v>
      </c>
      <c r="E1831" s="23">
        <v>42084</v>
      </c>
      <c r="F1831" s="118">
        <v>14635</v>
      </c>
      <c r="G1831" s="31">
        <f t="shared" si="28"/>
        <v>0</v>
      </c>
      <c r="H1831" s="56" t="s">
        <v>149</v>
      </c>
      <c r="I1831" s="4"/>
      <c r="J1831" s="123"/>
    </row>
    <row r="1832" spans="1:10" s="3" customFormat="1" x14ac:dyDescent="0.25">
      <c r="A1832" s="20">
        <v>42082</v>
      </c>
      <c r="B1832" s="21">
        <v>15342</v>
      </c>
      <c r="C1832" s="14" t="s">
        <v>877</v>
      </c>
      <c r="D1832" s="105">
        <v>4269.1000000000004</v>
      </c>
      <c r="E1832" s="23">
        <v>42084</v>
      </c>
      <c r="F1832" s="118">
        <v>4269.1000000000004</v>
      </c>
      <c r="G1832" s="31">
        <f t="shared" si="28"/>
        <v>0</v>
      </c>
      <c r="H1832" s="56" t="s">
        <v>149</v>
      </c>
      <c r="I1832" s="4"/>
      <c r="J1832" s="123"/>
    </row>
    <row r="1833" spans="1:10" s="3" customFormat="1" x14ac:dyDescent="0.25">
      <c r="A1833" s="20">
        <v>42082</v>
      </c>
      <c r="B1833" s="21">
        <v>15343</v>
      </c>
      <c r="C1833" s="14" t="s">
        <v>552</v>
      </c>
      <c r="D1833" s="105">
        <v>1718.2</v>
      </c>
      <c r="E1833" s="23">
        <v>42084</v>
      </c>
      <c r="F1833" s="118">
        <v>1718.2</v>
      </c>
      <c r="G1833" s="31">
        <f t="shared" si="28"/>
        <v>0</v>
      </c>
      <c r="H1833" s="56" t="s">
        <v>149</v>
      </c>
      <c r="I1833" s="4"/>
      <c r="J1833" s="123"/>
    </row>
    <row r="1834" spans="1:10" s="3" customFormat="1" x14ac:dyDescent="0.25">
      <c r="A1834" s="20">
        <v>42082</v>
      </c>
      <c r="B1834" s="21">
        <v>15344</v>
      </c>
      <c r="C1834" s="14" t="s">
        <v>122</v>
      </c>
      <c r="D1834" s="105">
        <v>5133.2</v>
      </c>
      <c r="E1834" s="23">
        <v>42082</v>
      </c>
      <c r="F1834" s="118">
        <v>5133.2</v>
      </c>
      <c r="G1834" s="31">
        <f t="shared" si="28"/>
        <v>0</v>
      </c>
      <c r="H1834" s="56" t="s">
        <v>9</v>
      </c>
      <c r="I1834" s="4"/>
      <c r="J1834" s="123"/>
    </row>
    <row r="1835" spans="1:10" s="3" customFormat="1" x14ac:dyDescent="0.25">
      <c r="A1835" s="20">
        <v>42082</v>
      </c>
      <c r="B1835" s="21">
        <v>15345</v>
      </c>
      <c r="C1835" s="14" t="s">
        <v>198</v>
      </c>
      <c r="D1835" s="105">
        <v>16057.5</v>
      </c>
      <c r="E1835" s="23">
        <v>42084</v>
      </c>
      <c r="F1835" s="118">
        <v>16057.5</v>
      </c>
      <c r="G1835" s="31">
        <f t="shared" si="28"/>
        <v>0</v>
      </c>
      <c r="H1835" s="56" t="s">
        <v>149</v>
      </c>
      <c r="I1835" s="4"/>
      <c r="J1835" s="123"/>
    </row>
    <row r="1836" spans="1:10" s="3" customFormat="1" x14ac:dyDescent="0.25">
      <c r="A1836" s="20">
        <v>42082</v>
      </c>
      <c r="B1836" s="21">
        <v>15346</v>
      </c>
      <c r="C1836" s="14" t="s">
        <v>733</v>
      </c>
      <c r="D1836" s="105">
        <v>4134.3999999999996</v>
      </c>
      <c r="E1836" s="23">
        <v>42084</v>
      </c>
      <c r="F1836" s="118">
        <v>4134.3999999999996</v>
      </c>
      <c r="G1836" s="31">
        <f t="shared" si="28"/>
        <v>0</v>
      </c>
      <c r="H1836" s="56" t="s">
        <v>46</v>
      </c>
      <c r="I1836" s="4"/>
      <c r="J1836" s="123"/>
    </row>
    <row r="1837" spans="1:10" s="3" customFormat="1" x14ac:dyDescent="0.25">
      <c r="A1837" s="20">
        <v>42082</v>
      </c>
      <c r="B1837" s="21">
        <v>15347</v>
      </c>
      <c r="C1837" s="14" t="s">
        <v>732</v>
      </c>
      <c r="D1837" s="105">
        <v>5288.35</v>
      </c>
      <c r="E1837" s="23">
        <v>42084</v>
      </c>
      <c r="F1837" s="118">
        <v>5288.35</v>
      </c>
      <c r="G1837" s="31">
        <f t="shared" si="28"/>
        <v>0</v>
      </c>
      <c r="H1837" s="56" t="s">
        <v>149</v>
      </c>
      <c r="I1837" s="4"/>
      <c r="J1837" s="123"/>
    </row>
    <row r="1838" spans="1:10" s="3" customFormat="1" x14ac:dyDescent="0.25">
      <c r="A1838" s="20">
        <v>42082</v>
      </c>
      <c r="B1838" s="21">
        <v>15348</v>
      </c>
      <c r="C1838" s="14" t="s">
        <v>552</v>
      </c>
      <c r="D1838" s="105">
        <v>14934.25</v>
      </c>
      <c r="E1838" s="23">
        <v>42084</v>
      </c>
      <c r="F1838" s="118">
        <v>14934.25</v>
      </c>
      <c r="G1838" s="31">
        <f t="shared" si="28"/>
        <v>0</v>
      </c>
      <c r="H1838" s="56" t="s">
        <v>149</v>
      </c>
      <c r="I1838" s="4"/>
      <c r="J1838" s="123"/>
    </row>
    <row r="1839" spans="1:10" s="3" customFormat="1" x14ac:dyDescent="0.25">
      <c r="A1839" s="20">
        <v>42082</v>
      </c>
      <c r="B1839" s="21">
        <v>15349</v>
      </c>
      <c r="C1839" s="14" t="s">
        <v>350</v>
      </c>
      <c r="D1839" s="105">
        <v>2215.6</v>
      </c>
      <c r="E1839" s="23">
        <v>42084</v>
      </c>
      <c r="F1839" s="118">
        <v>2215.6</v>
      </c>
      <c r="G1839" s="31">
        <f t="shared" si="28"/>
        <v>0</v>
      </c>
      <c r="H1839" s="56" t="s">
        <v>149</v>
      </c>
      <c r="I1839" s="4"/>
      <c r="J1839" s="123"/>
    </row>
    <row r="1840" spans="1:10" s="3" customFormat="1" x14ac:dyDescent="0.25">
      <c r="A1840" s="20">
        <v>42082</v>
      </c>
      <c r="B1840" s="21">
        <v>15350</v>
      </c>
      <c r="C1840" s="14" t="s">
        <v>420</v>
      </c>
      <c r="D1840" s="105">
        <v>7198.6</v>
      </c>
      <c r="E1840" s="23">
        <v>42084</v>
      </c>
      <c r="F1840" s="118">
        <v>7198.6</v>
      </c>
      <c r="G1840" s="31">
        <f t="shared" si="28"/>
        <v>0</v>
      </c>
      <c r="H1840" s="56" t="s">
        <v>149</v>
      </c>
      <c r="I1840" s="4"/>
      <c r="J1840" s="123"/>
    </row>
    <row r="1841" spans="1:10" s="3" customFormat="1" x14ac:dyDescent="0.25">
      <c r="A1841" s="20">
        <v>42082</v>
      </c>
      <c r="B1841" s="21">
        <v>15351</v>
      </c>
      <c r="C1841" s="14" t="s">
        <v>895</v>
      </c>
      <c r="D1841" s="105">
        <v>3060.6</v>
      </c>
      <c r="E1841" s="23">
        <v>42084</v>
      </c>
      <c r="F1841" s="118">
        <v>3060.6</v>
      </c>
      <c r="G1841" s="31">
        <f t="shared" si="28"/>
        <v>0</v>
      </c>
      <c r="H1841" s="56" t="s">
        <v>149</v>
      </c>
      <c r="I1841" s="4"/>
      <c r="J1841" s="123"/>
    </row>
    <row r="1842" spans="1:10" s="3" customFormat="1" x14ac:dyDescent="0.25">
      <c r="A1842" s="20">
        <v>42082</v>
      </c>
      <c r="B1842" s="21">
        <v>15352</v>
      </c>
      <c r="C1842" s="14" t="s">
        <v>195</v>
      </c>
      <c r="D1842" s="105">
        <v>73797.16</v>
      </c>
      <c r="E1842" s="23">
        <v>42088</v>
      </c>
      <c r="F1842" s="118">
        <v>73797.16</v>
      </c>
      <c r="G1842" s="31">
        <f t="shared" si="28"/>
        <v>0</v>
      </c>
      <c r="H1842" s="56" t="s">
        <v>149</v>
      </c>
      <c r="I1842" s="4"/>
      <c r="J1842" s="123"/>
    </row>
    <row r="1843" spans="1:10" s="3" customFormat="1" x14ac:dyDescent="0.25">
      <c r="A1843" s="20">
        <v>42082</v>
      </c>
      <c r="B1843" s="21">
        <v>15353</v>
      </c>
      <c r="C1843" s="14" t="s">
        <v>195</v>
      </c>
      <c r="D1843" s="105">
        <v>43684.75</v>
      </c>
      <c r="E1843" s="23">
        <v>42088</v>
      </c>
      <c r="F1843" s="118">
        <v>43684.75</v>
      </c>
      <c r="G1843" s="31">
        <f t="shared" si="28"/>
        <v>0</v>
      </c>
      <c r="H1843" s="56" t="s">
        <v>149</v>
      </c>
      <c r="I1843" s="4"/>
      <c r="J1843" s="123"/>
    </row>
    <row r="1844" spans="1:10" s="3" customFormat="1" x14ac:dyDescent="0.25">
      <c r="A1844" s="20">
        <v>42082</v>
      </c>
      <c r="B1844" s="21">
        <v>15354</v>
      </c>
      <c r="C1844" s="14" t="s">
        <v>799</v>
      </c>
      <c r="D1844" s="105">
        <v>3945.6</v>
      </c>
      <c r="E1844" s="23">
        <v>42084</v>
      </c>
      <c r="F1844" s="118">
        <v>3945.6</v>
      </c>
      <c r="G1844" s="31">
        <f t="shared" si="28"/>
        <v>0</v>
      </c>
      <c r="H1844" s="56" t="s">
        <v>149</v>
      </c>
      <c r="I1844" s="4"/>
      <c r="J1844" s="123"/>
    </row>
    <row r="1845" spans="1:10" s="3" customFormat="1" x14ac:dyDescent="0.25">
      <c r="A1845" s="20">
        <v>42082</v>
      </c>
      <c r="B1845" s="21">
        <v>15355</v>
      </c>
      <c r="C1845" s="14" t="s">
        <v>265</v>
      </c>
      <c r="D1845" s="105">
        <v>3592.25</v>
      </c>
      <c r="E1845" s="23">
        <v>42082</v>
      </c>
      <c r="F1845" s="118">
        <v>3592.25</v>
      </c>
      <c r="G1845" s="31">
        <f t="shared" si="28"/>
        <v>0</v>
      </c>
      <c r="H1845" s="56" t="s">
        <v>9</v>
      </c>
      <c r="I1845" s="4"/>
      <c r="J1845" s="123"/>
    </row>
    <row r="1846" spans="1:10" s="3" customFormat="1" x14ac:dyDescent="0.25">
      <c r="A1846" s="20">
        <v>42082</v>
      </c>
      <c r="B1846" s="21">
        <v>15356</v>
      </c>
      <c r="C1846" s="14" t="s">
        <v>265</v>
      </c>
      <c r="D1846" s="105">
        <v>355.1</v>
      </c>
      <c r="E1846" s="23">
        <v>42082</v>
      </c>
      <c r="F1846" s="118">
        <v>355.1</v>
      </c>
      <c r="G1846" s="31">
        <f t="shared" si="28"/>
        <v>0</v>
      </c>
      <c r="H1846" s="56" t="s">
        <v>9</v>
      </c>
      <c r="I1846" s="4"/>
      <c r="J1846" s="123"/>
    </row>
    <row r="1847" spans="1:10" s="3" customFormat="1" x14ac:dyDescent="0.25">
      <c r="A1847" s="20">
        <v>42082</v>
      </c>
      <c r="B1847" s="21">
        <v>15357</v>
      </c>
      <c r="C1847" s="14" t="s">
        <v>896</v>
      </c>
      <c r="D1847" s="105">
        <v>7329.6</v>
      </c>
      <c r="E1847" s="23">
        <v>42082</v>
      </c>
      <c r="F1847" s="118">
        <v>7329.6</v>
      </c>
      <c r="G1847" s="31">
        <f t="shared" si="28"/>
        <v>0</v>
      </c>
      <c r="H1847" s="56" t="s">
        <v>9</v>
      </c>
      <c r="I1847" s="4"/>
      <c r="J1847" s="123"/>
    </row>
    <row r="1848" spans="1:10" s="3" customFormat="1" x14ac:dyDescent="0.25">
      <c r="A1848" s="20">
        <v>42082</v>
      </c>
      <c r="B1848" s="21">
        <v>15358</v>
      </c>
      <c r="C1848" s="14" t="s">
        <v>33</v>
      </c>
      <c r="D1848" s="105">
        <v>832</v>
      </c>
      <c r="E1848" s="23">
        <v>42082</v>
      </c>
      <c r="F1848" s="118">
        <v>832</v>
      </c>
      <c r="G1848" s="31">
        <f t="shared" si="28"/>
        <v>0</v>
      </c>
      <c r="H1848" s="56" t="s">
        <v>9</v>
      </c>
      <c r="I1848" s="4"/>
      <c r="J1848" s="123"/>
    </row>
    <row r="1849" spans="1:10" s="3" customFormat="1" x14ac:dyDescent="0.25">
      <c r="A1849" s="20">
        <v>42082</v>
      </c>
      <c r="B1849" s="21">
        <v>15359</v>
      </c>
      <c r="C1849" s="14" t="s">
        <v>851</v>
      </c>
      <c r="D1849" s="105">
        <v>1747.6</v>
      </c>
      <c r="E1849" s="23">
        <v>42083</v>
      </c>
      <c r="F1849" s="118">
        <v>1747.6</v>
      </c>
      <c r="G1849" s="31">
        <f t="shared" si="28"/>
        <v>0</v>
      </c>
      <c r="H1849" s="56" t="s">
        <v>41</v>
      </c>
      <c r="I1849" s="4"/>
      <c r="J1849" s="123"/>
    </row>
    <row r="1850" spans="1:10" s="3" customFormat="1" x14ac:dyDescent="0.25">
      <c r="A1850" s="20">
        <v>42082</v>
      </c>
      <c r="B1850" s="21">
        <v>15360</v>
      </c>
      <c r="C1850" s="14" t="s">
        <v>454</v>
      </c>
      <c r="D1850" s="105">
        <v>1366.8</v>
      </c>
      <c r="E1850" s="23">
        <v>42083</v>
      </c>
      <c r="F1850" s="118">
        <v>1366.8</v>
      </c>
      <c r="G1850" s="31">
        <f t="shared" si="28"/>
        <v>0</v>
      </c>
      <c r="H1850" s="56" t="s">
        <v>41</v>
      </c>
      <c r="I1850" s="4"/>
      <c r="J1850" s="123"/>
    </row>
    <row r="1851" spans="1:10" s="3" customFormat="1" x14ac:dyDescent="0.25">
      <c r="A1851" s="20">
        <v>42082</v>
      </c>
      <c r="B1851" s="21">
        <v>15361</v>
      </c>
      <c r="C1851" s="14" t="s">
        <v>697</v>
      </c>
      <c r="D1851" s="105">
        <v>9492.7999999999993</v>
      </c>
      <c r="E1851" s="30" t="s">
        <v>769</v>
      </c>
      <c r="F1851" s="118">
        <v>9492.7999999999993</v>
      </c>
      <c r="G1851" s="31">
        <f t="shared" si="28"/>
        <v>0</v>
      </c>
      <c r="H1851" s="56" t="s">
        <v>19</v>
      </c>
      <c r="I1851" s="4"/>
      <c r="J1851" s="123"/>
    </row>
    <row r="1852" spans="1:10" s="3" customFormat="1" x14ac:dyDescent="0.25">
      <c r="A1852" s="20">
        <v>42083</v>
      </c>
      <c r="B1852" s="21">
        <v>15362</v>
      </c>
      <c r="C1852" s="26" t="s">
        <v>218</v>
      </c>
      <c r="D1852" s="108">
        <v>0</v>
      </c>
      <c r="E1852" s="23"/>
      <c r="F1852" s="118"/>
      <c r="G1852" s="31">
        <f t="shared" si="28"/>
        <v>0</v>
      </c>
      <c r="H1852" s="56" t="s">
        <v>13</v>
      </c>
      <c r="I1852" s="4"/>
      <c r="J1852" s="123"/>
    </row>
    <row r="1853" spans="1:10" s="3" customFormat="1" x14ac:dyDescent="0.25">
      <c r="A1853" s="20">
        <v>42083</v>
      </c>
      <c r="B1853" s="21">
        <v>15363</v>
      </c>
      <c r="C1853" s="14" t="s">
        <v>16</v>
      </c>
      <c r="D1853" s="105">
        <v>10142.200000000001</v>
      </c>
      <c r="E1853" s="23">
        <v>42083</v>
      </c>
      <c r="F1853" s="118">
        <v>10142.200000000001</v>
      </c>
      <c r="G1853" s="31">
        <f t="shared" si="28"/>
        <v>0</v>
      </c>
      <c r="H1853" s="56" t="s">
        <v>17</v>
      </c>
      <c r="I1853" s="4"/>
      <c r="J1853" s="123"/>
    </row>
    <row r="1854" spans="1:10" s="3" customFormat="1" x14ac:dyDescent="0.25">
      <c r="A1854" s="20">
        <v>42083</v>
      </c>
      <c r="B1854" s="21">
        <v>15364</v>
      </c>
      <c r="C1854" s="14" t="s">
        <v>18</v>
      </c>
      <c r="D1854" s="105">
        <v>41700.5</v>
      </c>
      <c r="E1854" s="23">
        <v>42087</v>
      </c>
      <c r="F1854" s="118">
        <v>41700.5</v>
      </c>
      <c r="G1854" s="31">
        <f t="shared" si="28"/>
        <v>0</v>
      </c>
      <c r="H1854" s="56" t="s">
        <v>9</v>
      </c>
      <c r="I1854" s="4"/>
      <c r="J1854" s="123"/>
    </row>
    <row r="1855" spans="1:10" s="3" customFormat="1" x14ac:dyDescent="0.25">
      <c r="A1855" s="20">
        <v>42083</v>
      </c>
      <c r="B1855" s="21">
        <v>15365</v>
      </c>
      <c r="C1855" s="14" t="s">
        <v>267</v>
      </c>
      <c r="D1855" s="105">
        <v>1835.08</v>
      </c>
      <c r="E1855" s="23">
        <v>42083</v>
      </c>
      <c r="F1855" s="118">
        <v>1835.08</v>
      </c>
      <c r="G1855" s="31">
        <f t="shared" si="28"/>
        <v>0</v>
      </c>
      <c r="H1855" s="56" t="s">
        <v>17</v>
      </c>
      <c r="I1855" s="4"/>
      <c r="J1855" s="123"/>
    </row>
    <row r="1856" spans="1:10" s="3" customFormat="1" x14ac:dyDescent="0.25">
      <c r="A1856" s="20">
        <v>42083</v>
      </c>
      <c r="B1856" s="21">
        <v>15366</v>
      </c>
      <c r="C1856" s="14" t="s">
        <v>86</v>
      </c>
      <c r="D1856" s="105">
        <v>510.9</v>
      </c>
      <c r="E1856" s="23">
        <v>42083</v>
      </c>
      <c r="F1856" s="118">
        <v>510.9</v>
      </c>
      <c r="G1856" s="31">
        <f t="shared" si="28"/>
        <v>0</v>
      </c>
      <c r="H1856" s="56" t="s">
        <v>9</v>
      </c>
      <c r="I1856" s="4"/>
      <c r="J1856" s="123"/>
    </row>
    <row r="1857" spans="1:10" s="3" customFormat="1" x14ac:dyDescent="0.25">
      <c r="A1857" s="20">
        <v>42083</v>
      </c>
      <c r="B1857" s="21">
        <v>15367</v>
      </c>
      <c r="C1857" s="14" t="s">
        <v>367</v>
      </c>
      <c r="D1857" s="105">
        <v>37683</v>
      </c>
      <c r="E1857" s="30">
        <v>42096</v>
      </c>
      <c r="F1857" s="145">
        <v>37683</v>
      </c>
      <c r="G1857" s="31">
        <f t="shared" si="28"/>
        <v>0</v>
      </c>
      <c r="H1857" s="56" t="s">
        <v>187</v>
      </c>
      <c r="I1857" s="4"/>
      <c r="J1857" s="123"/>
    </row>
    <row r="1858" spans="1:10" s="3" customFormat="1" x14ac:dyDescent="0.25">
      <c r="A1858" s="20">
        <v>42083</v>
      </c>
      <c r="B1858" s="21">
        <v>15368</v>
      </c>
      <c r="C1858" s="14" t="s">
        <v>14</v>
      </c>
      <c r="D1858" s="105">
        <v>20430.400000000001</v>
      </c>
      <c r="E1858" s="23">
        <v>42089</v>
      </c>
      <c r="F1858" s="118">
        <v>20430.400000000001</v>
      </c>
      <c r="G1858" s="31">
        <f t="shared" si="28"/>
        <v>0</v>
      </c>
      <c r="H1858" s="56" t="s">
        <v>15</v>
      </c>
      <c r="I1858" s="4"/>
      <c r="J1858" s="123"/>
    </row>
    <row r="1859" spans="1:10" s="3" customFormat="1" x14ac:dyDescent="0.25">
      <c r="A1859" s="20">
        <v>42083</v>
      </c>
      <c r="B1859" s="21">
        <v>15369</v>
      </c>
      <c r="C1859" s="14" t="s">
        <v>24</v>
      </c>
      <c r="D1859" s="105">
        <v>26692.400000000001</v>
      </c>
      <c r="E1859" s="30">
        <v>42108</v>
      </c>
      <c r="F1859" s="145">
        <v>26692.400000000001</v>
      </c>
      <c r="G1859" s="31">
        <f t="shared" ref="G1859:G1922" si="29">D1859-F1859</f>
        <v>0</v>
      </c>
      <c r="H1859" s="56" t="s">
        <v>19</v>
      </c>
      <c r="I1859" s="4"/>
      <c r="J1859" s="123"/>
    </row>
    <row r="1860" spans="1:10" s="3" customFormat="1" x14ac:dyDescent="0.25">
      <c r="A1860" s="20">
        <v>42083</v>
      </c>
      <c r="B1860" s="21">
        <v>15370</v>
      </c>
      <c r="C1860" s="14" t="s">
        <v>20</v>
      </c>
      <c r="D1860" s="105">
        <v>11530.4</v>
      </c>
      <c r="E1860" s="23">
        <v>42083</v>
      </c>
      <c r="F1860" s="118">
        <v>11530.4</v>
      </c>
      <c r="G1860" s="31">
        <f t="shared" si="29"/>
        <v>0</v>
      </c>
      <c r="H1860" s="56" t="s">
        <v>94</v>
      </c>
      <c r="I1860" s="4"/>
      <c r="J1860" s="123"/>
    </row>
    <row r="1861" spans="1:10" s="3" customFormat="1" x14ac:dyDescent="0.25">
      <c r="A1861" s="20">
        <v>42083</v>
      </c>
      <c r="B1861" s="21">
        <v>15371</v>
      </c>
      <c r="C1861" s="14" t="s">
        <v>863</v>
      </c>
      <c r="D1861" s="105">
        <v>8567.7999999999993</v>
      </c>
      <c r="E1861" s="23">
        <v>42083</v>
      </c>
      <c r="F1861" s="106">
        <v>8567.7999999999993</v>
      </c>
      <c r="G1861" s="31">
        <f t="shared" si="29"/>
        <v>0</v>
      </c>
      <c r="H1861" s="39" t="s">
        <v>9</v>
      </c>
      <c r="I1861" s="4"/>
      <c r="J1861" s="123"/>
    </row>
    <row r="1862" spans="1:10" s="3" customFormat="1" x14ac:dyDescent="0.25">
      <c r="A1862" s="20">
        <v>42083</v>
      </c>
      <c r="B1862" s="21">
        <v>15372</v>
      </c>
      <c r="C1862" s="14" t="s">
        <v>897</v>
      </c>
      <c r="D1862" s="105">
        <v>4524</v>
      </c>
      <c r="E1862" s="23">
        <v>42083</v>
      </c>
      <c r="F1862" s="106">
        <v>4524</v>
      </c>
      <c r="G1862" s="31">
        <f t="shared" si="29"/>
        <v>0</v>
      </c>
      <c r="H1862" s="39" t="s">
        <v>9</v>
      </c>
      <c r="I1862" s="4"/>
      <c r="J1862" s="123"/>
    </row>
    <row r="1863" spans="1:10" s="3" customFormat="1" x14ac:dyDescent="0.25">
      <c r="A1863" s="20">
        <v>42083</v>
      </c>
      <c r="B1863" s="21">
        <v>15373</v>
      </c>
      <c r="C1863" s="14" t="s">
        <v>22</v>
      </c>
      <c r="D1863" s="105">
        <v>3871.2</v>
      </c>
      <c r="E1863" s="23">
        <v>42083</v>
      </c>
      <c r="F1863" s="106">
        <v>3871.2</v>
      </c>
      <c r="G1863" s="31">
        <f t="shared" si="29"/>
        <v>0</v>
      </c>
      <c r="H1863" s="39" t="s">
        <v>9</v>
      </c>
      <c r="I1863" s="4"/>
      <c r="J1863" s="123"/>
    </row>
    <row r="1864" spans="1:10" s="3" customFormat="1" x14ac:dyDescent="0.25">
      <c r="A1864" s="20">
        <v>42083</v>
      </c>
      <c r="B1864" s="21">
        <v>15374</v>
      </c>
      <c r="C1864" s="14" t="s">
        <v>265</v>
      </c>
      <c r="D1864" s="105">
        <v>8231.7000000000007</v>
      </c>
      <c r="E1864" s="23">
        <v>42083</v>
      </c>
      <c r="F1864" s="106">
        <v>8231.7000000000007</v>
      </c>
      <c r="G1864" s="31">
        <f t="shared" si="29"/>
        <v>0</v>
      </c>
      <c r="H1864" s="39" t="s">
        <v>9</v>
      </c>
      <c r="I1864" s="4"/>
      <c r="J1864" s="123"/>
    </row>
    <row r="1865" spans="1:10" s="3" customFormat="1" x14ac:dyDescent="0.25">
      <c r="A1865" s="20">
        <v>42083</v>
      </c>
      <c r="B1865" s="21">
        <v>15375</v>
      </c>
      <c r="C1865" s="14" t="s">
        <v>697</v>
      </c>
      <c r="D1865" s="105">
        <v>10800</v>
      </c>
      <c r="E1865" s="30" t="s">
        <v>769</v>
      </c>
      <c r="F1865" s="106">
        <v>10800</v>
      </c>
      <c r="G1865" s="31">
        <f t="shared" si="29"/>
        <v>0</v>
      </c>
      <c r="H1865" s="39" t="s">
        <v>9</v>
      </c>
      <c r="I1865" s="4"/>
      <c r="J1865" s="123"/>
    </row>
    <row r="1866" spans="1:10" s="3" customFormat="1" x14ac:dyDescent="0.25">
      <c r="A1866" s="20">
        <v>42083</v>
      </c>
      <c r="B1866" s="21">
        <v>15376</v>
      </c>
      <c r="C1866" s="26" t="s">
        <v>218</v>
      </c>
      <c r="D1866" s="108">
        <v>0</v>
      </c>
      <c r="E1866" s="23"/>
      <c r="F1866" s="106"/>
      <c r="G1866" s="31">
        <f t="shared" si="29"/>
        <v>0</v>
      </c>
      <c r="H1866" s="39" t="s">
        <v>13</v>
      </c>
      <c r="I1866" s="4"/>
      <c r="J1866" s="123"/>
    </row>
    <row r="1867" spans="1:10" s="3" customFormat="1" x14ac:dyDescent="0.25">
      <c r="A1867" s="20">
        <v>42083</v>
      </c>
      <c r="B1867" s="21">
        <v>15377</v>
      </c>
      <c r="C1867" s="14" t="s">
        <v>697</v>
      </c>
      <c r="D1867" s="105">
        <v>5464.8</v>
      </c>
      <c r="E1867" s="74" t="s">
        <v>769</v>
      </c>
      <c r="F1867" s="106">
        <v>5464.8</v>
      </c>
      <c r="G1867" s="31">
        <f t="shared" si="29"/>
        <v>0</v>
      </c>
      <c r="H1867" s="39" t="s">
        <v>773</v>
      </c>
      <c r="I1867" s="4"/>
      <c r="J1867" s="123"/>
    </row>
    <row r="1868" spans="1:10" s="3" customFormat="1" x14ac:dyDescent="0.25">
      <c r="A1868" s="20">
        <v>42083</v>
      </c>
      <c r="B1868" s="21">
        <v>15378</v>
      </c>
      <c r="C1868" s="14" t="s">
        <v>21</v>
      </c>
      <c r="D1868" s="105">
        <v>6811.9</v>
      </c>
      <c r="E1868" s="65">
        <v>42083</v>
      </c>
      <c r="F1868" s="106">
        <v>6811.9</v>
      </c>
      <c r="G1868" s="31">
        <f t="shared" si="29"/>
        <v>0</v>
      </c>
      <c r="H1868" s="39" t="s">
        <v>9</v>
      </c>
      <c r="I1868" s="4"/>
      <c r="J1868" s="123"/>
    </row>
    <row r="1869" spans="1:10" s="3" customFormat="1" x14ac:dyDescent="0.25">
      <c r="A1869" s="20">
        <v>42083</v>
      </c>
      <c r="B1869" s="21">
        <v>15379</v>
      </c>
      <c r="C1869" s="14" t="s">
        <v>112</v>
      </c>
      <c r="D1869" s="105">
        <v>5177.6000000000004</v>
      </c>
      <c r="E1869" s="65">
        <v>42083</v>
      </c>
      <c r="F1869" s="106">
        <v>5177.6000000000004</v>
      </c>
      <c r="G1869" s="31">
        <f t="shared" si="29"/>
        <v>0</v>
      </c>
      <c r="H1869" s="39" t="s">
        <v>9</v>
      </c>
      <c r="I1869" s="4"/>
      <c r="J1869" s="123"/>
    </row>
    <row r="1870" spans="1:10" s="3" customFormat="1" x14ac:dyDescent="0.25">
      <c r="A1870" s="20">
        <v>42083</v>
      </c>
      <c r="B1870" s="21">
        <v>15380</v>
      </c>
      <c r="C1870" s="14" t="s">
        <v>158</v>
      </c>
      <c r="D1870" s="105">
        <v>1744.2</v>
      </c>
      <c r="E1870" s="65">
        <v>42083</v>
      </c>
      <c r="F1870" s="106">
        <v>1744.2</v>
      </c>
      <c r="G1870" s="31">
        <f t="shared" si="29"/>
        <v>0</v>
      </c>
      <c r="H1870" s="39" t="s">
        <v>9</v>
      </c>
      <c r="I1870" s="4"/>
      <c r="J1870" s="123"/>
    </row>
    <row r="1871" spans="1:10" s="3" customFormat="1" x14ac:dyDescent="0.25">
      <c r="A1871" s="20">
        <v>42083</v>
      </c>
      <c r="B1871" s="21">
        <v>15381</v>
      </c>
      <c r="C1871" s="14" t="s">
        <v>14</v>
      </c>
      <c r="D1871" s="105">
        <v>82562.25</v>
      </c>
      <c r="E1871" s="65">
        <v>42089</v>
      </c>
      <c r="F1871" s="106">
        <v>82562.25</v>
      </c>
      <c r="G1871" s="31">
        <f t="shared" si="29"/>
        <v>0</v>
      </c>
      <c r="H1871" s="19" t="s">
        <v>183</v>
      </c>
      <c r="I1871" s="4"/>
      <c r="J1871" s="123"/>
    </row>
    <row r="1872" spans="1:10" s="3" customFormat="1" x14ac:dyDescent="0.25">
      <c r="A1872" s="20">
        <v>42083</v>
      </c>
      <c r="B1872" s="21">
        <v>15382</v>
      </c>
      <c r="C1872" s="14" t="s">
        <v>78</v>
      </c>
      <c r="D1872" s="105">
        <v>8965.7999999999993</v>
      </c>
      <c r="E1872" s="65">
        <v>42085</v>
      </c>
      <c r="F1872" s="106">
        <v>8965.7999999999993</v>
      </c>
      <c r="G1872" s="31">
        <f t="shared" si="29"/>
        <v>0</v>
      </c>
      <c r="H1872" s="19" t="s">
        <v>62</v>
      </c>
      <c r="I1872" s="4"/>
      <c r="J1872" s="123"/>
    </row>
    <row r="1873" spans="1:10" s="3" customFormat="1" x14ac:dyDescent="0.25">
      <c r="A1873" s="20">
        <v>42083</v>
      </c>
      <c r="B1873" s="21">
        <v>15383</v>
      </c>
      <c r="C1873" s="14" t="s">
        <v>135</v>
      </c>
      <c r="D1873" s="105">
        <v>20296.900000000001</v>
      </c>
      <c r="E1873" s="65">
        <v>42083</v>
      </c>
      <c r="F1873" s="106">
        <v>20296.900000000001</v>
      </c>
      <c r="G1873" s="31">
        <f t="shared" si="29"/>
        <v>0</v>
      </c>
      <c r="H1873" s="19" t="s">
        <v>9</v>
      </c>
      <c r="I1873" s="4"/>
      <c r="J1873" s="123"/>
    </row>
    <row r="1874" spans="1:10" s="3" customFormat="1" x14ac:dyDescent="0.25">
      <c r="A1874" s="20">
        <v>42083</v>
      </c>
      <c r="B1874" s="21">
        <v>15384</v>
      </c>
      <c r="C1874" s="14" t="s">
        <v>67</v>
      </c>
      <c r="D1874" s="105">
        <v>4119.3999999999996</v>
      </c>
      <c r="E1874" s="65">
        <v>42085</v>
      </c>
      <c r="F1874" s="106">
        <v>4119.3999999999996</v>
      </c>
      <c r="G1874" s="31">
        <f t="shared" si="29"/>
        <v>0</v>
      </c>
      <c r="H1874" s="19" t="s">
        <v>62</v>
      </c>
      <c r="I1874" s="4"/>
      <c r="J1874" s="123"/>
    </row>
    <row r="1875" spans="1:10" s="3" customFormat="1" x14ac:dyDescent="0.25">
      <c r="A1875" s="20">
        <v>42083</v>
      </c>
      <c r="B1875" s="21">
        <v>15385</v>
      </c>
      <c r="C1875" s="14" t="s">
        <v>170</v>
      </c>
      <c r="D1875" s="105">
        <v>3326.4</v>
      </c>
      <c r="E1875" s="65">
        <v>42085</v>
      </c>
      <c r="F1875" s="106">
        <v>3326.4</v>
      </c>
      <c r="G1875" s="31">
        <f t="shared" si="29"/>
        <v>0</v>
      </c>
      <c r="H1875" s="19" t="s">
        <v>62</v>
      </c>
      <c r="I1875" s="4"/>
      <c r="J1875" s="123"/>
    </row>
    <row r="1876" spans="1:10" s="3" customFormat="1" x14ac:dyDescent="0.25">
      <c r="A1876" s="20">
        <v>42083</v>
      </c>
      <c r="B1876" s="21">
        <v>15386</v>
      </c>
      <c r="C1876" s="14" t="s">
        <v>32</v>
      </c>
      <c r="D1876" s="105">
        <v>177811.20000000001</v>
      </c>
      <c r="E1876" s="65">
        <v>42089</v>
      </c>
      <c r="F1876" s="106">
        <v>177811.20000000001</v>
      </c>
      <c r="G1876" s="31">
        <f t="shared" si="29"/>
        <v>0</v>
      </c>
      <c r="H1876" s="19" t="s">
        <v>19</v>
      </c>
      <c r="I1876" s="4"/>
      <c r="J1876" s="123"/>
    </row>
    <row r="1877" spans="1:10" s="3" customFormat="1" x14ac:dyDescent="0.25">
      <c r="A1877" s="20">
        <v>42083</v>
      </c>
      <c r="B1877" s="21">
        <v>15387</v>
      </c>
      <c r="C1877" s="14" t="s">
        <v>145</v>
      </c>
      <c r="D1877" s="105">
        <v>4028</v>
      </c>
      <c r="E1877" s="65">
        <v>42083</v>
      </c>
      <c r="F1877" s="106">
        <v>4028</v>
      </c>
      <c r="G1877" s="31">
        <f t="shared" si="29"/>
        <v>0</v>
      </c>
      <c r="H1877" s="19" t="s">
        <v>9</v>
      </c>
      <c r="I1877" s="4"/>
      <c r="J1877" s="123"/>
    </row>
    <row r="1878" spans="1:10" s="3" customFormat="1" x14ac:dyDescent="0.25">
      <c r="A1878" s="20">
        <v>42083</v>
      </c>
      <c r="B1878" s="21">
        <v>15388</v>
      </c>
      <c r="C1878" s="14" t="s">
        <v>43</v>
      </c>
      <c r="D1878" s="105">
        <v>5482.8</v>
      </c>
      <c r="E1878" s="65">
        <v>42083</v>
      </c>
      <c r="F1878" s="106">
        <v>5482.8</v>
      </c>
      <c r="G1878" s="31">
        <f t="shared" si="29"/>
        <v>0</v>
      </c>
      <c r="H1878" s="19" t="s">
        <v>9</v>
      </c>
      <c r="I1878" s="4"/>
      <c r="J1878" s="123"/>
    </row>
    <row r="1879" spans="1:10" s="3" customFormat="1" x14ac:dyDescent="0.25">
      <c r="A1879" s="20">
        <v>42083</v>
      </c>
      <c r="B1879" s="21">
        <v>15389</v>
      </c>
      <c r="C1879" s="14" t="s">
        <v>898</v>
      </c>
      <c r="D1879" s="105">
        <v>43447.05</v>
      </c>
      <c r="E1879" s="74" t="s">
        <v>796</v>
      </c>
      <c r="F1879" s="106">
        <v>43447.05</v>
      </c>
      <c r="G1879" s="31">
        <f t="shared" si="29"/>
        <v>0</v>
      </c>
      <c r="H1879" s="19" t="s">
        <v>62</v>
      </c>
      <c r="I1879" s="4"/>
      <c r="J1879" s="123"/>
    </row>
    <row r="1880" spans="1:10" s="3" customFormat="1" x14ac:dyDescent="0.25">
      <c r="A1880" s="20">
        <v>42083</v>
      </c>
      <c r="B1880" s="21">
        <v>15390</v>
      </c>
      <c r="C1880" s="14" t="s">
        <v>444</v>
      </c>
      <c r="D1880" s="105">
        <v>5022.8</v>
      </c>
      <c r="E1880" s="65">
        <v>42085</v>
      </c>
      <c r="F1880" s="106">
        <v>5022.8</v>
      </c>
      <c r="G1880" s="31">
        <f t="shared" si="29"/>
        <v>0</v>
      </c>
      <c r="H1880" s="19" t="s">
        <v>62</v>
      </c>
      <c r="I1880" s="4"/>
      <c r="J1880" s="123"/>
    </row>
    <row r="1881" spans="1:10" s="3" customFormat="1" x14ac:dyDescent="0.25">
      <c r="A1881" s="20">
        <v>42083</v>
      </c>
      <c r="B1881" s="21">
        <v>15391</v>
      </c>
      <c r="C1881" s="14" t="s">
        <v>112</v>
      </c>
      <c r="D1881" s="105">
        <v>7148.4</v>
      </c>
      <c r="E1881" s="65">
        <v>42083</v>
      </c>
      <c r="F1881" s="106">
        <v>7148.4</v>
      </c>
      <c r="G1881" s="31">
        <f t="shared" si="29"/>
        <v>0</v>
      </c>
      <c r="H1881" s="19" t="s">
        <v>9</v>
      </c>
      <c r="I1881" s="4"/>
      <c r="J1881" s="43"/>
    </row>
    <row r="1882" spans="1:10" s="3" customFormat="1" x14ac:dyDescent="0.25">
      <c r="A1882" s="20">
        <v>42083</v>
      </c>
      <c r="B1882" s="21">
        <v>15392</v>
      </c>
      <c r="C1882" s="14" t="s">
        <v>694</v>
      </c>
      <c r="D1882" s="105">
        <v>2929.8</v>
      </c>
      <c r="E1882" s="65">
        <v>42083</v>
      </c>
      <c r="F1882" s="106">
        <v>2929.8</v>
      </c>
      <c r="G1882" s="31">
        <f t="shared" si="29"/>
        <v>0</v>
      </c>
      <c r="H1882" s="19" t="s">
        <v>9</v>
      </c>
      <c r="I1882" s="4"/>
      <c r="J1882" s="43"/>
    </row>
    <row r="1883" spans="1:10" s="3" customFormat="1" x14ac:dyDescent="0.25">
      <c r="A1883" s="20">
        <v>42083</v>
      </c>
      <c r="B1883" s="21">
        <v>15393</v>
      </c>
      <c r="C1883" s="14" t="s">
        <v>125</v>
      </c>
      <c r="D1883" s="105">
        <v>12342.4</v>
      </c>
      <c r="E1883" s="74" t="s">
        <v>950</v>
      </c>
      <c r="F1883" s="144">
        <f>6392.3+5950.1</f>
        <v>12342.400000000001</v>
      </c>
      <c r="G1883" s="31">
        <f t="shared" si="29"/>
        <v>0</v>
      </c>
      <c r="H1883" s="19" t="s">
        <v>62</v>
      </c>
      <c r="I1883" s="4"/>
      <c r="J1883" s="43"/>
    </row>
    <row r="1884" spans="1:10" s="3" customFormat="1" x14ac:dyDescent="0.25">
      <c r="A1884" s="20">
        <v>42083</v>
      </c>
      <c r="B1884" s="21">
        <v>15394</v>
      </c>
      <c r="C1884" s="14" t="s">
        <v>91</v>
      </c>
      <c r="D1884" s="105">
        <v>23020</v>
      </c>
      <c r="E1884" s="65">
        <v>42084</v>
      </c>
      <c r="F1884" s="106">
        <v>23020</v>
      </c>
      <c r="G1884" s="31">
        <f t="shared" si="29"/>
        <v>0</v>
      </c>
      <c r="H1884" s="19" t="s">
        <v>59</v>
      </c>
      <c r="I1884" s="4"/>
      <c r="J1884" s="43"/>
    </row>
    <row r="1885" spans="1:10" s="3" customFormat="1" x14ac:dyDescent="0.25">
      <c r="A1885" s="20">
        <v>42083</v>
      </c>
      <c r="B1885" s="21">
        <v>15395</v>
      </c>
      <c r="C1885" s="14" t="s">
        <v>65</v>
      </c>
      <c r="D1885" s="105">
        <v>18982.5</v>
      </c>
      <c r="E1885" s="65">
        <v>42085</v>
      </c>
      <c r="F1885" s="106">
        <v>18982.5</v>
      </c>
      <c r="G1885" s="31">
        <f t="shared" si="29"/>
        <v>0</v>
      </c>
      <c r="H1885" s="19" t="s">
        <v>62</v>
      </c>
      <c r="I1885" s="4"/>
      <c r="J1885" s="43"/>
    </row>
    <row r="1886" spans="1:10" s="3" customFormat="1" x14ac:dyDescent="0.25">
      <c r="A1886" s="20">
        <v>42083</v>
      </c>
      <c r="B1886" s="21">
        <v>15396</v>
      </c>
      <c r="C1886" s="14" t="s">
        <v>899</v>
      </c>
      <c r="D1886" s="105">
        <v>808.6</v>
      </c>
      <c r="E1886" s="65">
        <v>42085</v>
      </c>
      <c r="F1886" s="106">
        <v>808.6</v>
      </c>
      <c r="G1886" s="31">
        <f t="shared" si="29"/>
        <v>0</v>
      </c>
      <c r="H1886" s="19" t="s">
        <v>62</v>
      </c>
      <c r="I1886" s="4"/>
      <c r="J1886" s="43"/>
    </row>
    <row r="1887" spans="1:10" s="3" customFormat="1" x14ac:dyDescent="0.25">
      <c r="A1887" s="20">
        <v>42083</v>
      </c>
      <c r="B1887" s="21">
        <v>15397</v>
      </c>
      <c r="C1887" s="14" t="s">
        <v>173</v>
      </c>
      <c r="D1887" s="105">
        <v>32088.25</v>
      </c>
      <c r="E1887" s="74" t="s">
        <v>954</v>
      </c>
      <c r="F1887" s="144">
        <v>32088.25</v>
      </c>
      <c r="G1887" s="31">
        <f t="shared" si="29"/>
        <v>0</v>
      </c>
      <c r="H1887" s="19" t="s">
        <v>62</v>
      </c>
      <c r="I1887" s="4"/>
      <c r="J1887" s="43"/>
    </row>
    <row r="1888" spans="1:10" s="3" customFormat="1" x14ac:dyDescent="0.25">
      <c r="A1888" s="20">
        <v>42083</v>
      </c>
      <c r="B1888" s="21">
        <v>15398</v>
      </c>
      <c r="C1888" s="14" t="s">
        <v>61</v>
      </c>
      <c r="D1888" s="105">
        <v>8418.2000000000007</v>
      </c>
      <c r="E1888" s="65">
        <v>42085</v>
      </c>
      <c r="F1888" s="106">
        <v>8418.2000000000007</v>
      </c>
      <c r="G1888" s="31">
        <f t="shared" si="29"/>
        <v>0</v>
      </c>
      <c r="H1888" s="19" t="s">
        <v>62</v>
      </c>
      <c r="I1888" s="4"/>
      <c r="J1888" s="43"/>
    </row>
    <row r="1889" spans="1:10" s="3" customFormat="1" x14ac:dyDescent="0.25">
      <c r="A1889" s="20">
        <v>42083</v>
      </c>
      <c r="B1889" s="21">
        <v>15399</v>
      </c>
      <c r="C1889" s="14" t="s">
        <v>118</v>
      </c>
      <c r="D1889" s="105">
        <v>5460.8</v>
      </c>
      <c r="E1889" s="65">
        <v>42087</v>
      </c>
      <c r="F1889" s="106">
        <v>5460.8</v>
      </c>
      <c r="G1889" s="31">
        <f t="shared" si="29"/>
        <v>0</v>
      </c>
      <c r="H1889" s="19" t="s">
        <v>59</v>
      </c>
      <c r="I1889" s="4"/>
      <c r="J1889" s="43"/>
    </row>
    <row r="1890" spans="1:10" s="3" customFormat="1" x14ac:dyDescent="0.25">
      <c r="A1890" s="20">
        <v>42083</v>
      </c>
      <c r="B1890" s="21">
        <v>15400</v>
      </c>
      <c r="C1890" s="14" t="s">
        <v>83</v>
      </c>
      <c r="D1890" s="105">
        <v>4778.3999999999996</v>
      </c>
      <c r="E1890" s="65">
        <v>42084</v>
      </c>
      <c r="F1890" s="106">
        <v>4778.3999999999996</v>
      </c>
      <c r="G1890" s="31">
        <f t="shared" si="29"/>
        <v>0</v>
      </c>
      <c r="H1890" s="19" t="s">
        <v>59</v>
      </c>
      <c r="I1890" s="4"/>
      <c r="J1890" s="43"/>
    </row>
    <row r="1891" spans="1:10" s="3" customFormat="1" x14ac:dyDescent="0.25">
      <c r="A1891" s="20">
        <v>42083</v>
      </c>
      <c r="B1891" s="21">
        <v>15401</v>
      </c>
      <c r="C1891" s="14" t="s">
        <v>155</v>
      </c>
      <c r="D1891" s="105">
        <v>1666.3</v>
      </c>
      <c r="E1891" s="65">
        <v>42084</v>
      </c>
      <c r="F1891" s="106">
        <v>1666.3</v>
      </c>
      <c r="G1891" s="31">
        <f t="shared" si="29"/>
        <v>0</v>
      </c>
      <c r="H1891" s="19" t="s">
        <v>59</v>
      </c>
      <c r="J1891" s="42"/>
    </row>
    <row r="1892" spans="1:10" s="3" customFormat="1" x14ac:dyDescent="0.25">
      <c r="A1892" s="20">
        <v>42083</v>
      </c>
      <c r="B1892" s="21">
        <v>15402</v>
      </c>
      <c r="C1892" s="14" t="s">
        <v>82</v>
      </c>
      <c r="D1892" s="105">
        <v>1220.4000000000001</v>
      </c>
      <c r="E1892" s="65">
        <v>42084</v>
      </c>
      <c r="F1892" s="106">
        <v>1220.4000000000001</v>
      </c>
      <c r="G1892" s="31">
        <f t="shared" si="29"/>
        <v>0</v>
      </c>
      <c r="H1892" s="19" t="s">
        <v>59</v>
      </c>
      <c r="J1892" s="42"/>
    </row>
    <row r="1893" spans="1:10" s="3" customFormat="1" x14ac:dyDescent="0.25">
      <c r="A1893" s="20">
        <v>42083</v>
      </c>
      <c r="B1893" s="21">
        <v>15403</v>
      </c>
      <c r="C1893" s="14" t="s">
        <v>81</v>
      </c>
      <c r="D1893" s="105">
        <v>1937.5</v>
      </c>
      <c r="E1893" s="65">
        <v>42084</v>
      </c>
      <c r="F1893" s="106">
        <v>1937.5</v>
      </c>
      <c r="G1893" s="31">
        <f t="shared" si="29"/>
        <v>0</v>
      </c>
      <c r="H1893" s="19" t="s">
        <v>59</v>
      </c>
      <c r="J1893" s="42"/>
    </row>
    <row r="1894" spans="1:10" s="3" customFormat="1" x14ac:dyDescent="0.25">
      <c r="A1894" s="20">
        <v>42083</v>
      </c>
      <c r="B1894" s="21">
        <v>15404</v>
      </c>
      <c r="C1894" s="14" t="s">
        <v>34</v>
      </c>
      <c r="D1894" s="105">
        <v>3600</v>
      </c>
      <c r="E1894" s="65">
        <v>42083</v>
      </c>
      <c r="F1894" s="106">
        <v>3600</v>
      </c>
      <c r="G1894" s="48">
        <f t="shared" si="29"/>
        <v>0</v>
      </c>
      <c r="H1894" s="19" t="s">
        <v>9</v>
      </c>
      <c r="J1894" s="42"/>
    </row>
    <row r="1895" spans="1:10" s="3" customFormat="1" x14ac:dyDescent="0.25">
      <c r="A1895" s="20">
        <v>42083</v>
      </c>
      <c r="B1895" s="21">
        <v>15405</v>
      </c>
      <c r="C1895" s="14" t="s">
        <v>56</v>
      </c>
      <c r="D1895" s="105">
        <v>18340.8</v>
      </c>
      <c r="E1895" s="65">
        <v>42083</v>
      </c>
      <c r="F1895" s="106">
        <v>18340.8</v>
      </c>
      <c r="G1895" s="31">
        <f t="shared" si="29"/>
        <v>0</v>
      </c>
      <c r="H1895" s="19" t="s">
        <v>94</v>
      </c>
      <c r="J1895" s="42"/>
    </row>
    <row r="1896" spans="1:10" s="3" customFormat="1" x14ac:dyDescent="0.25">
      <c r="A1896" s="20">
        <v>42083</v>
      </c>
      <c r="B1896" s="21">
        <v>15406</v>
      </c>
      <c r="C1896" s="14" t="s">
        <v>285</v>
      </c>
      <c r="D1896" s="105">
        <v>1173.8</v>
      </c>
      <c r="E1896" s="65">
        <v>42086</v>
      </c>
      <c r="F1896" s="106">
        <v>1173.8</v>
      </c>
      <c r="G1896" s="31">
        <f t="shared" si="29"/>
        <v>0</v>
      </c>
      <c r="H1896" s="19" t="s">
        <v>15</v>
      </c>
      <c r="J1896" s="42"/>
    </row>
    <row r="1897" spans="1:10" s="3" customFormat="1" x14ac:dyDescent="0.25">
      <c r="A1897" s="20">
        <v>42083</v>
      </c>
      <c r="B1897" s="21">
        <v>15407</v>
      </c>
      <c r="C1897" s="14" t="s">
        <v>131</v>
      </c>
      <c r="D1897" s="105">
        <v>5910.4</v>
      </c>
      <c r="E1897" s="65">
        <v>42083</v>
      </c>
      <c r="F1897" s="106">
        <v>5910.4</v>
      </c>
      <c r="G1897" s="31">
        <f t="shared" si="29"/>
        <v>0</v>
      </c>
      <c r="H1897" s="19" t="s">
        <v>17</v>
      </c>
      <c r="J1897" s="42"/>
    </row>
    <row r="1898" spans="1:10" s="3" customFormat="1" x14ac:dyDescent="0.25">
      <c r="A1898" s="20">
        <v>42083</v>
      </c>
      <c r="B1898" s="21">
        <v>15408</v>
      </c>
      <c r="C1898" s="14" t="s">
        <v>165</v>
      </c>
      <c r="D1898" s="105">
        <v>2060.5500000000002</v>
      </c>
      <c r="E1898" s="65">
        <v>42083</v>
      </c>
      <c r="F1898" s="106">
        <v>2060.5500000000002</v>
      </c>
      <c r="G1898" s="31">
        <f t="shared" si="29"/>
        <v>0</v>
      </c>
      <c r="H1898" s="19" t="s">
        <v>17</v>
      </c>
      <c r="J1898" s="42"/>
    </row>
    <row r="1899" spans="1:10" s="3" customFormat="1" x14ac:dyDescent="0.25">
      <c r="A1899" s="20">
        <v>42083</v>
      </c>
      <c r="B1899" s="21">
        <v>15409</v>
      </c>
      <c r="C1899" s="14" t="s">
        <v>53</v>
      </c>
      <c r="D1899" s="105">
        <v>577.5</v>
      </c>
      <c r="E1899" s="65">
        <v>42084</v>
      </c>
      <c r="F1899" s="106">
        <v>577.5</v>
      </c>
      <c r="G1899" s="31">
        <f t="shared" si="29"/>
        <v>0</v>
      </c>
      <c r="H1899" s="19" t="s">
        <v>59</v>
      </c>
      <c r="J1899" s="42"/>
    </row>
    <row r="1900" spans="1:10" s="3" customFormat="1" x14ac:dyDescent="0.25">
      <c r="A1900" s="20">
        <v>42083</v>
      </c>
      <c r="B1900" s="21">
        <v>15410</v>
      </c>
      <c r="C1900" s="14" t="s">
        <v>226</v>
      </c>
      <c r="D1900" s="105">
        <v>1554</v>
      </c>
      <c r="E1900" s="65">
        <v>42086</v>
      </c>
      <c r="F1900" s="106">
        <v>1554</v>
      </c>
      <c r="G1900" s="31">
        <f t="shared" si="29"/>
        <v>0</v>
      </c>
      <c r="H1900" s="19" t="s">
        <v>15</v>
      </c>
      <c r="J1900" s="42"/>
    </row>
    <row r="1901" spans="1:10" s="3" customFormat="1" x14ac:dyDescent="0.25">
      <c r="A1901" s="20">
        <v>42083</v>
      </c>
      <c r="B1901" s="21">
        <v>15411</v>
      </c>
      <c r="C1901" s="14" t="s">
        <v>72</v>
      </c>
      <c r="D1901" s="105">
        <v>16015.1</v>
      </c>
      <c r="E1901" s="74" t="s">
        <v>994</v>
      </c>
      <c r="F1901" s="144">
        <v>16015.1</v>
      </c>
      <c r="G1901" s="31">
        <f t="shared" si="29"/>
        <v>0</v>
      </c>
      <c r="H1901" s="19" t="s">
        <v>62</v>
      </c>
      <c r="J1901" s="42"/>
    </row>
    <row r="1902" spans="1:10" s="3" customFormat="1" x14ac:dyDescent="0.25">
      <c r="A1902" s="20">
        <v>42083</v>
      </c>
      <c r="B1902" s="21">
        <v>15412</v>
      </c>
      <c r="C1902" s="14" t="s">
        <v>133</v>
      </c>
      <c r="D1902" s="105">
        <v>28853</v>
      </c>
      <c r="E1902" s="65">
        <v>42083</v>
      </c>
      <c r="F1902" s="106">
        <v>28853</v>
      </c>
      <c r="G1902" s="31">
        <f t="shared" si="29"/>
        <v>0</v>
      </c>
      <c r="H1902" s="19" t="s">
        <v>9</v>
      </c>
      <c r="J1902" s="42"/>
    </row>
    <row r="1903" spans="1:10" s="3" customFormat="1" x14ac:dyDescent="0.25">
      <c r="A1903" s="20">
        <v>42083</v>
      </c>
      <c r="B1903" s="21">
        <v>15413</v>
      </c>
      <c r="C1903" s="14" t="s">
        <v>168</v>
      </c>
      <c r="D1903" s="105">
        <v>6904.1</v>
      </c>
      <c r="E1903" s="65">
        <v>42084</v>
      </c>
      <c r="F1903" s="106">
        <v>6904.1</v>
      </c>
      <c r="G1903" s="31">
        <f t="shared" si="29"/>
        <v>0</v>
      </c>
      <c r="H1903" s="19" t="s">
        <v>59</v>
      </c>
      <c r="J1903" s="42"/>
    </row>
    <row r="1904" spans="1:10" s="3" customFormat="1" x14ac:dyDescent="0.25">
      <c r="A1904" s="20">
        <v>42083</v>
      </c>
      <c r="B1904" s="21">
        <v>15414</v>
      </c>
      <c r="C1904" s="14" t="s">
        <v>319</v>
      </c>
      <c r="D1904" s="105">
        <v>534</v>
      </c>
      <c r="E1904" s="65">
        <v>42083</v>
      </c>
      <c r="F1904" s="106">
        <v>534</v>
      </c>
      <c r="G1904" s="31">
        <f t="shared" si="29"/>
        <v>0</v>
      </c>
      <c r="H1904" s="19" t="s">
        <v>9</v>
      </c>
      <c r="J1904" s="42"/>
    </row>
    <row r="1905" spans="1:10" s="3" customFormat="1" x14ac:dyDescent="0.25">
      <c r="A1905" s="20">
        <v>42083</v>
      </c>
      <c r="B1905" s="21">
        <v>15415</v>
      </c>
      <c r="C1905" s="14" t="s">
        <v>106</v>
      </c>
      <c r="D1905" s="105">
        <v>6341.6</v>
      </c>
      <c r="E1905" s="65">
        <v>42086</v>
      </c>
      <c r="F1905" s="106">
        <v>6341.6</v>
      </c>
      <c r="G1905" s="31">
        <f t="shared" si="29"/>
        <v>0</v>
      </c>
      <c r="H1905" s="19" t="s">
        <v>15</v>
      </c>
      <c r="J1905" s="42"/>
    </row>
    <row r="1906" spans="1:10" s="3" customFormat="1" x14ac:dyDescent="0.25">
      <c r="A1906" s="20">
        <v>42083</v>
      </c>
      <c r="B1906" s="21">
        <v>15416</v>
      </c>
      <c r="C1906" s="14" t="s">
        <v>900</v>
      </c>
      <c r="D1906" s="105">
        <v>2132</v>
      </c>
      <c r="E1906" s="65">
        <v>42083</v>
      </c>
      <c r="F1906" s="106">
        <v>2132</v>
      </c>
      <c r="G1906" s="31">
        <f t="shared" si="29"/>
        <v>0</v>
      </c>
      <c r="H1906" s="19" t="s">
        <v>9</v>
      </c>
      <c r="J1906" s="42"/>
    </row>
    <row r="1907" spans="1:10" s="3" customFormat="1" x14ac:dyDescent="0.25">
      <c r="A1907" s="20">
        <v>42083</v>
      </c>
      <c r="B1907" s="21">
        <v>15417</v>
      </c>
      <c r="C1907" s="14" t="s">
        <v>26</v>
      </c>
      <c r="D1907" s="105">
        <v>2740</v>
      </c>
      <c r="E1907" s="65">
        <v>42083</v>
      </c>
      <c r="F1907" s="106">
        <v>2740</v>
      </c>
      <c r="G1907" s="31">
        <f t="shared" si="29"/>
        <v>0</v>
      </c>
      <c r="H1907" s="19" t="s">
        <v>27</v>
      </c>
      <c r="J1907" s="42"/>
    </row>
    <row r="1908" spans="1:10" s="3" customFormat="1" x14ac:dyDescent="0.25">
      <c r="A1908" s="20">
        <v>42083</v>
      </c>
      <c r="B1908" s="21">
        <v>15418</v>
      </c>
      <c r="C1908" s="14" t="s">
        <v>49</v>
      </c>
      <c r="D1908" s="105">
        <v>1596</v>
      </c>
      <c r="E1908" s="65">
        <v>42083</v>
      </c>
      <c r="F1908" s="106">
        <v>1596</v>
      </c>
      <c r="G1908" s="31">
        <f t="shared" si="29"/>
        <v>0</v>
      </c>
      <c r="H1908" s="19" t="s">
        <v>41</v>
      </c>
      <c r="J1908" s="42"/>
    </row>
    <row r="1909" spans="1:10" s="3" customFormat="1" x14ac:dyDescent="0.25">
      <c r="A1909" s="20">
        <v>42083</v>
      </c>
      <c r="B1909" s="21">
        <v>15419</v>
      </c>
      <c r="C1909" s="14" t="s">
        <v>176</v>
      </c>
      <c r="D1909" s="105">
        <v>7796.2</v>
      </c>
      <c r="E1909" s="74" t="s">
        <v>796</v>
      </c>
      <c r="F1909" s="106">
        <v>7796.2</v>
      </c>
      <c r="G1909" s="31">
        <f t="shared" si="29"/>
        <v>0</v>
      </c>
      <c r="H1909" s="19" t="s">
        <v>62</v>
      </c>
      <c r="J1909" s="42"/>
    </row>
    <row r="1910" spans="1:10" s="3" customFormat="1" x14ac:dyDescent="0.25">
      <c r="A1910" s="20">
        <v>42083</v>
      </c>
      <c r="B1910" s="21">
        <v>15420</v>
      </c>
      <c r="C1910" s="14" t="s">
        <v>48</v>
      </c>
      <c r="D1910" s="105">
        <v>5042.8</v>
      </c>
      <c r="E1910" s="65">
        <v>42083</v>
      </c>
      <c r="F1910" s="106">
        <v>5042.8</v>
      </c>
      <c r="G1910" s="31">
        <f t="shared" si="29"/>
        <v>0</v>
      </c>
      <c r="H1910" s="19" t="s">
        <v>41</v>
      </c>
      <c r="J1910" s="42"/>
    </row>
    <row r="1911" spans="1:10" s="3" customFormat="1" x14ac:dyDescent="0.25">
      <c r="A1911" s="20">
        <v>42083</v>
      </c>
      <c r="B1911" s="21">
        <v>15421</v>
      </c>
      <c r="C1911" s="14" t="s">
        <v>352</v>
      </c>
      <c r="D1911" s="105">
        <v>4496</v>
      </c>
      <c r="E1911" s="65">
        <v>42083</v>
      </c>
      <c r="F1911" s="106">
        <v>4496</v>
      </c>
      <c r="G1911" s="31">
        <f t="shared" si="29"/>
        <v>0</v>
      </c>
      <c r="H1911" s="19" t="s">
        <v>9</v>
      </c>
      <c r="J1911" s="42"/>
    </row>
    <row r="1912" spans="1:10" s="3" customFormat="1" x14ac:dyDescent="0.25">
      <c r="A1912" s="20">
        <v>42083</v>
      </c>
      <c r="B1912" s="21">
        <v>15422</v>
      </c>
      <c r="C1912" s="14" t="s">
        <v>50</v>
      </c>
      <c r="D1912" s="105">
        <v>2986.1</v>
      </c>
      <c r="E1912" s="65">
        <v>42083</v>
      </c>
      <c r="F1912" s="106">
        <v>2986.1</v>
      </c>
      <c r="G1912" s="31">
        <f t="shared" si="29"/>
        <v>0</v>
      </c>
      <c r="H1912" s="19" t="s">
        <v>41</v>
      </c>
      <c r="J1912" s="42"/>
    </row>
    <row r="1913" spans="1:10" s="3" customFormat="1" x14ac:dyDescent="0.25">
      <c r="A1913" s="20">
        <v>42083</v>
      </c>
      <c r="B1913" s="21">
        <v>15423</v>
      </c>
      <c r="C1913" s="14" t="s">
        <v>120</v>
      </c>
      <c r="D1913" s="105">
        <v>1204.5999999999999</v>
      </c>
      <c r="E1913" s="65">
        <v>42084</v>
      </c>
      <c r="F1913" s="106">
        <v>1204.5999999999999</v>
      </c>
      <c r="G1913" s="31">
        <f t="shared" si="29"/>
        <v>0</v>
      </c>
      <c r="H1913" s="19" t="s">
        <v>9</v>
      </c>
      <c r="J1913" s="42"/>
    </row>
    <row r="1914" spans="1:10" s="3" customFormat="1" x14ac:dyDescent="0.25">
      <c r="A1914" s="20">
        <v>42083</v>
      </c>
      <c r="B1914" s="21">
        <v>15424</v>
      </c>
      <c r="C1914" s="14" t="s">
        <v>57</v>
      </c>
      <c r="D1914" s="105">
        <v>2924</v>
      </c>
      <c r="E1914" s="65">
        <v>42084</v>
      </c>
      <c r="F1914" s="106">
        <v>2924</v>
      </c>
      <c r="G1914" s="31">
        <f t="shared" si="29"/>
        <v>0</v>
      </c>
      <c r="H1914" s="19" t="s">
        <v>59</v>
      </c>
      <c r="J1914" s="42"/>
    </row>
    <row r="1915" spans="1:10" s="3" customFormat="1" x14ac:dyDescent="0.25">
      <c r="A1915" s="20">
        <v>42083</v>
      </c>
      <c r="B1915" s="21">
        <v>15425</v>
      </c>
      <c r="C1915" s="14" t="s">
        <v>58</v>
      </c>
      <c r="D1915" s="105">
        <v>360</v>
      </c>
      <c r="E1915" s="65">
        <v>42084</v>
      </c>
      <c r="F1915" s="106">
        <v>360</v>
      </c>
      <c r="G1915" s="31">
        <f t="shared" si="29"/>
        <v>0</v>
      </c>
      <c r="H1915" s="19" t="s">
        <v>59</v>
      </c>
      <c r="J1915" s="42"/>
    </row>
    <row r="1916" spans="1:10" s="3" customFormat="1" x14ac:dyDescent="0.25">
      <c r="A1916" s="20">
        <v>42083</v>
      </c>
      <c r="B1916" s="21">
        <v>15426</v>
      </c>
      <c r="C1916" s="14" t="s">
        <v>59</v>
      </c>
      <c r="D1916" s="105">
        <v>1890</v>
      </c>
      <c r="E1916" s="65">
        <v>42083</v>
      </c>
      <c r="F1916" s="106">
        <v>1890</v>
      </c>
      <c r="G1916" s="31">
        <f t="shared" si="29"/>
        <v>0</v>
      </c>
      <c r="H1916" s="19" t="s">
        <v>9</v>
      </c>
      <c r="J1916" s="42"/>
    </row>
    <row r="1917" spans="1:10" s="3" customFormat="1" x14ac:dyDescent="0.25">
      <c r="A1917" s="20">
        <v>42083</v>
      </c>
      <c r="B1917" s="21">
        <v>15427</v>
      </c>
      <c r="C1917" s="14" t="s">
        <v>214</v>
      </c>
      <c r="D1917" s="105">
        <v>1800</v>
      </c>
      <c r="E1917" s="65">
        <v>42084</v>
      </c>
      <c r="F1917" s="106">
        <v>1800</v>
      </c>
      <c r="G1917" s="31">
        <f t="shared" si="29"/>
        <v>0</v>
      </c>
      <c r="H1917" s="19" t="s">
        <v>59</v>
      </c>
      <c r="J1917" s="42"/>
    </row>
    <row r="1918" spans="1:10" s="3" customFormat="1" x14ac:dyDescent="0.25">
      <c r="A1918" s="20">
        <v>42083</v>
      </c>
      <c r="B1918" s="21">
        <v>15428</v>
      </c>
      <c r="C1918" s="110">
        <v>105</v>
      </c>
      <c r="D1918" s="105">
        <v>1440</v>
      </c>
      <c r="E1918" s="65">
        <v>42084</v>
      </c>
      <c r="F1918" s="106">
        <v>1440</v>
      </c>
      <c r="G1918" s="31">
        <f t="shared" si="29"/>
        <v>0</v>
      </c>
      <c r="H1918" s="19" t="s">
        <v>59</v>
      </c>
      <c r="J1918" s="42"/>
    </row>
    <row r="1919" spans="1:10" s="3" customFormat="1" x14ac:dyDescent="0.25">
      <c r="A1919" s="20">
        <v>42083</v>
      </c>
      <c r="B1919" s="21">
        <v>15429</v>
      </c>
      <c r="C1919" s="14" t="s">
        <v>332</v>
      </c>
      <c r="D1919" s="105">
        <v>2366.4</v>
      </c>
      <c r="E1919" s="65">
        <v>42083</v>
      </c>
      <c r="F1919" s="106">
        <v>2366.4</v>
      </c>
      <c r="G1919" s="31">
        <f t="shared" si="29"/>
        <v>0</v>
      </c>
      <c r="H1919" s="19" t="s">
        <v>9</v>
      </c>
      <c r="J1919" s="42"/>
    </row>
    <row r="1920" spans="1:10" s="3" customFormat="1" x14ac:dyDescent="0.25">
      <c r="A1920" s="20">
        <v>42083</v>
      </c>
      <c r="B1920" s="21">
        <v>15430</v>
      </c>
      <c r="C1920" s="14" t="s">
        <v>328</v>
      </c>
      <c r="D1920" s="105">
        <v>1806</v>
      </c>
      <c r="E1920" s="65">
        <v>42085</v>
      </c>
      <c r="F1920" s="106">
        <v>1806</v>
      </c>
      <c r="G1920" s="31">
        <f t="shared" si="29"/>
        <v>0</v>
      </c>
      <c r="H1920" s="19" t="s">
        <v>62</v>
      </c>
      <c r="J1920" s="42"/>
    </row>
    <row r="1921" spans="1:10" s="3" customFormat="1" x14ac:dyDescent="0.25">
      <c r="A1921" s="20">
        <v>42083</v>
      </c>
      <c r="B1921" s="21">
        <v>15431</v>
      </c>
      <c r="C1921" s="14" t="s">
        <v>75</v>
      </c>
      <c r="D1921" s="105">
        <v>21022.400000000001</v>
      </c>
      <c r="E1921" s="65">
        <v>42085</v>
      </c>
      <c r="F1921" s="106">
        <v>21022.400000000001</v>
      </c>
      <c r="G1921" s="31">
        <f t="shared" si="29"/>
        <v>0</v>
      </c>
      <c r="H1921" s="19" t="s">
        <v>62</v>
      </c>
      <c r="J1921" s="42"/>
    </row>
    <row r="1922" spans="1:10" s="3" customFormat="1" x14ac:dyDescent="0.25">
      <c r="A1922" s="20">
        <v>42083</v>
      </c>
      <c r="B1922" s="21">
        <v>15432</v>
      </c>
      <c r="C1922" s="14" t="s">
        <v>213</v>
      </c>
      <c r="D1922" s="105">
        <v>15200</v>
      </c>
      <c r="E1922" s="65">
        <v>42083</v>
      </c>
      <c r="F1922" s="106">
        <v>15200</v>
      </c>
      <c r="G1922" s="31">
        <f t="shared" si="29"/>
        <v>0</v>
      </c>
      <c r="H1922" s="19" t="s">
        <v>46</v>
      </c>
      <c r="J1922" s="42"/>
    </row>
    <row r="1923" spans="1:10" s="3" customFormat="1" x14ac:dyDescent="0.25">
      <c r="A1923" s="20">
        <v>42083</v>
      </c>
      <c r="B1923" s="21">
        <v>15433</v>
      </c>
      <c r="C1923" s="14" t="s">
        <v>55</v>
      </c>
      <c r="D1923" s="105">
        <v>2334.8000000000002</v>
      </c>
      <c r="E1923" s="23">
        <v>42083</v>
      </c>
      <c r="F1923" s="106">
        <v>2334.8000000000002</v>
      </c>
      <c r="G1923" s="31">
        <f t="shared" ref="G1923:G1986" si="30">D1923-F1923</f>
        <v>0</v>
      </c>
      <c r="H1923" s="19" t="s">
        <v>773</v>
      </c>
      <c r="J1923" s="42"/>
    </row>
    <row r="1924" spans="1:10" s="3" customFormat="1" x14ac:dyDescent="0.25">
      <c r="A1924" s="20">
        <v>42083</v>
      </c>
      <c r="B1924" s="21">
        <v>15434</v>
      </c>
      <c r="C1924" s="14" t="s">
        <v>256</v>
      </c>
      <c r="D1924" s="105">
        <v>6814</v>
      </c>
      <c r="E1924" s="23">
        <v>42083</v>
      </c>
      <c r="F1924" s="106">
        <v>6814</v>
      </c>
      <c r="G1924" s="31">
        <f t="shared" si="30"/>
        <v>0</v>
      </c>
      <c r="H1924" s="19" t="s">
        <v>773</v>
      </c>
      <c r="J1924" s="42"/>
    </row>
    <row r="1925" spans="1:10" s="3" customFormat="1" x14ac:dyDescent="0.25">
      <c r="A1925" s="20">
        <v>42083</v>
      </c>
      <c r="B1925" s="21">
        <v>15435</v>
      </c>
      <c r="C1925" s="14" t="s">
        <v>47</v>
      </c>
      <c r="D1925" s="105">
        <v>13224.8</v>
      </c>
      <c r="E1925" s="23">
        <v>42083</v>
      </c>
      <c r="F1925" s="106">
        <v>13224.8</v>
      </c>
      <c r="G1925" s="31">
        <f t="shared" si="30"/>
        <v>0</v>
      </c>
      <c r="H1925" s="19" t="s">
        <v>62</v>
      </c>
      <c r="J1925" s="42"/>
    </row>
    <row r="1926" spans="1:10" s="3" customFormat="1" x14ac:dyDescent="0.25">
      <c r="A1926" s="20">
        <v>42083</v>
      </c>
      <c r="B1926" s="21">
        <v>15436</v>
      </c>
      <c r="C1926" s="14" t="s">
        <v>35</v>
      </c>
      <c r="D1926" s="105">
        <v>234.6</v>
      </c>
      <c r="E1926" s="23">
        <v>42083</v>
      </c>
      <c r="F1926" s="106">
        <v>234.6</v>
      </c>
      <c r="G1926" s="31">
        <f t="shared" si="30"/>
        <v>0</v>
      </c>
      <c r="H1926" s="19" t="s">
        <v>773</v>
      </c>
      <c r="J1926" s="42"/>
    </row>
    <row r="1927" spans="1:10" s="3" customFormat="1" x14ac:dyDescent="0.25">
      <c r="A1927" s="20">
        <v>42083</v>
      </c>
      <c r="B1927" s="21">
        <v>15437</v>
      </c>
      <c r="C1927" s="14" t="s">
        <v>426</v>
      </c>
      <c r="D1927" s="105">
        <v>1536</v>
      </c>
      <c r="E1927" s="23">
        <v>42085</v>
      </c>
      <c r="F1927" s="106">
        <v>1536</v>
      </c>
      <c r="G1927" s="31">
        <f t="shared" si="30"/>
        <v>0</v>
      </c>
      <c r="H1927" s="19" t="s">
        <v>62</v>
      </c>
      <c r="J1927" s="42"/>
    </row>
    <row r="1928" spans="1:10" s="3" customFormat="1" x14ac:dyDescent="0.25">
      <c r="A1928" s="20">
        <v>42083</v>
      </c>
      <c r="B1928" s="21">
        <v>15438</v>
      </c>
      <c r="C1928" s="14" t="s">
        <v>89</v>
      </c>
      <c r="D1928" s="105">
        <v>2639.7</v>
      </c>
      <c r="E1928" s="23">
        <v>42083</v>
      </c>
      <c r="F1928" s="106">
        <v>2639.7</v>
      </c>
      <c r="G1928" s="31">
        <f t="shared" si="30"/>
        <v>0</v>
      </c>
      <c r="H1928" s="19" t="s">
        <v>9</v>
      </c>
      <c r="J1928" s="42"/>
    </row>
    <row r="1929" spans="1:10" s="3" customFormat="1" x14ac:dyDescent="0.25">
      <c r="A1929" s="20">
        <v>42083</v>
      </c>
      <c r="B1929" s="21">
        <v>15439</v>
      </c>
      <c r="C1929" s="14" t="s">
        <v>136</v>
      </c>
      <c r="D1929" s="105">
        <v>18143.400000000001</v>
      </c>
      <c r="E1929" s="47" t="s">
        <v>901</v>
      </c>
      <c r="F1929" s="106">
        <f>14143+4000.4</f>
        <v>18143.400000000001</v>
      </c>
      <c r="G1929" s="31">
        <f t="shared" si="30"/>
        <v>0</v>
      </c>
      <c r="H1929" s="39" t="s">
        <v>9</v>
      </c>
      <c r="J1929" s="42"/>
    </row>
    <row r="1930" spans="1:10" s="3" customFormat="1" x14ac:dyDescent="0.25">
      <c r="A1930" s="20">
        <v>42083</v>
      </c>
      <c r="B1930" s="21">
        <v>15440</v>
      </c>
      <c r="C1930" s="26" t="s">
        <v>218</v>
      </c>
      <c r="D1930" s="108">
        <v>0</v>
      </c>
      <c r="E1930" s="23"/>
      <c r="F1930" s="106"/>
      <c r="G1930" s="31">
        <f t="shared" si="30"/>
        <v>0</v>
      </c>
      <c r="H1930" s="39" t="s">
        <v>13</v>
      </c>
      <c r="J1930" s="42"/>
    </row>
    <row r="1931" spans="1:10" s="3" customFormat="1" x14ac:dyDescent="0.25">
      <c r="A1931" s="20">
        <v>42083</v>
      </c>
      <c r="B1931" s="21">
        <v>15441</v>
      </c>
      <c r="C1931" s="14" t="s">
        <v>38</v>
      </c>
      <c r="D1931" s="105">
        <v>16942.2</v>
      </c>
      <c r="E1931" s="30">
        <v>42108</v>
      </c>
      <c r="F1931" s="144">
        <v>16942.2</v>
      </c>
      <c r="G1931" s="31">
        <f t="shared" si="30"/>
        <v>0</v>
      </c>
      <c r="H1931" s="39" t="s">
        <v>17</v>
      </c>
      <c r="J1931" s="42"/>
    </row>
    <row r="1932" spans="1:10" s="3" customFormat="1" x14ac:dyDescent="0.25">
      <c r="A1932" s="20">
        <v>42083</v>
      </c>
      <c r="B1932" s="21">
        <v>15442</v>
      </c>
      <c r="C1932" s="14" t="s">
        <v>192</v>
      </c>
      <c r="D1932" s="105">
        <v>3808.8</v>
      </c>
      <c r="E1932" s="30">
        <v>42102</v>
      </c>
      <c r="F1932" s="144">
        <v>3808.8</v>
      </c>
      <c r="G1932" s="31">
        <f t="shared" si="30"/>
        <v>0</v>
      </c>
      <c r="H1932" s="39" t="s">
        <v>17</v>
      </c>
      <c r="J1932" s="42"/>
    </row>
    <row r="1933" spans="1:10" s="3" customFormat="1" x14ac:dyDescent="0.25">
      <c r="A1933" s="20">
        <v>42083</v>
      </c>
      <c r="B1933" s="21">
        <v>15443</v>
      </c>
      <c r="C1933" s="14" t="s">
        <v>100</v>
      </c>
      <c r="D1933" s="105">
        <v>1647.2</v>
      </c>
      <c r="E1933" s="23">
        <v>42083</v>
      </c>
      <c r="F1933" s="106">
        <v>1647.2</v>
      </c>
      <c r="G1933" s="31">
        <f t="shared" si="30"/>
        <v>0</v>
      </c>
      <c r="H1933" s="39" t="s">
        <v>9</v>
      </c>
      <c r="J1933" s="42"/>
    </row>
    <row r="1934" spans="1:10" s="3" customFormat="1" x14ac:dyDescent="0.25">
      <c r="A1934" s="20">
        <v>42083</v>
      </c>
      <c r="B1934" s="21">
        <v>15444</v>
      </c>
      <c r="C1934" s="14" t="s">
        <v>136</v>
      </c>
      <c r="D1934" s="105">
        <v>4329.6000000000004</v>
      </c>
      <c r="E1934" s="23">
        <v>42083</v>
      </c>
      <c r="F1934" s="106">
        <v>4329.6000000000004</v>
      </c>
      <c r="G1934" s="31">
        <f t="shared" si="30"/>
        <v>0</v>
      </c>
      <c r="H1934" s="39" t="s">
        <v>9</v>
      </c>
      <c r="J1934" s="42"/>
    </row>
    <row r="1935" spans="1:10" s="3" customFormat="1" x14ac:dyDescent="0.25">
      <c r="A1935" s="20">
        <v>42083</v>
      </c>
      <c r="B1935" s="21">
        <v>15445</v>
      </c>
      <c r="C1935" s="14" t="s">
        <v>102</v>
      </c>
      <c r="D1935" s="105">
        <v>3170.4</v>
      </c>
      <c r="E1935" s="23">
        <v>42083</v>
      </c>
      <c r="F1935" s="106">
        <v>3170.4</v>
      </c>
      <c r="G1935" s="31">
        <f t="shared" si="30"/>
        <v>0</v>
      </c>
      <c r="H1935" s="39" t="s">
        <v>62</v>
      </c>
      <c r="J1935" s="42"/>
    </row>
    <row r="1936" spans="1:10" s="3" customFormat="1" x14ac:dyDescent="0.25">
      <c r="A1936" s="20">
        <v>42083</v>
      </c>
      <c r="B1936" s="21">
        <v>15446</v>
      </c>
      <c r="C1936" s="14" t="s">
        <v>102</v>
      </c>
      <c r="D1936" s="105">
        <v>80</v>
      </c>
      <c r="E1936" s="23">
        <v>42083</v>
      </c>
      <c r="F1936" s="106">
        <v>80</v>
      </c>
      <c r="G1936" s="31">
        <f t="shared" si="30"/>
        <v>0</v>
      </c>
      <c r="H1936" s="39" t="s">
        <v>9</v>
      </c>
      <c r="J1936" s="42"/>
    </row>
    <row r="1937" spans="1:10" s="3" customFormat="1" x14ac:dyDescent="0.25">
      <c r="A1937" s="20">
        <v>42083</v>
      </c>
      <c r="B1937" s="21">
        <v>15447</v>
      </c>
      <c r="C1937" s="26" t="s">
        <v>218</v>
      </c>
      <c r="D1937" s="108">
        <v>0</v>
      </c>
      <c r="E1937" s="23"/>
      <c r="F1937" s="106"/>
      <c r="G1937" s="31">
        <f t="shared" si="30"/>
        <v>0</v>
      </c>
      <c r="H1937" s="39" t="s">
        <v>13</v>
      </c>
      <c r="J1937" s="42"/>
    </row>
    <row r="1938" spans="1:10" s="3" customFormat="1" x14ac:dyDescent="0.25">
      <c r="A1938" s="20">
        <v>42083</v>
      </c>
      <c r="B1938" s="21">
        <v>15448</v>
      </c>
      <c r="C1938" s="14" t="s">
        <v>93</v>
      </c>
      <c r="D1938" s="105">
        <v>3385.8</v>
      </c>
      <c r="E1938" s="23">
        <v>42084</v>
      </c>
      <c r="F1938" s="106">
        <v>3385.8</v>
      </c>
      <c r="G1938" s="31">
        <f t="shared" si="30"/>
        <v>0</v>
      </c>
      <c r="H1938" s="39" t="s">
        <v>94</v>
      </c>
      <c r="J1938" s="42"/>
    </row>
    <row r="1939" spans="1:10" s="3" customFormat="1" x14ac:dyDescent="0.25">
      <c r="A1939" s="20">
        <v>42083</v>
      </c>
      <c r="B1939" s="21">
        <v>15449</v>
      </c>
      <c r="C1939" s="26" t="s">
        <v>218</v>
      </c>
      <c r="D1939" s="108">
        <v>0</v>
      </c>
      <c r="E1939" s="23"/>
      <c r="F1939" s="106"/>
      <c r="G1939" s="31">
        <f t="shared" si="30"/>
        <v>0</v>
      </c>
      <c r="H1939" s="39" t="s">
        <v>13</v>
      </c>
      <c r="J1939" s="42"/>
    </row>
    <row r="1940" spans="1:10" s="3" customFormat="1" x14ac:dyDescent="0.25">
      <c r="A1940" s="20">
        <v>42083</v>
      </c>
      <c r="B1940" s="21">
        <v>15450</v>
      </c>
      <c r="C1940" s="14" t="s">
        <v>95</v>
      </c>
      <c r="D1940" s="105">
        <v>3986.4</v>
      </c>
      <c r="E1940" s="23">
        <v>42084</v>
      </c>
      <c r="F1940" s="118">
        <v>3986.4</v>
      </c>
      <c r="G1940" s="31">
        <f t="shared" si="30"/>
        <v>0</v>
      </c>
      <c r="H1940" s="56" t="s">
        <v>9</v>
      </c>
      <c r="J1940" s="42"/>
    </row>
    <row r="1941" spans="1:10" s="3" customFormat="1" x14ac:dyDescent="0.25">
      <c r="A1941" s="20">
        <v>42083</v>
      </c>
      <c r="B1941" s="21">
        <v>15451</v>
      </c>
      <c r="C1941" s="14" t="s">
        <v>35</v>
      </c>
      <c r="D1941" s="105">
        <v>656</v>
      </c>
      <c r="E1941" s="23">
        <v>42083</v>
      </c>
      <c r="F1941" s="106">
        <v>656</v>
      </c>
      <c r="G1941" s="31">
        <f t="shared" si="30"/>
        <v>0</v>
      </c>
      <c r="H1941" s="56" t="s">
        <v>9</v>
      </c>
      <c r="J1941" s="42"/>
    </row>
    <row r="1942" spans="1:10" s="3" customFormat="1" x14ac:dyDescent="0.25">
      <c r="A1942" s="20">
        <v>42083</v>
      </c>
      <c r="B1942" s="21">
        <v>15452</v>
      </c>
      <c r="C1942" s="14" t="s">
        <v>104</v>
      </c>
      <c r="D1942" s="105">
        <v>11443.2</v>
      </c>
      <c r="E1942" s="23">
        <v>42084</v>
      </c>
      <c r="F1942" s="118">
        <v>11443.2</v>
      </c>
      <c r="G1942" s="31">
        <f t="shared" si="30"/>
        <v>0</v>
      </c>
      <c r="H1942" s="56" t="s">
        <v>94</v>
      </c>
      <c r="J1942" s="42"/>
    </row>
    <row r="1943" spans="1:10" s="3" customFormat="1" x14ac:dyDescent="0.25">
      <c r="A1943" s="20">
        <v>42083</v>
      </c>
      <c r="B1943" s="21">
        <v>15453</v>
      </c>
      <c r="C1943" s="14" t="s">
        <v>45</v>
      </c>
      <c r="D1943" s="105">
        <v>53584.9</v>
      </c>
      <c r="E1943" s="23">
        <v>42089</v>
      </c>
      <c r="F1943" s="118">
        <v>53584.9</v>
      </c>
      <c r="G1943" s="31">
        <f t="shared" si="30"/>
        <v>0</v>
      </c>
      <c r="H1943" s="56" t="s">
        <v>46</v>
      </c>
      <c r="J1943" s="42"/>
    </row>
    <row r="1944" spans="1:10" s="3" customFormat="1" x14ac:dyDescent="0.25">
      <c r="A1944" s="20">
        <v>42083</v>
      </c>
      <c r="B1944" s="21">
        <v>15454</v>
      </c>
      <c r="C1944" s="14" t="s">
        <v>301</v>
      </c>
      <c r="D1944" s="105">
        <v>3564.9</v>
      </c>
      <c r="E1944" s="23">
        <v>42084</v>
      </c>
      <c r="F1944" s="118">
        <v>3564.9</v>
      </c>
      <c r="G1944" s="31">
        <f t="shared" si="30"/>
        <v>0</v>
      </c>
      <c r="H1944" s="56" t="s">
        <v>94</v>
      </c>
      <c r="J1944" s="42"/>
    </row>
    <row r="1945" spans="1:10" s="3" customFormat="1" x14ac:dyDescent="0.25">
      <c r="A1945" s="20">
        <v>42083</v>
      </c>
      <c r="B1945" s="21">
        <v>15455</v>
      </c>
      <c r="C1945" s="14" t="s">
        <v>98</v>
      </c>
      <c r="D1945" s="105">
        <v>2883.7</v>
      </c>
      <c r="E1945" s="23">
        <v>42084</v>
      </c>
      <c r="F1945" s="118">
        <v>2883.7</v>
      </c>
      <c r="G1945" s="31">
        <f t="shared" si="30"/>
        <v>0</v>
      </c>
      <c r="H1945" s="56" t="s">
        <v>94</v>
      </c>
      <c r="J1945" s="42"/>
    </row>
    <row r="1946" spans="1:10" s="3" customFormat="1" x14ac:dyDescent="0.25">
      <c r="A1946" s="20">
        <v>42083</v>
      </c>
      <c r="B1946" s="21">
        <v>15456</v>
      </c>
      <c r="C1946" s="14" t="s">
        <v>96</v>
      </c>
      <c r="D1946" s="105">
        <v>3435.4</v>
      </c>
      <c r="E1946" s="23">
        <v>42084</v>
      </c>
      <c r="F1946" s="118">
        <v>3435.4</v>
      </c>
      <c r="G1946" s="31">
        <f t="shared" si="30"/>
        <v>0</v>
      </c>
      <c r="H1946" s="56" t="s">
        <v>94</v>
      </c>
      <c r="J1946" s="42"/>
    </row>
    <row r="1947" spans="1:10" s="3" customFormat="1" x14ac:dyDescent="0.25">
      <c r="A1947" s="20">
        <v>42083</v>
      </c>
      <c r="B1947" s="21">
        <v>15457</v>
      </c>
      <c r="C1947" s="14" t="s">
        <v>902</v>
      </c>
      <c r="D1947" s="105">
        <v>10031.879999999999</v>
      </c>
      <c r="E1947" s="23">
        <v>42083</v>
      </c>
      <c r="F1947" s="118">
        <v>10031.879999999999</v>
      </c>
      <c r="G1947" s="31">
        <f t="shared" si="30"/>
        <v>0</v>
      </c>
      <c r="H1947" s="56" t="s">
        <v>41</v>
      </c>
      <c r="J1947" s="42"/>
    </row>
    <row r="1948" spans="1:10" s="3" customFormat="1" x14ac:dyDescent="0.25">
      <c r="A1948" s="20">
        <v>42083</v>
      </c>
      <c r="B1948" s="21">
        <v>15458</v>
      </c>
      <c r="C1948" s="14" t="s">
        <v>24</v>
      </c>
      <c r="D1948" s="105">
        <v>153763.4</v>
      </c>
      <c r="E1948" s="30">
        <v>42108</v>
      </c>
      <c r="F1948" s="145">
        <v>153763.4</v>
      </c>
      <c r="G1948" s="31">
        <f t="shared" si="30"/>
        <v>0</v>
      </c>
      <c r="H1948" s="56" t="s">
        <v>9</v>
      </c>
      <c r="J1948" s="42"/>
    </row>
    <row r="1949" spans="1:10" s="3" customFormat="1" x14ac:dyDescent="0.25">
      <c r="A1949" s="20">
        <v>42083</v>
      </c>
      <c r="B1949" s="21">
        <v>15459</v>
      </c>
      <c r="C1949" s="14" t="s">
        <v>336</v>
      </c>
      <c r="D1949" s="105">
        <v>86.4</v>
      </c>
      <c r="E1949" s="23">
        <v>42083</v>
      </c>
      <c r="F1949" s="118">
        <v>86.4</v>
      </c>
      <c r="G1949" s="31">
        <f t="shared" si="30"/>
        <v>0</v>
      </c>
      <c r="H1949" s="56" t="s">
        <v>19</v>
      </c>
      <c r="J1949" s="42"/>
    </row>
    <row r="1950" spans="1:10" s="3" customFormat="1" x14ac:dyDescent="0.25">
      <c r="A1950" s="20">
        <v>42083</v>
      </c>
      <c r="B1950" s="21">
        <v>15460</v>
      </c>
      <c r="C1950" s="14" t="s">
        <v>821</v>
      </c>
      <c r="D1950" s="105">
        <v>9324</v>
      </c>
      <c r="E1950" s="23">
        <v>42083</v>
      </c>
      <c r="F1950" s="118">
        <v>9324</v>
      </c>
      <c r="G1950" s="31">
        <f t="shared" si="30"/>
        <v>0</v>
      </c>
      <c r="H1950" s="56" t="s">
        <v>9</v>
      </c>
      <c r="J1950" s="42"/>
    </row>
    <row r="1951" spans="1:10" s="3" customFormat="1" x14ac:dyDescent="0.25">
      <c r="A1951" s="20">
        <v>42083</v>
      </c>
      <c r="B1951" s="21">
        <v>15461</v>
      </c>
      <c r="C1951" s="14" t="s">
        <v>821</v>
      </c>
      <c r="D1951" s="105">
        <v>249.9</v>
      </c>
      <c r="E1951" s="23">
        <v>42083</v>
      </c>
      <c r="F1951" s="118">
        <v>249.9</v>
      </c>
      <c r="G1951" s="31">
        <f t="shared" si="30"/>
        <v>0</v>
      </c>
      <c r="H1951" s="56" t="s">
        <v>9</v>
      </c>
      <c r="J1951" s="42"/>
    </row>
    <row r="1952" spans="1:10" s="3" customFormat="1" x14ac:dyDescent="0.25">
      <c r="A1952" s="20">
        <v>42083</v>
      </c>
      <c r="B1952" s="21">
        <v>15462</v>
      </c>
      <c r="C1952" s="14" t="s">
        <v>127</v>
      </c>
      <c r="D1952" s="105">
        <v>11501.05</v>
      </c>
      <c r="E1952" s="23">
        <v>42083</v>
      </c>
      <c r="F1952" s="118">
        <v>11501.05</v>
      </c>
      <c r="G1952" s="31">
        <f t="shared" si="30"/>
        <v>0</v>
      </c>
      <c r="H1952" s="56" t="s">
        <v>9</v>
      </c>
      <c r="J1952" s="42"/>
    </row>
    <row r="1953" spans="1:10" s="3" customFormat="1" x14ac:dyDescent="0.25">
      <c r="A1953" s="20">
        <v>42083</v>
      </c>
      <c r="B1953" s="21">
        <v>15463</v>
      </c>
      <c r="C1953" s="14" t="s">
        <v>127</v>
      </c>
      <c r="D1953" s="105">
        <v>772.8</v>
      </c>
      <c r="E1953" s="23">
        <v>42083</v>
      </c>
      <c r="F1953" s="118">
        <v>772.8</v>
      </c>
      <c r="G1953" s="31">
        <f t="shared" si="30"/>
        <v>0</v>
      </c>
      <c r="H1953" s="56" t="s">
        <v>9</v>
      </c>
      <c r="J1953" s="42"/>
    </row>
    <row r="1954" spans="1:10" s="3" customFormat="1" x14ac:dyDescent="0.25">
      <c r="A1954" s="20">
        <v>42083</v>
      </c>
      <c r="B1954" s="21">
        <v>15464</v>
      </c>
      <c r="C1954" s="14" t="s">
        <v>90</v>
      </c>
      <c r="D1954" s="105">
        <v>754.6</v>
      </c>
      <c r="E1954" s="23">
        <v>42083</v>
      </c>
      <c r="F1954" s="118">
        <v>754.6</v>
      </c>
      <c r="G1954" s="31">
        <f t="shared" si="30"/>
        <v>0</v>
      </c>
      <c r="H1954" s="56" t="s">
        <v>9</v>
      </c>
      <c r="J1954" s="42"/>
    </row>
    <row r="1955" spans="1:10" s="3" customFormat="1" x14ac:dyDescent="0.25">
      <c r="A1955" s="20">
        <v>42083</v>
      </c>
      <c r="B1955" s="21">
        <v>15465</v>
      </c>
      <c r="C1955" s="14" t="s">
        <v>42</v>
      </c>
      <c r="D1955" s="105">
        <v>800</v>
      </c>
      <c r="E1955" s="23">
        <v>42083</v>
      </c>
      <c r="F1955" s="118">
        <v>800</v>
      </c>
      <c r="G1955" s="31">
        <f t="shared" si="30"/>
        <v>0</v>
      </c>
      <c r="H1955" s="56" t="s">
        <v>9</v>
      </c>
      <c r="J1955" s="42"/>
    </row>
    <row r="1956" spans="1:10" s="3" customFormat="1" x14ac:dyDescent="0.25">
      <c r="A1956" s="20">
        <v>42083</v>
      </c>
      <c r="B1956" s="21">
        <v>15466</v>
      </c>
      <c r="C1956" s="14" t="s">
        <v>267</v>
      </c>
      <c r="D1956" s="105">
        <v>3393.6</v>
      </c>
      <c r="E1956" s="23">
        <v>42084</v>
      </c>
      <c r="F1956" s="118">
        <v>3393.6</v>
      </c>
      <c r="G1956" s="31">
        <f t="shared" si="30"/>
        <v>0</v>
      </c>
      <c r="H1956" s="56" t="s">
        <v>9</v>
      </c>
      <c r="J1956" s="42"/>
    </row>
    <row r="1957" spans="1:10" s="3" customFormat="1" x14ac:dyDescent="0.25">
      <c r="A1957" s="20">
        <v>42083</v>
      </c>
      <c r="B1957" s="21">
        <v>15467</v>
      </c>
      <c r="C1957" s="14" t="s">
        <v>80</v>
      </c>
      <c r="D1957" s="105">
        <v>7715.6</v>
      </c>
      <c r="E1957" s="23">
        <v>42083</v>
      </c>
      <c r="F1957" s="118">
        <v>7715.6</v>
      </c>
      <c r="G1957" s="31">
        <f t="shared" si="30"/>
        <v>0</v>
      </c>
      <c r="H1957" s="56" t="s">
        <v>9</v>
      </c>
      <c r="J1957" s="42"/>
    </row>
    <row r="1958" spans="1:10" s="3" customFormat="1" x14ac:dyDescent="0.25">
      <c r="A1958" s="20">
        <v>42083</v>
      </c>
      <c r="B1958" s="21">
        <v>15468</v>
      </c>
      <c r="C1958" s="14" t="s">
        <v>252</v>
      </c>
      <c r="D1958" s="105">
        <v>520.20000000000005</v>
      </c>
      <c r="E1958" s="23">
        <v>42083</v>
      </c>
      <c r="F1958" s="118">
        <v>520.20000000000005</v>
      </c>
      <c r="G1958" s="31">
        <f t="shared" si="30"/>
        <v>0</v>
      </c>
      <c r="H1958" s="56" t="s">
        <v>9</v>
      </c>
      <c r="J1958" s="42"/>
    </row>
    <row r="1959" spans="1:10" s="3" customFormat="1" x14ac:dyDescent="0.25">
      <c r="A1959" s="20">
        <v>42083</v>
      </c>
      <c r="B1959" s="21">
        <v>15469</v>
      </c>
      <c r="C1959" s="14" t="s">
        <v>112</v>
      </c>
      <c r="D1959" s="105">
        <v>28851.200000000001</v>
      </c>
      <c r="E1959" s="29" t="s">
        <v>903</v>
      </c>
      <c r="F1959" s="118">
        <f>6500+22351.2</f>
        <v>28851.200000000001</v>
      </c>
      <c r="G1959" s="31">
        <f t="shared" si="30"/>
        <v>0</v>
      </c>
      <c r="H1959" s="56" t="s">
        <v>9</v>
      </c>
      <c r="J1959" s="42"/>
    </row>
    <row r="1960" spans="1:10" s="3" customFormat="1" x14ac:dyDescent="0.25">
      <c r="A1960" s="20">
        <v>42084</v>
      </c>
      <c r="B1960" s="21">
        <v>15470</v>
      </c>
      <c r="C1960" s="14" t="s">
        <v>799</v>
      </c>
      <c r="D1960" s="105">
        <v>45958.8</v>
      </c>
      <c r="E1960" s="23">
        <v>42084</v>
      </c>
      <c r="F1960" s="118">
        <v>45958.8</v>
      </c>
      <c r="G1960" s="31">
        <f t="shared" si="30"/>
        <v>0</v>
      </c>
      <c r="H1960" s="56" t="s">
        <v>9</v>
      </c>
      <c r="J1960" s="42"/>
    </row>
    <row r="1961" spans="1:10" s="3" customFormat="1" x14ac:dyDescent="0.25">
      <c r="A1961" s="20">
        <v>42084</v>
      </c>
      <c r="B1961" s="21">
        <v>15471</v>
      </c>
      <c r="C1961" s="110">
        <v>105</v>
      </c>
      <c r="D1961" s="105">
        <v>2520</v>
      </c>
      <c r="E1961" s="23">
        <v>42085</v>
      </c>
      <c r="F1961" s="118">
        <v>2520</v>
      </c>
      <c r="G1961" s="31">
        <f t="shared" si="30"/>
        <v>0</v>
      </c>
      <c r="H1961" s="56" t="s">
        <v>59</v>
      </c>
      <c r="J1961" s="42"/>
    </row>
    <row r="1962" spans="1:10" s="3" customFormat="1" x14ac:dyDescent="0.25">
      <c r="A1962" s="20">
        <v>42084</v>
      </c>
      <c r="B1962" s="21">
        <v>15472</v>
      </c>
      <c r="C1962" s="14" t="s">
        <v>214</v>
      </c>
      <c r="D1962" s="105">
        <v>3240</v>
      </c>
      <c r="E1962" s="23">
        <v>42085</v>
      </c>
      <c r="F1962" s="118">
        <v>3240</v>
      </c>
      <c r="G1962" s="31">
        <f t="shared" si="30"/>
        <v>0</v>
      </c>
      <c r="H1962" s="56" t="s">
        <v>59</v>
      </c>
      <c r="J1962" s="42"/>
    </row>
    <row r="1963" spans="1:10" s="3" customFormat="1" x14ac:dyDescent="0.25">
      <c r="A1963" s="20">
        <v>42084</v>
      </c>
      <c r="B1963" s="21">
        <v>15473</v>
      </c>
      <c r="C1963" s="14" t="s">
        <v>58</v>
      </c>
      <c r="D1963" s="105">
        <v>360</v>
      </c>
      <c r="E1963" s="23">
        <v>42085</v>
      </c>
      <c r="F1963" s="118">
        <v>360</v>
      </c>
      <c r="G1963" s="31">
        <f t="shared" si="30"/>
        <v>0</v>
      </c>
      <c r="H1963" s="56" t="s">
        <v>94</v>
      </c>
      <c r="J1963" s="42"/>
    </row>
    <row r="1964" spans="1:10" s="3" customFormat="1" x14ac:dyDescent="0.25">
      <c r="A1964" s="20">
        <v>42084</v>
      </c>
      <c r="B1964" s="21">
        <v>15474</v>
      </c>
      <c r="C1964" s="14" t="s">
        <v>18</v>
      </c>
      <c r="D1964" s="105">
        <v>7858.3</v>
      </c>
      <c r="E1964" s="23">
        <v>42084</v>
      </c>
      <c r="F1964" s="118">
        <v>7858.3</v>
      </c>
      <c r="G1964" s="31">
        <f t="shared" si="30"/>
        <v>0</v>
      </c>
      <c r="H1964" s="56" t="s">
        <v>9</v>
      </c>
      <c r="J1964" s="42"/>
    </row>
    <row r="1965" spans="1:10" s="3" customFormat="1" x14ac:dyDescent="0.25">
      <c r="A1965" s="20">
        <v>42084</v>
      </c>
      <c r="B1965" s="21">
        <v>15475</v>
      </c>
      <c r="C1965" s="14" t="s">
        <v>16</v>
      </c>
      <c r="D1965" s="105">
        <v>10583.4</v>
      </c>
      <c r="E1965" s="23">
        <v>42084</v>
      </c>
      <c r="F1965" s="118">
        <v>10583.4</v>
      </c>
      <c r="G1965" s="31">
        <f t="shared" si="30"/>
        <v>0</v>
      </c>
      <c r="H1965" s="56" t="s">
        <v>17</v>
      </c>
      <c r="J1965" s="42"/>
    </row>
    <row r="1966" spans="1:10" s="3" customFormat="1" x14ac:dyDescent="0.25">
      <c r="A1966" s="20">
        <v>42084</v>
      </c>
      <c r="B1966" s="21">
        <v>15476</v>
      </c>
      <c r="C1966" s="14" t="s">
        <v>102</v>
      </c>
      <c r="D1966" s="105">
        <v>5181.3</v>
      </c>
      <c r="E1966" s="23">
        <v>42084</v>
      </c>
      <c r="F1966" s="118">
        <v>5181.3</v>
      </c>
      <c r="G1966" s="31">
        <f t="shared" si="30"/>
        <v>0</v>
      </c>
      <c r="H1966" s="56" t="s">
        <v>9</v>
      </c>
      <c r="J1966" s="42"/>
    </row>
    <row r="1967" spans="1:10" s="3" customFormat="1" x14ac:dyDescent="0.25">
      <c r="A1967" s="20">
        <v>42084</v>
      </c>
      <c r="B1967" s="21">
        <v>15477</v>
      </c>
      <c r="C1967" s="14" t="s">
        <v>215</v>
      </c>
      <c r="D1967" s="105">
        <v>23702.3</v>
      </c>
      <c r="E1967" s="23">
        <v>42084</v>
      </c>
      <c r="F1967" s="118">
        <v>23702.3</v>
      </c>
      <c r="G1967" s="31">
        <f t="shared" si="30"/>
        <v>0</v>
      </c>
      <c r="H1967" s="56" t="s">
        <v>17</v>
      </c>
      <c r="J1967" s="42"/>
    </row>
    <row r="1968" spans="1:10" s="3" customFormat="1" x14ac:dyDescent="0.25">
      <c r="A1968" s="20">
        <v>42084</v>
      </c>
      <c r="B1968" s="21">
        <v>15478</v>
      </c>
      <c r="C1968" s="14" t="s">
        <v>881</v>
      </c>
      <c r="D1968" s="105">
        <v>3604.8</v>
      </c>
      <c r="E1968" s="23">
        <v>42084</v>
      </c>
      <c r="F1968" s="118">
        <v>3604.8</v>
      </c>
      <c r="G1968" s="31">
        <f t="shared" si="30"/>
        <v>0</v>
      </c>
      <c r="H1968" s="56" t="s">
        <v>9</v>
      </c>
      <c r="J1968" s="42"/>
    </row>
    <row r="1969" spans="1:10" s="3" customFormat="1" x14ac:dyDescent="0.25">
      <c r="A1969" s="20">
        <v>42084</v>
      </c>
      <c r="B1969" s="21">
        <v>15479</v>
      </c>
      <c r="C1969" s="14" t="s">
        <v>14</v>
      </c>
      <c r="D1969" s="105">
        <v>31186.400000000001</v>
      </c>
      <c r="E1969" s="23" t="s">
        <v>904</v>
      </c>
      <c r="F1969" s="118">
        <f>11711.15+19475.25</f>
        <v>31186.400000000001</v>
      </c>
      <c r="G1969" s="31">
        <f t="shared" si="30"/>
        <v>0</v>
      </c>
      <c r="H1969" s="56" t="s">
        <v>15</v>
      </c>
      <c r="J1969" s="42"/>
    </row>
    <row r="1970" spans="1:10" s="3" customFormat="1" x14ac:dyDescent="0.25">
      <c r="A1970" s="20">
        <v>42084</v>
      </c>
      <c r="B1970" s="21">
        <v>15480</v>
      </c>
      <c r="C1970" s="26" t="s">
        <v>218</v>
      </c>
      <c r="D1970" s="108">
        <v>0</v>
      </c>
      <c r="E1970" s="23"/>
      <c r="F1970" s="118"/>
      <c r="G1970" s="31">
        <f t="shared" si="30"/>
        <v>0</v>
      </c>
      <c r="H1970" s="56" t="s">
        <v>13</v>
      </c>
      <c r="J1970" s="42"/>
    </row>
    <row r="1971" spans="1:10" s="3" customFormat="1" x14ac:dyDescent="0.25">
      <c r="A1971" s="20">
        <v>42084</v>
      </c>
      <c r="B1971" s="21">
        <v>15481</v>
      </c>
      <c r="C1971" s="14" t="s">
        <v>26</v>
      </c>
      <c r="D1971" s="105">
        <v>1644</v>
      </c>
      <c r="E1971" s="23">
        <v>42084</v>
      </c>
      <c r="F1971" s="118">
        <v>1644</v>
      </c>
      <c r="G1971" s="31">
        <f t="shared" si="30"/>
        <v>0</v>
      </c>
      <c r="H1971" s="56" t="s">
        <v>9</v>
      </c>
      <c r="J1971" s="42"/>
    </row>
    <row r="1972" spans="1:10" s="3" customFormat="1" x14ac:dyDescent="0.25">
      <c r="A1972" s="20">
        <v>42084</v>
      </c>
      <c r="B1972" s="21">
        <v>15482</v>
      </c>
      <c r="C1972" s="14" t="s">
        <v>720</v>
      </c>
      <c r="D1972" s="105">
        <v>11730.3</v>
      </c>
      <c r="E1972" s="23">
        <v>42084</v>
      </c>
      <c r="F1972" s="118">
        <v>11730.3</v>
      </c>
      <c r="G1972" s="31">
        <f t="shared" si="30"/>
        <v>0</v>
      </c>
      <c r="H1972" s="56" t="s">
        <v>9</v>
      </c>
      <c r="J1972" s="42"/>
    </row>
    <row r="1973" spans="1:10" s="3" customFormat="1" x14ac:dyDescent="0.25">
      <c r="A1973" s="20">
        <v>42084</v>
      </c>
      <c r="B1973" s="21">
        <v>15483</v>
      </c>
      <c r="C1973" s="14" t="s">
        <v>121</v>
      </c>
      <c r="D1973" s="105">
        <v>3251.2</v>
      </c>
      <c r="E1973" s="23">
        <v>42084</v>
      </c>
      <c r="F1973" s="118">
        <v>3251.2</v>
      </c>
      <c r="G1973" s="31">
        <f t="shared" si="30"/>
        <v>0</v>
      </c>
      <c r="H1973" s="56" t="s">
        <v>9</v>
      </c>
      <c r="J1973" s="42"/>
    </row>
    <row r="1974" spans="1:10" s="3" customFormat="1" x14ac:dyDescent="0.25">
      <c r="A1974" s="20">
        <v>42084</v>
      </c>
      <c r="B1974" s="21">
        <v>15484</v>
      </c>
      <c r="C1974" s="14" t="s">
        <v>116</v>
      </c>
      <c r="D1974" s="105">
        <v>3222</v>
      </c>
      <c r="E1974" s="23">
        <v>42084</v>
      </c>
      <c r="F1974" s="118">
        <v>3222</v>
      </c>
      <c r="G1974" s="31">
        <f t="shared" si="30"/>
        <v>0</v>
      </c>
      <c r="H1974" s="56" t="s">
        <v>9</v>
      </c>
      <c r="J1974" s="42"/>
    </row>
    <row r="1975" spans="1:10" s="3" customFormat="1" x14ac:dyDescent="0.25">
      <c r="A1975" s="20">
        <v>42084</v>
      </c>
      <c r="B1975" s="21">
        <v>15485</v>
      </c>
      <c r="C1975" s="14" t="s">
        <v>116</v>
      </c>
      <c r="D1975" s="105">
        <v>5241.3999999999996</v>
      </c>
      <c r="E1975" s="23">
        <v>42084</v>
      </c>
      <c r="F1975" s="118">
        <v>5241.3999999999996</v>
      </c>
      <c r="G1975" s="31">
        <f t="shared" si="30"/>
        <v>0</v>
      </c>
      <c r="H1975" s="56" t="s">
        <v>9</v>
      </c>
      <c r="J1975" s="42"/>
    </row>
    <row r="1976" spans="1:10" s="3" customFormat="1" x14ac:dyDescent="0.25">
      <c r="A1976" s="20">
        <v>42084</v>
      </c>
      <c r="B1976" s="21">
        <v>15486</v>
      </c>
      <c r="C1976" s="14" t="s">
        <v>136</v>
      </c>
      <c r="D1976" s="105">
        <v>810</v>
      </c>
      <c r="E1976" s="23">
        <v>42084</v>
      </c>
      <c r="F1976" s="118">
        <v>810</v>
      </c>
      <c r="G1976" s="31">
        <f t="shared" si="30"/>
        <v>0</v>
      </c>
      <c r="H1976" s="56" t="s">
        <v>9</v>
      </c>
      <c r="J1976" s="42"/>
    </row>
    <row r="1977" spans="1:10" s="3" customFormat="1" x14ac:dyDescent="0.25">
      <c r="A1977" s="20">
        <v>42084</v>
      </c>
      <c r="B1977" s="21">
        <v>15487</v>
      </c>
      <c r="C1977" s="14" t="s">
        <v>20</v>
      </c>
      <c r="D1977" s="105">
        <v>16895.2</v>
      </c>
      <c r="E1977" s="23">
        <v>42084</v>
      </c>
      <c r="F1977" s="118">
        <v>16895.2</v>
      </c>
      <c r="G1977" s="31">
        <f t="shared" si="30"/>
        <v>0</v>
      </c>
      <c r="H1977" s="56" t="s">
        <v>94</v>
      </c>
      <c r="J1977" s="42"/>
    </row>
    <row r="1978" spans="1:10" s="3" customFormat="1" x14ac:dyDescent="0.25">
      <c r="A1978" s="20">
        <v>42084</v>
      </c>
      <c r="B1978" s="21">
        <v>15488</v>
      </c>
      <c r="C1978" s="14" t="s">
        <v>21</v>
      </c>
      <c r="D1978" s="105">
        <v>8522.2000000000007</v>
      </c>
      <c r="E1978" s="23">
        <v>42084</v>
      </c>
      <c r="F1978" s="118">
        <v>8522.2000000000007</v>
      </c>
      <c r="G1978" s="31">
        <f t="shared" si="30"/>
        <v>0</v>
      </c>
      <c r="H1978" s="56" t="s">
        <v>9</v>
      </c>
      <c r="J1978" s="42"/>
    </row>
    <row r="1979" spans="1:10" s="3" customFormat="1" x14ac:dyDescent="0.25">
      <c r="A1979" s="20">
        <v>42084</v>
      </c>
      <c r="B1979" s="21">
        <v>15489</v>
      </c>
      <c r="C1979" s="14" t="s">
        <v>154</v>
      </c>
      <c r="D1979" s="105">
        <v>14903.6</v>
      </c>
      <c r="E1979" s="23">
        <v>42085</v>
      </c>
      <c r="F1979" s="118">
        <v>14903.6</v>
      </c>
      <c r="G1979" s="31">
        <f t="shared" si="30"/>
        <v>0</v>
      </c>
      <c r="H1979" s="56" t="s">
        <v>773</v>
      </c>
      <c r="J1979" s="42"/>
    </row>
    <row r="1980" spans="1:10" s="3" customFormat="1" x14ac:dyDescent="0.25">
      <c r="A1980" s="20">
        <v>42084</v>
      </c>
      <c r="B1980" s="21">
        <v>15490</v>
      </c>
      <c r="C1980" s="14" t="s">
        <v>256</v>
      </c>
      <c r="D1980" s="105">
        <v>7525.6</v>
      </c>
      <c r="E1980" s="23">
        <v>42085</v>
      </c>
      <c r="F1980" s="118">
        <v>7525.6</v>
      </c>
      <c r="G1980" s="31">
        <f t="shared" si="30"/>
        <v>0</v>
      </c>
      <c r="H1980" s="56" t="s">
        <v>773</v>
      </c>
      <c r="J1980" s="42"/>
    </row>
    <row r="1981" spans="1:10" s="3" customFormat="1" x14ac:dyDescent="0.25">
      <c r="A1981" s="20">
        <v>42084</v>
      </c>
      <c r="B1981" s="21">
        <v>15491</v>
      </c>
      <c r="C1981" s="14" t="s">
        <v>32</v>
      </c>
      <c r="D1981" s="105">
        <v>25564</v>
      </c>
      <c r="E1981" s="23">
        <v>42089</v>
      </c>
      <c r="F1981" s="118">
        <v>25564</v>
      </c>
      <c r="G1981" s="31">
        <f t="shared" si="30"/>
        <v>0</v>
      </c>
      <c r="H1981" s="56" t="s">
        <v>187</v>
      </c>
      <c r="J1981" s="42"/>
    </row>
    <row r="1982" spans="1:10" s="3" customFormat="1" x14ac:dyDescent="0.25">
      <c r="A1982" s="20">
        <v>42084</v>
      </c>
      <c r="B1982" s="21">
        <v>15492</v>
      </c>
      <c r="C1982" s="14" t="s">
        <v>123</v>
      </c>
      <c r="D1982" s="105">
        <v>12466</v>
      </c>
      <c r="E1982" s="23">
        <v>42085</v>
      </c>
      <c r="F1982" s="118">
        <v>12466</v>
      </c>
      <c r="G1982" s="31">
        <f t="shared" si="30"/>
        <v>0</v>
      </c>
      <c r="H1982" s="56" t="s">
        <v>773</v>
      </c>
      <c r="J1982" s="42"/>
    </row>
    <row r="1983" spans="1:10" s="3" customFormat="1" x14ac:dyDescent="0.25">
      <c r="A1983" s="20">
        <v>42084</v>
      </c>
      <c r="B1983" s="21">
        <v>15493</v>
      </c>
      <c r="C1983" s="14" t="s">
        <v>151</v>
      </c>
      <c r="D1983" s="105">
        <v>2262.4</v>
      </c>
      <c r="E1983" s="23">
        <v>42084</v>
      </c>
      <c r="F1983" s="118">
        <v>2262.4</v>
      </c>
      <c r="G1983" s="31">
        <f t="shared" si="30"/>
        <v>0</v>
      </c>
      <c r="H1983" s="56" t="s">
        <v>9</v>
      </c>
      <c r="J1983" s="42"/>
    </row>
    <row r="1984" spans="1:10" s="3" customFormat="1" x14ac:dyDescent="0.25">
      <c r="A1984" s="20">
        <v>42084</v>
      </c>
      <c r="B1984" s="21">
        <v>15494</v>
      </c>
      <c r="C1984" s="14" t="s">
        <v>55</v>
      </c>
      <c r="D1984" s="105">
        <v>26477</v>
      </c>
      <c r="E1984" s="23">
        <v>42085</v>
      </c>
      <c r="F1984" s="118">
        <v>26477</v>
      </c>
      <c r="G1984" s="31">
        <f t="shared" si="30"/>
        <v>0</v>
      </c>
      <c r="H1984" s="56" t="s">
        <v>773</v>
      </c>
      <c r="J1984" s="42"/>
    </row>
    <row r="1985" spans="1:10" s="3" customFormat="1" x14ac:dyDescent="0.25">
      <c r="A1985" s="20">
        <v>42084</v>
      </c>
      <c r="B1985" s="21">
        <v>15495</v>
      </c>
      <c r="C1985" s="14" t="s">
        <v>591</v>
      </c>
      <c r="D1985" s="105">
        <v>13166.4</v>
      </c>
      <c r="E1985" s="23">
        <v>42085</v>
      </c>
      <c r="F1985" s="118">
        <v>13166.4</v>
      </c>
      <c r="G1985" s="31">
        <f t="shared" si="30"/>
        <v>0</v>
      </c>
      <c r="H1985" s="56" t="s">
        <v>773</v>
      </c>
      <c r="J1985" s="42"/>
    </row>
    <row r="1986" spans="1:10" s="3" customFormat="1" x14ac:dyDescent="0.25">
      <c r="A1986" s="20">
        <v>42084</v>
      </c>
      <c r="B1986" s="21">
        <v>15496</v>
      </c>
      <c r="C1986" s="14" t="s">
        <v>137</v>
      </c>
      <c r="D1986" s="105">
        <v>3167.3</v>
      </c>
      <c r="E1986" s="23">
        <v>42084</v>
      </c>
      <c r="F1986" s="118">
        <v>3167.3</v>
      </c>
      <c r="G1986" s="31">
        <f t="shared" si="30"/>
        <v>0</v>
      </c>
      <c r="H1986" s="56" t="s">
        <v>9</v>
      </c>
      <c r="J1986" s="42"/>
    </row>
    <row r="1987" spans="1:10" s="3" customFormat="1" x14ac:dyDescent="0.25">
      <c r="A1987" s="20">
        <v>42084</v>
      </c>
      <c r="B1987" s="21">
        <v>15497</v>
      </c>
      <c r="C1987" s="14" t="s">
        <v>57</v>
      </c>
      <c r="D1987" s="105">
        <v>1620</v>
      </c>
      <c r="E1987" s="23">
        <v>42085</v>
      </c>
      <c r="F1987" s="118">
        <v>1620</v>
      </c>
      <c r="G1987" s="31">
        <f t="shared" ref="G1987:G2050" si="31">D1987-F1987</f>
        <v>0</v>
      </c>
      <c r="H1987" s="56" t="s">
        <v>59</v>
      </c>
      <c r="J1987" s="42"/>
    </row>
    <row r="1988" spans="1:10" s="3" customFormat="1" x14ac:dyDescent="0.25">
      <c r="A1988" s="20">
        <v>42084</v>
      </c>
      <c r="B1988" s="21">
        <v>15498</v>
      </c>
      <c r="C1988" s="14" t="s">
        <v>91</v>
      </c>
      <c r="D1988" s="105">
        <v>27057.599999999999</v>
      </c>
      <c r="E1988" s="23">
        <v>42085</v>
      </c>
      <c r="F1988" s="118">
        <v>27057.599999999999</v>
      </c>
      <c r="G1988" s="31">
        <f t="shared" si="31"/>
        <v>0</v>
      </c>
      <c r="H1988" s="56" t="s">
        <v>59</v>
      </c>
      <c r="J1988" s="42"/>
    </row>
    <row r="1989" spans="1:10" s="3" customFormat="1" x14ac:dyDescent="0.25">
      <c r="A1989" s="20">
        <v>42084</v>
      </c>
      <c r="B1989" s="21">
        <v>15499</v>
      </c>
      <c r="C1989" s="14" t="s">
        <v>120</v>
      </c>
      <c r="D1989" s="105">
        <v>1071.5999999999999</v>
      </c>
      <c r="E1989" s="23">
        <v>42085</v>
      </c>
      <c r="F1989" s="118">
        <v>1071.5999999999999</v>
      </c>
      <c r="G1989" s="31">
        <f t="shared" si="31"/>
        <v>0</v>
      </c>
      <c r="H1989" s="56" t="s">
        <v>59</v>
      </c>
      <c r="J1989" s="42"/>
    </row>
    <row r="1990" spans="1:10" s="3" customFormat="1" x14ac:dyDescent="0.25">
      <c r="A1990" s="20">
        <v>42084</v>
      </c>
      <c r="B1990" s="21">
        <v>15500</v>
      </c>
      <c r="C1990" s="14" t="s">
        <v>167</v>
      </c>
      <c r="D1990" s="105">
        <v>423.8</v>
      </c>
      <c r="E1990" s="23">
        <v>42085</v>
      </c>
      <c r="F1990" s="118">
        <v>423.8</v>
      </c>
      <c r="G1990" s="31">
        <f t="shared" si="31"/>
        <v>0</v>
      </c>
      <c r="H1990" s="56" t="s">
        <v>59</v>
      </c>
      <c r="J1990" s="42"/>
    </row>
    <row r="1991" spans="1:10" s="3" customFormat="1" x14ac:dyDescent="0.25">
      <c r="A1991" s="20">
        <v>42084</v>
      </c>
      <c r="B1991" s="21">
        <v>15501</v>
      </c>
      <c r="C1991" s="14" t="s">
        <v>35</v>
      </c>
      <c r="D1991" s="105">
        <v>22882.5</v>
      </c>
      <c r="E1991" s="23">
        <v>42085</v>
      </c>
      <c r="F1991" s="118">
        <v>22882.5</v>
      </c>
      <c r="G1991" s="31">
        <f t="shared" si="31"/>
        <v>0</v>
      </c>
      <c r="H1991" s="56" t="s">
        <v>773</v>
      </c>
      <c r="J1991" s="42"/>
    </row>
    <row r="1992" spans="1:10" s="3" customFormat="1" x14ac:dyDescent="0.25">
      <c r="A1992" s="20">
        <v>42084</v>
      </c>
      <c r="B1992" s="21">
        <v>15502</v>
      </c>
      <c r="C1992" s="14" t="s">
        <v>53</v>
      </c>
      <c r="D1992" s="105">
        <v>2121.9</v>
      </c>
      <c r="E1992" s="23">
        <v>42085</v>
      </c>
      <c r="F1992" s="118">
        <v>2121.9</v>
      </c>
      <c r="G1992" s="31">
        <f t="shared" si="31"/>
        <v>0</v>
      </c>
      <c r="H1992" s="56" t="s">
        <v>59</v>
      </c>
      <c r="J1992" s="42"/>
    </row>
    <row r="1993" spans="1:10" s="3" customFormat="1" x14ac:dyDescent="0.25">
      <c r="A1993" s="20">
        <v>42084</v>
      </c>
      <c r="B1993" s="21">
        <v>15503</v>
      </c>
      <c r="C1993" s="14" t="s">
        <v>905</v>
      </c>
      <c r="D1993" s="105">
        <v>3200</v>
      </c>
      <c r="E1993" s="23">
        <v>42084</v>
      </c>
      <c r="F1993" s="118">
        <v>3200</v>
      </c>
      <c r="G1993" s="31">
        <f t="shared" si="31"/>
        <v>0</v>
      </c>
      <c r="H1993" s="56" t="s">
        <v>59</v>
      </c>
      <c r="J1993" s="42"/>
    </row>
    <row r="1994" spans="1:10" s="3" customFormat="1" x14ac:dyDescent="0.25">
      <c r="A1994" s="20">
        <v>42084</v>
      </c>
      <c r="B1994" s="21">
        <v>15504</v>
      </c>
      <c r="C1994" s="14" t="s">
        <v>881</v>
      </c>
      <c r="D1994" s="105">
        <v>2800</v>
      </c>
      <c r="E1994" s="23">
        <v>42084</v>
      </c>
      <c r="F1994" s="118">
        <v>2800</v>
      </c>
      <c r="G1994" s="31">
        <f t="shared" si="31"/>
        <v>0</v>
      </c>
      <c r="H1994" s="56" t="s">
        <v>9</v>
      </c>
      <c r="J1994" s="42"/>
    </row>
    <row r="1995" spans="1:10" s="3" customFormat="1" x14ac:dyDescent="0.25">
      <c r="A1995" s="20">
        <v>42084</v>
      </c>
      <c r="B1995" s="21">
        <v>15505</v>
      </c>
      <c r="C1995" s="14" t="s">
        <v>482</v>
      </c>
      <c r="D1995" s="105">
        <v>688.8</v>
      </c>
      <c r="E1995" s="23">
        <v>42084</v>
      </c>
      <c r="F1995" s="118">
        <v>688.8</v>
      </c>
      <c r="G1995" s="31">
        <f t="shared" si="31"/>
        <v>0</v>
      </c>
      <c r="H1995" s="56" t="s">
        <v>9</v>
      </c>
      <c r="J1995" s="42"/>
    </row>
    <row r="1996" spans="1:10" s="3" customFormat="1" x14ac:dyDescent="0.25">
      <c r="A1996" s="20">
        <v>42084</v>
      </c>
      <c r="B1996" s="21">
        <v>15506</v>
      </c>
      <c r="C1996" s="14" t="s">
        <v>34</v>
      </c>
      <c r="D1996" s="105">
        <v>3600</v>
      </c>
      <c r="E1996" s="23">
        <v>42084</v>
      </c>
      <c r="F1996" s="118">
        <v>3600</v>
      </c>
      <c r="G1996" s="31">
        <f t="shared" si="31"/>
        <v>0</v>
      </c>
      <c r="H1996" s="56" t="s">
        <v>9</v>
      </c>
      <c r="J1996" s="42"/>
    </row>
    <row r="1997" spans="1:10" s="3" customFormat="1" x14ac:dyDescent="0.25">
      <c r="A1997" s="20">
        <v>42084</v>
      </c>
      <c r="B1997" s="21">
        <v>15507</v>
      </c>
      <c r="C1997" s="14" t="s">
        <v>291</v>
      </c>
      <c r="D1997" s="105">
        <v>11728.24</v>
      </c>
      <c r="E1997" s="23">
        <v>42084</v>
      </c>
      <c r="F1997" s="118">
        <v>11728.24</v>
      </c>
      <c r="G1997" s="31">
        <f t="shared" si="31"/>
        <v>0</v>
      </c>
      <c r="H1997" s="56" t="s">
        <v>9</v>
      </c>
      <c r="J1997" s="42"/>
    </row>
    <row r="1998" spans="1:10" s="3" customFormat="1" x14ac:dyDescent="0.25">
      <c r="A1998" s="20">
        <v>42084</v>
      </c>
      <c r="B1998" s="21">
        <v>15508</v>
      </c>
      <c r="C1998" s="150" t="s">
        <v>155</v>
      </c>
      <c r="D1998" s="105">
        <v>3737.6</v>
      </c>
      <c r="E1998" s="23">
        <v>42085</v>
      </c>
      <c r="F1998" s="118">
        <v>3737.6</v>
      </c>
      <c r="G1998" s="31">
        <f t="shared" si="31"/>
        <v>0</v>
      </c>
      <c r="H1998" s="56" t="s">
        <v>59</v>
      </c>
      <c r="J1998" s="42"/>
    </row>
    <row r="1999" spans="1:10" s="3" customFormat="1" x14ac:dyDescent="0.25">
      <c r="A1999" s="20">
        <v>42084</v>
      </c>
      <c r="B1999" s="21">
        <v>15509</v>
      </c>
      <c r="C1999" s="14" t="s">
        <v>83</v>
      </c>
      <c r="D1999" s="105">
        <v>6218.7</v>
      </c>
      <c r="E1999" s="23">
        <v>42085</v>
      </c>
      <c r="F1999" s="118">
        <v>6218.7</v>
      </c>
      <c r="G1999" s="31">
        <f t="shared" si="31"/>
        <v>0</v>
      </c>
      <c r="H1999" s="56" t="s">
        <v>59</v>
      </c>
      <c r="J1999" s="42"/>
    </row>
    <row r="2000" spans="1:10" s="3" customFormat="1" x14ac:dyDescent="0.25">
      <c r="A2000" s="20">
        <v>42084</v>
      </c>
      <c r="B2000" s="21">
        <v>15510</v>
      </c>
      <c r="C2000" s="14" t="s">
        <v>169</v>
      </c>
      <c r="D2000" s="105">
        <v>1229.5999999999999</v>
      </c>
      <c r="E2000" s="23">
        <v>42085</v>
      </c>
      <c r="F2000" s="118">
        <v>1229.5999999999999</v>
      </c>
      <c r="G2000" s="31">
        <f t="shared" si="31"/>
        <v>0</v>
      </c>
      <c r="H2000" s="56" t="s">
        <v>59</v>
      </c>
      <c r="J2000" s="42"/>
    </row>
    <row r="2001" spans="1:10" s="3" customFormat="1" x14ac:dyDescent="0.25">
      <c r="A2001" s="20">
        <v>42084</v>
      </c>
      <c r="B2001" s="21">
        <v>15511</v>
      </c>
      <c r="C2001" s="14" t="s">
        <v>47</v>
      </c>
      <c r="D2001" s="105">
        <v>24761.200000000001</v>
      </c>
      <c r="E2001" s="23">
        <v>42085</v>
      </c>
      <c r="F2001" s="118">
        <v>24761.200000000001</v>
      </c>
      <c r="G2001" s="31">
        <f t="shared" si="31"/>
        <v>0</v>
      </c>
      <c r="H2001" s="56" t="s">
        <v>773</v>
      </c>
      <c r="J2001" s="42"/>
    </row>
    <row r="2002" spans="1:10" s="3" customFormat="1" x14ac:dyDescent="0.25">
      <c r="A2002" s="20">
        <v>42084</v>
      </c>
      <c r="B2002" s="21">
        <v>15512</v>
      </c>
      <c r="C2002" s="14" t="s">
        <v>406</v>
      </c>
      <c r="D2002" s="105">
        <v>14376.4</v>
      </c>
      <c r="E2002" s="23">
        <v>42085</v>
      </c>
      <c r="F2002" s="118">
        <v>14376.4</v>
      </c>
      <c r="G2002" s="31">
        <f t="shared" si="31"/>
        <v>0</v>
      </c>
      <c r="H2002" s="56" t="s">
        <v>9</v>
      </c>
      <c r="J2002" s="42"/>
    </row>
    <row r="2003" spans="1:10" s="3" customFormat="1" x14ac:dyDescent="0.25">
      <c r="A2003" s="20">
        <v>42084</v>
      </c>
      <c r="B2003" s="21">
        <v>15513</v>
      </c>
      <c r="C2003" s="14" t="s">
        <v>118</v>
      </c>
      <c r="D2003" s="105">
        <v>1252.1199999999999</v>
      </c>
      <c r="E2003" s="23">
        <v>42086</v>
      </c>
      <c r="F2003" s="118">
        <v>1252.1199999999999</v>
      </c>
      <c r="G2003" s="31">
        <f t="shared" si="31"/>
        <v>0</v>
      </c>
      <c r="H2003" s="56" t="s">
        <v>9</v>
      </c>
      <c r="J2003" s="42"/>
    </row>
    <row r="2004" spans="1:10" s="3" customFormat="1" x14ac:dyDescent="0.25">
      <c r="A2004" s="20">
        <v>42084</v>
      </c>
      <c r="B2004" s="21">
        <v>15514</v>
      </c>
      <c r="C2004" s="14" t="s">
        <v>88</v>
      </c>
      <c r="D2004" s="105">
        <v>1489.5</v>
      </c>
      <c r="E2004" s="23">
        <v>42084</v>
      </c>
      <c r="F2004" s="106">
        <v>1489.5</v>
      </c>
      <c r="G2004" s="31">
        <f t="shared" si="31"/>
        <v>0</v>
      </c>
      <c r="H2004" s="56" t="s">
        <v>9</v>
      </c>
      <c r="J2004" s="42"/>
    </row>
    <row r="2005" spans="1:10" s="3" customFormat="1" x14ac:dyDescent="0.25">
      <c r="A2005" s="20">
        <v>42084</v>
      </c>
      <c r="B2005" s="21">
        <v>15515</v>
      </c>
      <c r="C2005" s="14" t="s">
        <v>906</v>
      </c>
      <c r="D2005" s="105">
        <v>1646.4</v>
      </c>
      <c r="E2005" s="23">
        <v>42084</v>
      </c>
      <c r="F2005" s="106">
        <v>1646.4</v>
      </c>
      <c r="G2005" s="31">
        <f t="shared" si="31"/>
        <v>0</v>
      </c>
      <c r="H2005" s="56" t="s">
        <v>41</v>
      </c>
      <c r="J2005" s="42"/>
    </row>
    <row r="2006" spans="1:10" s="3" customFormat="1" x14ac:dyDescent="0.25">
      <c r="A2006" s="20">
        <v>42084</v>
      </c>
      <c r="B2006" s="21">
        <v>15516</v>
      </c>
      <c r="C2006" s="14" t="s">
        <v>125</v>
      </c>
      <c r="D2006" s="105">
        <v>38086.199999999997</v>
      </c>
      <c r="E2006" s="29" t="s">
        <v>907</v>
      </c>
      <c r="F2006" s="106">
        <f>30000+8086.2</f>
        <v>38086.199999999997</v>
      </c>
      <c r="G2006" s="31">
        <f t="shared" si="31"/>
        <v>0</v>
      </c>
      <c r="H2006" s="56" t="s">
        <v>9</v>
      </c>
      <c r="J2006" s="42"/>
    </row>
    <row r="2007" spans="1:10" s="3" customFormat="1" x14ac:dyDescent="0.25">
      <c r="A2007" s="20">
        <v>42084</v>
      </c>
      <c r="B2007" s="21">
        <v>15517</v>
      </c>
      <c r="C2007" s="14" t="s">
        <v>296</v>
      </c>
      <c r="D2007" s="105">
        <v>1667.9</v>
      </c>
      <c r="E2007" s="23">
        <v>42084</v>
      </c>
      <c r="F2007" s="106">
        <v>1667.9</v>
      </c>
      <c r="G2007" s="31">
        <f t="shared" si="31"/>
        <v>0</v>
      </c>
      <c r="H2007" s="56" t="s">
        <v>9</v>
      </c>
      <c r="J2007" s="42"/>
    </row>
    <row r="2008" spans="1:10" s="3" customFormat="1" x14ac:dyDescent="0.25">
      <c r="A2008" s="20">
        <v>42084</v>
      </c>
      <c r="B2008" s="21">
        <v>15518</v>
      </c>
      <c r="C2008" s="14" t="s">
        <v>285</v>
      </c>
      <c r="D2008" s="105">
        <v>689.8</v>
      </c>
      <c r="E2008" s="23">
        <v>42084</v>
      </c>
      <c r="F2008" s="106">
        <v>689.8</v>
      </c>
      <c r="G2008" s="31">
        <f t="shared" si="31"/>
        <v>0</v>
      </c>
      <c r="H2008" s="56" t="s">
        <v>41</v>
      </c>
      <c r="J2008" s="42"/>
    </row>
    <row r="2009" spans="1:10" s="3" customFormat="1" x14ac:dyDescent="0.25">
      <c r="A2009" s="20">
        <v>42084</v>
      </c>
      <c r="B2009" s="21">
        <v>15519</v>
      </c>
      <c r="C2009" s="14" t="s">
        <v>38</v>
      </c>
      <c r="D2009" s="105">
        <v>33191.4</v>
      </c>
      <c r="E2009" s="30">
        <v>42108</v>
      </c>
      <c r="F2009" s="144">
        <v>33191.4</v>
      </c>
      <c r="G2009" s="31">
        <f t="shared" si="31"/>
        <v>0</v>
      </c>
      <c r="H2009" s="56" t="s">
        <v>183</v>
      </c>
      <c r="J2009" s="42"/>
    </row>
    <row r="2010" spans="1:10" s="3" customFormat="1" x14ac:dyDescent="0.25">
      <c r="A2010" s="20">
        <v>42084</v>
      </c>
      <c r="B2010" s="21">
        <v>15520</v>
      </c>
      <c r="C2010" s="14" t="s">
        <v>292</v>
      </c>
      <c r="D2010" s="105">
        <v>2439.6</v>
      </c>
      <c r="E2010" s="23">
        <v>42085</v>
      </c>
      <c r="F2010" s="106">
        <v>2439.6</v>
      </c>
      <c r="G2010" s="31">
        <f t="shared" si="31"/>
        <v>0</v>
      </c>
      <c r="H2010" s="56" t="s">
        <v>59</v>
      </c>
      <c r="J2010" s="42"/>
    </row>
    <row r="2011" spans="1:10" s="3" customFormat="1" x14ac:dyDescent="0.25">
      <c r="A2011" s="20">
        <v>42084</v>
      </c>
      <c r="B2011" s="21">
        <v>15521</v>
      </c>
      <c r="C2011" s="14" t="s">
        <v>908</v>
      </c>
      <c r="D2011" s="105">
        <v>3722</v>
      </c>
      <c r="E2011" s="23">
        <v>42084</v>
      </c>
      <c r="F2011" s="106">
        <v>3722</v>
      </c>
      <c r="G2011" s="31">
        <f t="shared" si="31"/>
        <v>0</v>
      </c>
      <c r="H2011" s="56" t="s">
        <v>9</v>
      </c>
      <c r="J2011" s="42"/>
    </row>
    <row r="2012" spans="1:10" s="3" customFormat="1" x14ac:dyDescent="0.25">
      <c r="A2012" s="20">
        <v>42084</v>
      </c>
      <c r="B2012" s="21">
        <v>15522</v>
      </c>
      <c r="C2012" s="14" t="s">
        <v>82</v>
      </c>
      <c r="D2012" s="105">
        <v>2048.1999999999998</v>
      </c>
      <c r="E2012" s="23">
        <v>42085</v>
      </c>
      <c r="F2012" s="106">
        <v>2048.1999999999998</v>
      </c>
      <c r="G2012" s="31">
        <f t="shared" si="31"/>
        <v>0</v>
      </c>
      <c r="H2012" s="56" t="s">
        <v>59</v>
      </c>
      <c r="J2012" s="42"/>
    </row>
    <row r="2013" spans="1:10" s="3" customFormat="1" x14ac:dyDescent="0.25">
      <c r="A2013" s="20">
        <v>42084</v>
      </c>
      <c r="B2013" s="21">
        <v>15523</v>
      </c>
      <c r="C2013" s="14" t="s">
        <v>908</v>
      </c>
      <c r="D2013" s="105">
        <v>200</v>
      </c>
      <c r="E2013" s="23">
        <v>42084</v>
      </c>
      <c r="F2013" s="118">
        <v>200</v>
      </c>
      <c r="G2013" s="31">
        <f t="shared" si="31"/>
        <v>0</v>
      </c>
      <c r="H2013" s="56" t="s">
        <v>9</v>
      </c>
      <c r="J2013" s="42"/>
    </row>
    <row r="2014" spans="1:10" s="3" customFormat="1" x14ac:dyDescent="0.25">
      <c r="A2014" s="20">
        <v>42084</v>
      </c>
      <c r="B2014" s="21">
        <v>15524</v>
      </c>
      <c r="C2014" s="14" t="s">
        <v>81</v>
      </c>
      <c r="D2014" s="105">
        <v>1964.9</v>
      </c>
      <c r="E2014" s="23">
        <v>42085</v>
      </c>
      <c r="F2014" s="118">
        <v>1964.9</v>
      </c>
      <c r="G2014" s="31">
        <f t="shared" si="31"/>
        <v>0</v>
      </c>
      <c r="H2014" s="56" t="s">
        <v>59</v>
      </c>
      <c r="J2014" s="42"/>
    </row>
    <row r="2015" spans="1:10" s="3" customFormat="1" x14ac:dyDescent="0.25">
      <c r="A2015" s="20">
        <v>42084</v>
      </c>
      <c r="B2015" s="21">
        <v>15525</v>
      </c>
      <c r="C2015" s="14" t="s">
        <v>38</v>
      </c>
      <c r="D2015" s="105">
        <v>2456.4</v>
      </c>
      <c r="E2015" s="30" t="s">
        <v>986</v>
      </c>
      <c r="F2015" s="145">
        <f>1278.8+1177.6</f>
        <v>2456.3999999999996</v>
      </c>
      <c r="G2015" s="31">
        <f t="shared" si="31"/>
        <v>0</v>
      </c>
      <c r="H2015" s="56" t="s">
        <v>183</v>
      </c>
      <c r="J2015" s="42"/>
    </row>
    <row r="2016" spans="1:10" s="3" customFormat="1" x14ac:dyDescent="0.25">
      <c r="A2016" s="20">
        <v>42084</v>
      </c>
      <c r="B2016" s="21">
        <v>15526</v>
      </c>
      <c r="C2016" s="14" t="s">
        <v>367</v>
      </c>
      <c r="D2016" s="105">
        <v>26619.25</v>
      </c>
      <c r="E2016" s="30">
        <v>42096</v>
      </c>
      <c r="F2016" s="145">
        <v>26619.25</v>
      </c>
      <c r="G2016" s="31">
        <f t="shared" si="31"/>
        <v>0</v>
      </c>
      <c r="H2016" s="56" t="s">
        <v>9</v>
      </c>
      <c r="J2016" s="42"/>
    </row>
    <row r="2017" spans="1:10" s="3" customFormat="1" x14ac:dyDescent="0.25">
      <c r="A2017" s="20">
        <v>42084</v>
      </c>
      <c r="B2017" s="21">
        <v>15527</v>
      </c>
      <c r="C2017" s="14" t="s">
        <v>131</v>
      </c>
      <c r="D2017" s="105">
        <v>10946.25</v>
      </c>
      <c r="E2017" s="23">
        <v>42084</v>
      </c>
      <c r="F2017" s="118">
        <v>10946.25</v>
      </c>
      <c r="G2017" s="31">
        <f t="shared" si="31"/>
        <v>0</v>
      </c>
      <c r="H2017" s="56" t="s">
        <v>9</v>
      </c>
      <c r="J2017" s="42"/>
    </row>
    <row r="2018" spans="1:10" s="3" customFormat="1" x14ac:dyDescent="0.25">
      <c r="A2018" s="20">
        <v>42084</v>
      </c>
      <c r="B2018" s="21">
        <v>15528</v>
      </c>
      <c r="C2018" s="14" t="s">
        <v>225</v>
      </c>
      <c r="D2018" s="105">
        <v>2923</v>
      </c>
      <c r="E2018" s="23">
        <v>42084</v>
      </c>
      <c r="F2018" s="118">
        <v>2923</v>
      </c>
      <c r="G2018" s="31">
        <f t="shared" si="31"/>
        <v>0</v>
      </c>
      <c r="H2018" s="56" t="s">
        <v>9</v>
      </c>
      <c r="J2018" s="42"/>
    </row>
    <row r="2019" spans="1:10" s="3" customFormat="1" x14ac:dyDescent="0.25">
      <c r="A2019" s="20">
        <v>42084</v>
      </c>
      <c r="B2019" s="21">
        <v>15529</v>
      </c>
      <c r="C2019" s="14" t="s">
        <v>891</v>
      </c>
      <c r="D2019" s="105">
        <v>9329.6</v>
      </c>
      <c r="E2019" s="23">
        <v>42085</v>
      </c>
      <c r="F2019" s="118">
        <v>9329.6</v>
      </c>
      <c r="G2019" s="31">
        <f t="shared" si="31"/>
        <v>0</v>
      </c>
      <c r="H2019" s="56" t="s">
        <v>17</v>
      </c>
      <c r="J2019" s="42"/>
    </row>
    <row r="2020" spans="1:10" s="3" customFormat="1" x14ac:dyDescent="0.25">
      <c r="A2020" s="20">
        <v>42084</v>
      </c>
      <c r="B2020" s="21">
        <v>15530</v>
      </c>
      <c r="C2020" s="14" t="s">
        <v>332</v>
      </c>
      <c r="D2020" s="105">
        <v>2550.8000000000002</v>
      </c>
      <c r="E2020" s="23">
        <v>42084</v>
      </c>
      <c r="F2020" s="118">
        <v>2550.8000000000002</v>
      </c>
      <c r="G2020" s="31">
        <f t="shared" si="31"/>
        <v>0</v>
      </c>
      <c r="H2020" s="56" t="s">
        <v>9</v>
      </c>
      <c r="J2020" s="42"/>
    </row>
    <row r="2021" spans="1:10" s="3" customFormat="1" x14ac:dyDescent="0.25">
      <c r="A2021" s="20">
        <v>42084</v>
      </c>
      <c r="B2021" s="21">
        <v>15531</v>
      </c>
      <c r="C2021" s="14" t="s">
        <v>110</v>
      </c>
      <c r="D2021" s="105">
        <v>35928.5</v>
      </c>
      <c r="E2021" s="23">
        <v>42093</v>
      </c>
      <c r="F2021" s="118">
        <v>35928.5</v>
      </c>
      <c r="G2021" s="31">
        <f t="shared" si="31"/>
        <v>0</v>
      </c>
      <c r="H2021" s="56" t="s">
        <v>9</v>
      </c>
      <c r="J2021" s="42"/>
    </row>
    <row r="2022" spans="1:10" s="3" customFormat="1" x14ac:dyDescent="0.25">
      <c r="A2022" s="20">
        <v>42084</v>
      </c>
      <c r="B2022" s="21">
        <v>15532</v>
      </c>
      <c r="C2022" s="14" t="s">
        <v>130</v>
      </c>
      <c r="D2022" s="105">
        <v>9615.2000000000007</v>
      </c>
      <c r="E2022" s="23">
        <v>42086</v>
      </c>
      <c r="F2022" s="118">
        <v>9615.2000000000007</v>
      </c>
      <c r="G2022" s="31">
        <f t="shared" si="31"/>
        <v>0</v>
      </c>
      <c r="H2022" s="56" t="s">
        <v>17</v>
      </c>
      <c r="J2022" s="42"/>
    </row>
    <row r="2023" spans="1:10" s="3" customFormat="1" x14ac:dyDescent="0.25">
      <c r="A2023" s="20">
        <v>42084</v>
      </c>
      <c r="B2023" s="21">
        <v>15533</v>
      </c>
      <c r="C2023" s="14" t="s">
        <v>165</v>
      </c>
      <c r="D2023" s="105">
        <v>2815.8</v>
      </c>
      <c r="E2023" s="23">
        <v>42084</v>
      </c>
      <c r="F2023" s="118">
        <v>2815.8</v>
      </c>
      <c r="G2023" s="31">
        <f t="shared" si="31"/>
        <v>0</v>
      </c>
      <c r="H2023" s="56" t="s">
        <v>17</v>
      </c>
      <c r="J2023" s="42"/>
    </row>
    <row r="2024" spans="1:10" s="3" customFormat="1" x14ac:dyDescent="0.25">
      <c r="A2024" s="20">
        <v>42084</v>
      </c>
      <c r="B2024" s="21">
        <v>15534</v>
      </c>
      <c r="C2024" s="14" t="s">
        <v>141</v>
      </c>
      <c r="D2024" s="105">
        <v>585.20000000000005</v>
      </c>
      <c r="E2024" s="23">
        <v>42084</v>
      </c>
      <c r="F2024" s="118">
        <v>585.20000000000005</v>
      </c>
      <c r="G2024" s="31">
        <f t="shared" si="31"/>
        <v>0</v>
      </c>
      <c r="H2024" s="56" t="s">
        <v>9</v>
      </c>
      <c r="J2024" s="42"/>
    </row>
    <row r="2025" spans="1:10" s="3" customFormat="1" x14ac:dyDescent="0.25">
      <c r="A2025" s="20">
        <v>42084</v>
      </c>
      <c r="B2025" s="21">
        <v>15535</v>
      </c>
      <c r="C2025" s="14" t="s">
        <v>130</v>
      </c>
      <c r="D2025" s="105">
        <v>11287.3</v>
      </c>
      <c r="E2025" s="23">
        <v>42085</v>
      </c>
      <c r="F2025" s="118">
        <v>11287.3</v>
      </c>
      <c r="G2025" s="31">
        <f t="shared" si="31"/>
        <v>0</v>
      </c>
      <c r="H2025" s="56" t="s">
        <v>17</v>
      </c>
      <c r="J2025" s="42"/>
    </row>
    <row r="2026" spans="1:10" s="3" customFormat="1" x14ac:dyDescent="0.25">
      <c r="A2026" s="20">
        <v>42084</v>
      </c>
      <c r="B2026" s="21">
        <v>15536</v>
      </c>
      <c r="C2026" s="14" t="s">
        <v>571</v>
      </c>
      <c r="D2026" s="105">
        <v>10247.6</v>
      </c>
      <c r="E2026" s="23">
        <v>42084</v>
      </c>
      <c r="F2026" s="118">
        <v>10247.6</v>
      </c>
      <c r="G2026" s="31">
        <f t="shared" si="31"/>
        <v>0</v>
      </c>
      <c r="H2026" s="56" t="s">
        <v>94</v>
      </c>
      <c r="J2026" s="42"/>
    </row>
    <row r="2027" spans="1:10" s="3" customFormat="1" x14ac:dyDescent="0.25">
      <c r="A2027" s="20">
        <v>42084</v>
      </c>
      <c r="B2027" s="21">
        <v>15537</v>
      </c>
      <c r="C2027" s="14" t="s">
        <v>791</v>
      </c>
      <c r="D2027" s="105">
        <v>2453.1999999999998</v>
      </c>
      <c r="E2027" s="23">
        <v>42084</v>
      </c>
      <c r="F2027" s="118">
        <v>2453.1999999999998</v>
      </c>
      <c r="G2027" s="31">
        <f t="shared" si="31"/>
        <v>0</v>
      </c>
      <c r="H2027" s="56" t="s">
        <v>312</v>
      </c>
      <c r="J2027" s="42"/>
    </row>
    <row r="2028" spans="1:10" s="3" customFormat="1" x14ac:dyDescent="0.25">
      <c r="A2028" s="20">
        <v>42084</v>
      </c>
      <c r="B2028" s="21">
        <v>15538</v>
      </c>
      <c r="C2028" s="14" t="s">
        <v>100</v>
      </c>
      <c r="D2028" s="105">
        <v>2366.4</v>
      </c>
      <c r="E2028" s="23">
        <v>42084</v>
      </c>
      <c r="F2028" s="118">
        <v>2366.4</v>
      </c>
      <c r="G2028" s="31">
        <f t="shared" si="31"/>
        <v>0</v>
      </c>
      <c r="H2028" s="56" t="s">
        <v>9</v>
      </c>
      <c r="J2028" s="42"/>
    </row>
    <row r="2029" spans="1:10" s="3" customFormat="1" x14ac:dyDescent="0.25">
      <c r="A2029" s="20">
        <v>42084</v>
      </c>
      <c r="B2029" s="21">
        <v>15539</v>
      </c>
      <c r="C2029" s="14" t="s">
        <v>100</v>
      </c>
      <c r="D2029" s="105">
        <v>37.799999999999997</v>
      </c>
      <c r="E2029" s="23">
        <v>42084</v>
      </c>
      <c r="F2029" s="118">
        <v>37.799999999999997</v>
      </c>
      <c r="G2029" s="31">
        <f t="shared" si="31"/>
        <v>0</v>
      </c>
      <c r="H2029" s="56" t="s">
        <v>9</v>
      </c>
      <c r="J2029" s="42"/>
    </row>
    <row r="2030" spans="1:10" s="3" customFormat="1" x14ac:dyDescent="0.25">
      <c r="A2030" s="20">
        <v>42084</v>
      </c>
      <c r="B2030" s="21">
        <v>15540</v>
      </c>
      <c r="C2030" s="14" t="s">
        <v>191</v>
      </c>
      <c r="D2030" s="105">
        <v>10740</v>
      </c>
      <c r="E2030" s="23">
        <v>42084</v>
      </c>
      <c r="F2030" s="118">
        <v>10740</v>
      </c>
      <c r="G2030" s="31">
        <f t="shared" si="31"/>
        <v>0</v>
      </c>
      <c r="H2030" s="56" t="s">
        <v>9</v>
      </c>
      <c r="J2030" s="42"/>
    </row>
    <row r="2031" spans="1:10" s="3" customFormat="1" x14ac:dyDescent="0.25">
      <c r="A2031" s="20">
        <v>42084</v>
      </c>
      <c r="B2031" s="21">
        <v>15541</v>
      </c>
      <c r="C2031" s="14" t="s">
        <v>111</v>
      </c>
      <c r="D2031" s="105">
        <v>89897</v>
      </c>
      <c r="E2031" s="23">
        <v>42087</v>
      </c>
      <c r="F2031" s="118">
        <v>89897</v>
      </c>
      <c r="G2031" s="31">
        <f t="shared" si="31"/>
        <v>0</v>
      </c>
      <c r="H2031" s="56" t="s">
        <v>9</v>
      </c>
      <c r="J2031" s="42"/>
    </row>
    <row r="2032" spans="1:10" s="3" customFormat="1" x14ac:dyDescent="0.25">
      <c r="A2032" s="20">
        <v>42084</v>
      </c>
      <c r="B2032" s="21">
        <v>15542</v>
      </c>
      <c r="C2032" s="14" t="s">
        <v>909</v>
      </c>
      <c r="D2032" s="105">
        <v>662.6</v>
      </c>
      <c r="E2032" s="23">
        <v>42084</v>
      </c>
      <c r="F2032" s="118">
        <v>662.6</v>
      </c>
      <c r="G2032" s="31">
        <f t="shared" si="31"/>
        <v>0</v>
      </c>
      <c r="H2032" s="56" t="s">
        <v>9</v>
      </c>
      <c r="J2032" s="42"/>
    </row>
    <row r="2033" spans="1:10" s="3" customFormat="1" x14ac:dyDescent="0.25">
      <c r="A2033" s="20">
        <v>42084</v>
      </c>
      <c r="B2033" s="21">
        <v>15543</v>
      </c>
      <c r="C2033" s="14" t="s">
        <v>102</v>
      </c>
      <c r="D2033" s="105">
        <v>2886.4</v>
      </c>
      <c r="E2033" s="23">
        <v>42084</v>
      </c>
      <c r="F2033" s="118">
        <v>2886.4</v>
      </c>
      <c r="G2033" s="31">
        <f t="shared" si="31"/>
        <v>0</v>
      </c>
      <c r="H2033" s="56" t="s">
        <v>9</v>
      </c>
      <c r="J2033" s="42"/>
    </row>
    <row r="2034" spans="1:10" s="3" customFormat="1" x14ac:dyDescent="0.25">
      <c r="A2034" s="20">
        <v>42084</v>
      </c>
      <c r="B2034" s="21">
        <v>15544</v>
      </c>
      <c r="C2034" s="14" t="s">
        <v>791</v>
      </c>
      <c r="D2034" s="105">
        <v>244.8</v>
      </c>
      <c r="E2034" s="23">
        <v>42086</v>
      </c>
      <c r="F2034" s="118">
        <v>244.8</v>
      </c>
      <c r="G2034" s="31">
        <f t="shared" si="31"/>
        <v>0</v>
      </c>
      <c r="H2034" s="56" t="s">
        <v>9</v>
      </c>
      <c r="J2034" s="42"/>
    </row>
    <row r="2035" spans="1:10" s="3" customFormat="1" x14ac:dyDescent="0.25">
      <c r="A2035" s="20">
        <v>42084</v>
      </c>
      <c r="B2035" s="21">
        <v>15545</v>
      </c>
      <c r="C2035" s="14" t="s">
        <v>882</v>
      </c>
      <c r="D2035" s="105">
        <v>3840</v>
      </c>
      <c r="E2035" s="23">
        <v>42084</v>
      </c>
      <c r="F2035" s="118">
        <v>3840</v>
      </c>
      <c r="G2035" s="31">
        <f t="shared" si="31"/>
        <v>0</v>
      </c>
      <c r="H2035" s="56" t="s">
        <v>187</v>
      </c>
      <c r="J2035" s="42"/>
    </row>
    <row r="2036" spans="1:10" s="3" customFormat="1" x14ac:dyDescent="0.25">
      <c r="A2036" s="20">
        <v>42084</v>
      </c>
      <c r="B2036" s="21">
        <v>15546</v>
      </c>
      <c r="C2036" s="14" t="s">
        <v>213</v>
      </c>
      <c r="D2036" s="105">
        <v>19445.5</v>
      </c>
      <c r="E2036" s="30">
        <v>42153</v>
      </c>
      <c r="F2036" s="145">
        <v>19445.5</v>
      </c>
      <c r="G2036" s="31">
        <f t="shared" si="31"/>
        <v>0</v>
      </c>
      <c r="H2036" s="56" t="s">
        <v>9</v>
      </c>
      <c r="J2036" s="42"/>
    </row>
    <row r="2037" spans="1:10" s="3" customFormat="1" x14ac:dyDescent="0.25">
      <c r="A2037" s="20">
        <v>42084</v>
      </c>
      <c r="B2037" s="21">
        <v>15547</v>
      </c>
      <c r="C2037" s="14" t="s">
        <v>136</v>
      </c>
      <c r="D2037" s="105">
        <v>24916.05</v>
      </c>
      <c r="E2037" s="23">
        <v>42085</v>
      </c>
      <c r="F2037" s="118">
        <v>24916.05</v>
      </c>
      <c r="G2037" s="31">
        <f t="shared" si="31"/>
        <v>0</v>
      </c>
      <c r="H2037" s="56" t="s">
        <v>9</v>
      </c>
      <c r="J2037" s="42"/>
    </row>
    <row r="2038" spans="1:10" s="3" customFormat="1" x14ac:dyDescent="0.25">
      <c r="A2038" s="20">
        <v>42084</v>
      </c>
      <c r="B2038" s="21">
        <v>15548</v>
      </c>
      <c r="C2038" s="14" t="s">
        <v>104</v>
      </c>
      <c r="D2038" s="105">
        <v>1337.6</v>
      </c>
      <c r="E2038" s="23">
        <v>42084</v>
      </c>
      <c r="F2038" s="118">
        <v>1337.6</v>
      </c>
      <c r="G2038" s="31">
        <f t="shared" si="31"/>
        <v>0</v>
      </c>
      <c r="H2038" s="56" t="s">
        <v>94</v>
      </c>
      <c r="J2038" s="42"/>
    </row>
    <row r="2039" spans="1:10" s="3" customFormat="1" x14ac:dyDescent="0.25">
      <c r="A2039" s="20">
        <v>42084</v>
      </c>
      <c r="B2039" s="21">
        <v>15549</v>
      </c>
      <c r="C2039" s="14" t="s">
        <v>96</v>
      </c>
      <c r="D2039" s="122">
        <v>1353.5</v>
      </c>
      <c r="E2039" s="23">
        <v>42084</v>
      </c>
      <c r="F2039" s="118">
        <v>1353.5</v>
      </c>
      <c r="G2039" s="31">
        <f t="shared" si="31"/>
        <v>0</v>
      </c>
      <c r="H2039" s="56" t="s">
        <v>94</v>
      </c>
      <c r="J2039" s="42"/>
    </row>
    <row r="2040" spans="1:10" s="3" customFormat="1" x14ac:dyDescent="0.25">
      <c r="A2040" s="20">
        <v>42084</v>
      </c>
      <c r="B2040" s="21">
        <v>15550</v>
      </c>
      <c r="C2040" s="14" t="s">
        <v>93</v>
      </c>
      <c r="D2040" s="105">
        <v>2755.5</v>
      </c>
      <c r="E2040" s="23">
        <v>42084</v>
      </c>
      <c r="F2040" s="118">
        <v>2755.5</v>
      </c>
      <c r="G2040" s="31">
        <f t="shared" si="31"/>
        <v>0</v>
      </c>
      <c r="H2040" s="56" t="s">
        <v>94</v>
      </c>
      <c r="J2040" s="42"/>
    </row>
    <row r="2041" spans="1:10" s="3" customFormat="1" x14ac:dyDescent="0.25">
      <c r="A2041" s="20">
        <v>42084</v>
      </c>
      <c r="B2041" s="21">
        <v>15551</v>
      </c>
      <c r="C2041" s="14" t="s">
        <v>95</v>
      </c>
      <c r="D2041" s="105">
        <v>4105.2</v>
      </c>
      <c r="E2041" s="23">
        <v>42084</v>
      </c>
      <c r="F2041" s="118">
        <v>4105.2</v>
      </c>
      <c r="G2041" s="31">
        <f t="shared" si="31"/>
        <v>0</v>
      </c>
      <c r="H2041" s="56" t="s">
        <v>94</v>
      </c>
      <c r="J2041" s="42"/>
    </row>
    <row r="2042" spans="1:10" s="3" customFormat="1" x14ac:dyDescent="0.25">
      <c r="A2042" s="20">
        <v>42084</v>
      </c>
      <c r="B2042" s="21">
        <v>15552</v>
      </c>
      <c r="C2042" s="14" t="s">
        <v>101</v>
      </c>
      <c r="D2042" s="105">
        <v>864</v>
      </c>
      <c r="E2042" s="23">
        <v>42084</v>
      </c>
      <c r="F2042" s="118">
        <v>864</v>
      </c>
      <c r="G2042" s="31">
        <f t="shared" si="31"/>
        <v>0</v>
      </c>
      <c r="H2042" s="56" t="s">
        <v>94</v>
      </c>
      <c r="J2042" s="42"/>
    </row>
    <row r="2043" spans="1:10" s="3" customFormat="1" x14ac:dyDescent="0.25">
      <c r="A2043" s="20">
        <v>42084</v>
      </c>
      <c r="B2043" s="21">
        <v>15553</v>
      </c>
      <c r="C2043" s="14" t="s">
        <v>228</v>
      </c>
      <c r="D2043" s="105">
        <v>2342.6999999999998</v>
      </c>
      <c r="E2043" s="23">
        <v>42084</v>
      </c>
      <c r="F2043" s="118">
        <v>2342.6999999999998</v>
      </c>
      <c r="G2043" s="31">
        <f t="shared" si="31"/>
        <v>0</v>
      </c>
      <c r="H2043" s="56" t="s">
        <v>9</v>
      </c>
      <c r="J2043" s="42"/>
    </row>
    <row r="2044" spans="1:10" s="3" customFormat="1" x14ac:dyDescent="0.25">
      <c r="A2044" s="20">
        <v>42084</v>
      </c>
      <c r="B2044" s="21">
        <v>15554</v>
      </c>
      <c r="C2044" s="14" t="s">
        <v>87</v>
      </c>
      <c r="D2044" s="105">
        <v>2308.8000000000002</v>
      </c>
      <c r="E2044" s="23">
        <v>42084</v>
      </c>
      <c r="F2044" s="118">
        <v>2308.8000000000002</v>
      </c>
      <c r="G2044" s="31">
        <f t="shared" si="31"/>
        <v>0</v>
      </c>
      <c r="H2044" s="56" t="s">
        <v>41</v>
      </c>
      <c r="J2044" s="42"/>
    </row>
    <row r="2045" spans="1:10" s="3" customFormat="1" x14ac:dyDescent="0.25">
      <c r="A2045" s="20">
        <v>42084</v>
      </c>
      <c r="B2045" s="21">
        <v>15555</v>
      </c>
      <c r="C2045" s="14" t="s">
        <v>131</v>
      </c>
      <c r="D2045" s="105">
        <v>3622.4</v>
      </c>
      <c r="E2045" s="23">
        <v>42084</v>
      </c>
      <c r="F2045" s="118">
        <v>3622.4</v>
      </c>
      <c r="G2045" s="31">
        <f t="shared" si="31"/>
        <v>0</v>
      </c>
      <c r="H2045" s="56" t="s">
        <v>9</v>
      </c>
      <c r="J2045" s="42"/>
    </row>
    <row r="2046" spans="1:10" s="3" customFormat="1" x14ac:dyDescent="0.25">
      <c r="A2046" s="20">
        <v>42084</v>
      </c>
      <c r="B2046" s="21">
        <v>15556</v>
      </c>
      <c r="C2046" s="14" t="s">
        <v>336</v>
      </c>
      <c r="D2046" s="105">
        <v>2842.1</v>
      </c>
      <c r="E2046" s="23">
        <v>42084</v>
      </c>
      <c r="F2046" s="118">
        <v>2842.1</v>
      </c>
      <c r="G2046" s="31">
        <f t="shared" si="31"/>
        <v>0</v>
      </c>
      <c r="H2046" s="56" t="s">
        <v>9</v>
      </c>
      <c r="J2046" s="42"/>
    </row>
    <row r="2047" spans="1:10" s="3" customFormat="1" x14ac:dyDescent="0.25">
      <c r="A2047" s="20">
        <v>42084</v>
      </c>
      <c r="B2047" s="21">
        <v>15557</v>
      </c>
      <c r="C2047" s="14" t="s">
        <v>141</v>
      </c>
      <c r="D2047" s="105">
        <v>14252.8</v>
      </c>
      <c r="E2047" s="23">
        <v>42093</v>
      </c>
      <c r="F2047" s="118">
        <v>14252.8</v>
      </c>
      <c r="G2047" s="31">
        <f t="shared" si="31"/>
        <v>0</v>
      </c>
      <c r="H2047" s="56" t="s">
        <v>41</v>
      </c>
      <c r="J2047" s="42"/>
    </row>
    <row r="2048" spans="1:10" s="3" customFormat="1" x14ac:dyDescent="0.25">
      <c r="A2048" s="20">
        <v>42084</v>
      </c>
      <c r="B2048" s="21">
        <v>15558</v>
      </c>
      <c r="C2048" s="14" t="s">
        <v>32</v>
      </c>
      <c r="D2048" s="105">
        <v>15370</v>
      </c>
      <c r="E2048" s="23">
        <v>42089</v>
      </c>
      <c r="F2048" s="118">
        <v>15370</v>
      </c>
      <c r="G2048" s="31">
        <f t="shared" si="31"/>
        <v>0</v>
      </c>
      <c r="H2048" s="62" t="s">
        <v>149</v>
      </c>
      <c r="J2048" s="42"/>
    </row>
    <row r="2049" spans="1:10" s="3" customFormat="1" x14ac:dyDescent="0.25">
      <c r="A2049" s="20">
        <v>42084</v>
      </c>
      <c r="B2049" s="21">
        <v>15559</v>
      </c>
      <c r="C2049" s="14" t="s">
        <v>125</v>
      </c>
      <c r="D2049" s="105">
        <v>9606.7999999999993</v>
      </c>
      <c r="E2049" s="30">
        <v>42096</v>
      </c>
      <c r="F2049" s="145">
        <v>9606.7999999999993</v>
      </c>
      <c r="G2049" s="31">
        <f t="shared" si="31"/>
        <v>0</v>
      </c>
      <c r="H2049" s="62" t="s">
        <v>9</v>
      </c>
      <c r="J2049" s="42"/>
    </row>
    <row r="2050" spans="1:10" s="3" customFormat="1" x14ac:dyDescent="0.25">
      <c r="A2050" s="20">
        <v>42084</v>
      </c>
      <c r="B2050" s="21">
        <v>15560</v>
      </c>
      <c r="C2050" s="14" t="s">
        <v>110</v>
      </c>
      <c r="D2050" s="105">
        <v>12471.2</v>
      </c>
      <c r="E2050" s="23">
        <v>42093</v>
      </c>
      <c r="F2050" s="118">
        <v>12471.2</v>
      </c>
      <c r="G2050" s="31">
        <f t="shared" si="31"/>
        <v>0</v>
      </c>
      <c r="H2050" s="62" t="s">
        <v>187</v>
      </c>
      <c r="J2050" s="42"/>
    </row>
    <row r="2051" spans="1:10" s="3" customFormat="1" x14ac:dyDescent="0.25">
      <c r="A2051" s="20">
        <v>42084</v>
      </c>
      <c r="B2051" s="21">
        <v>15561</v>
      </c>
      <c r="C2051" s="14" t="s">
        <v>106</v>
      </c>
      <c r="D2051" s="105">
        <v>19888</v>
      </c>
      <c r="E2051" s="23">
        <v>42086</v>
      </c>
      <c r="F2051" s="118">
        <v>19888</v>
      </c>
      <c r="G2051" s="31">
        <f t="shared" ref="G2051:G2114" si="32">D2051-F2051</f>
        <v>0</v>
      </c>
      <c r="H2051" s="62" t="s">
        <v>17</v>
      </c>
      <c r="J2051" s="42"/>
    </row>
    <row r="2052" spans="1:10" s="3" customFormat="1" x14ac:dyDescent="0.25">
      <c r="A2052" s="20">
        <v>42084</v>
      </c>
      <c r="B2052" s="21">
        <v>15562</v>
      </c>
      <c r="C2052" s="14" t="s">
        <v>168</v>
      </c>
      <c r="D2052" s="105">
        <v>4911.8</v>
      </c>
      <c r="E2052" s="23">
        <v>42086</v>
      </c>
      <c r="F2052" s="118">
        <v>4911.8</v>
      </c>
      <c r="G2052" s="31">
        <f t="shared" si="32"/>
        <v>0</v>
      </c>
      <c r="H2052" s="62" t="s">
        <v>17</v>
      </c>
      <c r="J2052" s="42"/>
    </row>
    <row r="2053" spans="1:10" s="3" customFormat="1" x14ac:dyDescent="0.25">
      <c r="A2053" s="20">
        <v>42084</v>
      </c>
      <c r="B2053" s="21">
        <v>15563</v>
      </c>
      <c r="C2053" s="14" t="s">
        <v>91</v>
      </c>
      <c r="D2053" s="105">
        <v>11976</v>
      </c>
      <c r="E2053" s="23">
        <v>42085</v>
      </c>
      <c r="F2053" s="118">
        <v>11976</v>
      </c>
      <c r="G2053" s="31">
        <f t="shared" si="32"/>
        <v>0</v>
      </c>
      <c r="H2053" s="62" t="s">
        <v>17</v>
      </c>
      <c r="J2053" s="42"/>
    </row>
    <row r="2054" spans="1:10" s="3" customFormat="1" x14ac:dyDescent="0.25">
      <c r="A2054" s="20">
        <v>42084</v>
      </c>
      <c r="B2054" s="21">
        <v>15564</v>
      </c>
      <c r="C2054" s="14" t="s">
        <v>235</v>
      </c>
      <c r="D2054" s="105">
        <v>1998.8</v>
      </c>
      <c r="E2054" s="23">
        <v>42086</v>
      </c>
      <c r="F2054" s="118">
        <v>1998.8</v>
      </c>
      <c r="G2054" s="31">
        <f t="shared" si="32"/>
        <v>0</v>
      </c>
      <c r="H2054" s="62" t="s">
        <v>17</v>
      </c>
      <c r="J2054" s="42"/>
    </row>
    <row r="2055" spans="1:10" s="3" customFormat="1" x14ac:dyDescent="0.25">
      <c r="A2055" s="20">
        <v>42084</v>
      </c>
      <c r="B2055" s="21">
        <v>15565</v>
      </c>
      <c r="C2055" s="14" t="s">
        <v>66</v>
      </c>
      <c r="D2055" s="105">
        <v>1528</v>
      </c>
      <c r="E2055" s="23">
        <v>42084</v>
      </c>
      <c r="F2055" s="118">
        <v>1528</v>
      </c>
      <c r="G2055" s="31">
        <f t="shared" si="32"/>
        <v>0</v>
      </c>
      <c r="H2055" s="62" t="s">
        <v>9</v>
      </c>
      <c r="J2055" s="42"/>
    </row>
    <row r="2056" spans="1:10" s="3" customFormat="1" x14ac:dyDescent="0.25">
      <c r="A2056" s="20">
        <v>42084</v>
      </c>
      <c r="B2056" s="21">
        <v>15566</v>
      </c>
      <c r="C2056" s="14" t="s">
        <v>602</v>
      </c>
      <c r="D2056" s="105">
        <v>20481.2</v>
      </c>
      <c r="E2056" s="23">
        <v>42088</v>
      </c>
      <c r="F2056" s="118">
        <v>20481.2</v>
      </c>
      <c r="G2056" s="31">
        <f t="shared" si="32"/>
        <v>0</v>
      </c>
      <c r="H2056" s="62" t="s">
        <v>9</v>
      </c>
      <c r="J2056" s="42"/>
    </row>
    <row r="2057" spans="1:10" s="3" customFormat="1" x14ac:dyDescent="0.25">
      <c r="A2057" s="20">
        <v>42084</v>
      </c>
      <c r="B2057" s="21">
        <v>15567</v>
      </c>
      <c r="C2057" s="14" t="s">
        <v>24</v>
      </c>
      <c r="D2057" s="105">
        <v>132603.6</v>
      </c>
      <c r="E2057" s="30">
        <v>42108</v>
      </c>
      <c r="F2057" s="145">
        <v>132603.6</v>
      </c>
      <c r="G2057" s="31">
        <f t="shared" si="32"/>
        <v>0</v>
      </c>
      <c r="H2057" s="62" t="s">
        <v>183</v>
      </c>
      <c r="J2057" s="42"/>
    </row>
    <row r="2058" spans="1:10" s="3" customFormat="1" x14ac:dyDescent="0.25">
      <c r="A2058" s="20">
        <v>42084</v>
      </c>
      <c r="B2058" s="21">
        <v>15568</v>
      </c>
      <c r="C2058" s="14" t="s">
        <v>910</v>
      </c>
      <c r="D2058" s="105">
        <v>151062.6</v>
      </c>
      <c r="E2058" s="23">
        <v>42086</v>
      </c>
      <c r="F2058" s="118">
        <v>151062.6</v>
      </c>
      <c r="G2058" s="48">
        <f t="shared" si="32"/>
        <v>0</v>
      </c>
      <c r="H2058" s="62" t="s">
        <v>46</v>
      </c>
      <c r="J2058" s="42"/>
    </row>
    <row r="2059" spans="1:10" s="3" customFormat="1" x14ac:dyDescent="0.25">
      <c r="A2059" s="20">
        <v>42084</v>
      </c>
      <c r="B2059" s="21">
        <v>15569</v>
      </c>
      <c r="C2059" s="14" t="s">
        <v>114</v>
      </c>
      <c r="D2059" s="105">
        <v>1560</v>
      </c>
      <c r="E2059" s="23">
        <v>42084</v>
      </c>
      <c r="F2059" s="118">
        <v>1560</v>
      </c>
      <c r="G2059" s="31">
        <f t="shared" si="32"/>
        <v>0</v>
      </c>
      <c r="H2059" s="62" t="s">
        <v>9</v>
      </c>
      <c r="J2059" s="42"/>
    </row>
    <row r="2060" spans="1:10" s="3" customFormat="1" x14ac:dyDescent="0.25">
      <c r="A2060" s="20">
        <v>42084</v>
      </c>
      <c r="B2060" s="21">
        <v>15570</v>
      </c>
      <c r="C2060" s="14" t="s">
        <v>834</v>
      </c>
      <c r="D2060" s="105">
        <v>6864.4</v>
      </c>
      <c r="E2060" s="23">
        <v>42084</v>
      </c>
      <c r="F2060" s="118">
        <v>6864.4</v>
      </c>
      <c r="G2060" s="31">
        <f t="shared" si="32"/>
        <v>0</v>
      </c>
      <c r="H2060" s="62" t="s">
        <v>9</v>
      </c>
      <c r="J2060" s="42"/>
    </row>
    <row r="2061" spans="1:10" s="3" customFormat="1" x14ac:dyDescent="0.25">
      <c r="A2061" s="20">
        <v>42084</v>
      </c>
      <c r="B2061" s="21">
        <v>15571</v>
      </c>
      <c r="C2061" s="14" t="s">
        <v>411</v>
      </c>
      <c r="D2061" s="105">
        <v>2286.1999999999998</v>
      </c>
      <c r="E2061" s="23">
        <v>42084</v>
      </c>
      <c r="F2061" s="118">
        <v>2286.1999999999998</v>
      </c>
      <c r="G2061" s="31">
        <f t="shared" si="32"/>
        <v>0</v>
      </c>
      <c r="H2061" s="62" t="s">
        <v>9</v>
      </c>
      <c r="J2061" s="42"/>
    </row>
    <row r="2062" spans="1:10" s="3" customFormat="1" x14ac:dyDescent="0.25">
      <c r="A2062" s="20">
        <v>42084</v>
      </c>
      <c r="B2062" s="21">
        <v>15572</v>
      </c>
      <c r="C2062" s="14" t="s">
        <v>14</v>
      </c>
      <c r="D2062" s="105">
        <v>171914.25</v>
      </c>
      <c r="E2062" s="23">
        <v>42093</v>
      </c>
      <c r="F2062" s="118">
        <v>171914.25</v>
      </c>
      <c r="G2062" s="31">
        <f t="shared" si="32"/>
        <v>0</v>
      </c>
      <c r="H2062" s="62" t="s">
        <v>187</v>
      </c>
      <c r="J2062" s="42"/>
    </row>
    <row r="2063" spans="1:10" s="3" customFormat="1" x14ac:dyDescent="0.25">
      <c r="A2063" s="20">
        <v>42084</v>
      </c>
      <c r="B2063" s="21">
        <v>15573</v>
      </c>
      <c r="C2063" s="26" t="s">
        <v>218</v>
      </c>
      <c r="D2063" s="108">
        <v>0</v>
      </c>
      <c r="E2063" s="23"/>
      <c r="F2063" s="118"/>
      <c r="G2063" s="31">
        <f t="shared" si="32"/>
        <v>0</v>
      </c>
      <c r="H2063" s="62" t="s">
        <v>13</v>
      </c>
      <c r="J2063" s="42"/>
    </row>
    <row r="2064" spans="1:10" s="3" customFormat="1" x14ac:dyDescent="0.25">
      <c r="A2064" s="20">
        <v>42084</v>
      </c>
      <c r="B2064" s="21">
        <v>15574</v>
      </c>
      <c r="C2064" s="14" t="s">
        <v>110</v>
      </c>
      <c r="D2064" s="105">
        <v>43860.4</v>
      </c>
      <c r="E2064" s="23">
        <v>42093</v>
      </c>
      <c r="F2064" s="118">
        <v>43860.4</v>
      </c>
      <c r="G2064" s="31">
        <f t="shared" si="32"/>
        <v>0</v>
      </c>
      <c r="H2064" s="62" t="s">
        <v>183</v>
      </c>
      <c r="J2064" s="42"/>
    </row>
    <row r="2065" spans="1:10" s="3" customFormat="1" x14ac:dyDescent="0.25">
      <c r="A2065" s="20">
        <v>42084</v>
      </c>
      <c r="B2065" s="21">
        <v>15575</v>
      </c>
      <c r="C2065" s="14" t="s">
        <v>45</v>
      </c>
      <c r="D2065" s="105">
        <v>63393.599999999999</v>
      </c>
      <c r="E2065" s="23">
        <v>42089</v>
      </c>
      <c r="F2065" s="118">
        <v>63393.599999999999</v>
      </c>
      <c r="G2065" s="31">
        <f t="shared" si="32"/>
        <v>0</v>
      </c>
      <c r="H2065" s="62" t="s">
        <v>9</v>
      </c>
      <c r="J2065" s="42"/>
    </row>
    <row r="2066" spans="1:10" s="3" customFormat="1" x14ac:dyDescent="0.25">
      <c r="A2066" s="20">
        <v>42084</v>
      </c>
      <c r="B2066" s="21">
        <v>15576</v>
      </c>
      <c r="C2066" s="14" t="s">
        <v>102</v>
      </c>
      <c r="D2066" s="105">
        <v>2622.4</v>
      </c>
      <c r="E2066" s="23">
        <v>42084</v>
      </c>
      <c r="F2066" s="118">
        <v>2622.4</v>
      </c>
      <c r="G2066" s="31">
        <f t="shared" si="32"/>
        <v>0</v>
      </c>
      <c r="H2066" s="62" t="s">
        <v>9</v>
      </c>
      <c r="J2066" s="42"/>
    </row>
    <row r="2067" spans="1:10" s="3" customFormat="1" x14ac:dyDescent="0.25">
      <c r="A2067" s="20">
        <v>42084</v>
      </c>
      <c r="B2067" s="21">
        <v>15577</v>
      </c>
      <c r="C2067" s="14" t="s">
        <v>602</v>
      </c>
      <c r="D2067" s="105">
        <v>6153.6</v>
      </c>
      <c r="E2067" s="23">
        <v>42084</v>
      </c>
      <c r="F2067" s="118">
        <v>6153.6</v>
      </c>
      <c r="G2067" s="31">
        <f t="shared" si="32"/>
        <v>0</v>
      </c>
      <c r="H2067" s="62" t="s">
        <v>9</v>
      </c>
      <c r="J2067" s="42"/>
    </row>
    <row r="2068" spans="1:10" s="3" customFormat="1" x14ac:dyDescent="0.25">
      <c r="A2068" s="20">
        <v>42084</v>
      </c>
      <c r="B2068" s="21">
        <v>15578</v>
      </c>
      <c r="C2068" s="14" t="s">
        <v>24</v>
      </c>
      <c r="D2068" s="105">
        <v>196108.42</v>
      </c>
      <c r="E2068" s="23">
        <v>42094</v>
      </c>
      <c r="F2068" s="118">
        <v>196108.42</v>
      </c>
      <c r="G2068" s="31">
        <f t="shared" si="32"/>
        <v>0</v>
      </c>
      <c r="H2068" s="62" t="s">
        <v>41</v>
      </c>
      <c r="J2068" s="42"/>
    </row>
    <row r="2069" spans="1:10" s="3" customFormat="1" x14ac:dyDescent="0.25">
      <c r="A2069" s="20">
        <v>42084</v>
      </c>
      <c r="B2069" s="21">
        <v>15579</v>
      </c>
      <c r="C2069" s="14" t="s">
        <v>145</v>
      </c>
      <c r="D2069" s="105">
        <v>2720</v>
      </c>
      <c r="E2069" s="23">
        <v>42084</v>
      </c>
      <c r="F2069" s="118">
        <v>2720</v>
      </c>
      <c r="G2069" s="31">
        <f t="shared" si="32"/>
        <v>0</v>
      </c>
      <c r="H2069" s="62" t="s">
        <v>9</v>
      </c>
      <c r="J2069" s="42"/>
    </row>
    <row r="2070" spans="1:10" s="3" customFormat="1" x14ac:dyDescent="0.25">
      <c r="A2070" s="20">
        <v>42084</v>
      </c>
      <c r="B2070" s="21">
        <v>15580</v>
      </c>
      <c r="C2070" s="14" t="s">
        <v>145</v>
      </c>
      <c r="D2070" s="105">
        <v>80</v>
      </c>
      <c r="E2070" s="23">
        <v>42084</v>
      </c>
      <c r="F2070" s="118">
        <v>80</v>
      </c>
      <c r="G2070" s="31">
        <f t="shared" si="32"/>
        <v>0</v>
      </c>
      <c r="H2070" s="62" t="s">
        <v>9</v>
      </c>
      <c r="J2070" s="42"/>
    </row>
    <row r="2071" spans="1:10" s="3" customFormat="1" x14ac:dyDescent="0.25">
      <c r="A2071" s="20">
        <v>42084</v>
      </c>
      <c r="B2071" s="21">
        <v>15581</v>
      </c>
      <c r="C2071" s="14" t="s">
        <v>111</v>
      </c>
      <c r="D2071" s="105">
        <v>29155.56</v>
      </c>
      <c r="E2071" s="23">
        <v>42087</v>
      </c>
      <c r="F2071" s="118">
        <v>29155.56</v>
      </c>
      <c r="G2071" s="31">
        <f t="shared" si="32"/>
        <v>0</v>
      </c>
      <c r="H2071" s="62" t="s">
        <v>187</v>
      </c>
      <c r="J2071" s="42"/>
    </row>
    <row r="2072" spans="1:10" s="3" customFormat="1" x14ac:dyDescent="0.25">
      <c r="A2072" s="20">
        <v>42084</v>
      </c>
      <c r="B2072" s="21">
        <v>15582</v>
      </c>
      <c r="C2072" s="14" t="s">
        <v>42</v>
      </c>
      <c r="D2072" s="105">
        <v>60</v>
      </c>
      <c r="E2072" s="23">
        <v>42084</v>
      </c>
      <c r="F2072" s="118">
        <v>60</v>
      </c>
      <c r="G2072" s="31">
        <f t="shared" si="32"/>
        <v>0</v>
      </c>
      <c r="H2072" s="62" t="s">
        <v>9</v>
      </c>
      <c r="J2072" s="42"/>
    </row>
    <row r="2073" spans="1:10" s="3" customFormat="1" x14ac:dyDescent="0.25">
      <c r="A2073" s="20">
        <v>42084</v>
      </c>
      <c r="B2073" s="21">
        <v>15583</v>
      </c>
      <c r="C2073" s="14" t="s">
        <v>571</v>
      </c>
      <c r="D2073" s="105">
        <v>41592.65</v>
      </c>
      <c r="E2073" s="23">
        <v>42088</v>
      </c>
      <c r="F2073" s="118">
        <v>41592.65</v>
      </c>
      <c r="G2073" s="31">
        <f t="shared" si="32"/>
        <v>0</v>
      </c>
      <c r="H2073" s="62" t="s">
        <v>187</v>
      </c>
      <c r="J2073" s="42"/>
    </row>
    <row r="2074" spans="1:10" s="3" customFormat="1" x14ac:dyDescent="0.25">
      <c r="A2074" s="20">
        <v>42084</v>
      </c>
      <c r="B2074" s="21">
        <v>15584</v>
      </c>
      <c r="C2074" s="14" t="s">
        <v>14</v>
      </c>
      <c r="D2074" s="105">
        <v>107768.65</v>
      </c>
      <c r="E2074" s="23">
        <v>42093</v>
      </c>
      <c r="F2074" s="118">
        <v>107768.65</v>
      </c>
      <c r="G2074" s="31">
        <f t="shared" si="32"/>
        <v>0</v>
      </c>
      <c r="H2074" s="62" t="s">
        <v>187</v>
      </c>
      <c r="J2074" s="42"/>
    </row>
    <row r="2075" spans="1:10" s="3" customFormat="1" x14ac:dyDescent="0.25">
      <c r="A2075" s="20">
        <v>42084</v>
      </c>
      <c r="B2075" s="21">
        <v>15585</v>
      </c>
      <c r="C2075" s="14" t="s">
        <v>143</v>
      </c>
      <c r="D2075" s="105">
        <v>26661.8</v>
      </c>
      <c r="E2075" s="30" t="s">
        <v>911</v>
      </c>
      <c r="F2075" s="118">
        <v>26661.8</v>
      </c>
      <c r="G2075" s="31">
        <f t="shared" si="32"/>
        <v>0</v>
      </c>
      <c r="H2075" s="62" t="s">
        <v>94</v>
      </c>
      <c r="J2075" s="42"/>
    </row>
    <row r="2076" spans="1:10" s="3" customFormat="1" x14ac:dyDescent="0.25">
      <c r="A2076" s="20">
        <v>42084</v>
      </c>
      <c r="B2076" s="21">
        <v>15586</v>
      </c>
      <c r="C2076" s="14" t="s">
        <v>267</v>
      </c>
      <c r="D2076" s="105">
        <v>3684.54</v>
      </c>
      <c r="E2076" s="23">
        <v>42086</v>
      </c>
      <c r="F2076" s="118">
        <v>3684.54</v>
      </c>
      <c r="G2076" s="31">
        <f t="shared" si="32"/>
        <v>0</v>
      </c>
      <c r="H2076" s="62" t="s">
        <v>94</v>
      </c>
      <c r="J2076" s="42"/>
    </row>
    <row r="2077" spans="1:10" s="3" customFormat="1" x14ac:dyDescent="0.25">
      <c r="A2077" s="20">
        <v>42085</v>
      </c>
      <c r="B2077" s="21">
        <v>15587</v>
      </c>
      <c r="C2077" s="14" t="s">
        <v>148</v>
      </c>
      <c r="D2077" s="105">
        <v>4396.8</v>
      </c>
      <c r="E2077" s="23">
        <v>42085</v>
      </c>
      <c r="F2077" s="118">
        <v>4396.8</v>
      </c>
      <c r="G2077" s="31">
        <f t="shared" si="32"/>
        <v>0</v>
      </c>
      <c r="H2077" s="62" t="s">
        <v>9</v>
      </c>
      <c r="J2077" s="42"/>
    </row>
    <row r="2078" spans="1:10" s="3" customFormat="1" x14ac:dyDescent="0.25">
      <c r="A2078" s="20">
        <v>42085</v>
      </c>
      <c r="B2078" s="21">
        <v>15588</v>
      </c>
      <c r="C2078" s="14" t="s">
        <v>18</v>
      </c>
      <c r="D2078" s="105">
        <v>14391</v>
      </c>
      <c r="E2078" s="23">
        <v>42094</v>
      </c>
      <c r="F2078" s="118">
        <v>14391</v>
      </c>
      <c r="G2078" s="31">
        <f t="shared" si="32"/>
        <v>0</v>
      </c>
      <c r="H2078" s="62" t="s">
        <v>9</v>
      </c>
      <c r="J2078" s="42"/>
    </row>
    <row r="2079" spans="1:10" s="3" customFormat="1" x14ac:dyDescent="0.25">
      <c r="A2079" s="20">
        <v>42085</v>
      </c>
      <c r="B2079" s="21">
        <v>15589</v>
      </c>
      <c r="C2079" s="14" t="s">
        <v>102</v>
      </c>
      <c r="D2079" s="105">
        <v>5059.03</v>
      </c>
      <c r="E2079" s="23">
        <v>42085</v>
      </c>
      <c r="F2079" s="118">
        <v>5059.03</v>
      </c>
      <c r="G2079" s="31">
        <f t="shared" si="32"/>
        <v>0</v>
      </c>
      <c r="H2079" s="62" t="s">
        <v>9</v>
      </c>
      <c r="J2079" s="42"/>
    </row>
    <row r="2080" spans="1:10" s="3" customFormat="1" x14ac:dyDescent="0.25">
      <c r="A2080" s="20">
        <v>42085</v>
      </c>
      <c r="B2080" s="21">
        <v>15590</v>
      </c>
      <c r="C2080" s="14" t="s">
        <v>21</v>
      </c>
      <c r="D2080" s="105">
        <v>2770</v>
      </c>
      <c r="E2080" s="23">
        <v>42085</v>
      </c>
      <c r="F2080" s="118">
        <v>2770</v>
      </c>
      <c r="G2080" s="31">
        <f t="shared" si="32"/>
        <v>0</v>
      </c>
      <c r="H2080" s="62" t="s">
        <v>9</v>
      </c>
      <c r="J2080" s="42"/>
    </row>
    <row r="2081" spans="1:10" s="3" customFormat="1" x14ac:dyDescent="0.25">
      <c r="A2081" s="20">
        <v>42085</v>
      </c>
      <c r="B2081" s="21">
        <v>15591</v>
      </c>
      <c r="C2081" s="14" t="s">
        <v>26</v>
      </c>
      <c r="D2081" s="105">
        <v>1064</v>
      </c>
      <c r="E2081" s="23">
        <v>42086</v>
      </c>
      <c r="F2081" s="118">
        <v>1064</v>
      </c>
      <c r="G2081" s="31">
        <f t="shared" si="32"/>
        <v>0</v>
      </c>
      <c r="H2081" s="62" t="s">
        <v>9</v>
      </c>
      <c r="J2081" s="42"/>
    </row>
    <row r="2082" spans="1:10" s="3" customFormat="1" x14ac:dyDescent="0.25">
      <c r="A2082" s="20">
        <v>42085</v>
      </c>
      <c r="B2082" s="21">
        <v>15592</v>
      </c>
      <c r="C2082" s="14" t="s">
        <v>214</v>
      </c>
      <c r="D2082" s="105">
        <v>2520</v>
      </c>
      <c r="E2082" s="23">
        <v>42085</v>
      </c>
      <c r="F2082" s="118">
        <v>2520</v>
      </c>
      <c r="G2082" s="31">
        <f t="shared" si="32"/>
        <v>0</v>
      </c>
      <c r="H2082" s="62" t="s">
        <v>59</v>
      </c>
      <c r="J2082" s="42"/>
    </row>
    <row r="2083" spans="1:10" s="3" customFormat="1" x14ac:dyDescent="0.25">
      <c r="A2083" s="20">
        <v>42085</v>
      </c>
      <c r="B2083" s="21">
        <v>15593</v>
      </c>
      <c r="C2083" s="110">
        <v>105</v>
      </c>
      <c r="D2083" s="105">
        <v>2160</v>
      </c>
      <c r="E2083" s="23">
        <v>42085</v>
      </c>
      <c r="F2083" s="118">
        <v>2160</v>
      </c>
      <c r="G2083" s="31">
        <f t="shared" si="32"/>
        <v>0</v>
      </c>
      <c r="H2083" s="62" t="s">
        <v>9</v>
      </c>
      <c r="J2083" s="42"/>
    </row>
    <row r="2084" spans="1:10" s="3" customFormat="1" x14ac:dyDescent="0.25">
      <c r="A2084" s="20">
        <v>42085</v>
      </c>
      <c r="B2084" s="21">
        <v>15594</v>
      </c>
      <c r="C2084" s="26" t="s">
        <v>218</v>
      </c>
      <c r="D2084" s="108">
        <v>0</v>
      </c>
      <c r="E2084" s="23"/>
      <c r="F2084" s="118"/>
      <c r="G2084" s="31">
        <f t="shared" si="32"/>
        <v>0</v>
      </c>
      <c r="H2084" s="62" t="s">
        <v>13</v>
      </c>
      <c r="J2084" s="42"/>
    </row>
    <row r="2085" spans="1:10" s="3" customFormat="1" x14ac:dyDescent="0.25">
      <c r="A2085" s="20">
        <v>42085</v>
      </c>
      <c r="B2085" s="21">
        <v>15595</v>
      </c>
      <c r="C2085" s="14" t="s">
        <v>136</v>
      </c>
      <c r="D2085" s="105">
        <v>540</v>
      </c>
      <c r="E2085" s="23">
        <v>42085</v>
      </c>
      <c r="F2085" s="118">
        <v>540</v>
      </c>
      <c r="G2085" s="31">
        <f t="shared" si="32"/>
        <v>0</v>
      </c>
      <c r="H2085" s="62" t="s">
        <v>9</v>
      </c>
      <c r="J2085" s="42"/>
    </row>
    <row r="2086" spans="1:10" s="3" customFormat="1" x14ac:dyDescent="0.25">
      <c r="A2086" s="20">
        <v>42085</v>
      </c>
      <c r="B2086" s="21">
        <v>15596</v>
      </c>
      <c r="C2086" s="14" t="s">
        <v>58</v>
      </c>
      <c r="D2086" s="105">
        <v>540</v>
      </c>
      <c r="E2086" s="23">
        <v>42085</v>
      </c>
      <c r="F2086" s="118">
        <v>540</v>
      </c>
      <c r="G2086" s="31">
        <f t="shared" si="32"/>
        <v>0</v>
      </c>
      <c r="H2086" s="62" t="s">
        <v>59</v>
      </c>
      <c r="J2086" s="42"/>
    </row>
    <row r="2087" spans="1:10" s="3" customFormat="1" x14ac:dyDescent="0.25">
      <c r="A2087" s="20">
        <v>42085</v>
      </c>
      <c r="B2087" s="21">
        <v>15597</v>
      </c>
      <c r="C2087" s="14" t="s">
        <v>24</v>
      </c>
      <c r="D2087" s="105">
        <v>11659.2</v>
      </c>
      <c r="E2087" s="23">
        <v>42094</v>
      </c>
      <c r="F2087" s="118">
        <v>11659.2</v>
      </c>
      <c r="G2087" s="31">
        <f t="shared" si="32"/>
        <v>0</v>
      </c>
      <c r="H2087" s="62" t="s">
        <v>773</v>
      </c>
      <c r="J2087" s="42"/>
    </row>
    <row r="2088" spans="1:10" s="3" customFormat="1" x14ac:dyDescent="0.25">
      <c r="A2088" s="20">
        <v>42085</v>
      </c>
      <c r="B2088" s="21">
        <v>15598</v>
      </c>
      <c r="C2088" s="14" t="s">
        <v>912</v>
      </c>
      <c r="D2088" s="105">
        <v>10420</v>
      </c>
      <c r="E2088" s="23">
        <v>42085</v>
      </c>
      <c r="F2088" s="118">
        <v>10420</v>
      </c>
      <c r="G2088" s="31">
        <f t="shared" si="32"/>
        <v>0</v>
      </c>
      <c r="H2088" s="62" t="s">
        <v>9</v>
      </c>
      <c r="J2088" s="42"/>
    </row>
    <row r="2089" spans="1:10" s="3" customFormat="1" x14ac:dyDescent="0.25">
      <c r="A2089" s="20">
        <v>42085</v>
      </c>
      <c r="B2089" s="21">
        <v>15599</v>
      </c>
      <c r="C2089" s="14" t="s">
        <v>42</v>
      </c>
      <c r="D2089" s="105">
        <v>319.8</v>
      </c>
      <c r="E2089" s="23">
        <v>42085</v>
      </c>
      <c r="F2089" s="118">
        <v>319.8</v>
      </c>
      <c r="G2089" s="31">
        <f t="shared" si="32"/>
        <v>0</v>
      </c>
      <c r="H2089" s="62" t="s">
        <v>9</v>
      </c>
      <c r="J2089" s="42"/>
    </row>
    <row r="2090" spans="1:10" s="3" customFormat="1" x14ac:dyDescent="0.25">
      <c r="A2090" s="20">
        <v>42085</v>
      </c>
      <c r="B2090" s="21">
        <v>15600</v>
      </c>
      <c r="C2090" s="14" t="s">
        <v>290</v>
      </c>
      <c r="D2090" s="105">
        <v>1704</v>
      </c>
      <c r="E2090" s="23">
        <v>42085</v>
      </c>
      <c r="F2090" s="118">
        <v>1704</v>
      </c>
      <c r="G2090" s="31">
        <f t="shared" si="32"/>
        <v>0</v>
      </c>
      <c r="H2090" s="62" t="s">
        <v>9</v>
      </c>
      <c r="J2090" s="42"/>
    </row>
    <row r="2091" spans="1:10" s="3" customFormat="1" x14ac:dyDescent="0.25">
      <c r="A2091" s="20">
        <v>42085</v>
      </c>
      <c r="B2091" s="21">
        <v>15601</v>
      </c>
      <c r="C2091" s="14" t="s">
        <v>20</v>
      </c>
      <c r="D2091" s="105">
        <v>15593</v>
      </c>
      <c r="E2091" s="23">
        <v>42087</v>
      </c>
      <c r="F2091" s="118">
        <v>15593</v>
      </c>
      <c r="G2091" s="31">
        <f t="shared" si="32"/>
        <v>0</v>
      </c>
      <c r="H2091" s="62" t="s">
        <v>187</v>
      </c>
      <c r="J2091" s="42"/>
    </row>
    <row r="2092" spans="1:10" s="3" customFormat="1" x14ac:dyDescent="0.25">
      <c r="A2092" s="20">
        <v>42085</v>
      </c>
      <c r="B2092" s="21">
        <v>15602</v>
      </c>
      <c r="C2092" s="14" t="s">
        <v>863</v>
      </c>
      <c r="D2092" s="105">
        <v>8317.2000000000007</v>
      </c>
      <c r="E2092" s="23">
        <v>42085</v>
      </c>
      <c r="F2092" s="118">
        <v>8317.2000000000007</v>
      </c>
      <c r="G2092" s="31">
        <f t="shared" si="32"/>
        <v>0</v>
      </c>
      <c r="H2092" s="62" t="s">
        <v>9</v>
      </c>
      <c r="J2092" s="42"/>
    </row>
    <row r="2093" spans="1:10" s="3" customFormat="1" x14ac:dyDescent="0.25">
      <c r="A2093" s="20">
        <v>42085</v>
      </c>
      <c r="B2093" s="21">
        <v>15603</v>
      </c>
      <c r="C2093" s="14" t="s">
        <v>604</v>
      </c>
      <c r="D2093" s="105">
        <v>951.6</v>
      </c>
      <c r="E2093" s="23">
        <v>42085</v>
      </c>
      <c r="F2093" s="118">
        <v>951.6</v>
      </c>
      <c r="G2093" s="31">
        <f t="shared" si="32"/>
        <v>0</v>
      </c>
      <c r="H2093" s="62" t="s">
        <v>9</v>
      </c>
      <c r="J2093" s="42"/>
    </row>
    <row r="2094" spans="1:10" s="3" customFormat="1" x14ac:dyDescent="0.25">
      <c r="A2094" s="20">
        <v>42085</v>
      </c>
      <c r="B2094" s="21">
        <v>15604</v>
      </c>
      <c r="C2094" s="14" t="s">
        <v>34</v>
      </c>
      <c r="D2094" s="105">
        <v>2520</v>
      </c>
      <c r="E2094" s="23">
        <v>42085</v>
      </c>
      <c r="F2094" s="118">
        <v>2520</v>
      </c>
      <c r="G2094" s="31">
        <f t="shared" si="32"/>
        <v>0</v>
      </c>
      <c r="H2094" s="62" t="s">
        <v>9</v>
      </c>
      <c r="J2094" s="42"/>
    </row>
    <row r="2095" spans="1:10" s="3" customFormat="1" x14ac:dyDescent="0.25">
      <c r="A2095" s="20">
        <v>42085</v>
      </c>
      <c r="B2095" s="21">
        <v>15605</v>
      </c>
      <c r="C2095" s="14" t="s">
        <v>57</v>
      </c>
      <c r="D2095" s="105">
        <v>900</v>
      </c>
      <c r="E2095" s="23">
        <v>42085</v>
      </c>
      <c r="F2095" s="118">
        <v>900</v>
      </c>
      <c r="G2095" s="31">
        <f t="shared" si="32"/>
        <v>0</v>
      </c>
      <c r="H2095" s="62" t="s">
        <v>59</v>
      </c>
      <c r="J2095" s="42"/>
    </row>
    <row r="2096" spans="1:10" s="3" customFormat="1" x14ac:dyDescent="0.25">
      <c r="A2096" s="20">
        <v>42085</v>
      </c>
      <c r="B2096" s="21">
        <v>15606</v>
      </c>
      <c r="C2096" s="14" t="s">
        <v>33</v>
      </c>
      <c r="D2096" s="105">
        <v>6645</v>
      </c>
      <c r="E2096" s="23">
        <v>42085</v>
      </c>
      <c r="F2096" s="118">
        <v>6645</v>
      </c>
      <c r="G2096" s="31">
        <f t="shared" si="32"/>
        <v>0</v>
      </c>
      <c r="H2096" s="62" t="s">
        <v>9</v>
      </c>
      <c r="J2096" s="42"/>
    </row>
    <row r="2097" spans="1:10" s="3" customFormat="1" x14ac:dyDescent="0.25">
      <c r="A2097" s="20">
        <v>42085</v>
      </c>
      <c r="B2097" s="21">
        <v>15607</v>
      </c>
      <c r="C2097" s="14" t="s">
        <v>86</v>
      </c>
      <c r="D2097" s="105">
        <v>314.60000000000002</v>
      </c>
      <c r="E2097" s="23">
        <v>42085</v>
      </c>
      <c r="F2097" s="118">
        <v>314.60000000000002</v>
      </c>
      <c r="G2097" s="31">
        <f t="shared" si="32"/>
        <v>0</v>
      </c>
      <c r="H2097" s="62" t="s">
        <v>9</v>
      </c>
      <c r="J2097" s="42"/>
    </row>
    <row r="2098" spans="1:10" s="3" customFormat="1" x14ac:dyDescent="0.25">
      <c r="A2098" s="20">
        <v>42085</v>
      </c>
      <c r="B2098" s="21">
        <v>15608</v>
      </c>
      <c r="C2098" s="14" t="s">
        <v>151</v>
      </c>
      <c r="D2098" s="105">
        <v>7897.6</v>
      </c>
      <c r="E2098" s="23">
        <v>42086</v>
      </c>
      <c r="F2098" s="118">
        <v>7897.6</v>
      </c>
      <c r="G2098" s="31">
        <f t="shared" si="32"/>
        <v>0</v>
      </c>
      <c r="H2098" s="62" t="s">
        <v>9</v>
      </c>
      <c r="J2098" s="42"/>
    </row>
    <row r="2099" spans="1:10" s="3" customFormat="1" x14ac:dyDescent="0.25">
      <c r="A2099" s="20">
        <v>42085</v>
      </c>
      <c r="B2099" s="21">
        <v>15609</v>
      </c>
      <c r="C2099" s="14" t="s">
        <v>45</v>
      </c>
      <c r="D2099" s="105">
        <v>9295.6</v>
      </c>
      <c r="E2099" s="23">
        <v>42089</v>
      </c>
      <c r="F2099" s="118">
        <v>9295.6</v>
      </c>
      <c r="G2099" s="31">
        <f t="shared" si="32"/>
        <v>0</v>
      </c>
      <c r="H2099" s="62" t="s">
        <v>59</v>
      </c>
      <c r="J2099" s="42"/>
    </row>
    <row r="2100" spans="1:10" s="3" customFormat="1" x14ac:dyDescent="0.25">
      <c r="A2100" s="20">
        <v>42085</v>
      </c>
      <c r="B2100" s="21">
        <v>15610</v>
      </c>
      <c r="C2100" s="14" t="s">
        <v>236</v>
      </c>
      <c r="D2100" s="105">
        <v>37159</v>
      </c>
      <c r="E2100" s="97" t="s">
        <v>960</v>
      </c>
      <c r="F2100" s="145">
        <f>9755.26+20000+7403.74</f>
        <v>37159</v>
      </c>
      <c r="G2100" s="31">
        <f t="shared" si="32"/>
        <v>0</v>
      </c>
      <c r="H2100" s="62" t="s">
        <v>62</v>
      </c>
      <c r="J2100" s="42"/>
    </row>
    <row r="2101" spans="1:10" s="3" customFormat="1" x14ac:dyDescent="0.25">
      <c r="A2101" s="20">
        <v>42085</v>
      </c>
      <c r="B2101" s="21">
        <v>15611</v>
      </c>
      <c r="C2101" s="14" t="s">
        <v>120</v>
      </c>
      <c r="D2101" s="105">
        <v>1645.4</v>
      </c>
      <c r="E2101" s="23">
        <v>42085</v>
      </c>
      <c r="F2101" s="118">
        <v>1645.4</v>
      </c>
      <c r="G2101" s="31">
        <f t="shared" si="32"/>
        <v>0</v>
      </c>
      <c r="H2101" s="62" t="s">
        <v>59</v>
      </c>
      <c r="J2101" s="42"/>
    </row>
    <row r="2102" spans="1:10" s="3" customFormat="1" x14ac:dyDescent="0.25">
      <c r="A2102" s="20">
        <v>42085</v>
      </c>
      <c r="B2102" s="21">
        <v>15612</v>
      </c>
      <c r="C2102" s="14" t="s">
        <v>155</v>
      </c>
      <c r="D2102" s="105">
        <v>2107</v>
      </c>
      <c r="E2102" s="23">
        <v>42085</v>
      </c>
      <c r="F2102" s="118">
        <v>2107</v>
      </c>
      <c r="G2102" s="31">
        <f t="shared" si="32"/>
        <v>0</v>
      </c>
      <c r="H2102" s="62" t="s">
        <v>59</v>
      </c>
      <c r="J2102" s="42"/>
    </row>
    <row r="2103" spans="1:10" s="3" customFormat="1" x14ac:dyDescent="0.25">
      <c r="A2103" s="20">
        <v>42085</v>
      </c>
      <c r="B2103" s="21">
        <v>15613</v>
      </c>
      <c r="C2103" s="14" t="s">
        <v>152</v>
      </c>
      <c r="D2103" s="105">
        <v>10281.200000000001</v>
      </c>
      <c r="E2103" s="23">
        <v>42085</v>
      </c>
      <c r="F2103" s="118">
        <v>10281.200000000001</v>
      </c>
      <c r="G2103" s="31">
        <f t="shared" si="32"/>
        <v>0</v>
      </c>
      <c r="H2103" s="62" t="s">
        <v>59</v>
      </c>
      <c r="J2103" s="42"/>
    </row>
    <row r="2104" spans="1:10" s="3" customFormat="1" x14ac:dyDescent="0.25">
      <c r="A2104" s="20">
        <v>42085</v>
      </c>
      <c r="B2104" s="21">
        <v>15614</v>
      </c>
      <c r="C2104" s="14" t="s">
        <v>239</v>
      </c>
      <c r="D2104" s="105">
        <v>1927.6</v>
      </c>
      <c r="E2104" s="23">
        <v>42085</v>
      </c>
      <c r="F2104" s="118">
        <v>1927.6</v>
      </c>
      <c r="G2104" s="31">
        <f t="shared" si="32"/>
        <v>0</v>
      </c>
      <c r="H2104" s="62" t="s">
        <v>9</v>
      </c>
      <c r="J2104" s="42"/>
    </row>
    <row r="2105" spans="1:10" s="3" customFormat="1" x14ac:dyDescent="0.25">
      <c r="A2105" s="20">
        <v>42085</v>
      </c>
      <c r="B2105" s="21">
        <v>15615</v>
      </c>
      <c r="C2105" s="14" t="s">
        <v>53</v>
      </c>
      <c r="D2105" s="105">
        <v>1663.2</v>
      </c>
      <c r="E2105" s="23">
        <v>42085</v>
      </c>
      <c r="F2105" s="118">
        <v>1663.2</v>
      </c>
      <c r="G2105" s="31">
        <f t="shared" si="32"/>
        <v>0</v>
      </c>
      <c r="H2105" s="62" t="s">
        <v>59</v>
      </c>
      <c r="J2105" s="42"/>
    </row>
    <row r="2106" spans="1:10" s="3" customFormat="1" x14ac:dyDescent="0.25">
      <c r="A2106" s="20">
        <v>42085</v>
      </c>
      <c r="B2106" s="21">
        <v>15616</v>
      </c>
      <c r="C2106" s="14" t="s">
        <v>102</v>
      </c>
      <c r="D2106" s="105">
        <v>3059.9</v>
      </c>
      <c r="E2106" s="23">
        <v>42085</v>
      </c>
      <c r="F2106" s="118">
        <v>3059.9</v>
      </c>
      <c r="G2106" s="31">
        <f t="shared" si="32"/>
        <v>0</v>
      </c>
      <c r="H2106" s="56" t="s">
        <v>9</v>
      </c>
      <c r="J2106" s="42"/>
    </row>
    <row r="2107" spans="1:10" s="3" customFormat="1" x14ac:dyDescent="0.25">
      <c r="A2107" s="20">
        <v>42085</v>
      </c>
      <c r="B2107" s="21">
        <v>15617</v>
      </c>
      <c r="C2107" s="14" t="s">
        <v>215</v>
      </c>
      <c r="D2107" s="122">
        <v>28937.08</v>
      </c>
      <c r="E2107" s="23">
        <v>42085</v>
      </c>
      <c r="F2107" s="118">
        <v>28937.08</v>
      </c>
      <c r="G2107" s="31">
        <f t="shared" si="32"/>
        <v>0</v>
      </c>
      <c r="H2107" s="56" t="s">
        <v>9</v>
      </c>
      <c r="J2107" s="42"/>
    </row>
    <row r="2108" spans="1:10" s="3" customFormat="1" x14ac:dyDescent="0.25">
      <c r="A2108" s="20">
        <v>42085</v>
      </c>
      <c r="B2108" s="21">
        <v>15618</v>
      </c>
      <c r="C2108" s="14" t="s">
        <v>292</v>
      </c>
      <c r="D2108" s="105">
        <v>1729</v>
      </c>
      <c r="E2108" s="23">
        <v>42085</v>
      </c>
      <c r="F2108" s="118">
        <v>1729</v>
      </c>
      <c r="G2108" s="31">
        <f t="shared" si="32"/>
        <v>0</v>
      </c>
      <c r="H2108" s="56" t="s">
        <v>59</v>
      </c>
      <c r="J2108" s="42"/>
    </row>
    <row r="2109" spans="1:10" s="3" customFormat="1" x14ac:dyDescent="0.25">
      <c r="A2109" s="20">
        <v>42085</v>
      </c>
      <c r="B2109" s="21">
        <v>15619</v>
      </c>
      <c r="C2109" s="14" t="s">
        <v>50</v>
      </c>
      <c r="D2109" s="105">
        <v>3260.4</v>
      </c>
      <c r="E2109" s="23">
        <v>42085</v>
      </c>
      <c r="F2109" s="118">
        <v>3260.4</v>
      </c>
      <c r="G2109" s="31">
        <f t="shared" si="32"/>
        <v>0</v>
      </c>
      <c r="H2109" s="56" t="s">
        <v>17</v>
      </c>
      <c r="J2109" s="42"/>
    </row>
    <row r="2110" spans="1:10" s="3" customFormat="1" x14ac:dyDescent="0.25">
      <c r="A2110" s="20">
        <v>42085</v>
      </c>
      <c r="B2110" s="21">
        <v>15620</v>
      </c>
      <c r="C2110" s="14" t="s">
        <v>133</v>
      </c>
      <c r="D2110" s="105">
        <v>1085</v>
      </c>
      <c r="E2110" s="23">
        <v>42085</v>
      </c>
      <c r="F2110" s="118">
        <v>1085</v>
      </c>
      <c r="G2110" s="31">
        <f t="shared" si="32"/>
        <v>0</v>
      </c>
      <c r="H2110" s="56" t="s">
        <v>9</v>
      </c>
      <c r="J2110" s="42"/>
    </row>
    <row r="2111" spans="1:10" s="3" customFormat="1" x14ac:dyDescent="0.25">
      <c r="A2111" s="20">
        <v>42085</v>
      </c>
      <c r="B2111" s="21">
        <v>15621</v>
      </c>
      <c r="C2111" s="14" t="s">
        <v>256</v>
      </c>
      <c r="D2111" s="105">
        <v>6464</v>
      </c>
      <c r="E2111" s="23">
        <v>42085</v>
      </c>
      <c r="F2111" s="118">
        <v>6464</v>
      </c>
      <c r="G2111" s="31">
        <f t="shared" si="32"/>
        <v>0</v>
      </c>
      <c r="H2111" s="56" t="s">
        <v>773</v>
      </c>
      <c r="J2111" s="42"/>
    </row>
    <row r="2112" spans="1:10" s="3" customFormat="1" x14ac:dyDescent="0.25">
      <c r="A2112" s="20">
        <v>42085</v>
      </c>
      <c r="B2112" s="21">
        <v>15622</v>
      </c>
      <c r="C2112" s="26" t="s">
        <v>218</v>
      </c>
      <c r="D2112" s="108">
        <v>0</v>
      </c>
      <c r="E2112" s="23"/>
      <c r="F2112" s="118"/>
      <c r="G2112" s="31">
        <f t="shared" si="32"/>
        <v>0</v>
      </c>
      <c r="H2112" s="56" t="s">
        <v>13</v>
      </c>
      <c r="J2112" s="42"/>
    </row>
    <row r="2113" spans="1:10" s="3" customFormat="1" x14ac:dyDescent="0.25">
      <c r="A2113" s="20">
        <v>42085</v>
      </c>
      <c r="B2113" s="21">
        <v>15623</v>
      </c>
      <c r="C2113" s="14" t="s">
        <v>56</v>
      </c>
      <c r="D2113" s="105">
        <v>8948.7999999999993</v>
      </c>
      <c r="E2113" s="23">
        <v>42085</v>
      </c>
      <c r="F2113" s="118">
        <v>8948.7999999999993</v>
      </c>
      <c r="G2113" s="31">
        <f t="shared" si="32"/>
        <v>0</v>
      </c>
      <c r="H2113" s="56" t="s">
        <v>773</v>
      </c>
      <c r="J2113" s="42"/>
    </row>
    <row r="2114" spans="1:10" s="3" customFormat="1" x14ac:dyDescent="0.25">
      <c r="A2114" s="20">
        <v>42085</v>
      </c>
      <c r="B2114" s="21">
        <v>15624</v>
      </c>
      <c r="C2114" s="14" t="s">
        <v>130</v>
      </c>
      <c r="D2114" s="105">
        <v>3493.5</v>
      </c>
      <c r="E2114" s="23">
        <v>42085</v>
      </c>
      <c r="F2114" s="118">
        <v>3493.5</v>
      </c>
      <c r="G2114" s="31">
        <f t="shared" si="32"/>
        <v>0</v>
      </c>
      <c r="H2114" s="56" t="s">
        <v>17</v>
      </c>
      <c r="J2114" s="42"/>
    </row>
    <row r="2115" spans="1:10" s="3" customFormat="1" x14ac:dyDescent="0.25">
      <c r="A2115" s="20">
        <v>42085</v>
      </c>
      <c r="B2115" s="21">
        <v>15625</v>
      </c>
      <c r="C2115" s="14" t="s">
        <v>131</v>
      </c>
      <c r="D2115" s="105">
        <v>10457.700000000001</v>
      </c>
      <c r="E2115" s="29" t="s">
        <v>913</v>
      </c>
      <c r="F2115" s="106">
        <f>6500+3957.7</f>
        <v>10457.700000000001</v>
      </c>
      <c r="G2115" s="31">
        <f t="shared" ref="G2115:G2178" si="33">D2115-F2115</f>
        <v>0</v>
      </c>
      <c r="H2115" s="39" t="s">
        <v>17</v>
      </c>
      <c r="J2115" s="42"/>
    </row>
    <row r="2116" spans="1:10" s="3" customFormat="1" x14ac:dyDescent="0.25">
      <c r="A2116" s="20">
        <v>42085</v>
      </c>
      <c r="B2116" s="21">
        <v>15626</v>
      </c>
      <c r="C2116" s="14" t="s">
        <v>82</v>
      </c>
      <c r="D2116" s="105">
        <v>2633.4</v>
      </c>
      <c r="E2116" s="23">
        <v>42085</v>
      </c>
      <c r="F2116" s="106">
        <v>2633.4</v>
      </c>
      <c r="G2116" s="31">
        <f t="shared" si="33"/>
        <v>0</v>
      </c>
      <c r="H2116" s="39" t="s">
        <v>59</v>
      </c>
      <c r="J2116" s="42"/>
    </row>
    <row r="2117" spans="1:10" s="3" customFormat="1" x14ac:dyDescent="0.25">
      <c r="A2117" s="20">
        <v>42085</v>
      </c>
      <c r="B2117" s="21">
        <v>15627</v>
      </c>
      <c r="C2117" s="14" t="s">
        <v>35</v>
      </c>
      <c r="D2117" s="105">
        <v>21967.8</v>
      </c>
      <c r="E2117" s="23">
        <v>42085</v>
      </c>
      <c r="F2117" s="106">
        <v>21967.8</v>
      </c>
      <c r="G2117" s="31">
        <f t="shared" si="33"/>
        <v>0</v>
      </c>
      <c r="H2117" s="39" t="s">
        <v>773</v>
      </c>
      <c r="J2117" s="42"/>
    </row>
    <row r="2118" spans="1:10" s="3" customFormat="1" x14ac:dyDescent="0.25">
      <c r="A2118" s="20">
        <v>42085</v>
      </c>
      <c r="B2118" s="21">
        <v>15628</v>
      </c>
      <c r="C2118" s="110" t="s">
        <v>914</v>
      </c>
      <c r="D2118" s="105">
        <v>1252.1199999999999</v>
      </c>
      <c r="E2118" s="23">
        <v>42085</v>
      </c>
      <c r="F2118" s="106">
        <v>1252.1199999999999</v>
      </c>
      <c r="G2118" s="31">
        <f t="shared" si="33"/>
        <v>0</v>
      </c>
      <c r="H2118" s="39" t="s">
        <v>9</v>
      </c>
      <c r="J2118" s="42"/>
    </row>
    <row r="2119" spans="1:10" s="3" customFormat="1" x14ac:dyDescent="0.25">
      <c r="A2119" s="20">
        <v>42085</v>
      </c>
      <c r="B2119" s="21">
        <v>15629</v>
      </c>
      <c r="C2119" s="14" t="s">
        <v>66</v>
      </c>
      <c r="D2119" s="105">
        <v>88.3</v>
      </c>
      <c r="E2119" s="23">
        <v>42085</v>
      </c>
      <c r="F2119" s="106">
        <v>88.3</v>
      </c>
      <c r="G2119" s="31">
        <f t="shared" si="33"/>
        <v>0</v>
      </c>
      <c r="H2119" s="39" t="s">
        <v>9</v>
      </c>
      <c r="J2119" s="42"/>
    </row>
    <row r="2120" spans="1:10" s="3" customFormat="1" x14ac:dyDescent="0.25">
      <c r="A2120" s="20">
        <v>42085</v>
      </c>
      <c r="B2120" s="21">
        <v>15630</v>
      </c>
      <c r="C2120" s="14" t="s">
        <v>233</v>
      </c>
      <c r="D2120" s="105">
        <v>17745</v>
      </c>
      <c r="E2120" s="23">
        <v>42085</v>
      </c>
      <c r="F2120" s="106">
        <v>17745</v>
      </c>
      <c r="G2120" s="31">
        <f t="shared" si="33"/>
        <v>0</v>
      </c>
      <c r="H2120" s="39" t="s">
        <v>773</v>
      </c>
      <c r="J2120" s="42"/>
    </row>
    <row r="2121" spans="1:10" s="3" customFormat="1" x14ac:dyDescent="0.25">
      <c r="A2121" s="20">
        <v>42085</v>
      </c>
      <c r="B2121" s="21">
        <v>15631</v>
      </c>
      <c r="C2121" s="14" t="s">
        <v>16</v>
      </c>
      <c r="D2121" s="105">
        <v>12108</v>
      </c>
      <c r="E2121" s="23">
        <v>42085</v>
      </c>
      <c r="F2121" s="106">
        <v>12108</v>
      </c>
      <c r="G2121" s="31">
        <f t="shared" si="33"/>
        <v>0</v>
      </c>
      <c r="H2121" s="39" t="s">
        <v>9</v>
      </c>
      <c r="J2121" s="42"/>
    </row>
    <row r="2122" spans="1:10" s="3" customFormat="1" x14ac:dyDescent="0.25">
      <c r="A2122" s="20">
        <v>42085</v>
      </c>
      <c r="B2122" s="21">
        <v>15632</v>
      </c>
      <c r="C2122" s="26" t="s">
        <v>218</v>
      </c>
      <c r="D2122" s="108">
        <v>0</v>
      </c>
      <c r="E2122" s="23"/>
      <c r="F2122" s="106"/>
      <c r="G2122" s="31">
        <f t="shared" si="33"/>
        <v>0</v>
      </c>
      <c r="H2122" s="39" t="s">
        <v>13</v>
      </c>
      <c r="J2122" s="42"/>
    </row>
    <row r="2123" spans="1:10" s="3" customFormat="1" x14ac:dyDescent="0.25">
      <c r="A2123" s="20">
        <v>42085</v>
      </c>
      <c r="B2123" s="21">
        <v>15633</v>
      </c>
      <c r="C2123" s="14" t="s">
        <v>229</v>
      </c>
      <c r="D2123" s="105">
        <v>4643.6400000000003</v>
      </c>
      <c r="E2123" s="23">
        <v>42085</v>
      </c>
      <c r="F2123" s="106">
        <v>4643.6400000000003</v>
      </c>
      <c r="G2123" s="31">
        <f t="shared" si="33"/>
        <v>0</v>
      </c>
      <c r="H2123" s="39" t="s">
        <v>9</v>
      </c>
      <c r="J2123" s="42"/>
    </row>
    <row r="2124" spans="1:10" s="3" customFormat="1" x14ac:dyDescent="0.25">
      <c r="A2124" s="20">
        <v>42085</v>
      </c>
      <c r="B2124" s="21">
        <v>15634</v>
      </c>
      <c r="C2124" s="14" t="s">
        <v>229</v>
      </c>
      <c r="D2124" s="105">
        <v>4954.04</v>
      </c>
      <c r="E2124" s="23">
        <v>42085</v>
      </c>
      <c r="F2124" s="106">
        <v>4954.04</v>
      </c>
      <c r="G2124" s="31">
        <f t="shared" si="33"/>
        <v>0</v>
      </c>
      <c r="H2124" s="39" t="s">
        <v>9</v>
      </c>
      <c r="J2124" s="42"/>
    </row>
    <row r="2125" spans="1:10" s="3" customFormat="1" x14ac:dyDescent="0.25">
      <c r="A2125" s="20">
        <v>42085</v>
      </c>
      <c r="B2125" s="21">
        <v>15635</v>
      </c>
      <c r="C2125" s="14" t="s">
        <v>89</v>
      </c>
      <c r="D2125" s="105">
        <v>2840.9</v>
      </c>
      <c r="E2125" s="23">
        <v>42085</v>
      </c>
      <c r="F2125" s="106">
        <v>2840.9</v>
      </c>
      <c r="G2125" s="31">
        <f t="shared" si="33"/>
        <v>0</v>
      </c>
      <c r="H2125" s="39" t="s">
        <v>9</v>
      </c>
      <c r="J2125" s="42"/>
    </row>
    <row r="2126" spans="1:10" s="3" customFormat="1" x14ac:dyDescent="0.25">
      <c r="A2126" s="20">
        <v>42085</v>
      </c>
      <c r="B2126" s="21">
        <v>15636</v>
      </c>
      <c r="C2126" s="14" t="s">
        <v>136</v>
      </c>
      <c r="D2126" s="105">
        <v>17377.8</v>
      </c>
      <c r="E2126" s="23">
        <v>42086</v>
      </c>
      <c r="F2126" s="106">
        <v>17377.8</v>
      </c>
      <c r="G2126" s="31">
        <f t="shared" si="33"/>
        <v>0</v>
      </c>
      <c r="H2126" s="39" t="s">
        <v>9</v>
      </c>
      <c r="J2126" s="42"/>
    </row>
    <row r="2127" spans="1:10" s="3" customFormat="1" x14ac:dyDescent="0.25">
      <c r="A2127" s="20">
        <v>42085</v>
      </c>
      <c r="B2127" s="21">
        <v>15637</v>
      </c>
      <c r="C2127" s="14" t="s">
        <v>71</v>
      </c>
      <c r="D2127" s="105">
        <v>7546.6</v>
      </c>
      <c r="E2127" s="23">
        <v>42085</v>
      </c>
      <c r="F2127" s="106">
        <v>7546.6</v>
      </c>
      <c r="G2127" s="31">
        <f t="shared" si="33"/>
        <v>0</v>
      </c>
      <c r="H2127" s="39" t="s">
        <v>9</v>
      </c>
      <c r="J2127" s="42"/>
    </row>
    <row r="2128" spans="1:10" s="3" customFormat="1" x14ac:dyDescent="0.25">
      <c r="A2128" s="20">
        <v>42085</v>
      </c>
      <c r="B2128" s="21">
        <v>15638</v>
      </c>
      <c r="C2128" s="14" t="s">
        <v>111</v>
      </c>
      <c r="D2128" s="105">
        <v>325304</v>
      </c>
      <c r="E2128" s="23">
        <v>42087</v>
      </c>
      <c r="F2128" s="106">
        <v>325304</v>
      </c>
      <c r="G2128" s="31">
        <f t="shared" si="33"/>
        <v>0</v>
      </c>
      <c r="H2128" s="39" t="s">
        <v>9</v>
      </c>
      <c r="J2128" s="42"/>
    </row>
    <row r="2129" spans="1:10" s="3" customFormat="1" x14ac:dyDescent="0.25">
      <c r="A2129" s="20">
        <v>42085</v>
      </c>
      <c r="B2129" s="21">
        <v>15639</v>
      </c>
      <c r="C2129" s="14" t="s">
        <v>909</v>
      </c>
      <c r="D2129" s="105">
        <v>1260</v>
      </c>
      <c r="E2129" s="23">
        <v>42085</v>
      </c>
      <c r="F2129" s="106">
        <v>1260</v>
      </c>
      <c r="G2129" s="31">
        <f t="shared" si="33"/>
        <v>0</v>
      </c>
      <c r="H2129" s="39" t="s">
        <v>9</v>
      </c>
      <c r="J2129" s="42"/>
    </row>
    <row r="2130" spans="1:10" s="3" customFormat="1" x14ac:dyDescent="0.25">
      <c r="A2130" s="20">
        <v>42085</v>
      </c>
      <c r="B2130" s="21">
        <v>15640</v>
      </c>
      <c r="C2130" s="14" t="s">
        <v>135</v>
      </c>
      <c r="D2130" s="105">
        <v>5851.44</v>
      </c>
      <c r="E2130" s="23">
        <v>42085</v>
      </c>
      <c r="F2130" s="106">
        <v>5851.44</v>
      </c>
      <c r="G2130" s="31">
        <f t="shared" si="33"/>
        <v>0</v>
      </c>
      <c r="H2130" s="39" t="s">
        <v>9</v>
      </c>
      <c r="J2130" s="42"/>
    </row>
    <row r="2131" spans="1:10" s="3" customFormat="1" x14ac:dyDescent="0.25">
      <c r="A2131" s="20">
        <v>42085</v>
      </c>
      <c r="B2131" s="21">
        <v>15641</v>
      </c>
      <c r="C2131" s="14" t="s">
        <v>141</v>
      </c>
      <c r="D2131" s="105">
        <v>3268</v>
      </c>
      <c r="E2131" s="23">
        <v>42085</v>
      </c>
      <c r="F2131" s="106">
        <v>3268</v>
      </c>
      <c r="G2131" s="31">
        <f t="shared" si="33"/>
        <v>0</v>
      </c>
      <c r="H2131" s="39" t="s">
        <v>187</v>
      </c>
      <c r="J2131" s="42"/>
    </row>
    <row r="2132" spans="1:10" s="3" customFormat="1" x14ac:dyDescent="0.25">
      <c r="A2132" s="20">
        <v>42085</v>
      </c>
      <c r="B2132" s="21">
        <v>15642</v>
      </c>
      <c r="C2132" s="14" t="s">
        <v>165</v>
      </c>
      <c r="D2132" s="105">
        <v>635</v>
      </c>
      <c r="E2132" s="23">
        <v>42085</v>
      </c>
      <c r="F2132" s="106">
        <v>635</v>
      </c>
      <c r="G2132" s="31">
        <f t="shared" si="33"/>
        <v>0</v>
      </c>
      <c r="H2132" s="39" t="s">
        <v>17</v>
      </c>
      <c r="J2132" s="42"/>
    </row>
    <row r="2133" spans="1:10" s="3" customFormat="1" x14ac:dyDescent="0.25">
      <c r="A2133" s="20">
        <v>42085</v>
      </c>
      <c r="B2133" s="21">
        <v>15643</v>
      </c>
      <c r="C2133" s="14" t="s">
        <v>66</v>
      </c>
      <c r="D2133" s="105">
        <v>1254</v>
      </c>
      <c r="E2133" s="23">
        <v>42085</v>
      </c>
      <c r="F2133" s="106">
        <v>1254</v>
      </c>
      <c r="G2133" s="31">
        <f t="shared" si="33"/>
        <v>0</v>
      </c>
      <c r="H2133" s="39" t="s">
        <v>9</v>
      </c>
      <c r="J2133" s="42"/>
    </row>
    <row r="2134" spans="1:10" s="3" customFormat="1" x14ac:dyDescent="0.25">
      <c r="A2134" s="20">
        <v>42085</v>
      </c>
      <c r="B2134" s="21">
        <v>15644</v>
      </c>
      <c r="C2134" s="14" t="s">
        <v>159</v>
      </c>
      <c r="D2134" s="105">
        <v>11447.4</v>
      </c>
      <c r="E2134" s="23">
        <v>42085</v>
      </c>
      <c r="F2134" s="106">
        <v>11447.4</v>
      </c>
      <c r="G2134" s="31">
        <f t="shared" si="33"/>
        <v>0</v>
      </c>
      <c r="H2134" s="39" t="s">
        <v>9</v>
      </c>
      <c r="J2134" s="42"/>
    </row>
    <row r="2135" spans="1:10" s="3" customFormat="1" x14ac:dyDescent="0.25">
      <c r="A2135" s="20">
        <v>42085</v>
      </c>
      <c r="B2135" s="21">
        <v>15645</v>
      </c>
      <c r="C2135" s="14" t="s">
        <v>80</v>
      </c>
      <c r="D2135" s="105">
        <v>7315.2</v>
      </c>
      <c r="E2135" s="23">
        <v>42085</v>
      </c>
      <c r="F2135" s="106">
        <v>7315.2</v>
      </c>
      <c r="G2135" s="31">
        <f t="shared" si="33"/>
        <v>0</v>
      </c>
      <c r="H2135" s="39" t="s">
        <v>9</v>
      </c>
      <c r="J2135" s="42"/>
    </row>
    <row r="2136" spans="1:10" s="3" customFormat="1" x14ac:dyDescent="0.25">
      <c r="A2136" s="20">
        <v>42085</v>
      </c>
      <c r="B2136" s="21">
        <v>15646</v>
      </c>
      <c r="C2136" s="14" t="s">
        <v>14</v>
      </c>
      <c r="D2136" s="105">
        <v>18004</v>
      </c>
      <c r="E2136" s="23">
        <v>42093</v>
      </c>
      <c r="F2136" s="106">
        <v>18004</v>
      </c>
      <c r="G2136" s="31">
        <f t="shared" si="33"/>
        <v>0</v>
      </c>
      <c r="H2136" s="39" t="s">
        <v>17</v>
      </c>
      <c r="J2136" s="42"/>
    </row>
    <row r="2137" spans="1:10" s="3" customFormat="1" x14ac:dyDescent="0.25">
      <c r="A2137" s="20">
        <v>42085</v>
      </c>
      <c r="B2137" s="21">
        <v>15647</v>
      </c>
      <c r="C2137" s="14" t="s">
        <v>158</v>
      </c>
      <c r="D2137" s="105">
        <v>6096.2</v>
      </c>
      <c r="E2137" s="23">
        <v>42085</v>
      </c>
      <c r="F2137" s="106">
        <v>6096.2</v>
      </c>
      <c r="G2137" s="31">
        <f t="shared" si="33"/>
        <v>0</v>
      </c>
      <c r="H2137" s="39" t="s">
        <v>9</v>
      </c>
      <c r="J2137" s="42"/>
    </row>
    <row r="2138" spans="1:10" s="3" customFormat="1" x14ac:dyDescent="0.25">
      <c r="A2138" s="20">
        <v>42085</v>
      </c>
      <c r="B2138" s="21">
        <v>15648</v>
      </c>
      <c r="C2138" s="14" t="s">
        <v>133</v>
      </c>
      <c r="D2138" s="105">
        <v>4947.3999999999996</v>
      </c>
      <c r="E2138" s="23">
        <v>42086</v>
      </c>
      <c r="F2138" s="106">
        <v>4947.3999999999996</v>
      </c>
      <c r="G2138" s="31">
        <f t="shared" si="33"/>
        <v>0</v>
      </c>
      <c r="H2138" s="39" t="s">
        <v>17</v>
      </c>
      <c r="J2138" s="42"/>
    </row>
    <row r="2139" spans="1:10" s="3" customFormat="1" x14ac:dyDescent="0.25">
      <c r="A2139" s="20">
        <v>42086</v>
      </c>
      <c r="B2139" s="21">
        <v>15649</v>
      </c>
      <c r="C2139" s="14" t="s">
        <v>32</v>
      </c>
      <c r="D2139" s="105">
        <v>1020.9</v>
      </c>
      <c r="E2139" s="23">
        <v>42087</v>
      </c>
      <c r="F2139" s="106">
        <v>1020.9</v>
      </c>
      <c r="G2139" s="31">
        <f t="shared" si="33"/>
        <v>0</v>
      </c>
      <c r="H2139" s="39" t="s">
        <v>9</v>
      </c>
      <c r="J2139" s="42"/>
    </row>
    <row r="2140" spans="1:10" s="3" customFormat="1" x14ac:dyDescent="0.25">
      <c r="A2140" s="20">
        <v>42086</v>
      </c>
      <c r="B2140" s="21">
        <v>15650</v>
      </c>
      <c r="C2140" s="14" t="s">
        <v>24</v>
      </c>
      <c r="D2140" s="105">
        <v>58863</v>
      </c>
      <c r="E2140" s="23">
        <v>42094</v>
      </c>
      <c r="F2140" s="106">
        <v>58863</v>
      </c>
      <c r="G2140" s="31">
        <f t="shared" si="33"/>
        <v>0</v>
      </c>
      <c r="H2140" s="39" t="s">
        <v>62</v>
      </c>
      <c r="J2140" s="42"/>
    </row>
    <row r="2141" spans="1:10" s="3" customFormat="1" x14ac:dyDescent="0.25">
      <c r="A2141" s="20">
        <v>42086</v>
      </c>
      <c r="B2141" s="21">
        <v>15651</v>
      </c>
      <c r="C2141" s="14" t="s">
        <v>112</v>
      </c>
      <c r="D2141" s="105">
        <v>5033.1000000000004</v>
      </c>
      <c r="E2141" s="23">
        <v>42086</v>
      </c>
      <c r="F2141" s="106">
        <v>5033.1000000000004</v>
      </c>
      <c r="G2141" s="31">
        <f t="shared" si="33"/>
        <v>0</v>
      </c>
      <c r="H2141" s="39" t="s">
        <v>9</v>
      </c>
      <c r="J2141" s="42"/>
    </row>
    <row r="2142" spans="1:10" s="3" customFormat="1" x14ac:dyDescent="0.25">
      <c r="A2142" s="20">
        <v>42086</v>
      </c>
      <c r="B2142" s="21">
        <v>15652</v>
      </c>
      <c r="C2142" s="14" t="s">
        <v>18</v>
      </c>
      <c r="D2142" s="105">
        <v>2787.3</v>
      </c>
      <c r="E2142" s="23">
        <v>42086</v>
      </c>
      <c r="F2142" s="106">
        <v>2787.3</v>
      </c>
      <c r="G2142" s="31">
        <f t="shared" si="33"/>
        <v>0</v>
      </c>
      <c r="H2142" s="39" t="s">
        <v>9</v>
      </c>
      <c r="J2142" s="42"/>
    </row>
    <row r="2143" spans="1:10" s="3" customFormat="1" x14ac:dyDescent="0.25">
      <c r="A2143" s="20">
        <v>42086</v>
      </c>
      <c r="B2143" s="21">
        <v>15653</v>
      </c>
      <c r="C2143" s="14" t="s">
        <v>18</v>
      </c>
      <c r="D2143" s="105">
        <v>59983.199999999997</v>
      </c>
      <c r="E2143" s="30">
        <v>42113</v>
      </c>
      <c r="F2143" s="144">
        <v>59983.199999999997</v>
      </c>
      <c r="G2143" s="31">
        <f t="shared" si="33"/>
        <v>0</v>
      </c>
      <c r="H2143" s="39" t="s">
        <v>9</v>
      </c>
      <c r="J2143" s="42"/>
    </row>
    <row r="2144" spans="1:10" s="3" customFormat="1" x14ac:dyDescent="0.25">
      <c r="A2144" s="20">
        <v>42086</v>
      </c>
      <c r="B2144" s="21">
        <v>15654</v>
      </c>
      <c r="C2144" s="14" t="s">
        <v>267</v>
      </c>
      <c r="D2144" s="105">
        <v>1198.3</v>
      </c>
      <c r="E2144" s="23">
        <v>42086</v>
      </c>
      <c r="F2144" s="106">
        <v>1198.3</v>
      </c>
      <c r="G2144" s="31">
        <f t="shared" si="33"/>
        <v>0</v>
      </c>
      <c r="H2144" s="39" t="s">
        <v>187</v>
      </c>
      <c r="J2144" s="42"/>
    </row>
    <row r="2145" spans="1:10" s="3" customFormat="1" x14ac:dyDescent="0.25">
      <c r="A2145" s="20">
        <v>42086</v>
      </c>
      <c r="B2145" s="21">
        <v>15655</v>
      </c>
      <c r="C2145" s="14" t="s">
        <v>14</v>
      </c>
      <c r="D2145" s="105">
        <v>16032.8</v>
      </c>
      <c r="E2145" s="23">
        <v>42093</v>
      </c>
      <c r="F2145" s="106">
        <v>16032.8</v>
      </c>
      <c r="G2145" s="31">
        <f t="shared" si="33"/>
        <v>0</v>
      </c>
      <c r="H2145" s="39" t="s">
        <v>187</v>
      </c>
      <c r="J2145" s="42"/>
    </row>
    <row r="2146" spans="1:10" s="3" customFormat="1" x14ac:dyDescent="0.25">
      <c r="A2146" s="20">
        <v>42086</v>
      </c>
      <c r="B2146" s="21">
        <v>15656</v>
      </c>
      <c r="C2146" s="14" t="s">
        <v>16</v>
      </c>
      <c r="D2146" s="105">
        <v>6882</v>
      </c>
      <c r="E2146" s="23">
        <v>42086</v>
      </c>
      <c r="F2146" s="106">
        <v>6882</v>
      </c>
      <c r="G2146" s="31">
        <f t="shared" si="33"/>
        <v>0</v>
      </c>
      <c r="H2146" s="39" t="s">
        <v>17</v>
      </c>
      <c r="J2146" s="42"/>
    </row>
    <row r="2147" spans="1:10" s="3" customFormat="1" x14ac:dyDescent="0.25">
      <c r="A2147" s="20">
        <v>42086</v>
      </c>
      <c r="B2147" s="21">
        <v>15657</v>
      </c>
      <c r="C2147" s="14" t="s">
        <v>26</v>
      </c>
      <c r="D2147" s="105">
        <v>1644</v>
      </c>
      <c r="E2147" s="23">
        <v>42086</v>
      </c>
      <c r="F2147" s="106">
        <v>1644</v>
      </c>
      <c r="G2147" s="31">
        <f t="shared" si="33"/>
        <v>0</v>
      </c>
      <c r="H2147" s="39" t="s">
        <v>27</v>
      </c>
      <c r="J2147" s="42"/>
    </row>
    <row r="2148" spans="1:10" s="3" customFormat="1" x14ac:dyDescent="0.25">
      <c r="A2148" s="20">
        <v>42086</v>
      </c>
      <c r="B2148" s="21">
        <v>15658</v>
      </c>
      <c r="C2148" s="14" t="s">
        <v>110</v>
      </c>
      <c r="D2148" s="105">
        <v>7861.4</v>
      </c>
      <c r="E2148" s="23">
        <v>42093</v>
      </c>
      <c r="F2148" s="106">
        <v>7861.4</v>
      </c>
      <c r="G2148" s="31">
        <f t="shared" si="33"/>
        <v>0</v>
      </c>
      <c r="H2148" s="39" t="s">
        <v>19</v>
      </c>
      <c r="J2148" s="42"/>
    </row>
    <row r="2149" spans="1:10" s="3" customFormat="1" x14ac:dyDescent="0.25">
      <c r="A2149" s="20">
        <v>42086</v>
      </c>
      <c r="B2149" s="21">
        <v>15659</v>
      </c>
      <c r="C2149" s="26" t="s">
        <v>218</v>
      </c>
      <c r="D2149" s="108">
        <v>0</v>
      </c>
      <c r="E2149" s="23"/>
      <c r="F2149" s="106"/>
      <c r="G2149" s="31">
        <f t="shared" si="33"/>
        <v>0</v>
      </c>
      <c r="H2149" s="39" t="s">
        <v>13</v>
      </c>
      <c r="J2149" s="42"/>
    </row>
    <row r="2150" spans="1:10" s="3" customFormat="1" x14ac:dyDescent="0.25">
      <c r="A2150" s="20">
        <v>42086</v>
      </c>
      <c r="B2150" s="21">
        <v>15660</v>
      </c>
      <c r="C2150" s="14" t="s">
        <v>829</v>
      </c>
      <c r="D2150" s="105">
        <v>2756.7</v>
      </c>
      <c r="E2150" s="23">
        <v>42086</v>
      </c>
      <c r="F2150" s="106">
        <v>2756.7</v>
      </c>
      <c r="G2150" s="31">
        <f t="shared" si="33"/>
        <v>0</v>
      </c>
      <c r="H2150" s="39" t="s">
        <v>9</v>
      </c>
      <c r="J2150" s="42"/>
    </row>
    <row r="2151" spans="1:10" s="3" customFormat="1" x14ac:dyDescent="0.25">
      <c r="A2151" s="20">
        <v>42086</v>
      </c>
      <c r="B2151" s="21">
        <v>15661</v>
      </c>
      <c r="C2151" s="14" t="s">
        <v>24</v>
      </c>
      <c r="D2151" s="105">
        <v>30847.599999999999</v>
      </c>
      <c r="E2151" s="30" t="s">
        <v>1237</v>
      </c>
      <c r="F2151" s="144">
        <f>25919.34+4928.26</f>
        <v>30847.599999999999</v>
      </c>
      <c r="G2151" s="31">
        <f t="shared" si="33"/>
        <v>0</v>
      </c>
      <c r="H2151" s="39" t="s">
        <v>19</v>
      </c>
      <c r="J2151" s="42"/>
    </row>
    <row r="2152" spans="1:10" s="3" customFormat="1" x14ac:dyDescent="0.25">
      <c r="A2152" s="20">
        <v>42086</v>
      </c>
      <c r="B2152" s="21">
        <v>15662</v>
      </c>
      <c r="C2152" s="14" t="s">
        <v>158</v>
      </c>
      <c r="D2152" s="105">
        <v>6602.6</v>
      </c>
      <c r="E2152" s="23">
        <v>42086</v>
      </c>
      <c r="F2152" s="106">
        <v>6602.6</v>
      </c>
      <c r="G2152" s="31">
        <f t="shared" si="33"/>
        <v>0</v>
      </c>
      <c r="H2152" s="39" t="s">
        <v>9</v>
      </c>
      <c r="J2152" s="42"/>
    </row>
    <row r="2153" spans="1:10" s="3" customFormat="1" x14ac:dyDescent="0.25">
      <c r="A2153" s="20">
        <v>42086</v>
      </c>
      <c r="B2153" s="21">
        <v>15663</v>
      </c>
      <c r="C2153" s="14" t="s">
        <v>20</v>
      </c>
      <c r="D2153" s="105">
        <v>18984.25</v>
      </c>
      <c r="E2153" s="23">
        <v>42086</v>
      </c>
      <c r="F2153" s="106">
        <v>18984.25</v>
      </c>
      <c r="G2153" s="31">
        <f t="shared" si="33"/>
        <v>0</v>
      </c>
      <c r="H2153" s="39" t="s">
        <v>94</v>
      </c>
      <c r="J2153" s="42"/>
    </row>
    <row r="2154" spans="1:10" s="3" customFormat="1" x14ac:dyDescent="0.25">
      <c r="A2154" s="20">
        <v>42086</v>
      </c>
      <c r="B2154" s="21">
        <v>15664</v>
      </c>
      <c r="C2154" s="14" t="s">
        <v>720</v>
      </c>
      <c r="D2154" s="105">
        <v>17508.8</v>
      </c>
      <c r="E2154" s="23">
        <v>42086</v>
      </c>
      <c r="F2154" s="106">
        <v>17508.8</v>
      </c>
      <c r="G2154" s="31">
        <f t="shared" si="33"/>
        <v>0</v>
      </c>
      <c r="H2154" s="39" t="s">
        <v>9</v>
      </c>
      <c r="J2154" s="42"/>
    </row>
    <row r="2155" spans="1:10" s="3" customFormat="1" x14ac:dyDescent="0.25">
      <c r="A2155" s="20">
        <v>42086</v>
      </c>
      <c r="B2155" s="21">
        <v>15665</v>
      </c>
      <c r="C2155" s="14" t="s">
        <v>57</v>
      </c>
      <c r="D2155" s="105">
        <v>1404</v>
      </c>
      <c r="E2155" s="23">
        <v>42086</v>
      </c>
      <c r="F2155" s="106">
        <v>1404</v>
      </c>
      <c r="G2155" s="31">
        <f t="shared" si="33"/>
        <v>0</v>
      </c>
      <c r="H2155" s="39" t="s">
        <v>59</v>
      </c>
      <c r="J2155" s="42"/>
    </row>
    <row r="2156" spans="1:10" s="3" customFormat="1" x14ac:dyDescent="0.25">
      <c r="A2156" s="20">
        <v>42086</v>
      </c>
      <c r="B2156" s="21">
        <v>15666</v>
      </c>
      <c r="C2156" s="14" t="s">
        <v>114</v>
      </c>
      <c r="D2156" s="105">
        <v>21634.799999999999</v>
      </c>
      <c r="E2156" s="23">
        <v>42086</v>
      </c>
      <c r="F2156" s="106">
        <v>21634.799999999999</v>
      </c>
      <c r="G2156" s="31">
        <f t="shared" si="33"/>
        <v>0</v>
      </c>
      <c r="H2156" s="39" t="s">
        <v>19</v>
      </c>
      <c r="J2156" s="42"/>
    </row>
    <row r="2157" spans="1:10" s="3" customFormat="1" x14ac:dyDescent="0.25">
      <c r="A2157" s="20">
        <v>42086</v>
      </c>
      <c r="B2157" s="21">
        <v>15667</v>
      </c>
      <c r="C2157" s="14" t="s">
        <v>33</v>
      </c>
      <c r="D2157" s="105">
        <v>18810.57</v>
      </c>
      <c r="E2157" s="23">
        <v>42086</v>
      </c>
      <c r="F2157" s="106">
        <v>18810.57</v>
      </c>
      <c r="G2157" s="31">
        <f t="shared" si="33"/>
        <v>0</v>
      </c>
      <c r="H2157" s="39" t="s">
        <v>149</v>
      </c>
      <c r="J2157" s="42"/>
    </row>
    <row r="2158" spans="1:10" s="3" customFormat="1" x14ac:dyDescent="0.25">
      <c r="A2158" s="20">
        <v>42086</v>
      </c>
      <c r="B2158" s="21">
        <v>15668</v>
      </c>
      <c r="C2158" s="14" t="s">
        <v>912</v>
      </c>
      <c r="D2158" s="105">
        <v>26771.8</v>
      </c>
      <c r="E2158" s="23">
        <v>42086</v>
      </c>
      <c r="F2158" s="106">
        <v>26771.8</v>
      </c>
      <c r="G2158" s="31">
        <f t="shared" si="33"/>
        <v>0</v>
      </c>
      <c r="H2158" s="39" t="s">
        <v>149</v>
      </c>
      <c r="J2158" s="42"/>
    </row>
    <row r="2159" spans="1:10" s="3" customFormat="1" x14ac:dyDescent="0.25">
      <c r="A2159" s="20">
        <v>42086</v>
      </c>
      <c r="B2159" s="21">
        <v>15669</v>
      </c>
      <c r="C2159" s="14" t="s">
        <v>21</v>
      </c>
      <c r="D2159" s="105">
        <v>5439</v>
      </c>
      <c r="E2159" s="23">
        <v>42086</v>
      </c>
      <c r="F2159" s="106">
        <v>5439</v>
      </c>
      <c r="G2159" s="31">
        <f t="shared" si="33"/>
        <v>0</v>
      </c>
      <c r="H2159" s="39" t="s">
        <v>9</v>
      </c>
      <c r="J2159" s="42"/>
    </row>
    <row r="2160" spans="1:10" s="3" customFormat="1" x14ac:dyDescent="0.25">
      <c r="A2160" s="20">
        <v>42086</v>
      </c>
      <c r="B2160" s="21">
        <v>15670</v>
      </c>
      <c r="C2160" s="14" t="s">
        <v>136</v>
      </c>
      <c r="D2160" s="105">
        <v>696</v>
      </c>
      <c r="E2160" s="23">
        <v>42086</v>
      </c>
      <c r="F2160" s="106">
        <v>696</v>
      </c>
      <c r="G2160" s="31">
        <f t="shared" si="33"/>
        <v>0</v>
      </c>
      <c r="H2160" s="39" t="s">
        <v>9</v>
      </c>
      <c r="J2160" s="42"/>
    </row>
    <row r="2161" spans="1:10" s="3" customFormat="1" x14ac:dyDescent="0.25">
      <c r="A2161" s="20">
        <v>42086</v>
      </c>
      <c r="B2161" s="21">
        <v>15671</v>
      </c>
      <c r="C2161" s="14" t="s">
        <v>137</v>
      </c>
      <c r="D2161" s="105">
        <v>2760.8</v>
      </c>
      <c r="E2161" s="23">
        <v>42086</v>
      </c>
      <c r="F2161" s="106">
        <v>2760.8</v>
      </c>
      <c r="G2161" s="31">
        <f t="shared" si="33"/>
        <v>0</v>
      </c>
      <c r="H2161" s="39" t="s">
        <v>9</v>
      </c>
      <c r="J2161" s="42"/>
    </row>
    <row r="2162" spans="1:10" s="3" customFormat="1" x14ac:dyDescent="0.25">
      <c r="A2162" s="20">
        <v>42086</v>
      </c>
      <c r="B2162" s="21">
        <v>15672</v>
      </c>
      <c r="C2162" s="15" t="s">
        <v>591</v>
      </c>
      <c r="D2162" s="122">
        <v>2636.25</v>
      </c>
      <c r="E2162" s="23">
        <v>42086</v>
      </c>
      <c r="F2162" s="118">
        <v>2636.25</v>
      </c>
      <c r="G2162" s="31">
        <f t="shared" si="33"/>
        <v>0</v>
      </c>
      <c r="H2162" s="68" t="s">
        <v>9</v>
      </c>
      <c r="J2162" s="42"/>
    </row>
    <row r="2163" spans="1:10" s="3" customFormat="1" x14ac:dyDescent="0.25">
      <c r="A2163" s="20">
        <v>42086</v>
      </c>
      <c r="B2163" s="21">
        <v>15673</v>
      </c>
      <c r="C2163" s="15" t="s">
        <v>78</v>
      </c>
      <c r="D2163" s="122">
        <v>7786.2</v>
      </c>
      <c r="E2163" s="23">
        <v>42087</v>
      </c>
      <c r="F2163" s="106">
        <v>7786.2</v>
      </c>
      <c r="G2163" s="31">
        <f t="shared" si="33"/>
        <v>0</v>
      </c>
      <c r="H2163" s="68" t="s">
        <v>62</v>
      </c>
      <c r="J2163" s="42"/>
    </row>
    <row r="2164" spans="1:10" s="3" customFormat="1" x14ac:dyDescent="0.25">
      <c r="A2164" s="20">
        <v>42086</v>
      </c>
      <c r="B2164" s="21">
        <v>15674</v>
      </c>
      <c r="C2164" s="15" t="s">
        <v>170</v>
      </c>
      <c r="D2164" s="122">
        <v>5117</v>
      </c>
      <c r="E2164" s="23">
        <v>42087</v>
      </c>
      <c r="F2164" s="106">
        <v>5117</v>
      </c>
      <c r="G2164" s="31">
        <f t="shared" si="33"/>
        <v>0</v>
      </c>
      <c r="H2164" s="68" t="s">
        <v>62</v>
      </c>
      <c r="J2164" s="42"/>
    </row>
    <row r="2165" spans="1:10" s="3" customFormat="1" x14ac:dyDescent="0.25">
      <c r="A2165" s="20">
        <v>42086</v>
      </c>
      <c r="B2165" s="21">
        <v>15675</v>
      </c>
      <c r="C2165" s="15" t="s">
        <v>67</v>
      </c>
      <c r="D2165" s="122">
        <v>3252.8</v>
      </c>
      <c r="E2165" s="23">
        <v>42087</v>
      </c>
      <c r="F2165" s="106">
        <v>3252.8</v>
      </c>
      <c r="G2165" s="31">
        <f t="shared" si="33"/>
        <v>0</v>
      </c>
      <c r="H2165" s="68" t="s">
        <v>62</v>
      </c>
      <c r="J2165" s="42"/>
    </row>
    <row r="2166" spans="1:10" s="3" customFormat="1" x14ac:dyDescent="0.25">
      <c r="A2166" s="20">
        <v>42086</v>
      </c>
      <c r="B2166" s="21">
        <v>15676</v>
      </c>
      <c r="C2166" s="15" t="s">
        <v>55</v>
      </c>
      <c r="D2166" s="122">
        <v>21456</v>
      </c>
      <c r="E2166" s="23">
        <v>42086</v>
      </c>
      <c r="F2166" s="106">
        <v>21456</v>
      </c>
      <c r="G2166" s="31">
        <f t="shared" si="33"/>
        <v>0</v>
      </c>
      <c r="H2166" s="68" t="s">
        <v>59</v>
      </c>
      <c r="J2166" s="42"/>
    </row>
    <row r="2167" spans="1:10" s="3" customFormat="1" x14ac:dyDescent="0.25">
      <c r="A2167" s="20">
        <v>42086</v>
      </c>
      <c r="B2167" s="21">
        <v>15677</v>
      </c>
      <c r="C2167" s="15" t="s">
        <v>33</v>
      </c>
      <c r="D2167" s="122">
        <v>5712</v>
      </c>
      <c r="E2167" s="23">
        <v>42086</v>
      </c>
      <c r="F2167" s="106">
        <v>5712</v>
      </c>
      <c r="G2167" s="31">
        <f t="shared" si="33"/>
        <v>0</v>
      </c>
      <c r="H2167" s="68" t="s">
        <v>149</v>
      </c>
      <c r="J2167" s="42"/>
    </row>
    <row r="2168" spans="1:10" s="3" customFormat="1" x14ac:dyDescent="0.25">
      <c r="A2168" s="20">
        <v>42086</v>
      </c>
      <c r="B2168" s="21">
        <v>15678</v>
      </c>
      <c r="C2168" s="15" t="s">
        <v>25</v>
      </c>
      <c r="D2168" s="122">
        <v>1135.2</v>
      </c>
      <c r="E2168" s="23">
        <v>42086</v>
      </c>
      <c r="F2168" s="118">
        <v>1135.2</v>
      </c>
      <c r="G2168" s="31">
        <f t="shared" si="33"/>
        <v>0</v>
      </c>
      <c r="H2168" s="68" t="s">
        <v>9</v>
      </c>
      <c r="J2168" s="42"/>
    </row>
    <row r="2169" spans="1:10" s="3" customFormat="1" x14ac:dyDescent="0.25">
      <c r="A2169" s="20">
        <v>42086</v>
      </c>
      <c r="B2169" s="21">
        <v>15679</v>
      </c>
      <c r="C2169" s="15" t="s">
        <v>75</v>
      </c>
      <c r="D2169" s="122">
        <v>19331.8</v>
      </c>
      <c r="E2169" s="23">
        <v>42087</v>
      </c>
      <c r="F2169" s="118">
        <v>19331.8</v>
      </c>
      <c r="G2169" s="31">
        <f t="shared" si="33"/>
        <v>0</v>
      </c>
      <c r="H2169" s="68" t="s">
        <v>62</v>
      </c>
      <c r="J2169" s="42"/>
    </row>
    <row r="2170" spans="1:10" s="3" customFormat="1" x14ac:dyDescent="0.25">
      <c r="A2170" s="20">
        <v>42086</v>
      </c>
      <c r="B2170" s="21">
        <v>15680</v>
      </c>
      <c r="C2170" s="15" t="s">
        <v>74</v>
      </c>
      <c r="D2170" s="122">
        <v>1173</v>
      </c>
      <c r="E2170" s="23">
        <v>42086</v>
      </c>
      <c r="F2170" s="106">
        <v>1173</v>
      </c>
      <c r="G2170" s="31">
        <f t="shared" si="33"/>
        <v>0</v>
      </c>
      <c r="H2170" s="68" t="s">
        <v>9</v>
      </c>
      <c r="J2170" s="42"/>
    </row>
    <row r="2171" spans="1:10" s="3" customFormat="1" x14ac:dyDescent="0.25">
      <c r="A2171" s="20">
        <v>42086</v>
      </c>
      <c r="B2171" s="21">
        <v>15681</v>
      </c>
      <c r="C2171" s="15" t="s">
        <v>56</v>
      </c>
      <c r="D2171" s="122">
        <v>9123.2000000000007</v>
      </c>
      <c r="E2171" s="23">
        <v>42086</v>
      </c>
      <c r="F2171" s="106">
        <v>9123.2000000000007</v>
      </c>
      <c r="G2171" s="31">
        <f t="shared" si="33"/>
        <v>0</v>
      </c>
      <c r="H2171" s="68" t="s">
        <v>773</v>
      </c>
      <c r="J2171" s="42"/>
    </row>
    <row r="2172" spans="1:10" s="3" customFormat="1" x14ac:dyDescent="0.25">
      <c r="A2172" s="20">
        <v>42086</v>
      </c>
      <c r="B2172" s="21">
        <v>15682</v>
      </c>
      <c r="C2172" s="15" t="s">
        <v>23</v>
      </c>
      <c r="D2172" s="122">
        <v>1861.2</v>
      </c>
      <c r="E2172" s="23">
        <v>42086</v>
      </c>
      <c r="F2172" s="106">
        <v>1861.2</v>
      </c>
      <c r="G2172" s="31">
        <f t="shared" si="33"/>
        <v>0</v>
      </c>
      <c r="H2172" s="68" t="s">
        <v>9</v>
      </c>
      <c r="J2172" s="42"/>
    </row>
    <row r="2173" spans="1:10" s="3" customFormat="1" x14ac:dyDescent="0.25">
      <c r="A2173" s="20">
        <v>42086</v>
      </c>
      <c r="B2173" s="21">
        <v>15683</v>
      </c>
      <c r="C2173" s="15" t="s">
        <v>256</v>
      </c>
      <c r="D2173" s="122">
        <v>3615.2</v>
      </c>
      <c r="E2173" s="23">
        <v>42086</v>
      </c>
      <c r="F2173" s="106">
        <v>3615.2</v>
      </c>
      <c r="G2173" s="31">
        <f t="shared" si="33"/>
        <v>0</v>
      </c>
      <c r="H2173" s="68" t="s">
        <v>773</v>
      </c>
      <c r="J2173" s="42"/>
    </row>
    <row r="2174" spans="1:10" s="3" customFormat="1" x14ac:dyDescent="0.25">
      <c r="A2174" s="20">
        <v>42086</v>
      </c>
      <c r="B2174" s="21">
        <v>15684</v>
      </c>
      <c r="C2174" s="15" t="s">
        <v>65</v>
      </c>
      <c r="D2174" s="122">
        <v>25816.55</v>
      </c>
      <c r="E2174" s="23">
        <v>42087</v>
      </c>
      <c r="F2174" s="118">
        <v>25816.55</v>
      </c>
      <c r="G2174" s="31">
        <f t="shared" si="33"/>
        <v>0</v>
      </c>
      <c r="H2174" s="68" t="s">
        <v>62</v>
      </c>
      <c r="J2174" s="42"/>
    </row>
    <row r="2175" spans="1:10" s="3" customFormat="1" x14ac:dyDescent="0.25">
      <c r="A2175" s="20">
        <v>42086</v>
      </c>
      <c r="B2175" s="21">
        <v>15685</v>
      </c>
      <c r="C2175" s="15" t="s">
        <v>125</v>
      </c>
      <c r="D2175" s="122">
        <v>28980.2</v>
      </c>
      <c r="E2175" s="23">
        <v>42086</v>
      </c>
      <c r="F2175" s="106">
        <v>28980.2</v>
      </c>
      <c r="G2175" s="31">
        <f t="shared" si="33"/>
        <v>0</v>
      </c>
      <c r="H2175" s="68" t="s">
        <v>9</v>
      </c>
      <c r="J2175" s="42"/>
    </row>
    <row r="2176" spans="1:10" s="3" customFormat="1" x14ac:dyDescent="0.25">
      <c r="A2176" s="20">
        <v>42086</v>
      </c>
      <c r="B2176" s="21">
        <v>15686</v>
      </c>
      <c r="C2176" s="15" t="s">
        <v>75</v>
      </c>
      <c r="D2176" s="122">
        <v>852.3</v>
      </c>
      <c r="E2176" s="23">
        <v>42087</v>
      </c>
      <c r="F2176" s="106">
        <v>852.3</v>
      </c>
      <c r="G2176" s="31">
        <f t="shared" si="33"/>
        <v>0</v>
      </c>
      <c r="H2176" s="68" t="s">
        <v>62</v>
      </c>
      <c r="J2176" s="42"/>
    </row>
    <row r="2177" spans="1:10" s="3" customFormat="1" x14ac:dyDescent="0.25">
      <c r="A2177" s="20">
        <v>42086</v>
      </c>
      <c r="B2177" s="21">
        <v>15687</v>
      </c>
      <c r="C2177" s="15" t="s">
        <v>173</v>
      </c>
      <c r="D2177" s="122">
        <v>14401.2</v>
      </c>
      <c r="E2177" s="30" t="s">
        <v>973</v>
      </c>
      <c r="F2177" s="145">
        <v>14401.2</v>
      </c>
      <c r="G2177" s="31">
        <f t="shared" si="33"/>
        <v>0</v>
      </c>
      <c r="H2177" s="68" t="s">
        <v>62</v>
      </c>
      <c r="J2177" s="42"/>
    </row>
    <row r="2178" spans="1:10" s="3" customFormat="1" x14ac:dyDescent="0.25">
      <c r="A2178" s="20">
        <v>42086</v>
      </c>
      <c r="B2178" s="21">
        <v>15688</v>
      </c>
      <c r="C2178" s="15" t="s">
        <v>125</v>
      </c>
      <c r="D2178" s="122">
        <v>442.2</v>
      </c>
      <c r="E2178" s="23">
        <v>42086</v>
      </c>
      <c r="F2178" s="118">
        <v>442.2</v>
      </c>
      <c r="G2178" s="31">
        <f t="shared" si="33"/>
        <v>0</v>
      </c>
      <c r="H2178" s="68" t="s">
        <v>9</v>
      </c>
      <c r="J2178" s="42"/>
    </row>
    <row r="2179" spans="1:10" s="3" customFormat="1" x14ac:dyDescent="0.25">
      <c r="A2179" s="20">
        <v>42086</v>
      </c>
      <c r="B2179" s="21">
        <v>15689</v>
      </c>
      <c r="C2179" s="15" t="s">
        <v>84</v>
      </c>
      <c r="D2179" s="122">
        <v>42459.85</v>
      </c>
      <c r="E2179" s="30" t="s">
        <v>974</v>
      </c>
      <c r="F2179" s="145">
        <v>42459.85</v>
      </c>
      <c r="G2179" s="31">
        <f t="shared" ref="G2179:G2242" si="34">D2179-F2179</f>
        <v>0</v>
      </c>
      <c r="H2179" s="68" t="s">
        <v>62</v>
      </c>
      <c r="J2179" s="42"/>
    </row>
    <row r="2180" spans="1:10" s="3" customFormat="1" x14ac:dyDescent="0.25">
      <c r="A2180" s="20">
        <v>42086</v>
      </c>
      <c r="B2180" s="21">
        <v>15690</v>
      </c>
      <c r="C2180" s="15" t="s">
        <v>243</v>
      </c>
      <c r="D2180" s="122">
        <v>1253.04</v>
      </c>
      <c r="E2180" s="23">
        <v>42087</v>
      </c>
      <c r="F2180" s="118">
        <v>1253.04</v>
      </c>
      <c r="G2180" s="31">
        <f t="shared" si="34"/>
        <v>0</v>
      </c>
      <c r="H2180" s="68" t="s">
        <v>62</v>
      </c>
      <c r="J2180" s="42"/>
    </row>
    <row r="2181" spans="1:10" s="3" customFormat="1" x14ac:dyDescent="0.25">
      <c r="A2181" s="20">
        <v>42086</v>
      </c>
      <c r="B2181" s="21">
        <v>15691</v>
      </c>
      <c r="C2181" s="15" t="s">
        <v>178</v>
      </c>
      <c r="D2181" s="122">
        <v>2126.4</v>
      </c>
      <c r="E2181" s="23">
        <v>42087</v>
      </c>
      <c r="F2181" s="118">
        <v>2126.4</v>
      </c>
      <c r="G2181" s="31">
        <f t="shared" si="34"/>
        <v>0</v>
      </c>
      <c r="H2181" s="68" t="s">
        <v>62</v>
      </c>
      <c r="J2181" s="42"/>
    </row>
    <row r="2182" spans="1:10" s="3" customFormat="1" x14ac:dyDescent="0.25">
      <c r="A2182" s="20">
        <v>42086</v>
      </c>
      <c r="B2182" s="21">
        <v>15692</v>
      </c>
      <c r="C2182" s="15" t="s">
        <v>111</v>
      </c>
      <c r="D2182" s="122">
        <v>6475.8</v>
      </c>
      <c r="E2182" s="23">
        <v>42087</v>
      </c>
      <c r="F2182" s="118">
        <v>6475.8</v>
      </c>
      <c r="G2182" s="31">
        <f t="shared" si="34"/>
        <v>0</v>
      </c>
      <c r="H2182" s="68" t="s">
        <v>9</v>
      </c>
      <c r="J2182" s="42"/>
    </row>
    <row r="2183" spans="1:10" s="3" customFormat="1" x14ac:dyDescent="0.25">
      <c r="A2183" s="20">
        <v>42086</v>
      </c>
      <c r="B2183" s="21">
        <v>15693</v>
      </c>
      <c r="C2183" s="15" t="s">
        <v>91</v>
      </c>
      <c r="D2183" s="122">
        <v>22522.11</v>
      </c>
      <c r="E2183" s="23">
        <v>42087</v>
      </c>
      <c r="F2183" s="118">
        <v>22522.11</v>
      </c>
      <c r="G2183" s="31">
        <f t="shared" si="34"/>
        <v>0</v>
      </c>
      <c r="H2183" s="68" t="s">
        <v>59</v>
      </c>
      <c r="J2183" s="42"/>
    </row>
    <row r="2184" spans="1:10" s="3" customFormat="1" x14ac:dyDescent="0.25">
      <c r="A2184" s="20">
        <v>42086</v>
      </c>
      <c r="B2184" s="21">
        <v>15694</v>
      </c>
      <c r="C2184" s="14" t="s">
        <v>121</v>
      </c>
      <c r="D2184" s="105">
        <v>2599.1999999999998</v>
      </c>
      <c r="E2184" s="23">
        <v>42086</v>
      </c>
      <c r="F2184" s="106">
        <v>2599.1999999999998</v>
      </c>
      <c r="G2184" s="31">
        <f t="shared" si="34"/>
        <v>0</v>
      </c>
      <c r="H2184" s="39" t="s">
        <v>9</v>
      </c>
      <c r="J2184" s="42"/>
    </row>
    <row r="2185" spans="1:10" s="3" customFormat="1" x14ac:dyDescent="0.25">
      <c r="A2185" s="20">
        <v>42086</v>
      </c>
      <c r="B2185" s="21">
        <v>15695</v>
      </c>
      <c r="C2185" s="15" t="s">
        <v>82</v>
      </c>
      <c r="D2185" s="122">
        <v>3232.4</v>
      </c>
      <c r="E2185" s="23">
        <v>42086</v>
      </c>
      <c r="F2185" s="118">
        <v>3232.4</v>
      </c>
      <c r="G2185" s="31">
        <f t="shared" si="34"/>
        <v>0</v>
      </c>
      <c r="H2185" s="68" t="s">
        <v>59</v>
      </c>
      <c r="J2185" s="42"/>
    </row>
    <row r="2186" spans="1:10" s="3" customFormat="1" x14ac:dyDescent="0.25">
      <c r="A2186" s="20">
        <v>42086</v>
      </c>
      <c r="B2186" s="21">
        <v>15696</v>
      </c>
      <c r="C2186" s="15" t="s">
        <v>664</v>
      </c>
      <c r="D2186" s="122">
        <v>1276.8</v>
      </c>
      <c r="E2186" s="23">
        <v>42086</v>
      </c>
      <c r="F2186" s="118">
        <v>1276.8</v>
      </c>
      <c r="G2186" s="31">
        <f t="shared" si="34"/>
        <v>0</v>
      </c>
      <c r="H2186" s="68" t="s">
        <v>59</v>
      </c>
      <c r="J2186" s="42"/>
    </row>
    <row r="2187" spans="1:10" s="3" customFormat="1" x14ac:dyDescent="0.25">
      <c r="A2187" s="20">
        <v>42086</v>
      </c>
      <c r="B2187" s="21">
        <v>15697</v>
      </c>
      <c r="C2187" s="15" t="s">
        <v>872</v>
      </c>
      <c r="D2187" s="122">
        <v>642.20000000000005</v>
      </c>
      <c r="E2187" s="23">
        <v>42086</v>
      </c>
      <c r="F2187" s="118">
        <v>642.20000000000005</v>
      </c>
      <c r="G2187" s="31">
        <f t="shared" si="34"/>
        <v>0</v>
      </c>
      <c r="H2187" s="68" t="s">
        <v>59</v>
      </c>
      <c r="J2187" s="42"/>
    </row>
    <row r="2188" spans="1:10" s="3" customFormat="1" x14ac:dyDescent="0.25">
      <c r="A2188" s="20">
        <v>42086</v>
      </c>
      <c r="B2188" s="21">
        <v>15698</v>
      </c>
      <c r="C2188" s="15" t="s">
        <v>151</v>
      </c>
      <c r="D2188" s="122">
        <v>2292.8000000000002</v>
      </c>
      <c r="E2188" s="23">
        <v>42087</v>
      </c>
      <c r="F2188" s="118">
        <v>2292.8000000000002</v>
      </c>
      <c r="G2188" s="31">
        <f t="shared" si="34"/>
        <v>0</v>
      </c>
      <c r="H2188" s="68" t="s">
        <v>9</v>
      </c>
      <c r="J2188" s="42"/>
    </row>
    <row r="2189" spans="1:10" s="3" customFormat="1" x14ac:dyDescent="0.25">
      <c r="A2189" s="20">
        <v>42086</v>
      </c>
      <c r="B2189" s="21">
        <v>15699</v>
      </c>
      <c r="C2189" s="15" t="s">
        <v>34</v>
      </c>
      <c r="D2189" s="122">
        <v>3600</v>
      </c>
      <c r="E2189" s="23">
        <v>42086</v>
      </c>
      <c r="F2189" s="118">
        <v>3600</v>
      </c>
      <c r="G2189" s="31">
        <f t="shared" si="34"/>
        <v>0</v>
      </c>
      <c r="H2189" s="68" t="s">
        <v>9</v>
      </c>
      <c r="J2189" s="42"/>
    </row>
    <row r="2190" spans="1:10" s="3" customFormat="1" x14ac:dyDescent="0.25">
      <c r="A2190" s="20">
        <v>42086</v>
      </c>
      <c r="B2190" s="21">
        <v>15700</v>
      </c>
      <c r="C2190" s="15" t="s">
        <v>72</v>
      </c>
      <c r="D2190" s="122">
        <v>18084.2</v>
      </c>
      <c r="E2190" s="30" t="s">
        <v>995</v>
      </c>
      <c r="F2190" s="145">
        <v>18084.2</v>
      </c>
      <c r="G2190" s="31">
        <f t="shared" si="34"/>
        <v>0</v>
      </c>
      <c r="H2190" s="68" t="s">
        <v>62</v>
      </c>
      <c r="J2190" s="42"/>
    </row>
    <row r="2191" spans="1:10" s="3" customFormat="1" x14ac:dyDescent="0.25">
      <c r="A2191" s="20">
        <v>42086</v>
      </c>
      <c r="B2191" s="21">
        <v>15701</v>
      </c>
      <c r="C2191" s="70" t="s">
        <v>218</v>
      </c>
      <c r="D2191" s="128">
        <v>0</v>
      </c>
      <c r="E2191" s="69"/>
      <c r="F2191" s="118"/>
      <c r="G2191" s="31">
        <f t="shared" si="34"/>
        <v>0</v>
      </c>
      <c r="H2191" s="68" t="s">
        <v>13</v>
      </c>
      <c r="J2191" s="42"/>
    </row>
    <row r="2192" spans="1:10" s="3" customFormat="1" x14ac:dyDescent="0.25">
      <c r="A2192" s="20">
        <v>42086</v>
      </c>
      <c r="B2192" s="21">
        <v>15702</v>
      </c>
      <c r="C2192" s="15" t="s">
        <v>168</v>
      </c>
      <c r="D2192" s="122">
        <v>5761.4</v>
      </c>
      <c r="E2192" s="23">
        <v>42086</v>
      </c>
      <c r="F2192" s="118">
        <v>5761.4</v>
      </c>
      <c r="G2192" s="31">
        <f t="shared" si="34"/>
        <v>0</v>
      </c>
      <c r="H2192" s="68" t="s">
        <v>59</v>
      </c>
      <c r="J2192" s="42"/>
    </row>
    <row r="2193" spans="1:10" s="3" customFormat="1" x14ac:dyDescent="0.25">
      <c r="A2193" s="20">
        <v>42086</v>
      </c>
      <c r="B2193" s="21">
        <v>15703</v>
      </c>
      <c r="C2193" s="15" t="s">
        <v>120</v>
      </c>
      <c r="D2193" s="122">
        <v>1231.2</v>
      </c>
      <c r="E2193" s="23">
        <v>42086</v>
      </c>
      <c r="F2193" s="118">
        <v>1231.2</v>
      </c>
      <c r="G2193" s="31">
        <f t="shared" si="34"/>
        <v>0</v>
      </c>
      <c r="H2193" s="68" t="s">
        <v>59</v>
      </c>
      <c r="J2193" s="42"/>
    </row>
    <row r="2194" spans="1:10" s="3" customFormat="1" x14ac:dyDescent="0.25">
      <c r="A2194" s="20">
        <v>42086</v>
      </c>
      <c r="B2194" s="21">
        <v>15704</v>
      </c>
      <c r="C2194" s="15" t="s">
        <v>164</v>
      </c>
      <c r="D2194" s="122">
        <v>3225.4</v>
      </c>
      <c r="E2194" s="23">
        <v>42086</v>
      </c>
      <c r="F2194" s="118">
        <v>3225.4</v>
      </c>
      <c r="G2194" s="31">
        <f t="shared" si="34"/>
        <v>0</v>
      </c>
      <c r="H2194" s="68" t="s">
        <v>9</v>
      </c>
      <c r="J2194" s="42"/>
    </row>
    <row r="2195" spans="1:10" s="3" customFormat="1" x14ac:dyDescent="0.25">
      <c r="A2195" s="20">
        <v>42086</v>
      </c>
      <c r="B2195" s="21">
        <v>15705</v>
      </c>
      <c r="C2195" s="15" t="s">
        <v>81</v>
      </c>
      <c r="D2195" s="122">
        <v>1352</v>
      </c>
      <c r="E2195" s="23">
        <v>42086</v>
      </c>
      <c r="F2195" s="118">
        <v>1352</v>
      </c>
      <c r="G2195" s="31">
        <f t="shared" si="34"/>
        <v>0</v>
      </c>
      <c r="H2195" s="68" t="s">
        <v>59</v>
      </c>
      <c r="J2195" s="42"/>
    </row>
    <row r="2196" spans="1:10" s="3" customFormat="1" x14ac:dyDescent="0.25">
      <c r="A2196" s="20">
        <v>42086</v>
      </c>
      <c r="B2196" s="21">
        <v>15706</v>
      </c>
      <c r="C2196" s="15" t="s">
        <v>53</v>
      </c>
      <c r="D2196" s="122">
        <v>844.8</v>
      </c>
      <c r="E2196" s="23">
        <v>42086</v>
      </c>
      <c r="F2196" s="118">
        <v>844.8</v>
      </c>
      <c r="G2196" s="31">
        <f t="shared" si="34"/>
        <v>0</v>
      </c>
      <c r="H2196" s="68" t="s">
        <v>59</v>
      </c>
      <c r="J2196" s="42"/>
    </row>
    <row r="2197" spans="1:10" s="3" customFormat="1" x14ac:dyDescent="0.25">
      <c r="A2197" s="20">
        <v>42086</v>
      </c>
      <c r="B2197" s="21">
        <v>15707</v>
      </c>
      <c r="C2197" s="151">
        <v>105</v>
      </c>
      <c r="D2197" s="122">
        <v>1080</v>
      </c>
      <c r="E2197" s="23">
        <v>42086</v>
      </c>
      <c r="F2197" s="118">
        <v>1080</v>
      </c>
      <c r="G2197" s="31">
        <f t="shared" si="34"/>
        <v>0</v>
      </c>
      <c r="H2197" s="68" t="s">
        <v>59</v>
      </c>
      <c r="J2197" s="42"/>
    </row>
    <row r="2198" spans="1:10" s="3" customFormat="1" x14ac:dyDescent="0.25">
      <c r="A2198" s="20">
        <v>42086</v>
      </c>
      <c r="B2198" s="21">
        <v>15708</v>
      </c>
      <c r="C2198" s="15" t="s">
        <v>426</v>
      </c>
      <c r="D2198" s="122">
        <v>5657.25</v>
      </c>
      <c r="E2198" s="23">
        <v>42087</v>
      </c>
      <c r="F2198" s="118">
        <v>5657.25</v>
      </c>
      <c r="G2198" s="31">
        <f t="shared" si="34"/>
        <v>0</v>
      </c>
      <c r="H2198" s="68" t="s">
        <v>62</v>
      </c>
      <c r="J2198" s="42"/>
    </row>
    <row r="2199" spans="1:10" s="3" customFormat="1" x14ac:dyDescent="0.25">
      <c r="A2199" s="20">
        <v>42086</v>
      </c>
      <c r="B2199" s="21">
        <v>15709</v>
      </c>
      <c r="C2199" s="15" t="s">
        <v>176</v>
      </c>
      <c r="D2199" s="122">
        <v>8892.4</v>
      </c>
      <c r="E2199" s="30" t="s">
        <v>955</v>
      </c>
      <c r="F2199" s="145">
        <v>8892.4</v>
      </c>
      <c r="G2199" s="31">
        <f t="shared" si="34"/>
        <v>0</v>
      </c>
      <c r="H2199" s="68" t="s">
        <v>62</v>
      </c>
      <c r="J2199" s="42"/>
    </row>
    <row r="2200" spans="1:10" s="3" customFormat="1" x14ac:dyDescent="0.25">
      <c r="A2200" s="20">
        <v>42086</v>
      </c>
      <c r="B2200" s="21">
        <v>15710</v>
      </c>
      <c r="C2200" s="15" t="s">
        <v>228</v>
      </c>
      <c r="D2200" s="122">
        <v>2592.8000000000002</v>
      </c>
      <c r="E2200" s="23">
        <v>42086</v>
      </c>
      <c r="F2200" s="118">
        <v>2592.8000000000002</v>
      </c>
      <c r="G2200" s="31">
        <f t="shared" si="34"/>
        <v>0</v>
      </c>
      <c r="H2200" s="68" t="s">
        <v>9</v>
      </c>
      <c r="J2200" s="42"/>
    </row>
    <row r="2201" spans="1:10" s="3" customFormat="1" x14ac:dyDescent="0.25">
      <c r="A2201" s="20">
        <v>42086</v>
      </c>
      <c r="B2201" s="21">
        <v>15711</v>
      </c>
      <c r="C2201" s="15" t="s">
        <v>176</v>
      </c>
      <c r="D2201" s="122">
        <v>1253.04</v>
      </c>
      <c r="E2201" s="30" t="s">
        <v>956</v>
      </c>
      <c r="F2201" s="145">
        <v>1253.04</v>
      </c>
      <c r="G2201" s="31">
        <f t="shared" si="34"/>
        <v>0</v>
      </c>
      <c r="H2201" s="68" t="s">
        <v>62</v>
      </c>
      <c r="J2201" s="42"/>
    </row>
    <row r="2202" spans="1:10" s="3" customFormat="1" x14ac:dyDescent="0.25">
      <c r="A2202" s="20">
        <v>42086</v>
      </c>
      <c r="B2202" s="21">
        <v>15712</v>
      </c>
      <c r="C2202" s="15" t="s">
        <v>31</v>
      </c>
      <c r="D2202" s="122">
        <v>2347.8000000000002</v>
      </c>
      <c r="E2202" s="23">
        <v>42086</v>
      </c>
      <c r="F2202" s="118">
        <v>2347.8000000000002</v>
      </c>
      <c r="G2202" s="31">
        <f t="shared" si="34"/>
        <v>0</v>
      </c>
      <c r="H2202" s="68" t="s">
        <v>59</v>
      </c>
      <c r="J2202" s="42"/>
    </row>
    <row r="2203" spans="1:10" s="3" customFormat="1" x14ac:dyDescent="0.25">
      <c r="A2203" s="20">
        <v>42086</v>
      </c>
      <c r="B2203" s="21">
        <v>15713</v>
      </c>
      <c r="C2203" s="15" t="s">
        <v>915</v>
      </c>
      <c r="D2203" s="122">
        <v>1043.4000000000001</v>
      </c>
      <c r="E2203" s="23">
        <v>42086</v>
      </c>
      <c r="F2203" s="118">
        <v>1043.4000000000001</v>
      </c>
      <c r="G2203" s="31">
        <f t="shared" si="34"/>
        <v>0</v>
      </c>
      <c r="H2203" s="68" t="s">
        <v>59</v>
      </c>
      <c r="J2203" s="42"/>
    </row>
    <row r="2204" spans="1:10" s="3" customFormat="1" x14ac:dyDescent="0.25">
      <c r="A2204" s="20">
        <v>42086</v>
      </c>
      <c r="B2204" s="21">
        <v>15714</v>
      </c>
      <c r="C2204" s="15" t="s">
        <v>130</v>
      </c>
      <c r="D2204" s="122">
        <v>14633.6</v>
      </c>
      <c r="E2204" s="12" t="s">
        <v>916</v>
      </c>
      <c r="F2204" s="118">
        <f>3800+10833.6</f>
        <v>14633.6</v>
      </c>
      <c r="G2204" s="31">
        <f t="shared" si="34"/>
        <v>0</v>
      </c>
      <c r="H2204" s="68" t="s">
        <v>17</v>
      </c>
      <c r="J2204" s="42"/>
    </row>
    <row r="2205" spans="1:10" s="3" customFormat="1" x14ac:dyDescent="0.25">
      <c r="A2205" s="20">
        <v>42086</v>
      </c>
      <c r="B2205" s="21">
        <v>15715</v>
      </c>
      <c r="C2205" s="15" t="s">
        <v>165</v>
      </c>
      <c r="D2205" s="122">
        <v>3074.2</v>
      </c>
      <c r="E2205" s="23">
        <v>42086</v>
      </c>
      <c r="F2205" s="118">
        <v>3074.2</v>
      </c>
      <c r="G2205" s="31">
        <f t="shared" si="34"/>
        <v>0</v>
      </c>
      <c r="H2205" s="68" t="s">
        <v>17</v>
      </c>
      <c r="J2205" s="42"/>
    </row>
    <row r="2206" spans="1:10" s="3" customFormat="1" x14ac:dyDescent="0.25">
      <c r="A2206" s="20">
        <v>42086</v>
      </c>
      <c r="B2206" s="21">
        <v>15716</v>
      </c>
      <c r="C2206" s="15" t="s">
        <v>130</v>
      </c>
      <c r="D2206" s="122">
        <v>3291.55</v>
      </c>
      <c r="E2206" s="23">
        <v>42087</v>
      </c>
      <c r="F2206" s="118">
        <v>3291.55</v>
      </c>
      <c r="G2206" s="31">
        <f t="shared" si="34"/>
        <v>0</v>
      </c>
      <c r="H2206" s="68" t="s">
        <v>17</v>
      </c>
      <c r="J2206" s="42"/>
    </row>
    <row r="2207" spans="1:10" s="3" customFormat="1" x14ac:dyDescent="0.25">
      <c r="A2207" s="20">
        <v>42086</v>
      </c>
      <c r="B2207" s="21">
        <v>15717</v>
      </c>
      <c r="C2207" s="15" t="s">
        <v>130</v>
      </c>
      <c r="D2207" s="122">
        <v>256.8</v>
      </c>
      <c r="E2207" s="23">
        <v>42086</v>
      </c>
      <c r="F2207" s="118">
        <v>256.8</v>
      </c>
      <c r="G2207" s="31">
        <f t="shared" si="34"/>
        <v>0</v>
      </c>
      <c r="H2207" s="68" t="s">
        <v>17</v>
      </c>
      <c r="J2207" s="42"/>
    </row>
    <row r="2208" spans="1:10" s="3" customFormat="1" x14ac:dyDescent="0.25">
      <c r="A2208" s="20">
        <v>42086</v>
      </c>
      <c r="B2208" s="21">
        <v>15718</v>
      </c>
      <c r="C2208" s="15" t="s">
        <v>131</v>
      </c>
      <c r="D2208" s="122">
        <v>5955.9</v>
      </c>
      <c r="E2208" s="23">
        <v>42087</v>
      </c>
      <c r="F2208" s="118">
        <v>5955.9</v>
      </c>
      <c r="G2208" s="31">
        <f t="shared" si="34"/>
        <v>0</v>
      </c>
      <c r="H2208" s="68" t="s">
        <v>17</v>
      </c>
      <c r="J2208" s="42"/>
    </row>
    <row r="2209" spans="1:10" s="3" customFormat="1" x14ac:dyDescent="0.25">
      <c r="A2209" s="20">
        <v>42086</v>
      </c>
      <c r="B2209" s="21">
        <v>15719</v>
      </c>
      <c r="C2209" s="15" t="s">
        <v>111</v>
      </c>
      <c r="D2209" s="122">
        <v>70743.7</v>
      </c>
      <c r="E2209" s="23">
        <v>42089</v>
      </c>
      <c r="F2209" s="118">
        <v>70743.7</v>
      </c>
      <c r="G2209" s="31">
        <f t="shared" si="34"/>
        <v>0</v>
      </c>
      <c r="H2209" s="68" t="s">
        <v>9</v>
      </c>
      <c r="J2209" s="42"/>
    </row>
    <row r="2210" spans="1:10" s="3" customFormat="1" x14ac:dyDescent="0.25">
      <c r="A2210" s="20">
        <v>42086</v>
      </c>
      <c r="B2210" s="21">
        <v>15720</v>
      </c>
      <c r="C2210" s="15" t="s">
        <v>664</v>
      </c>
      <c r="D2210" s="122">
        <v>378</v>
      </c>
      <c r="E2210" s="23">
        <v>42086</v>
      </c>
      <c r="F2210" s="118">
        <v>378</v>
      </c>
      <c r="G2210" s="31">
        <f t="shared" si="34"/>
        <v>0</v>
      </c>
      <c r="H2210" s="68" t="s">
        <v>59</v>
      </c>
      <c r="J2210" s="42"/>
    </row>
    <row r="2211" spans="1:10" s="3" customFormat="1" x14ac:dyDescent="0.25">
      <c r="A2211" s="20">
        <v>42086</v>
      </c>
      <c r="B2211" s="21">
        <v>15721</v>
      </c>
      <c r="C2211" s="15" t="s">
        <v>32</v>
      </c>
      <c r="D2211" s="122">
        <v>25784</v>
      </c>
      <c r="E2211" s="23">
        <v>42089</v>
      </c>
      <c r="F2211" s="118">
        <v>25784</v>
      </c>
      <c r="G2211" s="31">
        <f t="shared" si="34"/>
        <v>0</v>
      </c>
      <c r="H2211" s="68" t="s">
        <v>94</v>
      </c>
      <c r="J2211" s="42"/>
    </row>
    <row r="2212" spans="1:10" s="3" customFormat="1" x14ac:dyDescent="0.25">
      <c r="A2212" s="20">
        <v>42086</v>
      </c>
      <c r="B2212" s="21">
        <v>15722</v>
      </c>
      <c r="C2212" s="15" t="s">
        <v>917</v>
      </c>
      <c r="D2212" s="122">
        <v>13613.6</v>
      </c>
      <c r="E2212" s="23">
        <v>42086</v>
      </c>
      <c r="F2212" s="118">
        <v>13613.6</v>
      </c>
      <c r="G2212" s="31">
        <f t="shared" si="34"/>
        <v>0</v>
      </c>
      <c r="H2212" s="68" t="s">
        <v>19</v>
      </c>
      <c r="J2212" s="42"/>
    </row>
    <row r="2213" spans="1:10" s="3" customFormat="1" x14ac:dyDescent="0.25">
      <c r="A2213" s="20">
        <v>42086</v>
      </c>
      <c r="B2213" s="21">
        <v>15723</v>
      </c>
      <c r="C2213" s="15" t="s">
        <v>900</v>
      </c>
      <c r="D2213" s="122">
        <v>7740.8</v>
      </c>
      <c r="E2213" s="23">
        <v>42086</v>
      </c>
      <c r="F2213" s="118">
        <v>7740.8</v>
      </c>
      <c r="G2213" s="31">
        <f t="shared" si="34"/>
        <v>0</v>
      </c>
      <c r="H2213" s="68" t="s">
        <v>9</v>
      </c>
      <c r="J2213" s="42"/>
    </row>
    <row r="2214" spans="1:10" s="3" customFormat="1" x14ac:dyDescent="0.25">
      <c r="A2214" s="20">
        <v>42086</v>
      </c>
      <c r="B2214" s="21">
        <v>15724</v>
      </c>
      <c r="C2214" s="15" t="s">
        <v>100</v>
      </c>
      <c r="D2214" s="122">
        <v>2764.5</v>
      </c>
      <c r="E2214" s="23">
        <v>42086</v>
      </c>
      <c r="F2214" s="118">
        <v>2764.5</v>
      </c>
      <c r="G2214" s="31">
        <f t="shared" si="34"/>
        <v>0</v>
      </c>
      <c r="H2214" s="68" t="s">
        <v>9</v>
      </c>
      <c r="J2214" s="42"/>
    </row>
    <row r="2215" spans="1:10" s="3" customFormat="1" x14ac:dyDescent="0.25">
      <c r="A2215" s="20">
        <v>42086</v>
      </c>
      <c r="B2215" s="21">
        <v>15725</v>
      </c>
      <c r="C2215" s="15" t="s">
        <v>45</v>
      </c>
      <c r="D2215" s="122">
        <v>16074.8</v>
      </c>
      <c r="E2215" s="23">
        <v>42089</v>
      </c>
      <c r="F2215" s="118">
        <v>16074.8</v>
      </c>
      <c r="G2215" s="31">
        <f t="shared" si="34"/>
        <v>0</v>
      </c>
      <c r="H2215" s="68" t="s">
        <v>41</v>
      </c>
      <c r="J2215" s="42"/>
    </row>
    <row r="2216" spans="1:10" s="3" customFormat="1" x14ac:dyDescent="0.25">
      <c r="A2216" s="20">
        <v>42086</v>
      </c>
      <c r="B2216" s="21">
        <v>15726</v>
      </c>
      <c r="C2216" s="15" t="s">
        <v>285</v>
      </c>
      <c r="D2216" s="122">
        <v>1008.6</v>
      </c>
      <c r="E2216" s="23">
        <v>42086</v>
      </c>
      <c r="F2216" s="118">
        <v>1008.6</v>
      </c>
      <c r="G2216" s="31">
        <f t="shared" si="34"/>
        <v>0</v>
      </c>
      <c r="H2216" s="68" t="s">
        <v>15</v>
      </c>
      <c r="J2216" s="42"/>
    </row>
    <row r="2217" spans="1:10" s="3" customFormat="1" x14ac:dyDescent="0.25">
      <c r="A2217" s="20">
        <v>42086</v>
      </c>
      <c r="B2217" s="21">
        <v>15727</v>
      </c>
      <c r="C2217" s="15" t="s">
        <v>179</v>
      </c>
      <c r="D2217" s="122">
        <v>5116.3999999999996</v>
      </c>
      <c r="E2217" s="23">
        <v>42086</v>
      </c>
      <c r="F2217" s="118">
        <v>5116.3999999999996</v>
      </c>
      <c r="G2217" s="31">
        <f t="shared" si="34"/>
        <v>0</v>
      </c>
      <c r="H2217" s="68" t="s">
        <v>15</v>
      </c>
      <c r="J2217" s="42"/>
    </row>
    <row r="2218" spans="1:10" s="3" customFormat="1" x14ac:dyDescent="0.25">
      <c r="A2218" s="20">
        <v>42086</v>
      </c>
      <c r="B2218" s="21">
        <v>15728</v>
      </c>
      <c r="C2218" s="15" t="s">
        <v>697</v>
      </c>
      <c r="D2218" s="122">
        <v>2016</v>
      </c>
      <c r="E2218" s="30" t="s">
        <v>982</v>
      </c>
      <c r="F2218" s="145">
        <v>2016</v>
      </c>
      <c r="G2218" s="31">
        <f t="shared" si="34"/>
        <v>0</v>
      </c>
      <c r="H2218" s="68" t="s">
        <v>94</v>
      </c>
      <c r="J2218" s="42"/>
    </row>
    <row r="2219" spans="1:10" s="3" customFormat="1" x14ac:dyDescent="0.25">
      <c r="A2219" s="20">
        <v>42086</v>
      </c>
      <c r="B2219" s="21">
        <v>15729</v>
      </c>
      <c r="C2219" s="15" t="s">
        <v>50</v>
      </c>
      <c r="D2219" s="122">
        <v>548.6</v>
      </c>
      <c r="E2219" s="23">
        <v>42086</v>
      </c>
      <c r="F2219" s="118">
        <v>548.6</v>
      </c>
      <c r="G2219" s="31">
        <f t="shared" si="34"/>
        <v>0</v>
      </c>
      <c r="H2219" s="68" t="s">
        <v>94</v>
      </c>
      <c r="J2219" s="42"/>
    </row>
    <row r="2220" spans="1:10" s="3" customFormat="1" x14ac:dyDescent="0.25">
      <c r="A2220" s="20">
        <v>42086</v>
      </c>
      <c r="B2220" s="21">
        <v>15730</v>
      </c>
      <c r="C2220" s="15" t="s">
        <v>87</v>
      </c>
      <c r="D2220" s="122">
        <v>2023.9</v>
      </c>
      <c r="E2220" s="23">
        <v>42086</v>
      </c>
      <c r="F2220" s="118">
        <v>2023.9</v>
      </c>
      <c r="G2220" s="31">
        <f t="shared" si="34"/>
        <v>0</v>
      </c>
      <c r="H2220" s="68" t="s">
        <v>94</v>
      </c>
      <c r="J2220" s="42"/>
    </row>
    <row r="2221" spans="1:10" s="3" customFormat="1" x14ac:dyDescent="0.25">
      <c r="A2221" s="20">
        <v>42086</v>
      </c>
      <c r="B2221" s="21">
        <v>15731</v>
      </c>
      <c r="C2221" s="15" t="s">
        <v>138</v>
      </c>
      <c r="D2221" s="122">
        <v>4173</v>
      </c>
      <c r="E2221" s="23">
        <v>42086</v>
      </c>
      <c r="F2221" s="118">
        <v>4173</v>
      </c>
      <c r="G2221" s="31">
        <f t="shared" si="34"/>
        <v>0</v>
      </c>
      <c r="H2221" s="68" t="s">
        <v>94</v>
      </c>
      <c r="J2221" s="42"/>
    </row>
    <row r="2222" spans="1:10" s="3" customFormat="1" x14ac:dyDescent="0.25">
      <c r="A2222" s="20">
        <v>42086</v>
      </c>
      <c r="B2222" s="21">
        <v>15732</v>
      </c>
      <c r="C2222" s="15" t="s">
        <v>264</v>
      </c>
      <c r="D2222" s="122">
        <v>780</v>
      </c>
      <c r="E2222" s="23">
        <v>42086</v>
      </c>
      <c r="F2222" s="118">
        <v>780</v>
      </c>
      <c r="G2222" s="31">
        <f t="shared" si="34"/>
        <v>0</v>
      </c>
      <c r="H2222" s="68" t="s">
        <v>9</v>
      </c>
      <c r="J2222" s="42"/>
    </row>
    <row r="2223" spans="1:10" s="3" customFormat="1" x14ac:dyDescent="0.25">
      <c r="A2223" s="20">
        <v>42086</v>
      </c>
      <c r="B2223" s="21">
        <v>15733</v>
      </c>
      <c r="C2223" s="15" t="s">
        <v>579</v>
      </c>
      <c r="D2223" s="122">
        <v>1415.2</v>
      </c>
      <c r="E2223" s="23">
        <v>42086</v>
      </c>
      <c r="F2223" s="118">
        <v>1415.2</v>
      </c>
      <c r="G2223" s="31">
        <f t="shared" si="34"/>
        <v>0</v>
      </c>
      <c r="H2223" s="68" t="s">
        <v>9</v>
      </c>
      <c r="J2223" s="42"/>
    </row>
    <row r="2224" spans="1:10" s="3" customFormat="1" x14ac:dyDescent="0.25">
      <c r="A2224" s="20">
        <v>42086</v>
      </c>
      <c r="B2224" s="21">
        <v>15734</v>
      </c>
      <c r="C2224" s="15" t="s">
        <v>918</v>
      </c>
      <c r="D2224" s="122">
        <v>540</v>
      </c>
      <c r="E2224" s="23">
        <v>42086</v>
      </c>
      <c r="F2224" s="118">
        <v>540</v>
      </c>
      <c r="G2224" s="31">
        <f t="shared" si="34"/>
        <v>0</v>
      </c>
      <c r="H2224" s="68" t="s">
        <v>9</v>
      </c>
      <c r="J2224" s="42"/>
    </row>
    <row r="2225" spans="1:10" s="3" customFormat="1" x14ac:dyDescent="0.25">
      <c r="A2225" s="20">
        <v>42086</v>
      </c>
      <c r="B2225" s="21">
        <v>15735</v>
      </c>
      <c r="C2225" s="15" t="s">
        <v>104</v>
      </c>
      <c r="D2225" s="122">
        <v>9545</v>
      </c>
      <c r="E2225" s="23">
        <v>42087</v>
      </c>
      <c r="F2225" s="118">
        <v>9545</v>
      </c>
      <c r="G2225" s="31">
        <f t="shared" si="34"/>
        <v>0</v>
      </c>
      <c r="H2225" s="68" t="s">
        <v>19</v>
      </c>
      <c r="J2225" s="42"/>
    </row>
    <row r="2226" spans="1:10" s="3" customFormat="1" x14ac:dyDescent="0.25">
      <c r="A2226" s="20">
        <v>42086</v>
      </c>
      <c r="B2226" s="21">
        <v>15736</v>
      </c>
      <c r="C2226" s="15" t="s">
        <v>250</v>
      </c>
      <c r="D2226" s="122">
        <v>5209.8</v>
      </c>
      <c r="E2226" s="23">
        <v>42087</v>
      </c>
      <c r="F2226" s="118">
        <v>5209.8</v>
      </c>
      <c r="G2226" s="31">
        <f t="shared" si="34"/>
        <v>0</v>
      </c>
      <c r="H2226" s="68" t="s">
        <v>19</v>
      </c>
      <c r="J2226" s="42"/>
    </row>
    <row r="2227" spans="1:10" s="3" customFormat="1" x14ac:dyDescent="0.25">
      <c r="A2227" s="20">
        <v>42086</v>
      </c>
      <c r="B2227" s="21">
        <v>15737</v>
      </c>
      <c r="C2227" s="15" t="s">
        <v>89</v>
      </c>
      <c r="D2227" s="122">
        <v>2774.5</v>
      </c>
      <c r="E2227" s="23">
        <v>42086</v>
      </c>
      <c r="F2227" s="118">
        <v>2774.5</v>
      </c>
      <c r="G2227" s="31">
        <f t="shared" si="34"/>
        <v>0</v>
      </c>
      <c r="H2227" s="68" t="s">
        <v>9</v>
      </c>
      <c r="J2227" s="42"/>
    </row>
    <row r="2228" spans="1:10" s="3" customFormat="1" x14ac:dyDescent="0.25">
      <c r="A2228" s="20">
        <v>42086</v>
      </c>
      <c r="B2228" s="21">
        <v>15738</v>
      </c>
      <c r="C2228" s="15" t="s">
        <v>388</v>
      </c>
      <c r="D2228" s="122">
        <v>442</v>
      </c>
      <c r="E2228" s="23">
        <v>42086</v>
      </c>
      <c r="F2228" s="118">
        <v>442</v>
      </c>
      <c r="G2228" s="31">
        <f t="shared" si="34"/>
        <v>0</v>
      </c>
      <c r="H2228" s="68" t="s">
        <v>9</v>
      </c>
      <c r="J2228" s="42"/>
    </row>
    <row r="2229" spans="1:10" s="3" customFormat="1" x14ac:dyDescent="0.25">
      <c r="A2229" s="20">
        <v>42086</v>
      </c>
      <c r="B2229" s="21">
        <v>15739</v>
      </c>
      <c r="C2229" s="15" t="s">
        <v>252</v>
      </c>
      <c r="D2229" s="122">
        <v>10225</v>
      </c>
      <c r="E2229" s="23">
        <v>42086</v>
      </c>
      <c r="F2229" s="118">
        <v>10225</v>
      </c>
      <c r="G2229" s="31">
        <f t="shared" si="34"/>
        <v>0</v>
      </c>
      <c r="H2229" s="68" t="s">
        <v>9</v>
      </c>
      <c r="J2229" s="42"/>
    </row>
    <row r="2230" spans="1:10" s="3" customFormat="1" x14ac:dyDescent="0.25">
      <c r="A2230" s="20">
        <v>42086</v>
      </c>
      <c r="B2230" s="21">
        <v>15740</v>
      </c>
      <c r="C2230" s="15" t="s">
        <v>98</v>
      </c>
      <c r="D2230" s="122">
        <v>2001</v>
      </c>
      <c r="E2230" s="23">
        <v>42087</v>
      </c>
      <c r="F2230" s="118">
        <v>2001</v>
      </c>
      <c r="G2230" s="31">
        <f t="shared" si="34"/>
        <v>0</v>
      </c>
      <c r="H2230" s="68" t="s">
        <v>19</v>
      </c>
      <c r="J2230" s="42"/>
    </row>
    <row r="2231" spans="1:10" s="3" customFormat="1" x14ac:dyDescent="0.25">
      <c r="A2231" s="20">
        <v>42086</v>
      </c>
      <c r="B2231" s="21">
        <v>15741</v>
      </c>
      <c r="C2231" s="15" t="s">
        <v>93</v>
      </c>
      <c r="D2231" s="122">
        <v>1290.3</v>
      </c>
      <c r="E2231" s="23">
        <v>42087</v>
      </c>
      <c r="F2231" s="118">
        <v>1290.3</v>
      </c>
      <c r="G2231" s="31">
        <f t="shared" si="34"/>
        <v>0</v>
      </c>
      <c r="H2231" s="68" t="s">
        <v>19</v>
      </c>
      <c r="J2231" s="42"/>
    </row>
    <row r="2232" spans="1:10" s="3" customFormat="1" x14ac:dyDescent="0.25">
      <c r="A2232" s="20">
        <v>42086</v>
      </c>
      <c r="B2232" s="21">
        <v>15742</v>
      </c>
      <c r="C2232" s="15" t="s">
        <v>95</v>
      </c>
      <c r="D2232" s="122">
        <v>3326.4</v>
      </c>
      <c r="E2232" s="23">
        <v>42087</v>
      </c>
      <c r="F2232" s="118">
        <v>3326.4</v>
      </c>
      <c r="G2232" s="31">
        <f t="shared" si="34"/>
        <v>0</v>
      </c>
      <c r="H2232" s="68" t="s">
        <v>19</v>
      </c>
      <c r="J2232" s="42"/>
    </row>
    <row r="2233" spans="1:10" s="3" customFormat="1" x14ac:dyDescent="0.25">
      <c r="A2233" s="20">
        <v>42086</v>
      </c>
      <c r="B2233" s="21">
        <v>15743</v>
      </c>
      <c r="C2233" s="15" t="s">
        <v>96</v>
      </c>
      <c r="D2233" s="122">
        <v>2133.5</v>
      </c>
      <c r="E2233" s="23">
        <v>42087</v>
      </c>
      <c r="F2233" s="118">
        <v>2133.5</v>
      </c>
      <c r="G2233" s="31">
        <f t="shared" si="34"/>
        <v>0</v>
      </c>
      <c r="H2233" s="68" t="s">
        <v>19</v>
      </c>
      <c r="J2233" s="42"/>
    </row>
    <row r="2234" spans="1:10" s="3" customFormat="1" x14ac:dyDescent="0.25">
      <c r="A2234" s="20">
        <v>42086</v>
      </c>
      <c r="B2234" s="21">
        <v>15744</v>
      </c>
      <c r="C2234" s="15" t="s">
        <v>24</v>
      </c>
      <c r="D2234" s="122">
        <v>195822.48</v>
      </c>
      <c r="E2234" s="30">
        <v>42108</v>
      </c>
      <c r="F2234" s="145">
        <v>195822.48</v>
      </c>
      <c r="G2234" s="31">
        <f t="shared" si="34"/>
        <v>0</v>
      </c>
      <c r="H2234" s="68" t="s">
        <v>183</v>
      </c>
      <c r="J2234" s="42"/>
    </row>
    <row r="2235" spans="1:10" s="3" customFormat="1" x14ac:dyDescent="0.25">
      <c r="A2235" s="20">
        <v>42086</v>
      </c>
      <c r="B2235" s="21">
        <v>15745</v>
      </c>
      <c r="C2235" s="15" t="s">
        <v>66</v>
      </c>
      <c r="D2235" s="122">
        <v>1250.8</v>
      </c>
      <c r="E2235" s="23">
        <v>42086</v>
      </c>
      <c r="F2235" s="118">
        <v>1250.8</v>
      </c>
      <c r="G2235" s="31">
        <f t="shared" si="34"/>
        <v>0</v>
      </c>
      <c r="H2235" s="68" t="s">
        <v>9</v>
      </c>
      <c r="J2235" s="42"/>
    </row>
    <row r="2236" spans="1:10" s="3" customFormat="1" x14ac:dyDescent="0.25">
      <c r="A2236" s="20">
        <v>42086</v>
      </c>
      <c r="B2236" s="21">
        <v>15746</v>
      </c>
      <c r="C2236" s="15" t="s">
        <v>919</v>
      </c>
      <c r="D2236" s="122">
        <v>3308.8</v>
      </c>
      <c r="E2236" s="23">
        <v>42086</v>
      </c>
      <c r="F2236" s="118">
        <v>3308.8</v>
      </c>
      <c r="G2236" s="31">
        <f t="shared" si="34"/>
        <v>0</v>
      </c>
      <c r="H2236" s="68" t="s">
        <v>9</v>
      </c>
      <c r="J2236" s="42"/>
    </row>
    <row r="2237" spans="1:10" s="3" customFormat="1" x14ac:dyDescent="0.25">
      <c r="A2237" s="20">
        <v>42086</v>
      </c>
      <c r="B2237" s="21">
        <v>15747</v>
      </c>
      <c r="C2237" s="15" t="s">
        <v>213</v>
      </c>
      <c r="D2237" s="122">
        <v>129757.16</v>
      </c>
      <c r="E2237" s="29" t="s">
        <v>920</v>
      </c>
      <c r="F2237" s="118">
        <f>23400+43520+62837.16</f>
        <v>129757.16</v>
      </c>
      <c r="G2237" s="31">
        <f t="shared" si="34"/>
        <v>0</v>
      </c>
      <c r="H2237" s="68" t="s">
        <v>46</v>
      </c>
      <c r="J2237" s="42"/>
    </row>
    <row r="2238" spans="1:10" s="3" customFormat="1" x14ac:dyDescent="0.25">
      <c r="A2238" s="20">
        <v>42086</v>
      </c>
      <c r="B2238" s="21">
        <v>15748</v>
      </c>
      <c r="C2238" s="15" t="s">
        <v>811</v>
      </c>
      <c r="D2238" s="122">
        <v>635</v>
      </c>
      <c r="E2238" s="23">
        <v>42086</v>
      </c>
      <c r="F2238" s="118">
        <v>635</v>
      </c>
      <c r="G2238" s="31">
        <f t="shared" si="34"/>
        <v>0</v>
      </c>
      <c r="H2238" s="68" t="s">
        <v>9</v>
      </c>
      <c r="J2238" s="42"/>
    </row>
    <row r="2239" spans="1:10" s="3" customFormat="1" x14ac:dyDescent="0.25">
      <c r="A2239" s="20">
        <v>42086</v>
      </c>
      <c r="B2239" s="21">
        <v>15749</v>
      </c>
      <c r="C2239" s="15" t="s">
        <v>106</v>
      </c>
      <c r="D2239" s="122">
        <v>20920.2</v>
      </c>
      <c r="E2239" s="30">
        <v>42101</v>
      </c>
      <c r="F2239" s="145">
        <v>20920.2</v>
      </c>
      <c r="G2239" s="31">
        <f t="shared" si="34"/>
        <v>0</v>
      </c>
      <c r="H2239" s="68" t="s">
        <v>41</v>
      </c>
      <c r="J2239" s="42"/>
    </row>
    <row r="2240" spans="1:10" s="3" customFormat="1" x14ac:dyDescent="0.25">
      <c r="A2240" s="20">
        <v>42086</v>
      </c>
      <c r="B2240" s="21">
        <v>15750</v>
      </c>
      <c r="C2240" s="15" t="s">
        <v>136</v>
      </c>
      <c r="D2240" s="122">
        <v>28366.799999999999</v>
      </c>
      <c r="E2240" s="23">
        <v>42088</v>
      </c>
      <c r="F2240" s="118">
        <v>28366.799999999999</v>
      </c>
      <c r="G2240" s="31">
        <f t="shared" si="34"/>
        <v>0</v>
      </c>
      <c r="H2240" s="68" t="s">
        <v>9</v>
      </c>
      <c r="J2240" s="42"/>
    </row>
    <row r="2241" spans="1:10" s="3" customFormat="1" x14ac:dyDescent="0.25">
      <c r="A2241" s="20">
        <v>42086</v>
      </c>
      <c r="B2241" s="21">
        <v>15751</v>
      </c>
      <c r="C2241" s="15" t="s">
        <v>47</v>
      </c>
      <c r="D2241" s="122">
        <v>6508.8</v>
      </c>
      <c r="E2241" s="23">
        <v>42088</v>
      </c>
      <c r="F2241" s="118">
        <v>6508.8</v>
      </c>
      <c r="G2241" s="31">
        <f t="shared" si="34"/>
        <v>0</v>
      </c>
      <c r="H2241" s="68" t="s">
        <v>9</v>
      </c>
      <c r="J2241" s="42"/>
    </row>
    <row r="2242" spans="1:10" s="3" customFormat="1" x14ac:dyDescent="0.25">
      <c r="A2242" s="20">
        <v>42086</v>
      </c>
      <c r="B2242" s="21">
        <v>15752</v>
      </c>
      <c r="C2242" s="15" t="s">
        <v>851</v>
      </c>
      <c r="D2242" s="122">
        <v>1829.2</v>
      </c>
      <c r="E2242" s="23">
        <v>42086</v>
      </c>
      <c r="F2242" s="118">
        <v>1829.2</v>
      </c>
      <c r="G2242" s="31">
        <f t="shared" si="34"/>
        <v>0</v>
      </c>
      <c r="H2242" s="68" t="s">
        <v>17</v>
      </c>
      <c r="J2242" s="42"/>
    </row>
    <row r="2243" spans="1:10" s="3" customFormat="1" x14ac:dyDescent="0.25">
      <c r="A2243" s="20">
        <v>42086</v>
      </c>
      <c r="B2243" s="21">
        <v>15753</v>
      </c>
      <c r="C2243" s="15" t="s">
        <v>827</v>
      </c>
      <c r="D2243" s="122">
        <v>2895.8</v>
      </c>
      <c r="E2243" s="23">
        <v>42086</v>
      </c>
      <c r="F2243" s="118">
        <v>2895.8</v>
      </c>
      <c r="G2243" s="31">
        <f t="shared" ref="G2243:G2306" si="35">D2243-F2243</f>
        <v>0</v>
      </c>
      <c r="H2243" s="68" t="s">
        <v>17</v>
      </c>
      <c r="J2243" s="42"/>
    </row>
    <row r="2244" spans="1:10" s="3" customFormat="1" x14ac:dyDescent="0.25">
      <c r="A2244" s="20">
        <v>42086</v>
      </c>
      <c r="B2244" s="21">
        <v>15754</v>
      </c>
      <c r="C2244" s="15" t="s">
        <v>207</v>
      </c>
      <c r="D2244" s="122">
        <v>26471.4</v>
      </c>
      <c r="E2244" s="23">
        <v>42091</v>
      </c>
      <c r="F2244" s="118">
        <v>26471.4</v>
      </c>
      <c r="G2244" s="31">
        <f t="shared" si="35"/>
        <v>0</v>
      </c>
      <c r="H2244" s="68" t="s">
        <v>149</v>
      </c>
      <c r="J2244" s="42"/>
    </row>
    <row r="2245" spans="1:10" s="3" customFormat="1" x14ac:dyDescent="0.25">
      <c r="A2245" s="20">
        <v>42086</v>
      </c>
      <c r="B2245" s="21">
        <v>15755</v>
      </c>
      <c r="C2245" s="15" t="s">
        <v>440</v>
      </c>
      <c r="D2245" s="122">
        <v>5939.2</v>
      </c>
      <c r="E2245" s="23">
        <v>42086</v>
      </c>
      <c r="F2245" s="118">
        <v>5939.2</v>
      </c>
      <c r="G2245" s="31">
        <f t="shared" si="35"/>
        <v>0</v>
      </c>
      <c r="H2245" s="68" t="s">
        <v>9</v>
      </c>
      <c r="J2245" s="42"/>
    </row>
    <row r="2246" spans="1:10" s="3" customFormat="1" x14ac:dyDescent="0.25">
      <c r="A2246" s="20">
        <v>42086</v>
      </c>
      <c r="B2246" s="21">
        <v>15756</v>
      </c>
      <c r="C2246" s="15" t="s">
        <v>141</v>
      </c>
      <c r="D2246" s="122">
        <v>2147</v>
      </c>
      <c r="E2246" s="23">
        <v>42086</v>
      </c>
      <c r="F2246" s="118">
        <v>2147</v>
      </c>
      <c r="G2246" s="31">
        <f t="shared" si="35"/>
        <v>0</v>
      </c>
      <c r="H2246" s="68" t="s">
        <v>9</v>
      </c>
      <c r="J2246" s="42"/>
    </row>
    <row r="2247" spans="1:10" s="3" customFormat="1" x14ac:dyDescent="0.25">
      <c r="A2247" s="20">
        <v>42086</v>
      </c>
      <c r="B2247" s="21">
        <v>15757</v>
      </c>
      <c r="C2247" s="15" t="s">
        <v>199</v>
      </c>
      <c r="D2247" s="122">
        <v>13648</v>
      </c>
      <c r="E2247" s="23">
        <v>42088</v>
      </c>
      <c r="F2247" s="118">
        <v>13648</v>
      </c>
      <c r="G2247" s="31">
        <f t="shared" si="35"/>
        <v>0</v>
      </c>
      <c r="H2247" s="68" t="s">
        <v>149</v>
      </c>
      <c r="J2247" s="42"/>
    </row>
    <row r="2248" spans="1:10" s="3" customFormat="1" x14ac:dyDescent="0.25">
      <c r="A2248" s="20">
        <v>42086</v>
      </c>
      <c r="B2248" s="21">
        <v>15758</v>
      </c>
      <c r="C2248" s="15" t="s">
        <v>204</v>
      </c>
      <c r="D2248" s="122">
        <v>5257.6</v>
      </c>
      <c r="E2248" s="23">
        <v>42088</v>
      </c>
      <c r="F2248" s="118">
        <v>5257.6</v>
      </c>
      <c r="G2248" s="31">
        <f t="shared" si="35"/>
        <v>0</v>
      </c>
      <c r="H2248" s="68" t="s">
        <v>149</v>
      </c>
      <c r="J2248" s="42"/>
    </row>
    <row r="2249" spans="1:10" s="3" customFormat="1" x14ac:dyDescent="0.25">
      <c r="A2249" s="20">
        <v>42086</v>
      </c>
      <c r="B2249" s="21">
        <v>15759</v>
      </c>
      <c r="C2249" s="15" t="s">
        <v>349</v>
      </c>
      <c r="D2249" s="122">
        <v>6352.1</v>
      </c>
      <c r="E2249" s="23">
        <v>42088</v>
      </c>
      <c r="F2249" s="118">
        <v>6352.1</v>
      </c>
      <c r="G2249" s="31">
        <f t="shared" si="35"/>
        <v>0</v>
      </c>
      <c r="H2249" s="68" t="s">
        <v>149</v>
      </c>
      <c r="J2249" s="42"/>
    </row>
    <row r="2250" spans="1:10" s="3" customFormat="1" x14ac:dyDescent="0.25">
      <c r="A2250" s="20">
        <v>42086</v>
      </c>
      <c r="B2250" s="21">
        <v>15760</v>
      </c>
      <c r="C2250" s="15" t="s">
        <v>200</v>
      </c>
      <c r="D2250" s="122">
        <v>264</v>
      </c>
      <c r="E2250" s="23">
        <v>42088</v>
      </c>
      <c r="F2250" s="118">
        <v>264</v>
      </c>
      <c r="G2250" s="31">
        <f t="shared" si="35"/>
        <v>0</v>
      </c>
      <c r="H2250" s="68" t="s">
        <v>149</v>
      </c>
      <c r="J2250" s="42"/>
    </row>
    <row r="2251" spans="1:10" s="3" customFormat="1" x14ac:dyDescent="0.25">
      <c r="A2251" s="20">
        <v>42086</v>
      </c>
      <c r="B2251" s="21">
        <v>15761</v>
      </c>
      <c r="C2251" s="15" t="s">
        <v>90</v>
      </c>
      <c r="D2251" s="122">
        <v>1188</v>
      </c>
      <c r="E2251" s="23">
        <v>42086</v>
      </c>
      <c r="F2251" s="118">
        <v>1188</v>
      </c>
      <c r="G2251" s="31">
        <f t="shared" si="35"/>
        <v>0</v>
      </c>
      <c r="H2251" s="68" t="s">
        <v>9</v>
      </c>
      <c r="J2251" s="42"/>
    </row>
    <row r="2252" spans="1:10" s="3" customFormat="1" x14ac:dyDescent="0.25">
      <c r="A2252" s="20">
        <v>42086</v>
      </c>
      <c r="B2252" s="21">
        <v>15762</v>
      </c>
      <c r="C2252" s="15" t="s">
        <v>118</v>
      </c>
      <c r="D2252" s="122">
        <v>1942.8</v>
      </c>
      <c r="E2252" s="23">
        <v>42086</v>
      </c>
      <c r="F2252" s="118">
        <v>1942.8</v>
      </c>
      <c r="G2252" s="31">
        <f t="shared" si="35"/>
        <v>0</v>
      </c>
      <c r="H2252" s="68" t="s">
        <v>9</v>
      </c>
      <c r="J2252" s="42"/>
    </row>
    <row r="2253" spans="1:10" s="3" customFormat="1" x14ac:dyDescent="0.25">
      <c r="A2253" s="20">
        <v>42086</v>
      </c>
      <c r="B2253" s="21">
        <v>15763</v>
      </c>
      <c r="C2253" s="15" t="s">
        <v>206</v>
      </c>
      <c r="D2253" s="122">
        <v>50059.6</v>
      </c>
      <c r="E2253" s="30">
        <v>42095</v>
      </c>
      <c r="F2253" s="145">
        <v>50059.6</v>
      </c>
      <c r="G2253" s="31">
        <f t="shared" si="35"/>
        <v>0</v>
      </c>
      <c r="H2253" s="68" t="s">
        <v>149</v>
      </c>
      <c r="J2253" s="42"/>
    </row>
    <row r="2254" spans="1:10" s="3" customFormat="1" x14ac:dyDescent="0.25">
      <c r="A2254" s="20">
        <v>42086</v>
      </c>
      <c r="B2254" s="21">
        <v>15764</v>
      </c>
      <c r="C2254" s="15" t="s">
        <v>806</v>
      </c>
      <c r="D2254" s="122">
        <v>25272.5</v>
      </c>
      <c r="E2254" s="23">
        <v>42088</v>
      </c>
      <c r="F2254" s="118">
        <v>25272.5</v>
      </c>
      <c r="G2254" s="31">
        <f t="shared" si="35"/>
        <v>0</v>
      </c>
      <c r="H2254" s="68" t="s">
        <v>149</v>
      </c>
      <c r="J2254" s="42"/>
    </row>
    <row r="2255" spans="1:10" s="3" customFormat="1" x14ac:dyDescent="0.25">
      <c r="A2255" s="20">
        <v>42086</v>
      </c>
      <c r="B2255" s="21">
        <v>15765</v>
      </c>
      <c r="C2255" s="15" t="s">
        <v>110</v>
      </c>
      <c r="D2255" s="122">
        <v>1000</v>
      </c>
      <c r="E2255" s="23">
        <v>42093</v>
      </c>
      <c r="F2255" s="118">
        <v>1000</v>
      </c>
      <c r="G2255" s="31">
        <f t="shared" si="35"/>
        <v>0</v>
      </c>
      <c r="H2255" s="68" t="s">
        <v>183</v>
      </c>
      <c r="J2255" s="42"/>
    </row>
    <row r="2256" spans="1:10" s="3" customFormat="1" x14ac:dyDescent="0.25">
      <c r="A2256" s="20">
        <v>42086</v>
      </c>
      <c r="B2256" s="21">
        <v>15766</v>
      </c>
      <c r="C2256" s="15" t="s">
        <v>733</v>
      </c>
      <c r="D2256" s="122">
        <v>5331.2</v>
      </c>
      <c r="E2256" s="23">
        <v>42088</v>
      </c>
      <c r="F2256" s="118">
        <v>5331.2</v>
      </c>
      <c r="G2256" s="31">
        <f t="shared" si="35"/>
        <v>0</v>
      </c>
      <c r="H2256" s="68" t="s">
        <v>149</v>
      </c>
      <c r="J2256" s="42"/>
    </row>
    <row r="2257" spans="1:10" s="3" customFormat="1" x14ac:dyDescent="0.25">
      <c r="A2257" s="20">
        <v>42086</v>
      </c>
      <c r="B2257" s="21">
        <v>15767</v>
      </c>
      <c r="C2257" s="15" t="s">
        <v>733</v>
      </c>
      <c r="D2257" s="122">
        <v>5783.6</v>
      </c>
      <c r="E2257" s="23">
        <v>42088</v>
      </c>
      <c r="F2257" s="118">
        <v>5783.6</v>
      </c>
      <c r="G2257" s="31">
        <f t="shared" si="35"/>
        <v>0</v>
      </c>
      <c r="H2257" s="68" t="s">
        <v>149</v>
      </c>
      <c r="J2257" s="42"/>
    </row>
    <row r="2258" spans="1:10" s="3" customFormat="1" x14ac:dyDescent="0.25">
      <c r="A2258" s="20">
        <v>42086</v>
      </c>
      <c r="B2258" s="21">
        <v>15768</v>
      </c>
      <c r="C2258" s="15" t="s">
        <v>198</v>
      </c>
      <c r="D2258" s="122">
        <v>11595.88</v>
      </c>
      <c r="E2258" s="23">
        <v>42088</v>
      </c>
      <c r="F2258" s="118">
        <v>11595.88</v>
      </c>
      <c r="G2258" s="31">
        <f t="shared" si="35"/>
        <v>0</v>
      </c>
      <c r="H2258" s="68" t="s">
        <v>149</v>
      </c>
      <c r="J2258" s="42"/>
    </row>
    <row r="2259" spans="1:10" s="3" customFormat="1" x14ac:dyDescent="0.25">
      <c r="A2259" s="20">
        <v>42086</v>
      </c>
      <c r="B2259" s="21">
        <v>15769</v>
      </c>
      <c r="C2259" s="15" t="s">
        <v>446</v>
      </c>
      <c r="D2259" s="122">
        <v>8587.24</v>
      </c>
      <c r="E2259" s="30" t="s">
        <v>961</v>
      </c>
      <c r="F2259" s="145">
        <v>8587.24</v>
      </c>
      <c r="G2259" s="31">
        <f t="shared" si="35"/>
        <v>0</v>
      </c>
      <c r="H2259" s="68" t="s">
        <v>9</v>
      </c>
      <c r="J2259" s="42"/>
    </row>
    <row r="2260" spans="1:10" s="3" customFormat="1" x14ac:dyDescent="0.25">
      <c r="A2260" s="20">
        <v>42086</v>
      </c>
      <c r="B2260" s="21">
        <v>15770</v>
      </c>
      <c r="C2260" s="15" t="s">
        <v>207</v>
      </c>
      <c r="D2260" s="122">
        <v>830</v>
      </c>
      <c r="E2260" s="23">
        <v>42091</v>
      </c>
      <c r="F2260" s="118">
        <v>830</v>
      </c>
      <c r="G2260" s="31">
        <f t="shared" si="35"/>
        <v>0</v>
      </c>
      <c r="H2260" s="68" t="s">
        <v>149</v>
      </c>
      <c r="J2260" s="42"/>
    </row>
    <row r="2261" spans="1:10" s="3" customFormat="1" x14ac:dyDescent="0.25">
      <c r="A2261" s="20">
        <v>42086</v>
      </c>
      <c r="B2261" s="21">
        <v>15771</v>
      </c>
      <c r="C2261" s="15" t="s">
        <v>420</v>
      </c>
      <c r="D2261" s="122">
        <v>8070</v>
      </c>
      <c r="E2261" s="23">
        <v>42088</v>
      </c>
      <c r="F2261" s="118">
        <v>8070</v>
      </c>
      <c r="G2261" s="31">
        <f t="shared" si="35"/>
        <v>0</v>
      </c>
      <c r="H2261" s="68" t="s">
        <v>149</v>
      </c>
      <c r="J2261" s="42"/>
    </row>
    <row r="2262" spans="1:10" s="3" customFormat="1" x14ac:dyDescent="0.25">
      <c r="A2262" s="20">
        <v>42086</v>
      </c>
      <c r="B2262" s="21">
        <v>15772</v>
      </c>
      <c r="C2262" s="15" t="s">
        <v>262</v>
      </c>
      <c r="D2262" s="122">
        <v>17892</v>
      </c>
      <c r="E2262" s="23">
        <v>42091</v>
      </c>
      <c r="F2262" s="118">
        <v>17892</v>
      </c>
      <c r="G2262" s="31">
        <f t="shared" si="35"/>
        <v>0</v>
      </c>
      <c r="H2262" s="68" t="s">
        <v>149</v>
      </c>
      <c r="J2262" s="42"/>
    </row>
    <row r="2263" spans="1:10" s="3" customFormat="1" x14ac:dyDescent="0.25">
      <c r="A2263" s="20">
        <v>42086</v>
      </c>
      <c r="B2263" s="21">
        <v>15773</v>
      </c>
      <c r="C2263" s="15" t="s">
        <v>110</v>
      </c>
      <c r="D2263" s="122">
        <v>43308.15</v>
      </c>
      <c r="E2263" s="23">
        <v>42093</v>
      </c>
      <c r="F2263" s="118">
        <v>43308.15</v>
      </c>
      <c r="G2263" s="31">
        <f t="shared" si="35"/>
        <v>0</v>
      </c>
      <c r="H2263" s="68" t="s">
        <v>9</v>
      </c>
      <c r="J2263" s="42"/>
    </row>
    <row r="2264" spans="1:10" s="3" customFormat="1" x14ac:dyDescent="0.25">
      <c r="A2264" s="20">
        <v>42086</v>
      </c>
      <c r="B2264" s="21">
        <v>15774</v>
      </c>
      <c r="C2264" s="15" t="s">
        <v>258</v>
      </c>
      <c r="D2264" s="122">
        <v>318</v>
      </c>
      <c r="E2264" s="23">
        <v>42086</v>
      </c>
      <c r="F2264" s="118">
        <v>318</v>
      </c>
      <c r="G2264" s="31">
        <f t="shared" si="35"/>
        <v>0</v>
      </c>
      <c r="H2264" s="68" t="s">
        <v>9</v>
      </c>
      <c r="J2264" s="42"/>
    </row>
    <row r="2265" spans="1:10" s="3" customFormat="1" x14ac:dyDescent="0.25">
      <c r="A2265" s="20">
        <v>42086</v>
      </c>
      <c r="B2265" s="21">
        <v>15775</v>
      </c>
      <c r="C2265" s="15" t="s">
        <v>697</v>
      </c>
      <c r="D2265" s="122">
        <v>20769</v>
      </c>
      <c r="E2265" s="30" t="s">
        <v>983</v>
      </c>
      <c r="F2265" s="145">
        <v>20769</v>
      </c>
      <c r="G2265" s="31">
        <f t="shared" si="35"/>
        <v>0</v>
      </c>
      <c r="H2265" s="68" t="s">
        <v>9</v>
      </c>
      <c r="J2265" s="42"/>
    </row>
    <row r="2266" spans="1:10" s="3" customFormat="1" x14ac:dyDescent="0.25">
      <c r="A2266" s="20">
        <v>42086</v>
      </c>
      <c r="B2266" s="21">
        <v>15776</v>
      </c>
      <c r="C2266" s="15" t="s">
        <v>80</v>
      </c>
      <c r="D2266" s="122">
        <v>7068.6</v>
      </c>
      <c r="E2266" s="23">
        <v>42086</v>
      </c>
      <c r="F2266" s="118">
        <v>7068.6</v>
      </c>
      <c r="G2266" s="31">
        <f t="shared" si="35"/>
        <v>0</v>
      </c>
      <c r="H2266" s="68" t="s">
        <v>9</v>
      </c>
      <c r="J2266" s="42"/>
    </row>
    <row r="2267" spans="1:10" s="3" customFormat="1" x14ac:dyDescent="0.25">
      <c r="A2267" s="20">
        <v>42086</v>
      </c>
      <c r="B2267" s="21">
        <v>15777</v>
      </c>
      <c r="C2267" s="15" t="s">
        <v>195</v>
      </c>
      <c r="D2267" s="122">
        <v>144188.04</v>
      </c>
      <c r="E2267" s="23">
        <v>42091</v>
      </c>
      <c r="F2267" s="118">
        <v>144188.04</v>
      </c>
      <c r="G2267" s="31">
        <f t="shared" si="35"/>
        <v>0</v>
      </c>
      <c r="H2267" s="68" t="s">
        <v>149</v>
      </c>
      <c r="J2267" s="42"/>
    </row>
    <row r="2268" spans="1:10" s="3" customFormat="1" x14ac:dyDescent="0.25">
      <c r="A2268" s="20">
        <v>42086</v>
      </c>
      <c r="B2268" s="21">
        <v>15778</v>
      </c>
      <c r="C2268" s="15" t="s">
        <v>552</v>
      </c>
      <c r="D2268" s="122">
        <v>14808.7</v>
      </c>
      <c r="E2268" s="23">
        <v>42088</v>
      </c>
      <c r="F2268" s="118">
        <v>14808.7</v>
      </c>
      <c r="G2268" s="31">
        <f t="shared" si="35"/>
        <v>0</v>
      </c>
      <c r="H2268" s="68" t="s">
        <v>149</v>
      </c>
      <c r="J2268" s="42"/>
    </row>
    <row r="2269" spans="1:10" s="3" customFormat="1" x14ac:dyDescent="0.25">
      <c r="A2269" s="20">
        <v>42086</v>
      </c>
      <c r="B2269" s="21">
        <v>15779</v>
      </c>
      <c r="C2269" s="15" t="s">
        <v>895</v>
      </c>
      <c r="D2269" s="122">
        <v>3270.6</v>
      </c>
      <c r="E2269" s="23">
        <v>42088</v>
      </c>
      <c r="F2269" s="118">
        <v>3270.6</v>
      </c>
      <c r="G2269" s="31">
        <f t="shared" si="35"/>
        <v>0</v>
      </c>
      <c r="H2269" s="68" t="s">
        <v>149</v>
      </c>
      <c r="J2269" s="42"/>
    </row>
    <row r="2270" spans="1:10" s="3" customFormat="1" x14ac:dyDescent="0.25">
      <c r="A2270" s="20">
        <v>42086</v>
      </c>
      <c r="B2270" s="21">
        <v>15780</v>
      </c>
      <c r="C2270" s="15" t="s">
        <v>732</v>
      </c>
      <c r="D2270" s="122">
        <v>31123.599999999999</v>
      </c>
      <c r="E2270" s="23">
        <v>42088</v>
      </c>
      <c r="F2270" s="118">
        <v>31123.599999999999</v>
      </c>
      <c r="G2270" s="31">
        <f t="shared" si="35"/>
        <v>0</v>
      </c>
      <c r="H2270" s="68" t="s">
        <v>149</v>
      </c>
      <c r="J2270" s="42"/>
    </row>
    <row r="2271" spans="1:10" s="3" customFormat="1" x14ac:dyDescent="0.25">
      <c r="A2271" s="20">
        <v>42087</v>
      </c>
      <c r="B2271" s="21">
        <v>15781</v>
      </c>
      <c r="C2271" s="15" t="s">
        <v>18</v>
      </c>
      <c r="D2271" s="122">
        <v>42485.65</v>
      </c>
      <c r="E2271" s="23">
        <v>42094</v>
      </c>
      <c r="F2271" s="118">
        <v>42485.65</v>
      </c>
      <c r="G2271" s="31">
        <f t="shared" si="35"/>
        <v>0</v>
      </c>
      <c r="H2271" s="68" t="s">
        <v>9</v>
      </c>
      <c r="J2271" s="42"/>
    </row>
    <row r="2272" spans="1:10" s="3" customFormat="1" x14ac:dyDescent="0.25">
      <c r="A2272" s="20">
        <v>42087</v>
      </c>
      <c r="B2272" s="21">
        <v>15782</v>
      </c>
      <c r="C2272" s="14" t="s">
        <v>18</v>
      </c>
      <c r="D2272" s="105">
        <v>4406</v>
      </c>
      <c r="E2272" s="23">
        <v>42087</v>
      </c>
      <c r="F2272" s="106">
        <v>4406</v>
      </c>
      <c r="G2272" s="31">
        <f t="shared" si="35"/>
        <v>0</v>
      </c>
      <c r="H2272" s="39" t="s">
        <v>9</v>
      </c>
      <c r="J2272" s="42"/>
    </row>
    <row r="2273" spans="1:10" s="3" customFormat="1" x14ac:dyDescent="0.25">
      <c r="A2273" s="20">
        <v>42087</v>
      </c>
      <c r="B2273" s="21">
        <v>15783</v>
      </c>
      <c r="C2273" s="14" t="s">
        <v>799</v>
      </c>
      <c r="D2273" s="105">
        <v>71257.600000000006</v>
      </c>
      <c r="E2273" s="23">
        <v>42094</v>
      </c>
      <c r="F2273" s="106">
        <v>71257.600000000006</v>
      </c>
      <c r="G2273" s="31">
        <f t="shared" si="35"/>
        <v>0</v>
      </c>
      <c r="H2273" s="39" t="s">
        <v>9</v>
      </c>
      <c r="J2273" s="42"/>
    </row>
    <row r="2274" spans="1:10" s="3" customFormat="1" x14ac:dyDescent="0.25">
      <c r="A2274" s="20">
        <v>42087</v>
      </c>
      <c r="B2274" s="21">
        <v>15784</v>
      </c>
      <c r="C2274" s="14" t="s">
        <v>151</v>
      </c>
      <c r="D2274" s="105">
        <v>6290.4</v>
      </c>
      <c r="E2274" s="23">
        <v>42088</v>
      </c>
      <c r="F2274" s="106">
        <v>6290.4</v>
      </c>
      <c r="G2274" s="31">
        <f t="shared" si="35"/>
        <v>0</v>
      </c>
      <c r="H2274" s="39" t="s">
        <v>9</v>
      </c>
      <c r="J2274" s="42"/>
    </row>
    <row r="2275" spans="1:10" s="3" customFormat="1" x14ac:dyDescent="0.25">
      <c r="A2275" s="20">
        <v>42087</v>
      </c>
      <c r="B2275" s="21">
        <v>15785</v>
      </c>
      <c r="C2275" s="14" t="s">
        <v>14</v>
      </c>
      <c r="D2275" s="105">
        <v>21570.6</v>
      </c>
      <c r="E2275" s="23">
        <v>42093</v>
      </c>
      <c r="F2275" s="106">
        <v>21570.6</v>
      </c>
      <c r="G2275" s="31">
        <f t="shared" si="35"/>
        <v>0</v>
      </c>
      <c r="H2275" s="39" t="s">
        <v>15</v>
      </c>
      <c r="J2275" s="42"/>
    </row>
    <row r="2276" spans="1:10" s="3" customFormat="1" x14ac:dyDescent="0.25">
      <c r="A2276" s="20">
        <v>42087</v>
      </c>
      <c r="B2276" s="21">
        <v>15786</v>
      </c>
      <c r="C2276" s="14" t="s">
        <v>20</v>
      </c>
      <c r="D2276" s="105">
        <v>5443.2</v>
      </c>
      <c r="E2276" s="23">
        <v>42087</v>
      </c>
      <c r="F2276" s="106">
        <v>5443.2</v>
      </c>
      <c r="G2276" s="31">
        <f t="shared" si="35"/>
        <v>0</v>
      </c>
      <c r="H2276" s="39" t="s">
        <v>94</v>
      </c>
      <c r="J2276" s="42"/>
    </row>
    <row r="2277" spans="1:10" s="3" customFormat="1" x14ac:dyDescent="0.25">
      <c r="A2277" s="20">
        <v>42087</v>
      </c>
      <c r="B2277" s="21">
        <v>15787</v>
      </c>
      <c r="C2277" s="14" t="s">
        <v>16</v>
      </c>
      <c r="D2277" s="105">
        <v>5316</v>
      </c>
      <c r="E2277" s="23">
        <v>42087</v>
      </c>
      <c r="F2277" s="106">
        <v>5316</v>
      </c>
      <c r="G2277" s="31">
        <f t="shared" si="35"/>
        <v>0</v>
      </c>
      <c r="H2277" s="39" t="s">
        <v>17</v>
      </c>
      <c r="J2277" s="42"/>
    </row>
    <row r="2278" spans="1:10" s="3" customFormat="1" x14ac:dyDescent="0.25">
      <c r="A2278" s="20">
        <v>42087</v>
      </c>
      <c r="B2278" s="21">
        <v>15788</v>
      </c>
      <c r="C2278" s="14" t="s">
        <v>267</v>
      </c>
      <c r="D2278" s="105">
        <v>1162.8</v>
      </c>
      <c r="E2278" s="23">
        <v>42087</v>
      </c>
      <c r="F2278" s="106">
        <v>1162.8</v>
      </c>
      <c r="G2278" s="31">
        <f t="shared" si="35"/>
        <v>0</v>
      </c>
      <c r="H2278" s="39" t="s">
        <v>17</v>
      </c>
      <c r="J2278" s="42"/>
    </row>
    <row r="2279" spans="1:10" s="3" customFormat="1" x14ac:dyDescent="0.25">
      <c r="A2279" s="20">
        <v>42087</v>
      </c>
      <c r="B2279" s="21">
        <v>15789</v>
      </c>
      <c r="C2279" s="14" t="s">
        <v>720</v>
      </c>
      <c r="D2279" s="105">
        <v>6837.6</v>
      </c>
      <c r="E2279" s="23">
        <v>42087</v>
      </c>
      <c r="F2279" s="106">
        <v>6837.6</v>
      </c>
      <c r="G2279" s="31">
        <f t="shared" si="35"/>
        <v>0</v>
      </c>
      <c r="H2279" s="39" t="s">
        <v>9</v>
      </c>
      <c r="J2279" s="42"/>
    </row>
    <row r="2280" spans="1:10" s="3" customFormat="1" x14ac:dyDescent="0.25">
      <c r="A2280" s="20">
        <v>42087</v>
      </c>
      <c r="B2280" s="21">
        <v>15790</v>
      </c>
      <c r="C2280" s="14" t="s">
        <v>22</v>
      </c>
      <c r="D2280" s="105">
        <v>1276.8</v>
      </c>
      <c r="E2280" s="23">
        <v>42087</v>
      </c>
      <c r="F2280" s="106">
        <v>1276.8</v>
      </c>
      <c r="G2280" s="31">
        <f t="shared" si="35"/>
        <v>0</v>
      </c>
      <c r="H2280" s="39" t="s">
        <v>9</v>
      </c>
      <c r="J2280" s="42"/>
    </row>
    <row r="2281" spans="1:10" s="3" customFormat="1" x14ac:dyDescent="0.25">
      <c r="A2281" s="20">
        <v>42087</v>
      </c>
      <c r="B2281" s="21">
        <v>15791</v>
      </c>
      <c r="C2281" s="14" t="s">
        <v>854</v>
      </c>
      <c r="D2281" s="105">
        <v>5137.8</v>
      </c>
      <c r="E2281" s="23">
        <v>42087</v>
      </c>
      <c r="F2281" s="106">
        <v>5137.8</v>
      </c>
      <c r="G2281" s="31">
        <f t="shared" si="35"/>
        <v>0</v>
      </c>
      <c r="H2281" s="39" t="s">
        <v>9</v>
      </c>
      <c r="J2281" s="42"/>
    </row>
    <row r="2282" spans="1:10" s="3" customFormat="1" x14ac:dyDescent="0.25">
      <c r="A2282" s="20">
        <v>42087</v>
      </c>
      <c r="B2282" s="21">
        <v>15792</v>
      </c>
      <c r="C2282" s="14" t="s">
        <v>114</v>
      </c>
      <c r="D2282" s="105">
        <v>2458.8000000000002</v>
      </c>
      <c r="E2282" s="23">
        <v>42087</v>
      </c>
      <c r="F2282" s="106">
        <v>2458.8000000000002</v>
      </c>
      <c r="G2282" s="31">
        <f t="shared" si="35"/>
        <v>0</v>
      </c>
      <c r="H2282" s="39" t="s">
        <v>9</v>
      </c>
      <c r="J2282" s="42"/>
    </row>
    <row r="2283" spans="1:10" s="3" customFormat="1" x14ac:dyDescent="0.25">
      <c r="A2283" s="20">
        <v>42087</v>
      </c>
      <c r="B2283" s="21">
        <v>15793</v>
      </c>
      <c r="C2283" s="14" t="s">
        <v>720</v>
      </c>
      <c r="D2283" s="105">
        <v>2800.8</v>
      </c>
      <c r="E2283" s="23">
        <v>42087</v>
      </c>
      <c r="F2283" s="106">
        <v>2800.8</v>
      </c>
      <c r="G2283" s="31">
        <f t="shared" si="35"/>
        <v>0</v>
      </c>
      <c r="H2283" s="39" t="s">
        <v>94</v>
      </c>
      <c r="J2283" s="42"/>
    </row>
    <row r="2284" spans="1:10" s="3" customFormat="1" x14ac:dyDescent="0.25">
      <c r="A2284" s="20">
        <v>42087</v>
      </c>
      <c r="B2284" s="21">
        <v>15794</v>
      </c>
      <c r="C2284" s="14" t="s">
        <v>121</v>
      </c>
      <c r="D2284" s="105">
        <v>1209</v>
      </c>
      <c r="E2284" s="23">
        <v>42087</v>
      </c>
      <c r="F2284" s="106">
        <v>1209</v>
      </c>
      <c r="G2284" s="31">
        <f t="shared" si="35"/>
        <v>0</v>
      </c>
      <c r="H2284" s="39" t="s">
        <v>9</v>
      </c>
      <c r="J2284" s="42"/>
    </row>
    <row r="2285" spans="1:10" s="3" customFormat="1" x14ac:dyDescent="0.25">
      <c r="A2285" s="20">
        <v>42087</v>
      </c>
      <c r="B2285" s="21">
        <v>15795</v>
      </c>
      <c r="C2285" s="14" t="s">
        <v>135</v>
      </c>
      <c r="D2285" s="105">
        <v>844.9</v>
      </c>
      <c r="E2285" s="23">
        <v>42087</v>
      </c>
      <c r="F2285" s="106">
        <v>844.9</v>
      </c>
      <c r="G2285" s="31">
        <f t="shared" si="35"/>
        <v>0</v>
      </c>
      <c r="H2285" s="39" t="s">
        <v>9</v>
      </c>
      <c r="J2285" s="42"/>
    </row>
    <row r="2286" spans="1:10" s="3" customFormat="1" x14ac:dyDescent="0.25">
      <c r="A2286" s="20">
        <v>42087</v>
      </c>
      <c r="B2286" s="21">
        <v>15796</v>
      </c>
      <c r="C2286" s="14" t="s">
        <v>45</v>
      </c>
      <c r="D2286" s="105">
        <v>65363.9</v>
      </c>
      <c r="E2286" s="23" t="s">
        <v>921</v>
      </c>
      <c r="F2286" s="106">
        <f>64657.19+706.71</f>
        <v>65363.9</v>
      </c>
      <c r="G2286" s="31">
        <f t="shared" si="35"/>
        <v>0</v>
      </c>
      <c r="H2286" s="39" t="s">
        <v>183</v>
      </c>
      <c r="J2286" s="42"/>
    </row>
    <row r="2287" spans="1:10" s="3" customFormat="1" x14ac:dyDescent="0.25">
      <c r="A2287" s="20">
        <v>42087</v>
      </c>
      <c r="B2287" s="21">
        <v>15797</v>
      </c>
      <c r="C2287" s="14" t="s">
        <v>125</v>
      </c>
      <c r="D2287" s="105">
        <v>14148</v>
      </c>
      <c r="E2287" s="23">
        <v>42087</v>
      </c>
      <c r="F2287" s="106">
        <v>14148</v>
      </c>
      <c r="G2287" s="31">
        <f t="shared" si="35"/>
        <v>0</v>
      </c>
      <c r="H2287" s="39" t="s">
        <v>9</v>
      </c>
      <c r="J2287" s="42"/>
    </row>
    <row r="2288" spans="1:10" s="3" customFormat="1" x14ac:dyDescent="0.25">
      <c r="A2288" s="20">
        <v>42087</v>
      </c>
      <c r="B2288" s="21">
        <v>15798</v>
      </c>
      <c r="C2288" s="14" t="s">
        <v>56</v>
      </c>
      <c r="D2288" s="105">
        <v>6034.6</v>
      </c>
      <c r="E2288" s="23">
        <v>42087</v>
      </c>
      <c r="F2288" s="106">
        <v>6034.6</v>
      </c>
      <c r="G2288" s="31">
        <f t="shared" si="35"/>
        <v>0</v>
      </c>
      <c r="H2288" s="39" t="s">
        <v>46</v>
      </c>
      <c r="J2288" s="42"/>
    </row>
    <row r="2289" spans="1:10" s="3" customFormat="1" x14ac:dyDescent="0.25">
      <c r="A2289" s="20">
        <v>42087</v>
      </c>
      <c r="B2289" s="21">
        <v>15799</v>
      </c>
      <c r="C2289" s="14" t="s">
        <v>834</v>
      </c>
      <c r="D2289" s="105">
        <v>1852.74</v>
      </c>
      <c r="E2289" s="23">
        <v>42087</v>
      </c>
      <c r="F2289" s="106">
        <v>1852.74</v>
      </c>
      <c r="G2289" s="31">
        <f t="shared" si="35"/>
        <v>0</v>
      </c>
      <c r="H2289" s="39" t="s">
        <v>9</v>
      </c>
      <c r="J2289" s="42"/>
    </row>
    <row r="2290" spans="1:10" s="3" customFormat="1" x14ac:dyDescent="0.25">
      <c r="A2290" s="20">
        <v>42087</v>
      </c>
      <c r="B2290" s="21">
        <v>15800</v>
      </c>
      <c r="C2290" s="14" t="s">
        <v>26</v>
      </c>
      <c r="D2290" s="105">
        <v>2176</v>
      </c>
      <c r="E2290" s="23">
        <v>42087</v>
      </c>
      <c r="F2290" s="106">
        <v>2176</v>
      </c>
      <c r="G2290" s="31">
        <f t="shared" si="35"/>
        <v>0</v>
      </c>
      <c r="H2290" s="39" t="s">
        <v>27</v>
      </c>
      <c r="J2290" s="42"/>
    </row>
    <row r="2291" spans="1:10" s="3" customFormat="1" x14ac:dyDescent="0.25">
      <c r="A2291" s="20">
        <v>42087</v>
      </c>
      <c r="B2291" s="21">
        <v>15801</v>
      </c>
      <c r="C2291" s="14" t="s">
        <v>32</v>
      </c>
      <c r="D2291" s="105">
        <v>166386</v>
      </c>
      <c r="E2291" s="23">
        <v>42089</v>
      </c>
      <c r="F2291" s="106">
        <v>166386</v>
      </c>
      <c r="G2291" s="31">
        <f t="shared" si="35"/>
        <v>0</v>
      </c>
      <c r="H2291" s="39" t="s">
        <v>187</v>
      </c>
      <c r="J2291" s="42"/>
    </row>
    <row r="2292" spans="1:10" s="3" customFormat="1" x14ac:dyDescent="0.25">
      <c r="A2292" s="20">
        <v>42087</v>
      </c>
      <c r="B2292" s="21">
        <v>15802</v>
      </c>
      <c r="C2292" s="14" t="s">
        <v>21</v>
      </c>
      <c r="D2292" s="105">
        <v>2773.8</v>
      </c>
      <c r="E2292" s="23">
        <v>42087</v>
      </c>
      <c r="F2292" s="106">
        <v>2773.8</v>
      </c>
      <c r="G2292" s="31">
        <f t="shared" si="35"/>
        <v>0</v>
      </c>
      <c r="H2292" s="39" t="s">
        <v>9</v>
      </c>
      <c r="J2292" s="42"/>
    </row>
    <row r="2293" spans="1:10" s="3" customFormat="1" x14ac:dyDescent="0.25">
      <c r="A2293" s="20">
        <v>42087</v>
      </c>
      <c r="B2293" s="21">
        <v>15803</v>
      </c>
      <c r="C2293" s="14" t="s">
        <v>49</v>
      </c>
      <c r="D2293" s="105">
        <v>1562.4</v>
      </c>
      <c r="E2293" s="23">
        <v>42087</v>
      </c>
      <c r="F2293" s="106">
        <v>1562.4</v>
      </c>
      <c r="G2293" s="31">
        <f t="shared" si="35"/>
        <v>0</v>
      </c>
      <c r="H2293" s="39" t="s">
        <v>41</v>
      </c>
      <c r="J2293" s="42"/>
    </row>
    <row r="2294" spans="1:10" s="3" customFormat="1" x14ac:dyDescent="0.25">
      <c r="A2294" s="20">
        <v>42087</v>
      </c>
      <c r="B2294" s="21">
        <v>15804</v>
      </c>
      <c r="C2294" s="14" t="s">
        <v>694</v>
      </c>
      <c r="D2294" s="105">
        <v>2761</v>
      </c>
      <c r="E2294" s="23">
        <v>42087</v>
      </c>
      <c r="F2294" s="106">
        <v>2761</v>
      </c>
      <c r="G2294" s="31">
        <f t="shared" si="35"/>
        <v>0</v>
      </c>
      <c r="H2294" s="39" t="s">
        <v>9</v>
      </c>
      <c r="J2294" s="42"/>
    </row>
    <row r="2295" spans="1:10" s="3" customFormat="1" x14ac:dyDescent="0.25">
      <c r="A2295" s="20">
        <v>42087</v>
      </c>
      <c r="B2295" s="21">
        <v>15805</v>
      </c>
      <c r="C2295" s="14" t="s">
        <v>225</v>
      </c>
      <c r="D2295" s="105">
        <v>2912.4</v>
      </c>
      <c r="E2295" s="23">
        <v>42087</v>
      </c>
      <c r="F2295" s="106">
        <v>2912.4</v>
      </c>
      <c r="G2295" s="31">
        <f t="shared" si="35"/>
        <v>0</v>
      </c>
      <c r="H2295" s="39" t="s">
        <v>9</v>
      </c>
      <c r="J2295" s="42"/>
    </row>
    <row r="2296" spans="1:10" s="3" customFormat="1" x14ac:dyDescent="0.25">
      <c r="A2296" s="20">
        <v>42087</v>
      </c>
      <c r="B2296" s="21">
        <v>15806</v>
      </c>
      <c r="C2296" s="14" t="s">
        <v>18</v>
      </c>
      <c r="D2296" s="105">
        <v>39773.699999999997</v>
      </c>
      <c r="E2296" s="23">
        <v>42094</v>
      </c>
      <c r="F2296" s="106">
        <v>39773.699999999997</v>
      </c>
      <c r="G2296" s="31">
        <f t="shared" si="35"/>
        <v>0</v>
      </c>
      <c r="H2296" s="39" t="s">
        <v>41</v>
      </c>
      <c r="J2296" s="42"/>
    </row>
    <row r="2297" spans="1:10" s="3" customFormat="1" x14ac:dyDescent="0.25">
      <c r="A2297" s="20">
        <v>42087</v>
      </c>
      <c r="B2297" s="21">
        <v>15807</v>
      </c>
      <c r="C2297" s="14" t="s">
        <v>167</v>
      </c>
      <c r="D2297" s="105">
        <v>481</v>
      </c>
      <c r="E2297" s="23">
        <v>42087</v>
      </c>
      <c r="F2297" s="106">
        <v>481</v>
      </c>
      <c r="G2297" s="31">
        <f t="shared" si="35"/>
        <v>0</v>
      </c>
      <c r="H2297" s="39" t="s">
        <v>59</v>
      </c>
      <c r="J2297" s="42"/>
    </row>
    <row r="2298" spans="1:10" s="3" customFormat="1" x14ac:dyDescent="0.25">
      <c r="A2298" s="20">
        <v>42087</v>
      </c>
      <c r="B2298" s="21">
        <v>15808</v>
      </c>
      <c r="C2298" s="14" t="s">
        <v>53</v>
      </c>
      <c r="D2298" s="105">
        <v>595.20000000000005</v>
      </c>
      <c r="E2298" s="23">
        <v>42087</v>
      </c>
      <c r="F2298" s="106">
        <v>595.20000000000005</v>
      </c>
      <c r="G2298" s="31">
        <f t="shared" si="35"/>
        <v>0</v>
      </c>
      <c r="H2298" s="39" t="s">
        <v>59</v>
      </c>
      <c r="J2298" s="42"/>
    </row>
    <row r="2299" spans="1:10" s="3" customFormat="1" x14ac:dyDescent="0.25">
      <c r="A2299" s="20">
        <v>42087</v>
      </c>
      <c r="B2299" s="21">
        <v>15809</v>
      </c>
      <c r="C2299" s="14" t="s">
        <v>83</v>
      </c>
      <c r="D2299" s="105">
        <v>3212.8</v>
      </c>
      <c r="E2299" s="23">
        <v>42087</v>
      </c>
      <c r="F2299" s="106">
        <v>3212.8</v>
      </c>
      <c r="G2299" s="31">
        <f t="shared" si="35"/>
        <v>0</v>
      </c>
      <c r="H2299" s="39" t="s">
        <v>59</v>
      </c>
      <c r="J2299" s="42"/>
    </row>
    <row r="2300" spans="1:10" s="3" customFormat="1" x14ac:dyDescent="0.25">
      <c r="A2300" s="20">
        <v>42087</v>
      </c>
      <c r="B2300" s="21">
        <v>15810</v>
      </c>
      <c r="C2300" s="14" t="s">
        <v>81</v>
      </c>
      <c r="D2300" s="105">
        <v>1399.2</v>
      </c>
      <c r="E2300" s="23">
        <v>42087</v>
      </c>
      <c r="F2300" s="106">
        <v>1399.2</v>
      </c>
      <c r="G2300" s="31">
        <f t="shared" si="35"/>
        <v>0</v>
      </c>
      <c r="H2300" s="39" t="s">
        <v>59</v>
      </c>
      <c r="J2300" s="42"/>
    </row>
    <row r="2301" spans="1:10" s="3" customFormat="1" x14ac:dyDescent="0.25">
      <c r="A2301" s="20">
        <v>42087</v>
      </c>
      <c r="B2301" s="21">
        <v>15811</v>
      </c>
      <c r="C2301" s="14" t="s">
        <v>82</v>
      </c>
      <c r="D2301" s="105">
        <v>3221.3</v>
      </c>
      <c r="E2301" s="23">
        <v>42087</v>
      </c>
      <c r="F2301" s="106">
        <v>3221.3</v>
      </c>
      <c r="G2301" s="31">
        <f t="shared" si="35"/>
        <v>0</v>
      </c>
      <c r="H2301" s="39" t="s">
        <v>59</v>
      </c>
      <c r="J2301" s="42"/>
    </row>
    <row r="2302" spans="1:10" s="3" customFormat="1" x14ac:dyDescent="0.25">
      <c r="A2302" s="20">
        <v>42087</v>
      </c>
      <c r="B2302" s="21">
        <v>15812</v>
      </c>
      <c r="C2302" s="14" t="s">
        <v>120</v>
      </c>
      <c r="D2302" s="105">
        <v>1239.5</v>
      </c>
      <c r="E2302" s="23">
        <v>42087</v>
      </c>
      <c r="F2302" s="106">
        <v>1239.5</v>
      </c>
      <c r="G2302" s="31">
        <f t="shared" si="35"/>
        <v>0</v>
      </c>
      <c r="H2302" s="39" t="s">
        <v>59</v>
      </c>
      <c r="J2302" s="42"/>
    </row>
    <row r="2303" spans="1:10" s="3" customFormat="1" x14ac:dyDescent="0.25">
      <c r="A2303" s="20">
        <v>42087</v>
      </c>
      <c r="B2303" s="21">
        <v>15813</v>
      </c>
      <c r="C2303" s="14" t="s">
        <v>881</v>
      </c>
      <c r="D2303" s="105">
        <v>3356.4</v>
      </c>
      <c r="E2303" s="23">
        <v>42087</v>
      </c>
      <c r="F2303" s="106">
        <v>3356.4</v>
      </c>
      <c r="G2303" s="31">
        <f t="shared" si="35"/>
        <v>0</v>
      </c>
      <c r="H2303" s="39" t="s">
        <v>9</v>
      </c>
      <c r="J2303" s="42"/>
    </row>
    <row r="2304" spans="1:10" s="3" customFormat="1" x14ac:dyDescent="0.25">
      <c r="A2304" s="20">
        <v>42087</v>
      </c>
      <c r="B2304" s="21">
        <v>15814</v>
      </c>
      <c r="C2304" s="14" t="s">
        <v>118</v>
      </c>
      <c r="D2304" s="105">
        <v>5636.2</v>
      </c>
      <c r="E2304" s="30">
        <v>42096</v>
      </c>
      <c r="F2304" s="144">
        <v>5636.2</v>
      </c>
      <c r="G2304" s="31">
        <f t="shared" si="35"/>
        <v>0</v>
      </c>
      <c r="H2304" s="39" t="s">
        <v>59</v>
      </c>
      <c r="J2304" s="42"/>
    </row>
    <row r="2305" spans="1:10" s="3" customFormat="1" x14ac:dyDescent="0.25">
      <c r="A2305" s="20">
        <v>42087</v>
      </c>
      <c r="B2305" s="21">
        <v>15815</v>
      </c>
      <c r="C2305" s="14" t="s">
        <v>89</v>
      </c>
      <c r="D2305" s="105">
        <v>1920.8</v>
      </c>
      <c r="E2305" s="23">
        <v>42087</v>
      </c>
      <c r="F2305" s="106">
        <v>1920.8</v>
      </c>
      <c r="G2305" s="31">
        <f t="shared" si="35"/>
        <v>0</v>
      </c>
      <c r="H2305" s="39" t="s">
        <v>9</v>
      </c>
      <c r="J2305" s="42"/>
    </row>
    <row r="2306" spans="1:10" s="3" customFormat="1" x14ac:dyDescent="0.25">
      <c r="A2306" s="20">
        <v>42087</v>
      </c>
      <c r="B2306" s="21">
        <v>15816</v>
      </c>
      <c r="C2306" s="14" t="s">
        <v>102</v>
      </c>
      <c r="D2306" s="105">
        <v>657.8</v>
      </c>
      <c r="E2306" s="23">
        <v>42087</v>
      </c>
      <c r="F2306" s="106">
        <v>657.8</v>
      </c>
      <c r="G2306" s="31">
        <f t="shared" si="35"/>
        <v>0</v>
      </c>
      <c r="H2306" s="39" t="s">
        <v>9</v>
      </c>
      <c r="J2306" s="42"/>
    </row>
    <row r="2307" spans="1:10" s="3" customFormat="1" x14ac:dyDescent="0.25">
      <c r="A2307" s="20">
        <v>42087</v>
      </c>
      <c r="B2307" s="21">
        <v>15817</v>
      </c>
      <c r="C2307" s="14" t="s">
        <v>118</v>
      </c>
      <c r="D2307" s="105">
        <v>2296.1999999999998</v>
      </c>
      <c r="E2307" s="30">
        <v>42096</v>
      </c>
      <c r="F2307" s="144">
        <v>2296.1999999999998</v>
      </c>
      <c r="G2307" s="31">
        <f t="shared" ref="G2307:G2370" si="36">D2307-F2307</f>
        <v>0</v>
      </c>
      <c r="H2307" s="39" t="s">
        <v>59</v>
      </c>
      <c r="J2307" s="42"/>
    </row>
    <row r="2308" spans="1:10" s="3" customFormat="1" x14ac:dyDescent="0.25">
      <c r="A2308" s="20">
        <v>42087</v>
      </c>
      <c r="B2308" s="21">
        <v>15818</v>
      </c>
      <c r="C2308" s="14" t="s">
        <v>168</v>
      </c>
      <c r="D2308" s="105">
        <v>1068</v>
      </c>
      <c r="E2308" s="23">
        <v>42087</v>
      </c>
      <c r="F2308" s="106">
        <v>1068</v>
      </c>
      <c r="G2308" s="31">
        <f t="shared" si="36"/>
        <v>0</v>
      </c>
      <c r="H2308" s="39" t="s">
        <v>59</v>
      </c>
      <c r="J2308" s="42"/>
    </row>
    <row r="2309" spans="1:10" s="3" customFormat="1" x14ac:dyDescent="0.25">
      <c r="A2309" s="20">
        <v>42087</v>
      </c>
      <c r="B2309" s="21">
        <v>15819</v>
      </c>
      <c r="C2309" s="14" t="s">
        <v>128</v>
      </c>
      <c r="D2309" s="105">
        <v>6998.4</v>
      </c>
      <c r="E2309" s="23">
        <v>42087</v>
      </c>
      <c r="F2309" s="106">
        <v>6998.4</v>
      </c>
      <c r="G2309" s="31">
        <f t="shared" si="36"/>
        <v>0</v>
      </c>
      <c r="H2309" s="39" t="s">
        <v>17</v>
      </c>
      <c r="J2309" s="42"/>
    </row>
    <row r="2310" spans="1:10" s="3" customFormat="1" x14ac:dyDescent="0.25">
      <c r="A2310" s="20">
        <v>42087</v>
      </c>
      <c r="B2310" s="21">
        <v>15820</v>
      </c>
      <c r="C2310" s="14" t="s">
        <v>34</v>
      </c>
      <c r="D2310" s="105">
        <v>2100</v>
      </c>
      <c r="E2310" s="23">
        <v>42087</v>
      </c>
      <c r="F2310" s="106">
        <v>2100</v>
      </c>
      <c r="G2310" s="31">
        <f t="shared" si="36"/>
        <v>0</v>
      </c>
      <c r="H2310" s="39" t="s">
        <v>9</v>
      </c>
      <c r="J2310" s="42"/>
    </row>
    <row r="2311" spans="1:10" s="3" customFormat="1" x14ac:dyDescent="0.25">
      <c r="A2311" s="20">
        <v>42087</v>
      </c>
      <c r="B2311" s="21">
        <v>15821</v>
      </c>
      <c r="C2311" s="14" t="s">
        <v>422</v>
      </c>
      <c r="D2311" s="105">
        <v>368</v>
      </c>
      <c r="E2311" s="23">
        <v>42087</v>
      </c>
      <c r="F2311" s="106">
        <v>368</v>
      </c>
      <c r="G2311" s="31">
        <f t="shared" si="36"/>
        <v>0</v>
      </c>
      <c r="H2311" s="39" t="s">
        <v>9</v>
      </c>
      <c r="J2311" s="42"/>
    </row>
    <row r="2312" spans="1:10" s="3" customFormat="1" x14ac:dyDescent="0.25">
      <c r="A2312" s="20">
        <v>42087</v>
      </c>
      <c r="B2312" s="21">
        <v>15822</v>
      </c>
      <c r="C2312" s="14" t="s">
        <v>58</v>
      </c>
      <c r="D2312" s="105">
        <v>410</v>
      </c>
      <c r="E2312" s="23">
        <v>42087</v>
      </c>
      <c r="F2312" s="106">
        <v>410</v>
      </c>
      <c r="G2312" s="31">
        <f t="shared" si="36"/>
        <v>0</v>
      </c>
      <c r="H2312" s="39" t="s">
        <v>59</v>
      </c>
      <c r="J2312" s="42"/>
    </row>
    <row r="2313" spans="1:10" s="3" customFormat="1" x14ac:dyDescent="0.25">
      <c r="A2313" s="20">
        <v>42087</v>
      </c>
      <c r="B2313" s="21">
        <v>15823</v>
      </c>
      <c r="C2313" s="14" t="s">
        <v>57</v>
      </c>
      <c r="D2313" s="105">
        <v>525</v>
      </c>
      <c r="E2313" s="23">
        <v>42087</v>
      </c>
      <c r="F2313" s="106">
        <v>525</v>
      </c>
      <c r="G2313" s="31">
        <f t="shared" si="36"/>
        <v>0</v>
      </c>
      <c r="H2313" s="39" t="s">
        <v>59</v>
      </c>
      <c r="J2313" s="42"/>
    </row>
    <row r="2314" spans="1:10" s="3" customFormat="1" x14ac:dyDescent="0.25">
      <c r="A2314" s="20">
        <v>42087</v>
      </c>
      <c r="B2314" s="21">
        <v>15824</v>
      </c>
      <c r="C2314" s="14" t="s">
        <v>214</v>
      </c>
      <c r="D2314" s="105">
        <v>700</v>
      </c>
      <c r="E2314" s="23">
        <v>42088</v>
      </c>
      <c r="F2314" s="106">
        <v>700</v>
      </c>
      <c r="G2314" s="31">
        <f t="shared" si="36"/>
        <v>0</v>
      </c>
      <c r="H2314" s="39" t="s">
        <v>59</v>
      </c>
      <c r="J2314" s="42"/>
    </row>
    <row r="2315" spans="1:10" s="3" customFormat="1" x14ac:dyDescent="0.25">
      <c r="A2315" s="20">
        <v>42087</v>
      </c>
      <c r="B2315" s="21">
        <v>15825</v>
      </c>
      <c r="C2315" s="14" t="s">
        <v>111</v>
      </c>
      <c r="D2315" s="105">
        <v>5385.6</v>
      </c>
      <c r="E2315" s="23">
        <v>42089</v>
      </c>
      <c r="F2315" s="106">
        <v>5385.6</v>
      </c>
      <c r="G2315" s="31">
        <f t="shared" si="36"/>
        <v>0</v>
      </c>
      <c r="H2315" s="39" t="s">
        <v>59</v>
      </c>
      <c r="J2315" s="42"/>
    </row>
    <row r="2316" spans="1:10" s="3" customFormat="1" x14ac:dyDescent="0.25">
      <c r="A2316" s="20">
        <v>42087</v>
      </c>
      <c r="B2316" s="21">
        <v>15826</v>
      </c>
      <c r="C2316" s="14" t="s">
        <v>25</v>
      </c>
      <c r="D2316" s="105">
        <v>688.6</v>
      </c>
      <c r="E2316" s="23">
        <v>42087</v>
      </c>
      <c r="F2316" s="106">
        <v>688.6</v>
      </c>
      <c r="G2316" s="31">
        <f t="shared" si="36"/>
        <v>0</v>
      </c>
      <c r="H2316" s="39" t="s">
        <v>9</v>
      </c>
      <c r="J2316" s="42"/>
    </row>
    <row r="2317" spans="1:10" s="3" customFormat="1" x14ac:dyDescent="0.25">
      <c r="A2317" s="20">
        <v>42087</v>
      </c>
      <c r="B2317" s="21">
        <v>15827</v>
      </c>
      <c r="C2317" s="14" t="s">
        <v>130</v>
      </c>
      <c r="D2317" s="105">
        <v>2910.8</v>
      </c>
      <c r="E2317" s="23">
        <v>42087</v>
      </c>
      <c r="F2317" s="106">
        <v>2910.8</v>
      </c>
      <c r="G2317" s="31">
        <f t="shared" si="36"/>
        <v>0</v>
      </c>
      <c r="H2317" s="39" t="s">
        <v>17</v>
      </c>
      <c r="J2317" s="42"/>
    </row>
    <row r="2318" spans="1:10" s="3" customFormat="1" x14ac:dyDescent="0.25">
      <c r="A2318" s="20">
        <v>42087</v>
      </c>
      <c r="B2318" s="21">
        <v>15828</v>
      </c>
      <c r="C2318" s="14" t="s">
        <v>320</v>
      </c>
      <c r="D2318" s="105">
        <v>2767.5</v>
      </c>
      <c r="E2318" s="23">
        <v>42087</v>
      </c>
      <c r="F2318" s="106">
        <v>2767.5</v>
      </c>
      <c r="G2318" s="31">
        <f t="shared" si="36"/>
        <v>0</v>
      </c>
      <c r="H2318" s="39" t="s">
        <v>17</v>
      </c>
      <c r="J2318" s="42"/>
    </row>
    <row r="2319" spans="1:10" s="3" customFormat="1" x14ac:dyDescent="0.25">
      <c r="A2319" s="20">
        <v>42087</v>
      </c>
      <c r="B2319" s="21">
        <v>15829</v>
      </c>
      <c r="C2319" s="14" t="s">
        <v>332</v>
      </c>
      <c r="D2319" s="105">
        <v>2547.9</v>
      </c>
      <c r="E2319" s="23">
        <v>42087</v>
      </c>
      <c r="F2319" s="106">
        <v>2547.9</v>
      </c>
      <c r="G2319" s="31">
        <f t="shared" si="36"/>
        <v>0</v>
      </c>
      <c r="H2319" s="39" t="s">
        <v>9</v>
      </c>
      <c r="J2319" s="42"/>
    </row>
    <row r="2320" spans="1:10" s="3" customFormat="1" x14ac:dyDescent="0.25">
      <c r="A2320" s="20">
        <v>42087</v>
      </c>
      <c r="B2320" s="21">
        <v>15830</v>
      </c>
      <c r="C2320" s="14" t="s">
        <v>165</v>
      </c>
      <c r="D2320" s="105">
        <v>2349.1999999999998</v>
      </c>
      <c r="E2320" s="23">
        <v>42087</v>
      </c>
      <c r="F2320" s="106">
        <v>2349.1999999999998</v>
      </c>
      <c r="G2320" s="31">
        <f t="shared" si="36"/>
        <v>0</v>
      </c>
      <c r="H2320" s="39" t="s">
        <v>17</v>
      </c>
      <c r="J2320" s="42"/>
    </row>
    <row r="2321" spans="1:10" s="3" customFormat="1" x14ac:dyDescent="0.25">
      <c r="A2321" s="20">
        <v>42087</v>
      </c>
      <c r="B2321" s="21">
        <v>15831</v>
      </c>
      <c r="C2321" s="14" t="s">
        <v>43</v>
      </c>
      <c r="D2321" s="105">
        <v>3310</v>
      </c>
      <c r="E2321" s="23">
        <v>42087</v>
      </c>
      <c r="F2321" s="106">
        <v>3310</v>
      </c>
      <c r="G2321" s="31">
        <f t="shared" si="36"/>
        <v>0</v>
      </c>
      <c r="H2321" s="39" t="s">
        <v>9</v>
      </c>
      <c r="J2321" s="42"/>
    </row>
    <row r="2322" spans="1:10" s="3" customFormat="1" x14ac:dyDescent="0.25">
      <c r="A2322" s="20">
        <v>42087</v>
      </c>
      <c r="B2322" s="21">
        <v>15832</v>
      </c>
      <c r="C2322" s="14" t="s">
        <v>131</v>
      </c>
      <c r="D2322" s="105">
        <v>6210.2</v>
      </c>
      <c r="E2322" s="30">
        <v>42101</v>
      </c>
      <c r="F2322" s="144">
        <v>6210.2</v>
      </c>
      <c r="G2322" s="31">
        <f t="shared" si="36"/>
        <v>0</v>
      </c>
      <c r="H2322" s="39" t="s">
        <v>9</v>
      </c>
      <c r="J2322" s="42"/>
    </row>
    <row r="2323" spans="1:10" s="3" customFormat="1" x14ac:dyDescent="0.25">
      <c r="A2323" s="20">
        <v>42087</v>
      </c>
      <c r="B2323" s="21">
        <v>15833</v>
      </c>
      <c r="C2323" s="14" t="s">
        <v>108</v>
      </c>
      <c r="D2323" s="105">
        <v>21573</v>
      </c>
      <c r="E2323" s="23">
        <v>42088</v>
      </c>
      <c r="F2323" s="106">
        <v>21573</v>
      </c>
      <c r="G2323" s="31">
        <f t="shared" si="36"/>
        <v>0</v>
      </c>
      <c r="H2323" s="39" t="s">
        <v>17</v>
      </c>
      <c r="J2323" s="42"/>
    </row>
    <row r="2324" spans="1:10" s="3" customFormat="1" x14ac:dyDescent="0.25">
      <c r="A2324" s="20">
        <v>42087</v>
      </c>
      <c r="B2324" s="21">
        <v>15834</v>
      </c>
      <c r="C2324" s="14" t="s">
        <v>127</v>
      </c>
      <c r="D2324" s="105">
        <v>1203.5999999999999</v>
      </c>
      <c r="E2324" s="23">
        <v>42087</v>
      </c>
      <c r="F2324" s="106">
        <v>1203.5999999999999</v>
      </c>
      <c r="G2324" s="31">
        <f t="shared" si="36"/>
        <v>0</v>
      </c>
      <c r="H2324" s="39" t="s">
        <v>9</v>
      </c>
      <c r="J2324" s="42"/>
    </row>
    <row r="2325" spans="1:10" s="3" customFormat="1" x14ac:dyDescent="0.25">
      <c r="A2325" s="20">
        <v>42087</v>
      </c>
      <c r="B2325" s="21">
        <v>15835</v>
      </c>
      <c r="C2325" s="14" t="s">
        <v>18</v>
      </c>
      <c r="D2325" s="105">
        <v>39876.300000000003</v>
      </c>
      <c r="E2325" s="23">
        <v>42094</v>
      </c>
      <c r="F2325" s="106">
        <v>39876.300000000003</v>
      </c>
      <c r="G2325" s="31">
        <f t="shared" si="36"/>
        <v>0</v>
      </c>
      <c r="H2325" s="39" t="s">
        <v>94</v>
      </c>
      <c r="J2325" s="42"/>
    </row>
    <row r="2326" spans="1:10" s="3" customFormat="1" x14ac:dyDescent="0.25">
      <c r="A2326" s="20">
        <v>42087</v>
      </c>
      <c r="B2326" s="21">
        <v>15836</v>
      </c>
      <c r="C2326" s="14" t="s">
        <v>234</v>
      </c>
      <c r="D2326" s="105">
        <v>358.8</v>
      </c>
      <c r="E2326" s="23">
        <v>42087</v>
      </c>
      <c r="F2326" s="106">
        <v>358.8</v>
      </c>
      <c r="G2326" s="31">
        <f t="shared" si="36"/>
        <v>0</v>
      </c>
      <c r="H2326" s="39" t="s">
        <v>9</v>
      </c>
      <c r="J2326" s="42"/>
    </row>
    <row r="2327" spans="1:10" s="3" customFormat="1" x14ac:dyDescent="0.25">
      <c r="A2327" s="20">
        <v>42087</v>
      </c>
      <c r="B2327" s="21">
        <v>15837</v>
      </c>
      <c r="C2327" s="14" t="s">
        <v>258</v>
      </c>
      <c r="D2327" s="105">
        <v>40</v>
      </c>
      <c r="E2327" s="23">
        <v>42087</v>
      </c>
      <c r="F2327" s="106">
        <v>40</v>
      </c>
      <c r="G2327" s="31">
        <f t="shared" si="36"/>
        <v>0</v>
      </c>
      <c r="H2327" s="39" t="s">
        <v>9</v>
      </c>
      <c r="J2327" s="42"/>
    </row>
    <row r="2328" spans="1:10" s="3" customFormat="1" x14ac:dyDescent="0.25">
      <c r="A2328" s="20">
        <v>42087</v>
      </c>
      <c r="B2328" s="21">
        <v>15838</v>
      </c>
      <c r="C2328" s="14" t="s">
        <v>24</v>
      </c>
      <c r="D2328" s="105">
        <v>34519.599999999999</v>
      </c>
      <c r="E2328" s="30">
        <v>42108</v>
      </c>
      <c r="F2328" s="144">
        <v>34519.599999999999</v>
      </c>
      <c r="G2328" s="31">
        <f t="shared" si="36"/>
        <v>0</v>
      </c>
      <c r="H2328" s="39" t="s">
        <v>19</v>
      </c>
      <c r="J2328" s="42"/>
    </row>
    <row r="2329" spans="1:10" s="3" customFormat="1" x14ac:dyDescent="0.25">
      <c r="A2329" s="20">
        <v>42087</v>
      </c>
      <c r="B2329" s="21">
        <v>15839</v>
      </c>
      <c r="C2329" s="14" t="s">
        <v>411</v>
      </c>
      <c r="D2329" s="105">
        <v>1895.2</v>
      </c>
      <c r="E2329" s="23">
        <v>42087</v>
      </c>
      <c r="F2329" s="106">
        <v>1895.2</v>
      </c>
      <c r="G2329" s="31">
        <f t="shared" si="36"/>
        <v>0</v>
      </c>
      <c r="H2329" s="39" t="s">
        <v>9</v>
      </c>
      <c r="J2329" s="42"/>
    </row>
    <row r="2330" spans="1:10" s="3" customFormat="1" x14ac:dyDescent="0.25">
      <c r="A2330" s="20">
        <v>42087</v>
      </c>
      <c r="B2330" s="21">
        <v>15840</v>
      </c>
      <c r="C2330" s="150" t="s">
        <v>185</v>
      </c>
      <c r="D2330" s="105">
        <v>65954.8</v>
      </c>
      <c r="E2330" s="23">
        <v>42087</v>
      </c>
      <c r="F2330" s="106">
        <v>65954.8</v>
      </c>
      <c r="G2330" s="31">
        <f t="shared" si="36"/>
        <v>0</v>
      </c>
      <c r="H2330" s="39" t="s">
        <v>46</v>
      </c>
      <c r="J2330" s="42"/>
    </row>
    <row r="2331" spans="1:10" s="3" customFormat="1" x14ac:dyDescent="0.25">
      <c r="A2331" s="20">
        <v>42087</v>
      </c>
      <c r="B2331" s="21">
        <v>15841</v>
      </c>
      <c r="C2331" s="14" t="s">
        <v>136</v>
      </c>
      <c r="D2331" s="105">
        <v>16076.8</v>
      </c>
      <c r="E2331" s="23">
        <v>42087</v>
      </c>
      <c r="F2331" s="106">
        <v>16076.8</v>
      </c>
      <c r="G2331" s="31">
        <f t="shared" si="36"/>
        <v>0</v>
      </c>
      <c r="H2331" s="39" t="s">
        <v>9</v>
      </c>
      <c r="J2331" s="42"/>
    </row>
    <row r="2332" spans="1:10" s="3" customFormat="1" x14ac:dyDescent="0.25">
      <c r="A2332" s="20">
        <v>42087</v>
      </c>
      <c r="B2332" s="21">
        <v>15842</v>
      </c>
      <c r="C2332" s="14" t="s">
        <v>141</v>
      </c>
      <c r="D2332" s="105">
        <v>5981.2</v>
      </c>
      <c r="E2332" s="23">
        <v>42088</v>
      </c>
      <c r="F2332" s="106">
        <v>5981.2</v>
      </c>
      <c r="G2332" s="31">
        <f t="shared" si="36"/>
        <v>0</v>
      </c>
      <c r="H2332" s="39" t="s">
        <v>9</v>
      </c>
      <c r="J2332" s="42"/>
    </row>
    <row r="2333" spans="1:10" s="3" customFormat="1" x14ac:dyDescent="0.25">
      <c r="A2333" s="20">
        <v>42087</v>
      </c>
      <c r="B2333" s="21">
        <v>15843</v>
      </c>
      <c r="C2333" s="14" t="s">
        <v>106</v>
      </c>
      <c r="D2333" s="105">
        <v>27939.200000000001</v>
      </c>
      <c r="E2333" s="30">
        <v>42101</v>
      </c>
      <c r="F2333" s="144">
        <v>27939.200000000001</v>
      </c>
      <c r="G2333" s="31">
        <f t="shared" si="36"/>
        <v>0</v>
      </c>
      <c r="H2333" s="39" t="s">
        <v>41</v>
      </c>
      <c r="J2333" s="42"/>
    </row>
    <row r="2334" spans="1:10" s="3" customFormat="1" x14ac:dyDescent="0.25">
      <c r="A2334" s="20">
        <v>42087</v>
      </c>
      <c r="B2334" s="21">
        <v>15844</v>
      </c>
      <c r="C2334" s="14" t="s">
        <v>697</v>
      </c>
      <c r="D2334" s="105">
        <v>10675.5</v>
      </c>
      <c r="E2334" s="30" t="s">
        <v>1007</v>
      </c>
      <c r="F2334" s="144">
        <v>10675.5</v>
      </c>
      <c r="G2334" s="31">
        <f t="shared" si="36"/>
        <v>0</v>
      </c>
      <c r="H2334" s="39" t="s">
        <v>183</v>
      </c>
      <c r="J2334" s="42"/>
    </row>
    <row r="2335" spans="1:10" s="3" customFormat="1" x14ac:dyDescent="0.25">
      <c r="A2335" s="20">
        <v>42087</v>
      </c>
      <c r="B2335" s="21">
        <v>15845</v>
      </c>
      <c r="C2335" s="14" t="s">
        <v>98</v>
      </c>
      <c r="D2335" s="105">
        <v>1177.5999999999999</v>
      </c>
      <c r="E2335" s="23">
        <v>42088</v>
      </c>
      <c r="F2335" s="106">
        <v>1177.5999999999999</v>
      </c>
      <c r="G2335" s="31">
        <f t="shared" si="36"/>
        <v>0</v>
      </c>
      <c r="H2335" s="39" t="s">
        <v>19</v>
      </c>
      <c r="J2335" s="42"/>
    </row>
    <row r="2336" spans="1:10" s="3" customFormat="1" x14ac:dyDescent="0.25">
      <c r="A2336" s="20">
        <v>42087</v>
      </c>
      <c r="B2336" s="21">
        <v>15846</v>
      </c>
      <c r="C2336" s="14" t="s">
        <v>180</v>
      </c>
      <c r="D2336" s="105">
        <v>5419</v>
      </c>
      <c r="E2336" s="23">
        <v>42087</v>
      </c>
      <c r="F2336" s="106">
        <v>5419</v>
      </c>
      <c r="G2336" s="31">
        <f t="shared" si="36"/>
        <v>0</v>
      </c>
      <c r="H2336" s="39" t="s">
        <v>9</v>
      </c>
      <c r="J2336" s="42"/>
    </row>
    <row r="2337" spans="1:10" s="3" customFormat="1" x14ac:dyDescent="0.25">
      <c r="A2337" s="20">
        <v>42087</v>
      </c>
      <c r="B2337" s="21">
        <v>15847</v>
      </c>
      <c r="C2337" s="14" t="s">
        <v>250</v>
      </c>
      <c r="D2337" s="105">
        <v>710.7</v>
      </c>
      <c r="E2337" s="23">
        <v>42088</v>
      </c>
      <c r="F2337" s="106">
        <v>710.7</v>
      </c>
      <c r="G2337" s="31">
        <f t="shared" si="36"/>
        <v>0</v>
      </c>
      <c r="H2337" s="39" t="s">
        <v>19</v>
      </c>
      <c r="J2337" s="42"/>
    </row>
    <row r="2338" spans="1:10" s="3" customFormat="1" x14ac:dyDescent="0.25">
      <c r="A2338" s="20">
        <v>42087</v>
      </c>
      <c r="B2338" s="21">
        <v>15848</v>
      </c>
      <c r="C2338" s="14" t="s">
        <v>922</v>
      </c>
      <c r="D2338" s="105">
        <v>1184</v>
      </c>
      <c r="E2338" s="23">
        <v>42088</v>
      </c>
      <c r="F2338" s="106">
        <v>1184</v>
      </c>
      <c r="G2338" s="31">
        <f t="shared" si="36"/>
        <v>0</v>
      </c>
      <c r="H2338" s="39" t="s">
        <v>19</v>
      </c>
      <c r="J2338" s="42"/>
    </row>
    <row r="2339" spans="1:10" s="3" customFormat="1" x14ac:dyDescent="0.25">
      <c r="A2339" s="20">
        <v>42087</v>
      </c>
      <c r="B2339" s="21">
        <v>15849</v>
      </c>
      <c r="C2339" s="14" t="s">
        <v>110</v>
      </c>
      <c r="D2339" s="105">
        <v>6698</v>
      </c>
      <c r="E2339" s="23">
        <v>42093</v>
      </c>
      <c r="F2339" s="106">
        <v>6698</v>
      </c>
      <c r="G2339" s="31">
        <f t="shared" si="36"/>
        <v>0</v>
      </c>
      <c r="H2339" s="39" t="s">
        <v>19</v>
      </c>
      <c r="J2339" s="42"/>
    </row>
    <row r="2340" spans="1:10" s="3" customFormat="1" x14ac:dyDescent="0.25">
      <c r="A2340" s="20">
        <v>42087</v>
      </c>
      <c r="B2340" s="21">
        <v>15850</v>
      </c>
      <c r="C2340" s="14" t="s">
        <v>111</v>
      </c>
      <c r="D2340" s="105">
        <v>168000</v>
      </c>
      <c r="E2340" s="23">
        <v>42089</v>
      </c>
      <c r="F2340" s="106">
        <v>168000</v>
      </c>
      <c r="G2340" s="31">
        <f t="shared" si="36"/>
        <v>0</v>
      </c>
      <c r="H2340" s="39" t="s">
        <v>9</v>
      </c>
      <c r="J2340" s="42"/>
    </row>
    <row r="2341" spans="1:10" s="3" customFormat="1" x14ac:dyDescent="0.25">
      <c r="A2341" s="20">
        <v>42087</v>
      </c>
      <c r="B2341" s="21">
        <v>15851</v>
      </c>
      <c r="C2341" s="14" t="s">
        <v>285</v>
      </c>
      <c r="D2341" s="105">
        <v>533.20000000000005</v>
      </c>
      <c r="E2341" s="23">
        <v>42088</v>
      </c>
      <c r="F2341" s="106">
        <v>533.20000000000005</v>
      </c>
      <c r="G2341" s="31">
        <f t="shared" si="36"/>
        <v>0</v>
      </c>
      <c r="H2341" s="39" t="s">
        <v>19</v>
      </c>
      <c r="J2341" s="42"/>
    </row>
    <row r="2342" spans="1:10" s="3" customFormat="1" x14ac:dyDescent="0.25">
      <c r="A2342" s="20">
        <v>42087</v>
      </c>
      <c r="B2342" s="21">
        <v>15852</v>
      </c>
      <c r="C2342" s="14" t="s">
        <v>375</v>
      </c>
      <c r="D2342" s="105">
        <v>127.2</v>
      </c>
      <c r="E2342" s="23">
        <v>42087</v>
      </c>
      <c r="F2342" s="106">
        <v>127.2</v>
      </c>
      <c r="G2342" s="31">
        <f t="shared" si="36"/>
        <v>0</v>
      </c>
      <c r="H2342" s="39" t="s">
        <v>9</v>
      </c>
      <c r="J2342" s="42"/>
    </row>
    <row r="2343" spans="1:10" s="3" customFormat="1" x14ac:dyDescent="0.25">
      <c r="A2343" s="20">
        <v>42087</v>
      </c>
      <c r="B2343" s="21">
        <v>15853</v>
      </c>
      <c r="C2343" s="26" t="s">
        <v>218</v>
      </c>
      <c r="D2343" s="108">
        <v>0</v>
      </c>
      <c r="E2343" s="23"/>
      <c r="F2343" s="106"/>
      <c r="G2343" s="31">
        <f t="shared" si="36"/>
        <v>0</v>
      </c>
      <c r="H2343" s="39" t="s">
        <v>13</v>
      </c>
      <c r="J2343" s="42"/>
    </row>
    <row r="2344" spans="1:10" s="3" customFormat="1" x14ac:dyDescent="0.25">
      <c r="A2344" s="20">
        <v>42087</v>
      </c>
      <c r="B2344" s="21">
        <v>15854</v>
      </c>
      <c r="C2344" s="26" t="s">
        <v>218</v>
      </c>
      <c r="D2344" s="108">
        <v>0</v>
      </c>
      <c r="E2344" s="23"/>
      <c r="F2344" s="106"/>
      <c r="G2344" s="31">
        <f t="shared" si="36"/>
        <v>0</v>
      </c>
      <c r="H2344" s="39" t="s">
        <v>13</v>
      </c>
      <c r="J2344" s="42"/>
    </row>
    <row r="2345" spans="1:10" s="3" customFormat="1" x14ac:dyDescent="0.25">
      <c r="A2345" s="20">
        <v>42087</v>
      </c>
      <c r="B2345" s="21">
        <v>15855</v>
      </c>
      <c r="C2345" s="14" t="s">
        <v>111</v>
      </c>
      <c r="D2345" s="105">
        <v>129802</v>
      </c>
      <c r="E2345" s="23">
        <v>42089</v>
      </c>
      <c r="F2345" s="106">
        <v>129802</v>
      </c>
      <c r="G2345" s="31">
        <f t="shared" si="36"/>
        <v>0</v>
      </c>
      <c r="H2345" s="39" t="s">
        <v>9</v>
      </c>
      <c r="J2345" s="42"/>
    </row>
    <row r="2346" spans="1:10" s="3" customFormat="1" x14ac:dyDescent="0.25">
      <c r="A2346" s="20">
        <v>42087</v>
      </c>
      <c r="B2346" s="21">
        <v>15856</v>
      </c>
      <c r="C2346" s="14" t="s">
        <v>14</v>
      </c>
      <c r="D2346" s="105">
        <v>64020.25</v>
      </c>
      <c r="E2346" s="23">
        <v>42093</v>
      </c>
      <c r="F2346" s="106">
        <v>64020.25</v>
      </c>
      <c r="G2346" s="31">
        <f t="shared" si="36"/>
        <v>0</v>
      </c>
      <c r="H2346" s="39" t="s">
        <v>183</v>
      </c>
      <c r="J2346" s="42"/>
    </row>
    <row r="2347" spans="1:10" s="3" customFormat="1" x14ac:dyDescent="0.25">
      <c r="A2347" s="20">
        <v>42087</v>
      </c>
      <c r="B2347" s="21">
        <v>15857</v>
      </c>
      <c r="C2347" s="14" t="s">
        <v>136</v>
      </c>
      <c r="D2347" s="105">
        <v>540</v>
      </c>
      <c r="E2347" s="23">
        <v>42087</v>
      </c>
      <c r="F2347" s="106">
        <v>540</v>
      </c>
      <c r="G2347" s="31">
        <f t="shared" si="36"/>
        <v>0</v>
      </c>
      <c r="H2347" s="39" t="s">
        <v>94</v>
      </c>
      <c r="J2347" s="42"/>
    </row>
    <row r="2348" spans="1:10" s="3" customFormat="1" x14ac:dyDescent="0.25">
      <c r="A2348" s="20">
        <v>42087</v>
      </c>
      <c r="B2348" s="21">
        <v>15858</v>
      </c>
      <c r="C2348" s="14" t="s">
        <v>80</v>
      </c>
      <c r="D2348" s="105">
        <v>6776.2</v>
      </c>
      <c r="E2348" s="23">
        <v>42087</v>
      </c>
      <c r="F2348" s="106">
        <v>6776.2</v>
      </c>
      <c r="G2348" s="31">
        <f t="shared" si="36"/>
        <v>0</v>
      </c>
      <c r="H2348" s="39" t="s">
        <v>9</v>
      </c>
      <c r="J2348" s="42"/>
    </row>
    <row r="2349" spans="1:10" s="3" customFormat="1" x14ac:dyDescent="0.25">
      <c r="A2349" s="20">
        <v>42087</v>
      </c>
      <c r="B2349" s="21">
        <v>15859</v>
      </c>
      <c r="C2349" s="14" t="s">
        <v>35</v>
      </c>
      <c r="D2349" s="105">
        <v>19684.54</v>
      </c>
      <c r="E2349" s="23">
        <v>42089</v>
      </c>
      <c r="F2349" s="106">
        <v>19684.54</v>
      </c>
      <c r="G2349" s="31">
        <f t="shared" si="36"/>
        <v>0</v>
      </c>
      <c r="H2349" s="39" t="s">
        <v>94</v>
      </c>
      <c r="J2349" s="42"/>
    </row>
    <row r="2350" spans="1:10" s="3" customFormat="1" x14ac:dyDescent="0.25">
      <c r="A2350" s="20">
        <v>42087</v>
      </c>
      <c r="B2350" s="21">
        <v>15860</v>
      </c>
      <c r="C2350" s="14" t="s">
        <v>24</v>
      </c>
      <c r="D2350" s="105">
        <v>236570.87</v>
      </c>
      <c r="E2350" s="30">
        <v>42108</v>
      </c>
      <c r="F2350" s="144">
        <v>236570.87</v>
      </c>
      <c r="G2350" s="31">
        <f t="shared" si="36"/>
        <v>0</v>
      </c>
      <c r="H2350" s="39" t="s">
        <v>46</v>
      </c>
      <c r="J2350" s="42"/>
    </row>
    <row r="2351" spans="1:10" s="3" customFormat="1" x14ac:dyDescent="0.25">
      <c r="A2351" s="20">
        <v>42087</v>
      </c>
      <c r="B2351" s="21">
        <v>15861</v>
      </c>
      <c r="C2351" s="14" t="s">
        <v>100</v>
      </c>
      <c r="D2351" s="105">
        <v>472.4</v>
      </c>
      <c r="E2351" s="23">
        <v>42087</v>
      </c>
      <c r="F2351" s="106">
        <v>472.4</v>
      </c>
      <c r="G2351" s="31">
        <f t="shared" si="36"/>
        <v>0</v>
      </c>
      <c r="H2351" s="39" t="s">
        <v>9</v>
      </c>
      <c r="J2351" s="42"/>
    </row>
    <row r="2352" spans="1:10" s="3" customFormat="1" x14ac:dyDescent="0.25">
      <c r="A2352" s="20">
        <v>42087</v>
      </c>
      <c r="B2352" s="21">
        <v>15862</v>
      </c>
      <c r="C2352" s="14" t="s">
        <v>834</v>
      </c>
      <c r="D2352" s="105">
        <v>1820</v>
      </c>
      <c r="E2352" s="23">
        <v>42087</v>
      </c>
      <c r="F2352" s="106">
        <v>1820</v>
      </c>
      <c r="G2352" s="31">
        <f t="shared" si="36"/>
        <v>0</v>
      </c>
      <c r="H2352" s="39" t="s">
        <v>9</v>
      </c>
      <c r="J2352" s="42"/>
    </row>
    <row r="2353" spans="1:10" s="3" customFormat="1" x14ac:dyDescent="0.25">
      <c r="A2353" s="20">
        <v>42087</v>
      </c>
      <c r="B2353" s="21">
        <v>15863</v>
      </c>
      <c r="C2353" s="14" t="s">
        <v>24</v>
      </c>
      <c r="D2353" s="105">
        <v>20742</v>
      </c>
      <c r="E2353" s="30">
        <v>42108</v>
      </c>
      <c r="F2353" s="144">
        <v>20742</v>
      </c>
      <c r="G2353" s="31">
        <f t="shared" si="36"/>
        <v>0</v>
      </c>
      <c r="H2353" s="39" t="s">
        <v>94</v>
      </c>
      <c r="J2353" s="42"/>
    </row>
    <row r="2354" spans="1:10" s="3" customFormat="1" x14ac:dyDescent="0.25">
      <c r="A2354" s="20">
        <v>42088</v>
      </c>
      <c r="B2354" s="21">
        <v>15864</v>
      </c>
      <c r="C2354" s="14" t="s">
        <v>112</v>
      </c>
      <c r="D2354" s="105">
        <v>2692.8</v>
      </c>
      <c r="E2354" s="23">
        <v>42088</v>
      </c>
      <c r="F2354" s="106">
        <v>2692.8</v>
      </c>
      <c r="G2354" s="31">
        <f t="shared" si="36"/>
        <v>0</v>
      </c>
      <c r="H2354" s="39" t="s">
        <v>9</v>
      </c>
      <c r="J2354" s="42"/>
    </row>
    <row r="2355" spans="1:10" s="3" customFormat="1" x14ac:dyDescent="0.25">
      <c r="A2355" s="20">
        <v>42088</v>
      </c>
      <c r="B2355" s="21">
        <v>15865</v>
      </c>
      <c r="C2355" s="14" t="s">
        <v>15</v>
      </c>
      <c r="D2355" s="105">
        <v>17298.900000000001</v>
      </c>
      <c r="E2355" s="23">
        <v>42093</v>
      </c>
      <c r="F2355" s="106">
        <v>17298.900000000001</v>
      </c>
      <c r="G2355" s="31">
        <f t="shared" si="36"/>
        <v>0</v>
      </c>
      <c r="H2355" s="39" t="s">
        <v>9</v>
      </c>
      <c r="J2355" s="42"/>
    </row>
    <row r="2356" spans="1:10" s="3" customFormat="1" x14ac:dyDescent="0.25">
      <c r="A2356" s="20">
        <v>42088</v>
      </c>
      <c r="B2356" s="21">
        <v>15866</v>
      </c>
      <c r="C2356" s="26" t="s">
        <v>218</v>
      </c>
      <c r="D2356" s="108">
        <v>0</v>
      </c>
      <c r="E2356" s="23"/>
      <c r="F2356" s="106"/>
      <c r="G2356" s="31">
        <f t="shared" si="36"/>
        <v>0</v>
      </c>
      <c r="H2356" s="39" t="s">
        <v>13</v>
      </c>
      <c r="J2356" s="42"/>
    </row>
    <row r="2357" spans="1:10" s="3" customFormat="1" x14ac:dyDescent="0.25">
      <c r="A2357" s="20">
        <v>42088</v>
      </c>
      <c r="B2357" s="21">
        <v>15867</v>
      </c>
      <c r="C2357" s="14" t="s">
        <v>440</v>
      </c>
      <c r="D2357" s="105">
        <v>9876.1</v>
      </c>
      <c r="E2357" s="23">
        <v>42088</v>
      </c>
      <c r="F2357" s="106">
        <v>9876.1</v>
      </c>
      <c r="G2357" s="31">
        <f t="shared" si="36"/>
        <v>0</v>
      </c>
      <c r="H2357" s="39" t="s">
        <v>9</v>
      </c>
      <c r="J2357" s="42"/>
    </row>
    <row r="2358" spans="1:10" s="3" customFormat="1" x14ac:dyDescent="0.25">
      <c r="A2358" s="20">
        <v>42088</v>
      </c>
      <c r="B2358" s="21">
        <v>15868</v>
      </c>
      <c r="C2358" s="14" t="s">
        <v>16</v>
      </c>
      <c r="D2358" s="105">
        <v>5316</v>
      </c>
      <c r="E2358" s="23">
        <v>42088</v>
      </c>
      <c r="F2358" s="106">
        <v>5316</v>
      </c>
      <c r="G2358" s="31">
        <f t="shared" si="36"/>
        <v>0</v>
      </c>
      <c r="H2358" s="39" t="s">
        <v>17</v>
      </c>
      <c r="J2358" s="42"/>
    </row>
    <row r="2359" spans="1:10" s="3" customFormat="1" x14ac:dyDescent="0.25">
      <c r="A2359" s="20">
        <v>42088</v>
      </c>
      <c r="B2359" s="21">
        <v>15869</v>
      </c>
      <c r="C2359" s="14" t="s">
        <v>923</v>
      </c>
      <c r="D2359" s="105">
        <v>2494.4</v>
      </c>
      <c r="E2359" s="23">
        <v>42088</v>
      </c>
      <c r="F2359" s="106">
        <v>2494.4</v>
      </c>
      <c r="G2359" s="31">
        <f t="shared" si="36"/>
        <v>0</v>
      </c>
      <c r="H2359" s="39" t="s">
        <v>9</v>
      </c>
      <c r="J2359" s="42"/>
    </row>
    <row r="2360" spans="1:10" s="3" customFormat="1" x14ac:dyDescent="0.25">
      <c r="A2360" s="20">
        <v>42088</v>
      </c>
      <c r="B2360" s="21">
        <v>15870</v>
      </c>
      <c r="C2360" s="14" t="s">
        <v>112</v>
      </c>
      <c r="D2360" s="105">
        <v>15654.8</v>
      </c>
      <c r="E2360" s="29" t="s">
        <v>924</v>
      </c>
      <c r="F2360" s="106">
        <f>9900+5754.8</f>
        <v>15654.8</v>
      </c>
      <c r="G2360" s="48">
        <f t="shared" si="36"/>
        <v>0</v>
      </c>
      <c r="H2360" s="39" t="s">
        <v>9</v>
      </c>
      <c r="J2360" s="42"/>
    </row>
    <row r="2361" spans="1:10" s="3" customFormat="1" x14ac:dyDescent="0.25">
      <c r="A2361" s="20">
        <v>42088</v>
      </c>
      <c r="B2361" s="21">
        <v>15871</v>
      </c>
      <c r="C2361" s="14" t="s">
        <v>158</v>
      </c>
      <c r="D2361" s="105">
        <v>4636</v>
      </c>
      <c r="E2361" s="23">
        <v>42088</v>
      </c>
      <c r="F2361" s="106">
        <v>4636</v>
      </c>
      <c r="G2361" s="31">
        <f t="shared" si="36"/>
        <v>0</v>
      </c>
      <c r="H2361" s="39" t="s">
        <v>9</v>
      </c>
      <c r="J2361" s="42"/>
    </row>
    <row r="2362" spans="1:10" s="3" customFormat="1" x14ac:dyDescent="0.25">
      <c r="A2362" s="20">
        <v>42088</v>
      </c>
      <c r="B2362" s="21">
        <v>15872</v>
      </c>
      <c r="C2362" s="14" t="s">
        <v>121</v>
      </c>
      <c r="D2362" s="105">
        <v>2150.4</v>
      </c>
      <c r="E2362" s="23">
        <v>42088</v>
      </c>
      <c r="F2362" s="106">
        <v>2150.4</v>
      </c>
      <c r="G2362" s="31">
        <f t="shared" si="36"/>
        <v>0</v>
      </c>
      <c r="H2362" s="39" t="s">
        <v>9</v>
      </c>
      <c r="J2362" s="42"/>
    </row>
    <row r="2363" spans="1:10" s="3" customFormat="1" x14ac:dyDescent="0.25">
      <c r="A2363" s="20">
        <v>42088</v>
      </c>
      <c r="B2363" s="21">
        <v>15873</v>
      </c>
      <c r="C2363" s="14" t="s">
        <v>158</v>
      </c>
      <c r="D2363" s="105">
        <v>1510.4</v>
      </c>
      <c r="E2363" s="23">
        <v>42088</v>
      </c>
      <c r="F2363" s="106">
        <v>1510.4</v>
      </c>
      <c r="G2363" s="31">
        <f t="shared" si="36"/>
        <v>0</v>
      </c>
      <c r="H2363" s="39" t="s">
        <v>9</v>
      </c>
      <c r="J2363" s="42"/>
    </row>
    <row r="2364" spans="1:10" s="3" customFormat="1" x14ac:dyDescent="0.25">
      <c r="A2364" s="20">
        <v>42088</v>
      </c>
      <c r="B2364" s="21">
        <v>15874</v>
      </c>
      <c r="C2364" s="14" t="s">
        <v>114</v>
      </c>
      <c r="D2364" s="105">
        <v>804</v>
      </c>
      <c r="E2364" s="23">
        <v>42088</v>
      </c>
      <c r="F2364" s="106">
        <v>804</v>
      </c>
      <c r="G2364" s="31">
        <f t="shared" si="36"/>
        <v>0</v>
      </c>
      <c r="H2364" s="39" t="s">
        <v>9</v>
      </c>
      <c r="J2364" s="42"/>
    </row>
    <row r="2365" spans="1:10" s="3" customFormat="1" x14ac:dyDescent="0.25">
      <c r="A2365" s="20">
        <v>42088</v>
      </c>
      <c r="B2365" s="21">
        <v>15875</v>
      </c>
      <c r="C2365" s="14" t="s">
        <v>137</v>
      </c>
      <c r="D2365" s="105">
        <v>164</v>
      </c>
      <c r="E2365" s="23">
        <v>42088</v>
      </c>
      <c r="F2365" s="106">
        <v>164</v>
      </c>
      <c r="G2365" s="31">
        <f t="shared" si="36"/>
        <v>0</v>
      </c>
      <c r="H2365" s="39" t="s">
        <v>9</v>
      </c>
      <c r="J2365" s="42"/>
    </row>
    <row r="2366" spans="1:10" s="3" customFormat="1" x14ac:dyDescent="0.25">
      <c r="A2366" s="20">
        <v>42088</v>
      </c>
      <c r="B2366" s="21">
        <v>15876</v>
      </c>
      <c r="C2366" s="14" t="s">
        <v>720</v>
      </c>
      <c r="D2366" s="105">
        <v>5192.8</v>
      </c>
      <c r="E2366" s="23">
        <v>42088</v>
      </c>
      <c r="F2366" s="106">
        <v>5192.8</v>
      </c>
      <c r="G2366" s="31">
        <f t="shared" si="36"/>
        <v>0</v>
      </c>
      <c r="H2366" s="39" t="s">
        <v>9</v>
      </c>
      <c r="J2366" s="42"/>
    </row>
    <row r="2367" spans="1:10" s="3" customFormat="1" x14ac:dyDescent="0.25">
      <c r="A2367" s="20">
        <v>42088</v>
      </c>
      <c r="B2367" s="21">
        <v>15877</v>
      </c>
      <c r="C2367" s="14" t="s">
        <v>215</v>
      </c>
      <c r="D2367" s="105">
        <v>32824.400000000001</v>
      </c>
      <c r="E2367" s="23">
        <v>42088</v>
      </c>
      <c r="F2367" s="106">
        <v>32824.400000000001</v>
      </c>
      <c r="G2367" s="31">
        <f t="shared" si="36"/>
        <v>0</v>
      </c>
      <c r="H2367" s="39" t="s">
        <v>773</v>
      </c>
      <c r="J2367" s="42"/>
    </row>
    <row r="2368" spans="1:10" s="3" customFormat="1" x14ac:dyDescent="0.25">
      <c r="A2368" s="20">
        <v>42088</v>
      </c>
      <c r="B2368" s="21">
        <v>15878</v>
      </c>
      <c r="C2368" s="14" t="s">
        <v>161</v>
      </c>
      <c r="D2368" s="105">
        <v>2579.5</v>
      </c>
      <c r="E2368" s="23">
        <v>42088</v>
      </c>
      <c r="F2368" s="106">
        <v>2579.5</v>
      </c>
      <c r="G2368" s="31">
        <f t="shared" si="36"/>
        <v>0</v>
      </c>
      <c r="H2368" s="39" t="s">
        <v>9</v>
      </c>
      <c r="J2368" s="42"/>
    </row>
    <row r="2369" spans="1:10" s="3" customFormat="1" x14ac:dyDescent="0.25">
      <c r="A2369" s="20">
        <v>42088</v>
      </c>
      <c r="B2369" s="21">
        <v>15879</v>
      </c>
      <c r="C2369" s="14" t="s">
        <v>23</v>
      </c>
      <c r="D2369" s="105">
        <v>3172.4</v>
      </c>
      <c r="E2369" s="23">
        <v>42088</v>
      </c>
      <c r="F2369" s="106">
        <v>3172.4</v>
      </c>
      <c r="G2369" s="31">
        <f t="shared" si="36"/>
        <v>0</v>
      </c>
      <c r="H2369" s="39" t="s">
        <v>9</v>
      </c>
      <c r="J2369" s="42"/>
    </row>
    <row r="2370" spans="1:10" s="3" customFormat="1" x14ac:dyDescent="0.25">
      <c r="A2370" s="20">
        <v>42088</v>
      </c>
      <c r="B2370" s="21">
        <v>15880</v>
      </c>
      <c r="C2370" s="14" t="s">
        <v>854</v>
      </c>
      <c r="D2370" s="105">
        <v>548.79999999999995</v>
      </c>
      <c r="E2370" s="23">
        <v>42088</v>
      </c>
      <c r="F2370" s="106">
        <v>548.79999999999995</v>
      </c>
      <c r="G2370" s="31">
        <f t="shared" si="36"/>
        <v>0</v>
      </c>
      <c r="H2370" s="39" t="s">
        <v>9</v>
      </c>
      <c r="J2370" s="42"/>
    </row>
    <row r="2371" spans="1:10" s="3" customFormat="1" x14ac:dyDescent="0.25">
      <c r="A2371" s="20">
        <v>42088</v>
      </c>
      <c r="B2371" s="21">
        <v>15881</v>
      </c>
      <c r="C2371" s="14" t="s">
        <v>21</v>
      </c>
      <c r="D2371" s="105">
        <v>6287.2</v>
      </c>
      <c r="E2371" s="23">
        <v>42088</v>
      </c>
      <c r="F2371" s="106">
        <v>6287.2</v>
      </c>
      <c r="G2371" s="31">
        <f t="shared" ref="G2371:G2434" si="37">D2371-F2371</f>
        <v>0</v>
      </c>
      <c r="H2371" s="39" t="s">
        <v>9</v>
      </c>
      <c r="J2371" s="42"/>
    </row>
    <row r="2372" spans="1:10" s="3" customFormat="1" x14ac:dyDescent="0.25">
      <c r="A2372" s="20">
        <v>42088</v>
      </c>
      <c r="B2372" s="21">
        <v>15882</v>
      </c>
      <c r="C2372" s="14" t="s">
        <v>20</v>
      </c>
      <c r="D2372" s="105">
        <v>5971.4</v>
      </c>
      <c r="E2372" s="72">
        <v>42088</v>
      </c>
      <c r="F2372" s="106">
        <v>5971.4</v>
      </c>
      <c r="G2372" s="31">
        <f t="shared" si="37"/>
        <v>0</v>
      </c>
      <c r="H2372" s="39" t="s">
        <v>183</v>
      </c>
      <c r="J2372" s="42"/>
    </row>
    <row r="2373" spans="1:10" s="3" customFormat="1" x14ac:dyDescent="0.25">
      <c r="A2373" s="20">
        <v>42088</v>
      </c>
      <c r="B2373" s="21">
        <v>15883</v>
      </c>
      <c r="C2373" s="14" t="s">
        <v>18</v>
      </c>
      <c r="D2373" s="105">
        <v>55011.35</v>
      </c>
      <c r="E2373" s="30">
        <v>42101</v>
      </c>
      <c r="F2373" s="144">
        <v>55011.35</v>
      </c>
      <c r="G2373" s="31">
        <f t="shared" si="37"/>
        <v>0</v>
      </c>
      <c r="H2373" s="39" t="s">
        <v>46</v>
      </c>
      <c r="J2373" s="42"/>
    </row>
    <row r="2374" spans="1:10" s="3" customFormat="1" x14ac:dyDescent="0.25">
      <c r="A2374" s="20">
        <v>42088</v>
      </c>
      <c r="B2374" s="21">
        <v>15884</v>
      </c>
      <c r="C2374" s="14" t="s">
        <v>151</v>
      </c>
      <c r="D2374" s="105">
        <v>2026.8</v>
      </c>
      <c r="E2374" s="23">
        <v>42089</v>
      </c>
      <c r="F2374" s="106">
        <v>2026.8</v>
      </c>
      <c r="G2374" s="31">
        <f t="shared" si="37"/>
        <v>0</v>
      </c>
      <c r="H2374" s="39" t="s">
        <v>9</v>
      </c>
      <c r="J2374" s="42"/>
    </row>
    <row r="2375" spans="1:10" s="3" customFormat="1" x14ac:dyDescent="0.25">
      <c r="A2375" s="20">
        <v>42088</v>
      </c>
      <c r="B2375" s="21">
        <v>15885</v>
      </c>
      <c r="C2375" s="14" t="s">
        <v>214</v>
      </c>
      <c r="D2375" s="105">
        <v>1575</v>
      </c>
      <c r="E2375" s="23">
        <v>42088</v>
      </c>
      <c r="F2375" s="106">
        <v>1575</v>
      </c>
      <c r="G2375" s="31">
        <f t="shared" si="37"/>
        <v>0</v>
      </c>
      <c r="H2375" s="39" t="s">
        <v>17</v>
      </c>
      <c r="J2375" s="42"/>
    </row>
    <row r="2376" spans="1:10" s="3" customFormat="1" x14ac:dyDescent="0.25">
      <c r="A2376" s="20">
        <v>42088</v>
      </c>
      <c r="B2376" s="21">
        <v>15886</v>
      </c>
      <c r="C2376" s="110">
        <v>105</v>
      </c>
      <c r="D2376" s="105">
        <v>1225</v>
      </c>
      <c r="E2376" s="23">
        <v>42088</v>
      </c>
      <c r="F2376" s="106">
        <v>1225</v>
      </c>
      <c r="G2376" s="31">
        <f t="shared" si="37"/>
        <v>0</v>
      </c>
      <c r="H2376" s="39" t="s">
        <v>17</v>
      </c>
      <c r="J2376" s="42"/>
    </row>
    <row r="2377" spans="1:10" s="3" customFormat="1" x14ac:dyDescent="0.25">
      <c r="A2377" s="20">
        <v>42088</v>
      </c>
      <c r="B2377" s="21">
        <v>15887</v>
      </c>
      <c r="C2377" s="14" t="s">
        <v>157</v>
      </c>
      <c r="D2377" s="105">
        <v>1771.2</v>
      </c>
      <c r="E2377" s="23">
        <v>42088</v>
      </c>
      <c r="F2377" s="106">
        <v>1771.2</v>
      </c>
      <c r="G2377" s="31">
        <f t="shared" si="37"/>
        <v>0</v>
      </c>
      <c r="H2377" s="39" t="s">
        <v>9</v>
      </c>
      <c r="J2377" s="42"/>
    </row>
    <row r="2378" spans="1:10" s="3" customFormat="1" x14ac:dyDescent="0.25">
      <c r="A2378" s="20">
        <v>42088</v>
      </c>
      <c r="B2378" s="21">
        <v>15888</v>
      </c>
      <c r="C2378" s="14" t="s">
        <v>135</v>
      </c>
      <c r="D2378" s="105">
        <v>5397.6</v>
      </c>
      <c r="E2378" s="23">
        <v>42088</v>
      </c>
      <c r="F2378" s="106">
        <v>5397.6</v>
      </c>
      <c r="G2378" s="31">
        <f t="shared" si="37"/>
        <v>0</v>
      </c>
      <c r="H2378" s="39" t="s">
        <v>9</v>
      </c>
      <c r="J2378" s="42"/>
    </row>
    <row r="2379" spans="1:10" s="3" customFormat="1" x14ac:dyDescent="0.25">
      <c r="A2379" s="20">
        <v>42088</v>
      </c>
      <c r="B2379" s="21">
        <v>15889</v>
      </c>
      <c r="C2379" s="14" t="s">
        <v>26</v>
      </c>
      <c r="D2379" s="105">
        <v>2176</v>
      </c>
      <c r="E2379" s="23">
        <v>42088</v>
      </c>
      <c r="F2379" s="106">
        <v>2176</v>
      </c>
      <c r="G2379" s="31">
        <f t="shared" si="37"/>
        <v>0</v>
      </c>
      <c r="H2379" s="39" t="s">
        <v>27</v>
      </c>
      <c r="J2379" s="42"/>
    </row>
    <row r="2380" spans="1:10" s="3" customFormat="1" x14ac:dyDescent="0.25">
      <c r="A2380" s="20">
        <v>42088</v>
      </c>
      <c r="B2380" s="21">
        <v>15890</v>
      </c>
      <c r="C2380" s="14" t="s">
        <v>125</v>
      </c>
      <c r="D2380" s="105">
        <v>11437.2</v>
      </c>
      <c r="E2380" s="23">
        <v>42088</v>
      </c>
      <c r="F2380" s="106">
        <v>11437.2</v>
      </c>
      <c r="G2380" s="31">
        <f t="shared" si="37"/>
        <v>0</v>
      </c>
      <c r="H2380" s="39" t="s">
        <v>9</v>
      </c>
      <c r="J2380" s="42"/>
    </row>
    <row r="2381" spans="1:10" s="3" customFormat="1" x14ac:dyDescent="0.25">
      <c r="A2381" s="20">
        <v>42088</v>
      </c>
      <c r="B2381" s="21">
        <v>15891</v>
      </c>
      <c r="C2381" s="14" t="s">
        <v>925</v>
      </c>
      <c r="D2381" s="105">
        <v>702.6</v>
      </c>
      <c r="E2381" s="23">
        <v>42088</v>
      </c>
      <c r="F2381" s="106">
        <v>702.6</v>
      </c>
      <c r="G2381" s="31">
        <f t="shared" si="37"/>
        <v>0</v>
      </c>
      <c r="H2381" s="39" t="s">
        <v>15</v>
      </c>
      <c r="J2381" s="42"/>
    </row>
    <row r="2382" spans="1:10" s="3" customFormat="1" x14ac:dyDescent="0.25">
      <c r="A2382" s="20">
        <v>42088</v>
      </c>
      <c r="B2382" s="21">
        <v>15892</v>
      </c>
      <c r="C2382" s="14" t="s">
        <v>67</v>
      </c>
      <c r="D2382" s="105">
        <v>3192.9</v>
      </c>
      <c r="E2382" s="23">
        <v>42089</v>
      </c>
      <c r="F2382" s="106">
        <v>3192.9</v>
      </c>
      <c r="G2382" s="31">
        <f t="shared" si="37"/>
        <v>0</v>
      </c>
      <c r="H2382" s="39" t="s">
        <v>62</v>
      </c>
      <c r="J2382" s="42"/>
    </row>
    <row r="2383" spans="1:10" s="3" customFormat="1" x14ac:dyDescent="0.25">
      <c r="A2383" s="20">
        <v>42088</v>
      </c>
      <c r="B2383" s="21">
        <v>15893</v>
      </c>
      <c r="C2383" s="14" t="s">
        <v>78</v>
      </c>
      <c r="D2383" s="105">
        <v>9279.2000000000007</v>
      </c>
      <c r="E2383" s="65">
        <v>42089</v>
      </c>
      <c r="F2383" s="106">
        <v>9279.2000000000007</v>
      </c>
      <c r="G2383" s="31">
        <f t="shared" si="37"/>
        <v>0</v>
      </c>
      <c r="H2383" s="39" t="s">
        <v>62</v>
      </c>
      <c r="J2383" s="42"/>
    </row>
    <row r="2384" spans="1:10" s="3" customFormat="1" x14ac:dyDescent="0.25">
      <c r="A2384" s="20">
        <v>42088</v>
      </c>
      <c r="B2384" s="21">
        <v>15894</v>
      </c>
      <c r="C2384" s="14" t="s">
        <v>170</v>
      </c>
      <c r="D2384" s="105">
        <v>3542</v>
      </c>
      <c r="E2384" s="65">
        <v>42089</v>
      </c>
      <c r="F2384" s="106">
        <v>3542</v>
      </c>
      <c r="G2384" s="31">
        <f t="shared" si="37"/>
        <v>0</v>
      </c>
      <c r="H2384" s="39" t="s">
        <v>62</v>
      </c>
      <c r="J2384" s="42"/>
    </row>
    <row r="2385" spans="1:10" s="3" customFormat="1" x14ac:dyDescent="0.25">
      <c r="A2385" s="20">
        <v>42088</v>
      </c>
      <c r="B2385" s="21">
        <v>15895</v>
      </c>
      <c r="C2385" s="14" t="s">
        <v>81</v>
      </c>
      <c r="D2385" s="105">
        <v>1324.2</v>
      </c>
      <c r="E2385" s="65">
        <v>42088</v>
      </c>
      <c r="F2385" s="106">
        <v>1324.2</v>
      </c>
      <c r="G2385" s="31">
        <f t="shared" si="37"/>
        <v>0</v>
      </c>
      <c r="H2385" s="39" t="s">
        <v>17</v>
      </c>
      <c r="J2385" s="42"/>
    </row>
    <row r="2386" spans="1:10" s="3" customFormat="1" x14ac:dyDescent="0.25">
      <c r="A2386" s="20">
        <v>42088</v>
      </c>
      <c r="B2386" s="21">
        <v>15896</v>
      </c>
      <c r="C2386" s="14" t="s">
        <v>729</v>
      </c>
      <c r="D2386" s="105">
        <v>1484.8</v>
      </c>
      <c r="E2386" s="65">
        <v>42088</v>
      </c>
      <c r="F2386" s="106">
        <v>1484.8</v>
      </c>
      <c r="G2386" s="48">
        <f t="shared" si="37"/>
        <v>0</v>
      </c>
      <c r="H2386" s="39" t="s">
        <v>17</v>
      </c>
      <c r="J2386" s="42"/>
    </row>
    <row r="2387" spans="1:10" s="3" customFormat="1" x14ac:dyDescent="0.25">
      <c r="A2387" s="20">
        <v>42088</v>
      </c>
      <c r="B2387" s="21">
        <v>15897</v>
      </c>
      <c r="C2387" s="14" t="s">
        <v>75</v>
      </c>
      <c r="D2387" s="105">
        <v>19699.2</v>
      </c>
      <c r="E2387" s="65">
        <v>42089</v>
      </c>
      <c r="F2387" s="106">
        <v>19699.2</v>
      </c>
      <c r="G2387" s="31">
        <f t="shared" si="37"/>
        <v>0</v>
      </c>
      <c r="H2387" s="39" t="s">
        <v>62</v>
      </c>
      <c r="J2387" s="42"/>
    </row>
    <row r="2388" spans="1:10" s="3" customFormat="1" x14ac:dyDescent="0.25">
      <c r="A2388" s="20">
        <v>42088</v>
      </c>
      <c r="B2388" s="21">
        <v>15898</v>
      </c>
      <c r="C2388" s="14" t="s">
        <v>53</v>
      </c>
      <c r="D2388" s="105">
        <v>662.4</v>
      </c>
      <c r="E2388" s="65">
        <v>42088</v>
      </c>
      <c r="F2388" s="106">
        <v>662.4</v>
      </c>
      <c r="G2388" s="31">
        <f t="shared" si="37"/>
        <v>0</v>
      </c>
      <c r="H2388" s="39" t="s">
        <v>17</v>
      </c>
      <c r="J2388" s="42"/>
    </row>
    <row r="2389" spans="1:10" s="3" customFormat="1" x14ac:dyDescent="0.25">
      <c r="A2389" s="20">
        <v>42088</v>
      </c>
      <c r="B2389" s="21">
        <v>15899</v>
      </c>
      <c r="C2389" s="14" t="s">
        <v>239</v>
      </c>
      <c r="D2389" s="105">
        <v>340.4</v>
      </c>
      <c r="E2389" s="65">
        <v>42088</v>
      </c>
      <c r="F2389" s="106">
        <v>340.4</v>
      </c>
      <c r="G2389" s="31">
        <f t="shared" si="37"/>
        <v>0</v>
      </c>
      <c r="H2389" s="39" t="s">
        <v>9</v>
      </c>
      <c r="J2389" s="42"/>
    </row>
    <row r="2390" spans="1:10" s="3" customFormat="1" x14ac:dyDescent="0.25">
      <c r="A2390" s="20">
        <v>42088</v>
      </c>
      <c r="B2390" s="21">
        <v>15900</v>
      </c>
      <c r="C2390" s="14" t="s">
        <v>34</v>
      </c>
      <c r="D2390" s="105">
        <v>3528</v>
      </c>
      <c r="E2390" s="65">
        <v>42088</v>
      </c>
      <c r="F2390" s="106">
        <v>3528</v>
      </c>
      <c r="G2390" s="31">
        <f t="shared" si="37"/>
        <v>0</v>
      </c>
      <c r="H2390" s="39" t="s">
        <v>9</v>
      </c>
      <c r="J2390" s="42"/>
    </row>
    <row r="2391" spans="1:10" s="3" customFormat="1" x14ac:dyDescent="0.25">
      <c r="A2391" s="20">
        <v>42088</v>
      </c>
      <c r="B2391" s="21">
        <v>15901</v>
      </c>
      <c r="C2391" s="14" t="s">
        <v>152</v>
      </c>
      <c r="D2391" s="105">
        <v>3426.5</v>
      </c>
      <c r="E2391" s="65">
        <v>42088</v>
      </c>
      <c r="F2391" s="106">
        <v>3426.5</v>
      </c>
      <c r="G2391" s="31">
        <f t="shared" si="37"/>
        <v>0</v>
      </c>
      <c r="H2391" s="39" t="s">
        <v>17</v>
      </c>
      <c r="J2391" s="42"/>
    </row>
    <row r="2392" spans="1:10" s="3" customFormat="1" x14ac:dyDescent="0.25">
      <c r="A2392" s="20">
        <v>42088</v>
      </c>
      <c r="B2392" s="21">
        <v>15902</v>
      </c>
      <c r="C2392" s="14" t="s">
        <v>103</v>
      </c>
      <c r="D2392" s="105">
        <v>18890.36</v>
      </c>
      <c r="E2392" s="65">
        <v>42089</v>
      </c>
      <c r="F2392" s="106">
        <v>18890.36</v>
      </c>
      <c r="G2392" s="31">
        <f t="shared" si="37"/>
        <v>0</v>
      </c>
      <c r="H2392" s="39" t="s">
        <v>19</v>
      </c>
      <c r="J2392" s="42"/>
    </row>
    <row r="2393" spans="1:10" s="3" customFormat="1" x14ac:dyDescent="0.25">
      <c r="A2393" s="20">
        <v>42088</v>
      </c>
      <c r="B2393" s="21">
        <v>15903</v>
      </c>
      <c r="C2393" s="14" t="s">
        <v>82</v>
      </c>
      <c r="D2393" s="105">
        <v>5472.8</v>
      </c>
      <c r="E2393" s="65">
        <v>42088</v>
      </c>
      <c r="F2393" s="106">
        <v>5472.8</v>
      </c>
      <c r="G2393" s="31">
        <f t="shared" si="37"/>
        <v>0</v>
      </c>
      <c r="H2393" s="39" t="s">
        <v>17</v>
      </c>
      <c r="J2393" s="42"/>
    </row>
    <row r="2394" spans="1:10" s="3" customFormat="1" x14ac:dyDescent="0.25">
      <c r="A2394" s="20">
        <v>42088</v>
      </c>
      <c r="B2394" s="21">
        <v>15904</v>
      </c>
      <c r="C2394" s="14" t="s">
        <v>141</v>
      </c>
      <c r="D2394" s="105">
        <v>3954.8</v>
      </c>
      <c r="E2394" s="74">
        <v>42106</v>
      </c>
      <c r="F2394" s="144">
        <v>3954.8</v>
      </c>
      <c r="G2394" s="31">
        <f t="shared" si="37"/>
        <v>0</v>
      </c>
      <c r="H2394" s="39" t="s">
        <v>9</v>
      </c>
      <c r="J2394" s="42"/>
    </row>
    <row r="2395" spans="1:10" s="3" customFormat="1" x14ac:dyDescent="0.25">
      <c r="A2395" s="20">
        <v>42088</v>
      </c>
      <c r="B2395" s="21">
        <v>15905</v>
      </c>
      <c r="C2395" s="14" t="s">
        <v>292</v>
      </c>
      <c r="D2395" s="105">
        <v>2368</v>
      </c>
      <c r="E2395" s="65">
        <v>42088</v>
      </c>
      <c r="F2395" s="106">
        <v>2368</v>
      </c>
      <c r="G2395" s="31">
        <f t="shared" si="37"/>
        <v>0</v>
      </c>
      <c r="H2395" s="39" t="s">
        <v>17</v>
      </c>
      <c r="J2395" s="42"/>
    </row>
    <row r="2396" spans="1:10" s="3" customFormat="1" x14ac:dyDescent="0.25">
      <c r="A2396" s="20">
        <v>42088</v>
      </c>
      <c r="B2396" s="21">
        <v>15906</v>
      </c>
      <c r="C2396" s="14" t="s">
        <v>65</v>
      </c>
      <c r="D2396" s="105">
        <v>15174.2</v>
      </c>
      <c r="E2396" s="65">
        <v>42089</v>
      </c>
      <c r="F2396" s="106">
        <v>15174.2</v>
      </c>
      <c r="G2396" s="31">
        <f t="shared" si="37"/>
        <v>0</v>
      </c>
      <c r="H2396" s="39" t="s">
        <v>62</v>
      </c>
      <c r="J2396" s="42"/>
    </row>
    <row r="2397" spans="1:10" s="3" customFormat="1" x14ac:dyDescent="0.25">
      <c r="A2397" s="20">
        <v>42088</v>
      </c>
      <c r="B2397" s="21">
        <v>15907</v>
      </c>
      <c r="C2397" s="14" t="s">
        <v>173</v>
      </c>
      <c r="D2397" s="105">
        <v>24730.75</v>
      </c>
      <c r="E2397" s="74" t="s">
        <v>975</v>
      </c>
      <c r="F2397" s="144">
        <v>24730.75</v>
      </c>
      <c r="G2397" s="31">
        <f t="shared" si="37"/>
        <v>0</v>
      </c>
      <c r="H2397" s="39" t="s">
        <v>62</v>
      </c>
      <c r="J2397" s="42"/>
    </row>
    <row r="2398" spans="1:10" s="3" customFormat="1" x14ac:dyDescent="0.25">
      <c r="A2398" s="20">
        <v>42088</v>
      </c>
      <c r="B2398" s="21">
        <v>15908</v>
      </c>
      <c r="C2398" s="14" t="s">
        <v>131</v>
      </c>
      <c r="D2398" s="105">
        <v>5028.8</v>
      </c>
      <c r="E2398" s="65">
        <v>42088</v>
      </c>
      <c r="F2398" s="106">
        <v>5028.8</v>
      </c>
      <c r="G2398" s="31">
        <f t="shared" si="37"/>
        <v>0</v>
      </c>
      <c r="H2398" s="39" t="s">
        <v>9</v>
      </c>
      <c r="J2398" s="42"/>
    </row>
    <row r="2399" spans="1:10" s="3" customFormat="1" x14ac:dyDescent="0.25">
      <c r="A2399" s="20">
        <v>42088</v>
      </c>
      <c r="B2399" s="21">
        <v>15909</v>
      </c>
      <c r="C2399" s="14" t="s">
        <v>926</v>
      </c>
      <c r="D2399" s="105">
        <v>2214</v>
      </c>
      <c r="E2399" s="65">
        <v>42089</v>
      </c>
      <c r="F2399" s="106">
        <v>2214</v>
      </c>
      <c r="G2399" s="31">
        <f t="shared" si="37"/>
        <v>0</v>
      </c>
      <c r="H2399" s="39" t="s">
        <v>17</v>
      </c>
      <c r="J2399" s="42"/>
    </row>
    <row r="2400" spans="1:10" s="3" customFormat="1" x14ac:dyDescent="0.25">
      <c r="A2400" s="20">
        <v>42088</v>
      </c>
      <c r="B2400" s="21">
        <v>15910</v>
      </c>
      <c r="C2400" s="14" t="s">
        <v>699</v>
      </c>
      <c r="D2400" s="105">
        <v>1799</v>
      </c>
      <c r="E2400" s="152" t="s">
        <v>927</v>
      </c>
      <c r="F2400" s="106">
        <f>1000+799</f>
        <v>1799</v>
      </c>
      <c r="G2400" s="31">
        <f t="shared" si="37"/>
        <v>0</v>
      </c>
      <c r="H2400" s="39" t="s">
        <v>9</v>
      </c>
      <c r="J2400" s="42"/>
    </row>
    <row r="2401" spans="1:10" s="3" customFormat="1" x14ac:dyDescent="0.25">
      <c r="A2401" s="20">
        <v>42088</v>
      </c>
      <c r="B2401" s="21">
        <v>15911</v>
      </c>
      <c r="C2401" s="26" t="s">
        <v>218</v>
      </c>
      <c r="D2401" s="108">
        <v>0</v>
      </c>
      <c r="E2401" s="65"/>
      <c r="F2401" s="106"/>
      <c r="G2401" s="31">
        <f t="shared" si="37"/>
        <v>0</v>
      </c>
      <c r="H2401" s="39" t="s">
        <v>13</v>
      </c>
      <c r="J2401" s="42"/>
    </row>
    <row r="2402" spans="1:10" s="3" customFormat="1" x14ac:dyDescent="0.25">
      <c r="A2402" s="20">
        <v>42088</v>
      </c>
      <c r="B2402" s="21">
        <v>15912</v>
      </c>
      <c r="C2402" s="14" t="s">
        <v>130</v>
      </c>
      <c r="D2402" s="105">
        <v>3247.1</v>
      </c>
      <c r="E2402" s="65">
        <v>42088</v>
      </c>
      <c r="F2402" s="106">
        <v>3247.1</v>
      </c>
      <c r="G2402" s="31">
        <f t="shared" si="37"/>
        <v>0</v>
      </c>
      <c r="H2402" s="39" t="s">
        <v>17</v>
      </c>
      <c r="J2402" s="42"/>
    </row>
    <row r="2403" spans="1:10" s="3" customFormat="1" x14ac:dyDescent="0.25">
      <c r="A2403" s="20">
        <v>42088</v>
      </c>
      <c r="B2403" s="21">
        <v>15913</v>
      </c>
      <c r="C2403" s="14" t="s">
        <v>165</v>
      </c>
      <c r="D2403" s="105">
        <v>2576</v>
      </c>
      <c r="E2403" s="65">
        <v>42088</v>
      </c>
      <c r="F2403" s="106">
        <v>2576</v>
      </c>
      <c r="G2403" s="31">
        <f t="shared" si="37"/>
        <v>0</v>
      </c>
      <c r="H2403" s="39" t="s">
        <v>17</v>
      </c>
      <c r="J2403" s="42"/>
    </row>
    <row r="2404" spans="1:10" s="3" customFormat="1" x14ac:dyDescent="0.25">
      <c r="A2404" s="20">
        <v>42088</v>
      </c>
      <c r="B2404" s="21">
        <v>15914</v>
      </c>
      <c r="C2404" s="14" t="s">
        <v>332</v>
      </c>
      <c r="D2404" s="105">
        <v>2489.85</v>
      </c>
      <c r="E2404" s="65">
        <v>42088</v>
      </c>
      <c r="F2404" s="106">
        <v>2489.85</v>
      </c>
      <c r="G2404" s="31">
        <f t="shared" si="37"/>
        <v>0</v>
      </c>
      <c r="H2404" s="39" t="s">
        <v>9</v>
      </c>
      <c r="J2404" s="42"/>
    </row>
    <row r="2405" spans="1:10" s="3" customFormat="1" x14ac:dyDescent="0.25">
      <c r="A2405" s="20">
        <v>42088</v>
      </c>
      <c r="B2405" s="21">
        <v>15915</v>
      </c>
      <c r="C2405" s="14" t="s">
        <v>47</v>
      </c>
      <c r="D2405" s="105">
        <v>37397</v>
      </c>
      <c r="E2405" s="65">
        <v>42088</v>
      </c>
      <c r="F2405" s="106">
        <v>37397</v>
      </c>
      <c r="G2405" s="31">
        <f t="shared" si="37"/>
        <v>0</v>
      </c>
      <c r="H2405" s="39" t="s">
        <v>9</v>
      </c>
      <c r="J2405" s="42"/>
    </row>
    <row r="2406" spans="1:10" s="3" customFormat="1" x14ac:dyDescent="0.25">
      <c r="A2406" s="20">
        <v>42088</v>
      </c>
      <c r="B2406" s="21">
        <v>15916</v>
      </c>
      <c r="C2406" s="14" t="s">
        <v>141</v>
      </c>
      <c r="D2406" s="105">
        <v>16301.9</v>
      </c>
      <c r="E2406" s="74">
        <v>42101</v>
      </c>
      <c r="F2406" s="144">
        <v>16301.9</v>
      </c>
      <c r="G2406" s="31">
        <f t="shared" si="37"/>
        <v>0</v>
      </c>
      <c r="H2406" s="39" t="s">
        <v>41</v>
      </c>
      <c r="J2406" s="42"/>
    </row>
    <row r="2407" spans="1:10" s="3" customFormat="1" x14ac:dyDescent="0.25">
      <c r="A2407" s="20">
        <v>42088</v>
      </c>
      <c r="B2407" s="21">
        <v>15917</v>
      </c>
      <c r="C2407" s="14" t="s">
        <v>136</v>
      </c>
      <c r="D2407" s="105">
        <v>580</v>
      </c>
      <c r="E2407" s="65">
        <v>42088</v>
      </c>
      <c r="F2407" s="106">
        <v>580</v>
      </c>
      <c r="G2407" s="31">
        <f t="shared" si="37"/>
        <v>0</v>
      </c>
      <c r="H2407" s="39" t="s">
        <v>9</v>
      </c>
      <c r="J2407" s="42"/>
    </row>
    <row r="2408" spans="1:10" s="3" customFormat="1" x14ac:dyDescent="0.25">
      <c r="A2408" s="20">
        <v>42088</v>
      </c>
      <c r="B2408" s="21">
        <v>15918</v>
      </c>
      <c r="C2408" s="14" t="s">
        <v>50</v>
      </c>
      <c r="D2408" s="105">
        <v>2302.8000000000002</v>
      </c>
      <c r="E2408" s="65">
        <v>42088</v>
      </c>
      <c r="F2408" s="106">
        <v>2302.8000000000002</v>
      </c>
      <c r="G2408" s="31">
        <f t="shared" si="37"/>
        <v>0</v>
      </c>
      <c r="H2408" s="39" t="s">
        <v>9</v>
      </c>
      <c r="J2408" s="42"/>
    </row>
    <row r="2409" spans="1:10" s="3" customFormat="1" x14ac:dyDescent="0.25">
      <c r="A2409" s="20">
        <v>42088</v>
      </c>
      <c r="B2409" s="21">
        <v>15919</v>
      </c>
      <c r="C2409" s="14" t="s">
        <v>325</v>
      </c>
      <c r="D2409" s="105">
        <v>1069.3</v>
      </c>
      <c r="E2409" s="65">
        <v>42088</v>
      </c>
      <c r="F2409" s="106">
        <v>1069.3</v>
      </c>
      <c r="G2409" s="31">
        <f t="shared" si="37"/>
        <v>0</v>
      </c>
      <c r="H2409" s="39" t="s">
        <v>41</v>
      </c>
      <c r="J2409" s="42"/>
    </row>
    <row r="2410" spans="1:10" s="3" customFormat="1" x14ac:dyDescent="0.25">
      <c r="A2410" s="20">
        <v>42088</v>
      </c>
      <c r="B2410" s="21">
        <v>15920</v>
      </c>
      <c r="C2410" s="14" t="s">
        <v>61</v>
      </c>
      <c r="D2410" s="105">
        <v>8056</v>
      </c>
      <c r="E2410" s="65">
        <v>42089</v>
      </c>
      <c r="F2410" s="106">
        <v>8056</v>
      </c>
      <c r="G2410" s="31">
        <f t="shared" si="37"/>
        <v>0</v>
      </c>
      <c r="H2410" s="39" t="s">
        <v>62</v>
      </c>
      <c r="J2410" s="42"/>
    </row>
    <row r="2411" spans="1:10" s="3" customFormat="1" x14ac:dyDescent="0.25">
      <c r="A2411" s="20">
        <v>42088</v>
      </c>
      <c r="B2411" s="21">
        <v>15921</v>
      </c>
      <c r="C2411" s="150" t="s">
        <v>89</v>
      </c>
      <c r="D2411" s="105">
        <v>2432.1999999999998</v>
      </c>
      <c r="E2411" s="65">
        <v>42088</v>
      </c>
      <c r="F2411" s="106">
        <v>2432.1999999999998</v>
      </c>
      <c r="G2411" s="31">
        <f t="shared" si="37"/>
        <v>0</v>
      </c>
      <c r="H2411" s="39" t="s">
        <v>9</v>
      </c>
      <c r="J2411" s="42"/>
    </row>
    <row r="2412" spans="1:10" s="3" customFormat="1" x14ac:dyDescent="0.25">
      <c r="A2412" s="20">
        <v>42088</v>
      </c>
      <c r="B2412" s="21">
        <v>15922</v>
      </c>
      <c r="C2412" s="14" t="s">
        <v>108</v>
      </c>
      <c r="D2412" s="105">
        <v>40488.14</v>
      </c>
      <c r="E2412" s="74">
        <v>42101</v>
      </c>
      <c r="F2412" s="144">
        <v>40488.14</v>
      </c>
      <c r="G2412" s="31">
        <f t="shared" si="37"/>
        <v>0</v>
      </c>
      <c r="H2412" s="39" t="s">
        <v>773</v>
      </c>
      <c r="J2412" s="42"/>
    </row>
    <row r="2413" spans="1:10" s="3" customFormat="1" x14ac:dyDescent="0.25">
      <c r="A2413" s="20">
        <v>42088</v>
      </c>
      <c r="B2413" s="21">
        <v>15923</v>
      </c>
      <c r="C2413" s="14" t="s">
        <v>87</v>
      </c>
      <c r="D2413" s="105">
        <v>2149.1999999999998</v>
      </c>
      <c r="E2413" s="65">
        <v>42088</v>
      </c>
      <c r="F2413" s="106">
        <v>2149.1999999999998</v>
      </c>
      <c r="G2413" s="31">
        <f t="shared" si="37"/>
        <v>0</v>
      </c>
      <c r="H2413" s="39" t="s">
        <v>41</v>
      </c>
      <c r="J2413" s="42"/>
    </row>
    <row r="2414" spans="1:10" s="3" customFormat="1" x14ac:dyDescent="0.25">
      <c r="A2414" s="20">
        <v>42088</v>
      </c>
      <c r="B2414" s="21">
        <v>15924</v>
      </c>
      <c r="C2414" s="14" t="s">
        <v>136</v>
      </c>
      <c r="D2414" s="105">
        <v>33292.800000000003</v>
      </c>
      <c r="E2414" s="66" t="s">
        <v>928</v>
      </c>
      <c r="F2414" s="106">
        <f>20000+13292.8</f>
        <v>33292.800000000003</v>
      </c>
      <c r="G2414" s="31">
        <f t="shared" si="37"/>
        <v>0</v>
      </c>
      <c r="H2414" s="39" t="s">
        <v>9</v>
      </c>
      <c r="J2414" s="42"/>
    </row>
    <row r="2415" spans="1:10" s="3" customFormat="1" x14ac:dyDescent="0.25">
      <c r="A2415" s="20">
        <v>42088</v>
      </c>
      <c r="B2415" s="21">
        <v>15925</v>
      </c>
      <c r="C2415" s="14" t="s">
        <v>14</v>
      </c>
      <c r="D2415" s="105">
        <v>57296.45</v>
      </c>
      <c r="E2415" s="65">
        <v>42093</v>
      </c>
      <c r="F2415" s="106">
        <v>57296.45</v>
      </c>
      <c r="G2415" s="31">
        <f t="shared" si="37"/>
        <v>0</v>
      </c>
      <c r="H2415" s="39" t="s">
        <v>46</v>
      </c>
      <c r="J2415" s="42"/>
    </row>
    <row r="2416" spans="1:10" s="3" customFormat="1" x14ac:dyDescent="0.25">
      <c r="A2416" s="20">
        <v>42088</v>
      </c>
      <c r="B2416" s="21">
        <v>15926</v>
      </c>
      <c r="C2416" s="14" t="s">
        <v>251</v>
      </c>
      <c r="D2416" s="105">
        <v>24944.400000000001</v>
      </c>
      <c r="E2416" s="65">
        <v>42088</v>
      </c>
      <c r="F2416" s="106">
        <v>24944.400000000001</v>
      </c>
      <c r="G2416" s="31">
        <f t="shared" si="37"/>
        <v>0</v>
      </c>
      <c r="H2416" s="39" t="s">
        <v>94</v>
      </c>
      <c r="J2416" s="42"/>
    </row>
    <row r="2417" spans="1:10" s="3" customFormat="1" x14ac:dyDescent="0.25">
      <c r="A2417" s="20">
        <v>42088</v>
      </c>
      <c r="B2417" s="21">
        <v>15927</v>
      </c>
      <c r="C2417" s="14" t="s">
        <v>96</v>
      </c>
      <c r="D2417" s="105">
        <v>1990.5</v>
      </c>
      <c r="E2417" s="65">
        <v>42088</v>
      </c>
      <c r="F2417" s="106">
        <v>1990.5</v>
      </c>
      <c r="G2417" s="31">
        <f t="shared" si="37"/>
        <v>0</v>
      </c>
      <c r="H2417" s="39" t="s">
        <v>19</v>
      </c>
      <c r="J2417" s="42"/>
    </row>
    <row r="2418" spans="1:10" s="3" customFormat="1" x14ac:dyDescent="0.25">
      <c r="A2418" s="20">
        <v>42088</v>
      </c>
      <c r="B2418" s="21">
        <v>15928</v>
      </c>
      <c r="C2418" s="14" t="s">
        <v>95</v>
      </c>
      <c r="D2418" s="105">
        <v>2803.2</v>
      </c>
      <c r="E2418" s="65">
        <v>42088</v>
      </c>
      <c r="F2418" s="106">
        <v>2803.2</v>
      </c>
      <c r="G2418" s="31">
        <f t="shared" si="37"/>
        <v>0</v>
      </c>
      <c r="H2418" s="39" t="s">
        <v>19</v>
      </c>
      <c r="J2418" s="42"/>
    </row>
    <row r="2419" spans="1:10" s="3" customFormat="1" x14ac:dyDescent="0.25">
      <c r="A2419" s="20">
        <v>42088</v>
      </c>
      <c r="B2419" s="21">
        <v>15929</v>
      </c>
      <c r="C2419" s="14" t="s">
        <v>98</v>
      </c>
      <c r="D2419" s="105">
        <v>1747.2</v>
      </c>
      <c r="E2419" s="65">
        <v>42088</v>
      </c>
      <c r="F2419" s="106">
        <v>1747.2</v>
      </c>
      <c r="G2419" s="31">
        <f t="shared" si="37"/>
        <v>0</v>
      </c>
      <c r="H2419" s="39" t="s">
        <v>19</v>
      </c>
      <c r="J2419" s="42"/>
    </row>
    <row r="2420" spans="1:10" s="3" customFormat="1" x14ac:dyDescent="0.25">
      <c r="A2420" s="20">
        <v>42088</v>
      </c>
      <c r="B2420" s="21">
        <v>15930</v>
      </c>
      <c r="C2420" s="14" t="s">
        <v>32</v>
      </c>
      <c r="D2420" s="105">
        <v>32689.25</v>
      </c>
      <c r="E2420" s="65">
        <v>42089</v>
      </c>
      <c r="F2420" s="106">
        <v>32689.25</v>
      </c>
      <c r="G2420" s="31">
        <f t="shared" si="37"/>
        <v>0</v>
      </c>
      <c r="H2420" s="39" t="s">
        <v>19</v>
      </c>
      <c r="J2420" s="42"/>
    </row>
    <row r="2421" spans="1:10" s="3" customFormat="1" x14ac:dyDescent="0.25">
      <c r="A2421" s="20">
        <v>42088</v>
      </c>
      <c r="B2421" s="21">
        <v>15931</v>
      </c>
      <c r="C2421" s="14" t="s">
        <v>697</v>
      </c>
      <c r="D2421" s="105">
        <v>39882.550000000003</v>
      </c>
      <c r="E2421" s="74" t="s">
        <v>796</v>
      </c>
      <c r="F2421" s="106">
        <v>39882.550000000003</v>
      </c>
      <c r="G2421" s="31">
        <f t="shared" si="37"/>
        <v>0</v>
      </c>
      <c r="H2421" s="39" t="s">
        <v>9</v>
      </c>
      <c r="J2421" s="42"/>
    </row>
    <row r="2422" spans="1:10" s="3" customFormat="1" x14ac:dyDescent="0.25">
      <c r="A2422" s="20">
        <v>42088</v>
      </c>
      <c r="B2422" s="21">
        <v>15932</v>
      </c>
      <c r="C2422" s="14" t="s">
        <v>256</v>
      </c>
      <c r="D2422" s="105">
        <v>2567</v>
      </c>
      <c r="E2422" s="65">
        <v>42089</v>
      </c>
      <c r="F2422" s="106">
        <v>2567</v>
      </c>
      <c r="G2422" s="31">
        <f t="shared" si="37"/>
        <v>0</v>
      </c>
      <c r="H2422" s="39" t="s">
        <v>773</v>
      </c>
      <c r="J2422" s="42"/>
    </row>
    <row r="2423" spans="1:10" s="3" customFormat="1" x14ac:dyDescent="0.25">
      <c r="A2423" s="20">
        <v>42088</v>
      </c>
      <c r="B2423" s="21">
        <v>15933</v>
      </c>
      <c r="C2423" s="14" t="s">
        <v>110</v>
      </c>
      <c r="D2423" s="105">
        <v>53801.83</v>
      </c>
      <c r="E2423" s="65">
        <v>42093</v>
      </c>
      <c r="F2423" s="106">
        <v>53801.83</v>
      </c>
      <c r="G2423" s="31">
        <f t="shared" si="37"/>
        <v>0</v>
      </c>
      <c r="H2423" s="39" t="s">
        <v>773</v>
      </c>
      <c r="J2423" s="42"/>
    </row>
    <row r="2424" spans="1:10" s="3" customFormat="1" x14ac:dyDescent="0.25">
      <c r="A2424" s="20">
        <v>42088</v>
      </c>
      <c r="B2424" s="21">
        <v>15934</v>
      </c>
      <c r="C2424" s="14" t="s">
        <v>24</v>
      </c>
      <c r="D2424" s="105">
        <v>2530.8000000000002</v>
      </c>
      <c r="E2424" s="74">
        <v>42108</v>
      </c>
      <c r="F2424" s="144">
        <v>2530.8000000000002</v>
      </c>
      <c r="G2424" s="31">
        <f t="shared" si="37"/>
        <v>0</v>
      </c>
      <c r="H2424" s="39" t="s">
        <v>929</v>
      </c>
      <c r="J2424" s="42"/>
    </row>
    <row r="2425" spans="1:10" s="3" customFormat="1" x14ac:dyDescent="0.25">
      <c r="A2425" s="20">
        <v>42088</v>
      </c>
      <c r="B2425" s="21">
        <v>15935</v>
      </c>
      <c r="C2425" s="14" t="s">
        <v>38</v>
      </c>
      <c r="D2425" s="105">
        <v>33776</v>
      </c>
      <c r="E2425" s="74" t="s">
        <v>987</v>
      </c>
      <c r="F2425" s="144">
        <f>70.4+33705.6</f>
        <v>33776</v>
      </c>
      <c r="G2425" s="31">
        <f t="shared" si="37"/>
        <v>0</v>
      </c>
      <c r="H2425" s="39" t="s">
        <v>183</v>
      </c>
      <c r="J2425" s="42"/>
    </row>
    <row r="2426" spans="1:10" s="3" customFormat="1" x14ac:dyDescent="0.25">
      <c r="A2426" s="20">
        <v>42088</v>
      </c>
      <c r="B2426" s="21">
        <v>15936</v>
      </c>
      <c r="C2426" s="14" t="s">
        <v>24</v>
      </c>
      <c r="D2426" s="105">
        <v>114788.32</v>
      </c>
      <c r="E2426" s="74">
        <v>42108</v>
      </c>
      <c r="F2426" s="144">
        <v>114788.32</v>
      </c>
      <c r="G2426" s="31">
        <f t="shared" si="37"/>
        <v>0</v>
      </c>
      <c r="H2426" s="39" t="s">
        <v>46</v>
      </c>
      <c r="J2426" s="42"/>
    </row>
    <row r="2427" spans="1:10" s="3" customFormat="1" x14ac:dyDescent="0.25">
      <c r="A2427" s="20">
        <v>42088</v>
      </c>
      <c r="B2427" s="21">
        <v>15937</v>
      </c>
      <c r="C2427" s="26" t="s">
        <v>218</v>
      </c>
      <c r="D2427" s="108">
        <v>0</v>
      </c>
      <c r="E2427" s="65"/>
      <c r="F2427" s="106"/>
      <c r="G2427" s="31">
        <f t="shared" si="37"/>
        <v>0</v>
      </c>
      <c r="H2427" s="39" t="s">
        <v>13</v>
      </c>
      <c r="J2427" s="42"/>
    </row>
    <row r="2428" spans="1:10" s="3" customFormat="1" x14ac:dyDescent="0.25">
      <c r="A2428" s="20">
        <v>42088</v>
      </c>
      <c r="B2428" s="21">
        <v>15938</v>
      </c>
      <c r="C2428" s="14" t="s">
        <v>484</v>
      </c>
      <c r="D2428" s="105">
        <v>13964</v>
      </c>
      <c r="E2428" s="65">
        <v>42091</v>
      </c>
      <c r="F2428" s="106">
        <v>13964</v>
      </c>
      <c r="G2428" s="31">
        <f t="shared" si="37"/>
        <v>0</v>
      </c>
      <c r="H2428" s="39" t="s">
        <v>9</v>
      </c>
      <c r="J2428" s="42"/>
    </row>
    <row r="2429" spans="1:10" s="3" customFormat="1" x14ac:dyDescent="0.25">
      <c r="A2429" s="20">
        <v>42088</v>
      </c>
      <c r="B2429" s="21">
        <v>15939</v>
      </c>
      <c r="C2429" s="14" t="s">
        <v>111</v>
      </c>
      <c r="D2429" s="105">
        <v>116080</v>
      </c>
      <c r="E2429" s="65">
        <v>42089</v>
      </c>
      <c r="F2429" s="106">
        <v>116080</v>
      </c>
      <c r="G2429" s="31">
        <f t="shared" si="37"/>
        <v>0</v>
      </c>
      <c r="H2429" s="39" t="s">
        <v>9</v>
      </c>
      <c r="J2429" s="42"/>
    </row>
    <row r="2430" spans="1:10" s="3" customFormat="1" x14ac:dyDescent="0.25">
      <c r="A2430" s="20">
        <v>42088</v>
      </c>
      <c r="B2430" s="21">
        <v>15940</v>
      </c>
      <c r="C2430" s="14" t="s">
        <v>111</v>
      </c>
      <c r="D2430" s="105">
        <v>152533</v>
      </c>
      <c r="E2430" s="65">
        <v>42089</v>
      </c>
      <c r="F2430" s="106">
        <v>152533</v>
      </c>
      <c r="G2430" s="31">
        <f t="shared" si="37"/>
        <v>0</v>
      </c>
      <c r="H2430" s="39" t="s">
        <v>9</v>
      </c>
      <c r="J2430" s="42"/>
    </row>
    <row r="2431" spans="1:10" s="3" customFormat="1" x14ac:dyDescent="0.25">
      <c r="A2431" s="20">
        <v>42088</v>
      </c>
      <c r="B2431" s="21">
        <v>15941</v>
      </c>
      <c r="C2431" s="14" t="s">
        <v>233</v>
      </c>
      <c r="D2431" s="105">
        <v>5104.25</v>
      </c>
      <c r="E2431" s="65">
        <v>42089</v>
      </c>
      <c r="F2431" s="106">
        <v>5104.25</v>
      </c>
      <c r="G2431" s="31">
        <f t="shared" si="37"/>
        <v>0</v>
      </c>
      <c r="H2431" s="39" t="s">
        <v>773</v>
      </c>
      <c r="J2431" s="42"/>
    </row>
    <row r="2432" spans="1:10" s="3" customFormat="1" x14ac:dyDescent="0.25">
      <c r="A2432" s="20">
        <v>42088</v>
      </c>
      <c r="B2432" s="21">
        <v>15942</v>
      </c>
      <c r="C2432" s="14" t="s">
        <v>60</v>
      </c>
      <c r="D2432" s="105">
        <v>4384</v>
      </c>
      <c r="E2432" s="65">
        <v>42089</v>
      </c>
      <c r="F2432" s="106">
        <v>4384</v>
      </c>
      <c r="G2432" s="31">
        <f t="shared" si="37"/>
        <v>0</v>
      </c>
      <c r="H2432" s="39" t="s">
        <v>773</v>
      </c>
      <c r="J2432" s="42"/>
    </row>
    <row r="2433" spans="1:10" s="3" customFormat="1" x14ac:dyDescent="0.25">
      <c r="A2433" s="20">
        <v>42088</v>
      </c>
      <c r="B2433" s="21">
        <v>15943</v>
      </c>
      <c r="C2433" s="14" t="s">
        <v>602</v>
      </c>
      <c r="D2433" s="105">
        <v>5558.8</v>
      </c>
      <c r="E2433" s="65">
        <v>42091</v>
      </c>
      <c r="F2433" s="106">
        <v>5558.8</v>
      </c>
      <c r="G2433" s="31">
        <f t="shared" si="37"/>
        <v>0</v>
      </c>
      <c r="H2433" s="39" t="s">
        <v>9</v>
      </c>
      <c r="J2433" s="42"/>
    </row>
    <row r="2434" spans="1:10" s="3" customFormat="1" x14ac:dyDescent="0.25">
      <c r="A2434" s="20">
        <v>42088</v>
      </c>
      <c r="B2434" s="21">
        <v>15944</v>
      </c>
      <c r="C2434" s="14" t="s">
        <v>411</v>
      </c>
      <c r="D2434" s="105">
        <v>2304.6</v>
      </c>
      <c r="E2434" s="65">
        <v>42088</v>
      </c>
      <c r="F2434" s="106">
        <v>2304.6</v>
      </c>
      <c r="G2434" s="31">
        <f t="shared" si="37"/>
        <v>0</v>
      </c>
      <c r="H2434" s="39" t="s">
        <v>9</v>
      </c>
      <c r="J2434" s="42"/>
    </row>
    <row r="2435" spans="1:10" s="3" customFormat="1" x14ac:dyDescent="0.25">
      <c r="A2435" s="20">
        <v>42088</v>
      </c>
      <c r="B2435" s="21">
        <v>15945</v>
      </c>
      <c r="C2435" s="14" t="s">
        <v>651</v>
      </c>
      <c r="D2435" s="105">
        <v>40791.4</v>
      </c>
      <c r="E2435" s="65">
        <v>42091</v>
      </c>
      <c r="F2435" s="106">
        <v>40791.4</v>
      </c>
      <c r="G2435" s="31">
        <f t="shared" ref="G2435:G2498" si="38">D2435-F2435</f>
        <v>0</v>
      </c>
      <c r="H2435" s="39" t="s">
        <v>149</v>
      </c>
      <c r="J2435" s="42"/>
    </row>
    <row r="2436" spans="1:10" s="3" customFormat="1" x14ac:dyDescent="0.25">
      <c r="A2436" s="20">
        <v>42088</v>
      </c>
      <c r="B2436" s="21">
        <v>15946</v>
      </c>
      <c r="C2436" s="14" t="s">
        <v>24</v>
      </c>
      <c r="D2436" s="105">
        <v>50879.4</v>
      </c>
      <c r="E2436" s="74">
        <v>42138</v>
      </c>
      <c r="F2436" s="144">
        <v>50879.4</v>
      </c>
      <c r="G2436" s="31">
        <f t="shared" si="38"/>
        <v>0</v>
      </c>
      <c r="H2436" s="39" t="s">
        <v>94</v>
      </c>
      <c r="J2436" s="42"/>
    </row>
    <row r="2437" spans="1:10" s="3" customFormat="1" x14ac:dyDescent="0.25">
      <c r="A2437" s="20">
        <v>42088</v>
      </c>
      <c r="B2437" s="21">
        <v>15947</v>
      </c>
      <c r="C2437" s="14" t="s">
        <v>235</v>
      </c>
      <c r="D2437" s="105">
        <v>1994.3</v>
      </c>
      <c r="E2437" s="65">
        <v>42089</v>
      </c>
      <c r="F2437" s="106">
        <v>1994.3</v>
      </c>
      <c r="G2437" s="31">
        <f t="shared" si="38"/>
        <v>0</v>
      </c>
      <c r="H2437" s="39" t="s">
        <v>9</v>
      </c>
      <c r="J2437" s="42"/>
    </row>
    <row r="2438" spans="1:10" s="3" customFormat="1" x14ac:dyDescent="0.25">
      <c r="A2438" s="20">
        <v>42088</v>
      </c>
      <c r="B2438" s="21">
        <v>15948</v>
      </c>
      <c r="C2438" s="14" t="s">
        <v>90</v>
      </c>
      <c r="D2438" s="105">
        <v>345</v>
      </c>
      <c r="E2438" s="65">
        <v>42088</v>
      </c>
      <c r="F2438" s="106">
        <v>345</v>
      </c>
      <c r="G2438" s="31">
        <f t="shared" si="38"/>
        <v>0</v>
      </c>
      <c r="H2438" s="39" t="s">
        <v>9</v>
      </c>
      <c r="J2438" s="42"/>
    </row>
    <row r="2439" spans="1:10" s="3" customFormat="1" x14ac:dyDescent="0.25">
      <c r="A2439" s="20">
        <v>42088</v>
      </c>
      <c r="B2439" s="21">
        <v>15949</v>
      </c>
      <c r="C2439" s="14" t="s">
        <v>472</v>
      </c>
      <c r="D2439" s="105">
        <v>7643.2</v>
      </c>
      <c r="E2439" s="65">
        <v>42089</v>
      </c>
      <c r="F2439" s="106">
        <v>7643.2</v>
      </c>
      <c r="G2439" s="31">
        <f t="shared" si="38"/>
        <v>0</v>
      </c>
      <c r="H2439" s="39" t="s">
        <v>17</v>
      </c>
      <c r="J2439" s="42"/>
    </row>
    <row r="2440" spans="1:10" s="3" customFormat="1" x14ac:dyDescent="0.25">
      <c r="A2440" s="20">
        <v>42088</v>
      </c>
      <c r="B2440" s="21">
        <v>15950</v>
      </c>
      <c r="C2440" s="14" t="s">
        <v>158</v>
      </c>
      <c r="D2440" s="105">
        <v>7562</v>
      </c>
      <c r="E2440" s="65">
        <v>42088</v>
      </c>
      <c r="F2440" s="106">
        <v>7562</v>
      </c>
      <c r="G2440" s="31">
        <f t="shared" si="38"/>
        <v>0</v>
      </c>
      <c r="H2440" s="39" t="s">
        <v>9</v>
      </c>
      <c r="J2440" s="42"/>
    </row>
    <row r="2441" spans="1:10" s="3" customFormat="1" x14ac:dyDescent="0.25">
      <c r="A2441" s="20">
        <v>42088</v>
      </c>
      <c r="B2441" s="21">
        <v>15951</v>
      </c>
      <c r="C2441" s="14" t="s">
        <v>80</v>
      </c>
      <c r="D2441" s="105">
        <v>6766</v>
      </c>
      <c r="E2441" s="65">
        <v>42088</v>
      </c>
      <c r="F2441" s="106">
        <v>6766</v>
      </c>
      <c r="G2441" s="31">
        <f t="shared" si="38"/>
        <v>0</v>
      </c>
      <c r="H2441" s="39" t="s">
        <v>9</v>
      </c>
      <c r="J2441" s="42"/>
    </row>
    <row r="2442" spans="1:10" s="3" customFormat="1" x14ac:dyDescent="0.25">
      <c r="A2442" s="20">
        <v>42088</v>
      </c>
      <c r="B2442" s="21">
        <v>15952</v>
      </c>
      <c r="C2442" s="14" t="s">
        <v>416</v>
      </c>
      <c r="D2442" s="105">
        <v>137.19999999999999</v>
      </c>
      <c r="E2442" s="65">
        <v>42088</v>
      </c>
      <c r="F2442" s="106">
        <v>137.19999999999999</v>
      </c>
      <c r="G2442" s="31">
        <f t="shared" si="38"/>
        <v>0</v>
      </c>
      <c r="H2442" s="39" t="s">
        <v>9</v>
      </c>
      <c r="J2442" s="42"/>
    </row>
    <row r="2443" spans="1:10" s="3" customFormat="1" x14ac:dyDescent="0.25">
      <c r="A2443" s="20">
        <v>42088</v>
      </c>
      <c r="B2443" s="21">
        <v>15953</v>
      </c>
      <c r="C2443" s="14" t="s">
        <v>827</v>
      </c>
      <c r="D2443" s="105">
        <v>2550</v>
      </c>
      <c r="E2443" s="65">
        <v>42089</v>
      </c>
      <c r="F2443" s="106">
        <v>2550</v>
      </c>
      <c r="G2443" s="31">
        <f t="shared" si="38"/>
        <v>0</v>
      </c>
      <c r="H2443" s="39" t="s">
        <v>41</v>
      </c>
      <c r="J2443" s="42"/>
    </row>
    <row r="2444" spans="1:10" s="3" customFormat="1" x14ac:dyDescent="0.25">
      <c r="A2444" s="20">
        <v>42088</v>
      </c>
      <c r="B2444" s="21">
        <v>15954</v>
      </c>
      <c r="C2444" s="14" t="s">
        <v>42</v>
      </c>
      <c r="D2444" s="105">
        <v>160</v>
      </c>
      <c r="E2444" s="65">
        <v>42088</v>
      </c>
      <c r="F2444" s="106">
        <v>160</v>
      </c>
      <c r="G2444" s="31">
        <f t="shared" si="38"/>
        <v>0</v>
      </c>
      <c r="H2444" s="39" t="s">
        <v>9</v>
      </c>
      <c r="J2444" s="42"/>
    </row>
    <row r="2445" spans="1:10" s="3" customFormat="1" x14ac:dyDescent="0.25">
      <c r="A2445" s="20">
        <v>42089</v>
      </c>
      <c r="B2445" s="21">
        <v>15955</v>
      </c>
      <c r="C2445" s="14" t="s">
        <v>18</v>
      </c>
      <c r="D2445" s="105">
        <v>2343.6</v>
      </c>
      <c r="E2445" s="65">
        <v>42089</v>
      </c>
      <c r="F2445" s="106">
        <v>2343.6</v>
      </c>
      <c r="G2445" s="31">
        <f t="shared" si="38"/>
        <v>0</v>
      </c>
      <c r="H2445" s="39" t="s">
        <v>9</v>
      </c>
      <c r="J2445" s="42"/>
    </row>
    <row r="2446" spans="1:10" s="3" customFormat="1" x14ac:dyDescent="0.25">
      <c r="A2446" s="20">
        <v>42089</v>
      </c>
      <c r="B2446" s="21">
        <v>15956</v>
      </c>
      <c r="C2446" s="14" t="s">
        <v>799</v>
      </c>
      <c r="D2446" s="105">
        <v>47621.5</v>
      </c>
      <c r="E2446" s="65">
        <v>42094</v>
      </c>
      <c r="F2446" s="106">
        <v>47621.5</v>
      </c>
      <c r="G2446" s="31">
        <f t="shared" si="38"/>
        <v>0</v>
      </c>
      <c r="H2446" s="39" t="s">
        <v>9</v>
      </c>
      <c r="J2446" s="42"/>
    </row>
    <row r="2447" spans="1:10" s="3" customFormat="1" x14ac:dyDescent="0.25">
      <c r="A2447" s="20">
        <v>42089</v>
      </c>
      <c r="B2447" s="21">
        <v>15957</v>
      </c>
      <c r="C2447" s="14" t="s">
        <v>14</v>
      </c>
      <c r="D2447" s="105">
        <v>14412.6</v>
      </c>
      <c r="E2447" s="65">
        <v>42093</v>
      </c>
      <c r="F2447" s="106">
        <v>14412.6</v>
      </c>
      <c r="G2447" s="31">
        <f t="shared" si="38"/>
        <v>0</v>
      </c>
      <c r="H2447" s="39" t="s">
        <v>9</v>
      </c>
      <c r="J2447" s="42"/>
    </row>
    <row r="2448" spans="1:10" s="3" customFormat="1" x14ac:dyDescent="0.25">
      <c r="A2448" s="20">
        <v>42089</v>
      </c>
      <c r="B2448" s="21">
        <v>15958</v>
      </c>
      <c r="C2448" s="14" t="s">
        <v>16</v>
      </c>
      <c r="D2448" s="105">
        <v>8205</v>
      </c>
      <c r="E2448" s="65">
        <v>42089</v>
      </c>
      <c r="F2448" s="106">
        <v>8205</v>
      </c>
      <c r="G2448" s="31">
        <f t="shared" si="38"/>
        <v>0</v>
      </c>
      <c r="H2448" s="39" t="s">
        <v>17</v>
      </c>
      <c r="J2448" s="42"/>
    </row>
    <row r="2449" spans="1:10" s="3" customFormat="1" x14ac:dyDescent="0.25">
      <c r="A2449" s="20">
        <v>42089</v>
      </c>
      <c r="B2449" s="21">
        <v>15959</v>
      </c>
      <c r="C2449" s="14" t="s">
        <v>720</v>
      </c>
      <c r="D2449" s="105">
        <v>7600.2</v>
      </c>
      <c r="E2449" s="65">
        <v>42089</v>
      </c>
      <c r="F2449" s="106">
        <v>7600.2</v>
      </c>
      <c r="G2449" s="31">
        <f t="shared" si="38"/>
        <v>0</v>
      </c>
      <c r="H2449" s="39" t="s">
        <v>9</v>
      </c>
      <c r="J2449" s="42"/>
    </row>
    <row r="2450" spans="1:10" s="3" customFormat="1" x14ac:dyDescent="0.25">
      <c r="A2450" s="20">
        <v>42089</v>
      </c>
      <c r="B2450" s="21">
        <v>15960</v>
      </c>
      <c r="C2450" s="14" t="s">
        <v>114</v>
      </c>
      <c r="D2450" s="105">
        <v>2040</v>
      </c>
      <c r="E2450" s="65">
        <v>42089</v>
      </c>
      <c r="F2450" s="106">
        <v>2040</v>
      </c>
      <c r="G2450" s="31">
        <f t="shared" si="38"/>
        <v>0</v>
      </c>
      <c r="H2450" s="39" t="s">
        <v>9</v>
      </c>
      <c r="J2450" s="42"/>
    </row>
    <row r="2451" spans="1:10" s="3" customFormat="1" x14ac:dyDescent="0.25">
      <c r="A2451" s="20">
        <v>42089</v>
      </c>
      <c r="B2451" s="21">
        <v>15961</v>
      </c>
      <c r="C2451" s="14" t="s">
        <v>161</v>
      </c>
      <c r="D2451" s="105">
        <v>20319.349999999999</v>
      </c>
      <c r="E2451" s="65">
        <v>42089</v>
      </c>
      <c r="F2451" s="106">
        <v>20319.349999999999</v>
      </c>
      <c r="G2451" s="31">
        <f t="shared" si="38"/>
        <v>0</v>
      </c>
      <c r="H2451" s="39" t="s">
        <v>9</v>
      </c>
      <c r="J2451" s="42"/>
    </row>
    <row r="2452" spans="1:10" s="3" customFormat="1" x14ac:dyDescent="0.25">
      <c r="A2452" s="20">
        <v>42089</v>
      </c>
      <c r="B2452" s="21">
        <v>15962</v>
      </c>
      <c r="C2452" s="14" t="s">
        <v>267</v>
      </c>
      <c r="D2452" s="105">
        <v>1308.5999999999999</v>
      </c>
      <c r="E2452" s="65">
        <v>42089</v>
      </c>
      <c r="F2452" s="106">
        <v>1308.5999999999999</v>
      </c>
      <c r="G2452" s="31">
        <f t="shared" si="38"/>
        <v>0</v>
      </c>
      <c r="H2452" s="39" t="s">
        <v>773</v>
      </c>
      <c r="J2452" s="42"/>
    </row>
    <row r="2453" spans="1:10" s="3" customFormat="1" x14ac:dyDescent="0.25">
      <c r="A2453" s="20">
        <v>42089</v>
      </c>
      <c r="B2453" s="21">
        <v>15963</v>
      </c>
      <c r="C2453" s="14" t="s">
        <v>18</v>
      </c>
      <c r="D2453" s="105">
        <v>39668.559999999998</v>
      </c>
      <c r="E2453" s="65">
        <v>42094</v>
      </c>
      <c r="F2453" s="106">
        <v>39668.559999999998</v>
      </c>
      <c r="G2453" s="31">
        <f t="shared" si="38"/>
        <v>0</v>
      </c>
      <c r="H2453" s="39" t="s">
        <v>9</v>
      </c>
      <c r="J2453" s="42"/>
    </row>
    <row r="2454" spans="1:10" s="3" customFormat="1" x14ac:dyDescent="0.25">
      <c r="A2454" s="20">
        <v>42089</v>
      </c>
      <c r="B2454" s="21">
        <v>15964</v>
      </c>
      <c r="C2454" s="14" t="s">
        <v>21</v>
      </c>
      <c r="D2454" s="105">
        <v>6676.4</v>
      </c>
      <c r="E2454" s="65">
        <v>42089</v>
      </c>
      <c r="F2454" s="106">
        <v>6676.4</v>
      </c>
      <c r="G2454" s="31">
        <f t="shared" si="38"/>
        <v>0</v>
      </c>
      <c r="H2454" s="39" t="s">
        <v>9</v>
      </c>
      <c r="J2454" s="42"/>
    </row>
    <row r="2455" spans="1:10" s="3" customFormat="1" x14ac:dyDescent="0.25">
      <c r="A2455" s="20">
        <v>42089</v>
      </c>
      <c r="B2455" s="21">
        <v>15965</v>
      </c>
      <c r="C2455" s="14" t="s">
        <v>20</v>
      </c>
      <c r="D2455" s="105">
        <v>8883</v>
      </c>
      <c r="E2455" s="65">
        <v>42089</v>
      </c>
      <c r="F2455" s="106">
        <v>8883</v>
      </c>
      <c r="G2455" s="31">
        <f t="shared" si="38"/>
        <v>0</v>
      </c>
      <c r="H2455" s="39" t="s">
        <v>94</v>
      </c>
      <c r="J2455" s="42"/>
    </row>
    <row r="2456" spans="1:10" s="3" customFormat="1" x14ac:dyDescent="0.25">
      <c r="A2456" s="20">
        <v>42089</v>
      </c>
      <c r="B2456" s="21">
        <v>15966</v>
      </c>
      <c r="C2456" s="14" t="s">
        <v>125</v>
      </c>
      <c r="D2456" s="105">
        <v>31600.85</v>
      </c>
      <c r="E2456" s="74" t="s">
        <v>962</v>
      </c>
      <c r="F2456" s="144">
        <f>10000+21600.85</f>
        <v>31600.85</v>
      </c>
      <c r="G2456" s="31">
        <f t="shared" si="38"/>
        <v>0</v>
      </c>
      <c r="H2456" s="39" t="s">
        <v>94</v>
      </c>
      <c r="J2456" s="42"/>
    </row>
    <row r="2457" spans="1:10" s="3" customFormat="1" x14ac:dyDescent="0.25">
      <c r="A2457" s="20">
        <v>42089</v>
      </c>
      <c r="B2457" s="21">
        <v>15967</v>
      </c>
      <c r="C2457" s="14" t="s">
        <v>32</v>
      </c>
      <c r="D2457" s="105">
        <v>252573.5</v>
      </c>
      <c r="E2457" s="74">
        <v>42115</v>
      </c>
      <c r="F2457" s="144">
        <v>252573.5</v>
      </c>
      <c r="G2457" s="31">
        <f t="shared" si="38"/>
        <v>0</v>
      </c>
      <c r="H2457" s="39" t="s">
        <v>149</v>
      </c>
      <c r="J2457" s="42"/>
    </row>
    <row r="2458" spans="1:10" s="3" customFormat="1" x14ac:dyDescent="0.25">
      <c r="A2458" s="20">
        <v>42089</v>
      </c>
      <c r="B2458" s="21">
        <v>15968</v>
      </c>
      <c r="C2458" s="14" t="s">
        <v>23</v>
      </c>
      <c r="D2458" s="105">
        <v>3348.4</v>
      </c>
      <c r="E2458" s="65">
        <v>42089</v>
      </c>
      <c r="F2458" s="106">
        <v>3348.4</v>
      </c>
      <c r="G2458" s="31">
        <f t="shared" si="38"/>
        <v>0</v>
      </c>
      <c r="H2458" s="39" t="s">
        <v>9</v>
      </c>
      <c r="J2458" s="42"/>
    </row>
    <row r="2459" spans="1:10" s="3" customFormat="1" x14ac:dyDescent="0.25">
      <c r="A2459" s="20">
        <v>42089</v>
      </c>
      <c r="B2459" s="21">
        <v>15969</v>
      </c>
      <c r="C2459" s="14" t="s">
        <v>215</v>
      </c>
      <c r="D2459" s="105">
        <v>20371.330000000002</v>
      </c>
      <c r="E2459" s="65">
        <v>42089</v>
      </c>
      <c r="F2459" s="106">
        <v>20371.330000000002</v>
      </c>
      <c r="G2459" s="31">
        <f t="shared" si="38"/>
        <v>0</v>
      </c>
      <c r="H2459" s="39" t="s">
        <v>19</v>
      </c>
      <c r="J2459" s="42"/>
    </row>
    <row r="2460" spans="1:10" s="3" customFormat="1" x14ac:dyDescent="0.25">
      <c r="A2460" s="20">
        <v>42089</v>
      </c>
      <c r="B2460" s="21">
        <v>15970</v>
      </c>
      <c r="C2460" s="14" t="s">
        <v>285</v>
      </c>
      <c r="D2460" s="105">
        <v>400</v>
      </c>
      <c r="E2460" s="65">
        <v>42093</v>
      </c>
      <c r="F2460" s="106">
        <v>400</v>
      </c>
      <c r="G2460" s="31">
        <f t="shared" si="38"/>
        <v>0</v>
      </c>
      <c r="H2460" s="39" t="s">
        <v>15</v>
      </c>
      <c r="J2460" s="42"/>
    </row>
    <row r="2461" spans="1:10" s="3" customFormat="1" x14ac:dyDescent="0.25">
      <c r="A2461" s="20">
        <v>42089</v>
      </c>
      <c r="B2461" s="21">
        <v>15971</v>
      </c>
      <c r="C2461" s="14" t="s">
        <v>375</v>
      </c>
      <c r="D2461" s="105">
        <v>2516.4</v>
      </c>
      <c r="E2461" s="65">
        <v>42089</v>
      </c>
      <c r="F2461" s="106">
        <v>2516.4</v>
      </c>
      <c r="G2461" s="31">
        <f t="shared" si="38"/>
        <v>0</v>
      </c>
      <c r="H2461" s="39" t="s">
        <v>9</v>
      </c>
      <c r="J2461" s="42"/>
    </row>
    <row r="2462" spans="1:10" s="3" customFormat="1" x14ac:dyDescent="0.25">
      <c r="A2462" s="20">
        <v>42089</v>
      </c>
      <c r="B2462" s="21">
        <v>15972</v>
      </c>
      <c r="C2462" s="14" t="s">
        <v>224</v>
      </c>
      <c r="D2462" s="105">
        <v>4867.84</v>
      </c>
      <c r="E2462" s="65">
        <v>42093</v>
      </c>
      <c r="F2462" s="106">
        <v>4867.84</v>
      </c>
      <c r="G2462" s="31">
        <f t="shared" si="38"/>
        <v>0</v>
      </c>
      <c r="H2462" s="39" t="s">
        <v>15</v>
      </c>
      <c r="J2462" s="42"/>
    </row>
    <row r="2463" spans="1:10" s="3" customFormat="1" x14ac:dyDescent="0.25">
      <c r="A2463" s="20">
        <v>42089</v>
      </c>
      <c r="B2463" s="21">
        <v>15973</v>
      </c>
      <c r="C2463" s="14" t="s">
        <v>97</v>
      </c>
      <c r="D2463" s="105">
        <v>6377.8</v>
      </c>
      <c r="E2463" s="65">
        <v>42089</v>
      </c>
      <c r="F2463" s="106">
        <v>6377.8</v>
      </c>
      <c r="G2463" s="31">
        <f t="shared" si="38"/>
        <v>0</v>
      </c>
      <c r="H2463" s="39" t="s">
        <v>9</v>
      </c>
      <c r="J2463" s="42"/>
    </row>
    <row r="2464" spans="1:10" s="3" customFormat="1" x14ac:dyDescent="0.25">
      <c r="A2464" s="20">
        <v>42089</v>
      </c>
      <c r="B2464" s="21">
        <v>15974</v>
      </c>
      <c r="C2464" s="14" t="s">
        <v>239</v>
      </c>
      <c r="D2464" s="105">
        <v>564.70000000000005</v>
      </c>
      <c r="E2464" s="65">
        <v>42089</v>
      </c>
      <c r="F2464" s="106">
        <v>564.70000000000005</v>
      </c>
      <c r="G2464" s="31">
        <f t="shared" si="38"/>
        <v>0</v>
      </c>
      <c r="H2464" s="39" t="s">
        <v>9</v>
      </c>
      <c r="J2464" s="42"/>
    </row>
    <row r="2465" spans="1:10" s="3" customFormat="1" x14ac:dyDescent="0.25">
      <c r="A2465" s="20">
        <v>42089</v>
      </c>
      <c r="B2465" s="21">
        <v>15975</v>
      </c>
      <c r="C2465" s="14" t="s">
        <v>26</v>
      </c>
      <c r="D2465" s="105">
        <v>2176</v>
      </c>
      <c r="E2465" s="65">
        <v>42089</v>
      </c>
      <c r="F2465" s="106">
        <v>2176</v>
      </c>
      <c r="G2465" s="31">
        <f t="shared" si="38"/>
        <v>0</v>
      </c>
      <c r="H2465" s="39" t="s">
        <v>27</v>
      </c>
      <c r="J2465" s="42"/>
    </row>
    <row r="2466" spans="1:10" s="3" customFormat="1" x14ac:dyDescent="0.25">
      <c r="A2466" s="20">
        <v>42089</v>
      </c>
      <c r="B2466" s="21">
        <v>15976</v>
      </c>
      <c r="C2466" s="14" t="s">
        <v>214</v>
      </c>
      <c r="D2466" s="105">
        <v>2450</v>
      </c>
      <c r="E2466" s="65">
        <v>42089</v>
      </c>
      <c r="F2466" s="106">
        <v>2450</v>
      </c>
      <c r="G2466" s="31">
        <f t="shared" si="38"/>
        <v>0</v>
      </c>
      <c r="H2466" s="39" t="s">
        <v>59</v>
      </c>
      <c r="J2466" s="42"/>
    </row>
    <row r="2467" spans="1:10" s="3" customFormat="1" x14ac:dyDescent="0.25">
      <c r="A2467" s="20">
        <v>42089</v>
      </c>
      <c r="B2467" s="21">
        <v>15977</v>
      </c>
      <c r="C2467" s="14" t="s">
        <v>229</v>
      </c>
      <c r="D2467" s="105">
        <v>4663.26</v>
      </c>
      <c r="E2467" s="65">
        <v>42089</v>
      </c>
      <c r="F2467" s="106">
        <v>4663.26</v>
      </c>
      <c r="G2467" s="31">
        <f t="shared" si="38"/>
        <v>0</v>
      </c>
      <c r="H2467" s="39" t="s">
        <v>9</v>
      </c>
      <c r="J2467" s="42"/>
    </row>
    <row r="2468" spans="1:10" s="3" customFormat="1" x14ac:dyDescent="0.25">
      <c r="A2468" s="20">
        <v>42089</v>
      </c>
      <c r="B2468" s="21">
        <v>15978</v>
      </c>
      <c r="C2468" s="14" t="s">
        <v>270</v>
      </c>
      <c r="D2468" s="105">
        <v>905.5</v>
      </c>
      <c r="E2468" s="65">
        <v>42089</v>
      </c>
      <c r="F2468" s="106">
        <v>905.5</v>
      </c>
      <c r="G2468" s="31">
        <f t="shared" si="38"/>
        <v>0</v>
      </c>
      <c r="H2468" s="39" t="s">
        <v>929</v>
      </c>
      <c r="J2468" s="42"/>
    </row>
    <row r="2469" spans="1:10" s="3" customFormat="1" x14ac:dyDescent="0.25">
      <c r="A2469" s="20">
        <v>42089</v>
      </c>
      <c r="B2469" s="21">
        <v>15979</v>
      </c>
      <c r="C2469" s="110">
        <v>105</v>
      </c>
      <c r="D2469" s="105">
        <v>1330</v>
      </c>
      <c r="E2469" s="65">
        <v>42089</v>
      </c>
      <c r="F2469" s="106">
        <v>1330</v>
      </c>
      <c r="G2469" s="31">
        <f t="shared" si="38"/>
        <v>0</v>
      </c>
      <c r="H2469" s="39" t="s">
        <v>59</v>
      </c>
      <c r="J2469" s="42"/>
    </row>
    <row r="2470" spans="1:10" s="3" customFormat="1" x14ac:dyDescent="0.25">
      <c r="A2470" s="20">
        <v>42089</v>
      </c>
      <c r="B2470" s="21">
        <v>15980</v>
      </c>
      <c r="C2470" s="14" t="s">
        <v>57</v>
      </c>
      <c r="D2470" s="105">
        <v>1750</v>
      </c>
      <c r="E2470" s="65">
        <v>42089</v>
      </c>
      <c r="F2470" s="106">
        <v>1750</v>
      </c>
      <c r="G2470" s="31">
        <f t="shared" si="38"/>
        <v>0</v>
      </c>
      <c r="H2470" s="39" t="s">
        <v>59</v>
      </c>
      <c r="J2470" s="42"/>
    </row>
    <row r="2471" spans="1:10" s="3" customFormat="1" x14ac:dyDescent="0.25">
      <c r="A2471" s="20">
        <v>42089</v>
      </c>
      <c r="B2471" s="21">
        <v>15981</v>
      </c>
      <c r="C2471" s="14" t="s">
        <v>239</v>
      </c>
      <c r="D2471" s="105">
        <v>40</v>
      </c>
      <c r="E2471" s="65">
        <v>42089</v>
      </c>
      <c r="F2471" s="106">
        <v>40</v>
      </c>
      <c r="G2471" s="31">
        <f t="shared" si="38"/>
        <v>0</v>
      </c>
      <c r="H2471" s="39" t="s">
        <v>9</v>
      </c>
      <c r="J2471" s="42"/>
    </row>
    <row r="2472" spans="1:10" s="3" customFormat="1" x14ac:dyDescent="0.25">
      <c r="A2472" s="20">
        <v>42089</v>
      </c>
      <c r="B2472" s="21">
        <v>15982</v>
      </c>
      <c r="C2472" s="14" t="s">
        <v>45</v>
      </c>
      <c r="D2472" s="105">
        <v>59869.19</v>
      </c>
      <c r="E2472" s="65">
        <v>42093</v>
      </c>
      <c r="F2472" s="106">
        <v>59869.19</v>
      </c>
      <c r="G2472" s="31">
        <f t="shared" si="38"/>
        <v>0</v>
      </c>
      <c r="H2472" s="39" t="s">
        <v>46</v>
      </c>
      <c r="J2472" s="42"/>
    </row>
    <row r="2473" spans="1:10" s="3" customFormat="1" x14ac:dyDescent="0.25">
      <c r="A2473" s="20">
        <v>42089</v>
      </c>
      <c r="B2473" s="21">
        <v>15983</v>
      </c>
      <c r="C2473" s="14" t="s">
        <v>91</v>
      </c>
      <c r="D2473" s="105">
        <v>20048.18</v>
      </c>
      <c r="E2473" s="65">
        <v>42089</v>
      </c>
      <c r="F2473" s="106">
        <v>20048.18</v>
      </c>
      <c r="G2473" s="31">
        <f t="shared" si="38"/>
        <v>0</v>
      </c>
      <c r="H2473" s="39" t="s">
        <v>59</v>
      </c>
      <c r="J2473" s="42"/>
    </row>
    <row r="2474" spans="1:10" s="3" customFormat="1" x14ac:dyDescent="0.25">
      <c r="A2474" s="20">
        <v>42089</v>
      </c>
      <c r="B2474" s="21">
        <v>15984</v>
      </c>
      <c r="C2474" s="14" t="s">
        <v>97</v>
      </c>
      <c r="D2474" s="105">
        <v>5146.7</v>
      </c>
      <c r="E2474" s="65">
        <v>42089</v>
      </c>
      <c r="F2474" s="106">
        <v>5146.7</v>
      </c>
      <c r="G2474" s="31">
        <f t="shared" si="38"/>
        <v>0</v>
      </c>
      <c r="H2474" s="39" t="s">
        <v>9</v>
      </c>
      <c r="J2474" s="42"/>
    </row>
    <row r="2475" spans="1:10" s="3" customFormat="1" x14ac:dyDescent="0.25">
      <c r="A2475" s="20">
        <v>42089</v>
      </c>
      <c r="B2475" s="21">
        <v>15985</v>
      </c>
      <c r="C2475" s="14" t="s">
        <v>14</v>
      </c>
      <c r="D2475" s="105">
        <v>113372.75</v>
      </c>
      <c r="E2475" s="65">
        <v>42093</v>
      </c>
      <c r="F2475" s="106">
        <v>113372.75</v>
      </c>
      <c r="G2475" s="31">
        <f t="shared" si="38"/>
        <v>0</v>
      </c>
      <c r="H2475" s="39" t="s">
        <v>183</v>
      </c>
      <c r="J2475" s="42"/>
    </row>
    <row r="2476" spans="1:10" s="3" customFormat="1" x14ac:dyDescent="0.25">
      <c r="A2476" s="20">
        <v>42089</v>
      </c>
      <c r="B2476" s="21">
        <v>15986</v>
      </c>
      <c r="C2476" s="14" t="s">
        <v>34</v>
      </c>
      <c r="D2476" s="105">
        <v>3500</v>
      </c>
      <c r="E2476" s="65">
        <v>42089</v>
      </c>
      <c r="F2476" s="106">
        <v>3500</v>
      </c>
      <c r="G2476" s="31">
        <f t="shared" si="38"/>
        <v>0</v>
      </c>
      <c r="H2476" s="39" t="s">
        <v>9</v>
      </c>
      <c r="J2476" s="42"/>
    </row>
    <row r="2477" spans="1:10" s="3" customFormat="1" x14ac:dyDescent="0.25">
      <c r="A2477" s="20">
        <v>42089</v>
      </c>
      <c r="B2477" s="21">
        <v>15987</v>
      </c>
      <c r="C2477" s="14" t="s">
        <v>118</v>
      </c>
      <c r="D2477" s="105">
        <v>7527.8</v>
      </c>
      <c r="E2477" s="74">
        <v>42096</v>
      </c>
      <c r="F2477" s="144">
        <v>7527.8</v>
      </c>
      <c r="G2477" s="31">
        <f t="shared" si="38"/>
        <v>0</v>
      </c>
      <c r="H2477" s="39" t="s">
        <v>59</v>
      </c>
      <c r="J2477" s="42"/>
    </row>
    <row r="2478" spans="1:10" s="3" customFormat="1" x14ac:dyDescent="0.25">
      <c r="A2478" s="20">
        <v>42089</v>
      </c>
      <c r="B2478" s="21">
        <v>15988</v>
      </c>
      <c r="C2478" s="14" t="s">
        <v>82</v>
      </c>
      <c r="D2478" s="105">
        <v>1868.4</v>
      </c>
      <c r="E2478" s="65">
        <v>42089</v>
      </c>
      <c r="F2478" s="106">
        <v>1868.4</v>
      </c>
      <c r="G2478" s="31">
        <f t="shared" si="38"/>
        <v>0</v>
      </c>
      <c r="H2478" s="39" t="s">
        <v>59</v>
      </c>
      <c r="J2478" s="42"/>
    </row>
    <row r="2479" spans="1:10" s="3" customFormat="1" x14ac:dyDescent="0.25">
      <c r="A2479" s="20">
        <v>42089</v>
      </c>
      <c r="B2479" s="21">
        <v>15989</v>
      </c>
      <c r="C2479" s="14" t="s">
        <v>167</v>
      </c>
      <c r="D2479" s="105">
        <v>642.20000000000005</v>
      </c>
      <c r="E2479" s="65">
        <v>42089</v>
      </c>
      <c r="F2479" s="106">
        <v>642.20000000000005</v>
      </c>
      <c r="G2479" s="31">
        <f t="shared" si="38"/>
        <v>0</v>
      </c>
      <c r="H2479" s="39" t="s">
        <v>59</v>
      </c>
      <c r="J2479" s="42"/>
    </row>
    <row r="2480" spans="1:10" s="3" customFormat="1" x14ac:dyDescent="0.25">
      <c r="A2480" s="20">
        <v>42089</v>
      </c>
      <c r="B2480" s="21">
        <v>15990</v>
      </c>
      <c r="C2480" s="14" t="s">
        <v>53</v>
      </c>
      <c r="D2480" s="105">
        <v>780.8</v>
      </c>
      <c r="E2480" s="65">
        <v>42090</v>
      </c>
      <c r="F2480" s="106">
        <v>780.8</v>
      </c>
      <c r="G2480" s="31">
        <f t="shared" si="38"/>
        <v>0</v>
      </c>
      <c r="H2480" s="39" t="s">
        <v>59</v>
      </c>
      <c r="J2480" s="42"/>
    </row>
    <row r="2481" spans="1:10" s="3" customFormat="1" x14ac:dyDescent="0.25">
      <c r="A2481" s="20">
        <v>42089</v>
      </c>
      <c r="B2481" s="21">
        <v>15991</v>
      </c>
      <c r="C2481" s="14" t="s">
        <v>83</v>
      </c>
      <c r="D2481" s="105">
        <v>2086.4</v>
      </c>
      <c r="E2481" s="65">
        <v>42089</v>
      </c>
      <c r="F2481" s="106">
        <v>2086.4</v>
      </c>
      <c r="G2481" s="31">
        <f t="shared" si="38"/>
        <v>0</v>
      </c>
      <c r="H2481" s="39" t="s">
        <v>59</v>
      </c>
      <c r="J2481" s="42"/>
    </row>
    <row r="2482" spans="1:10" s="3" customFormat="1" x14ac:dyDescent="0.25">
      <c r="A2482" s="20">
        <v>42089</v>
      </c>
      <c r="B2482" s="21">
        <v>15992</v>
      </c>
      <c r="C2482" s="14" t="s">
        <v>589</v>
      </c>
      <c r="D2482" s="105">
        <v>18274.88</v>
      </c>
      <c r="E2482" s="65">
        <v>42089</v>
      </c>
      <c r="F2482" s="106">
        <v>18274.88</v>
      </c>
      <c r="G2482" s="31">
        <f t="shared" si="38"/>
        <v>0</v>
      </c>
      <c r="H2482" s="39" t="s">
        <v>17</v>
      </c>
      <c r="J2482" s="42"/>
    </row>
    <row r="2483" spans="1:10" s="3" customFormat="1" x14ac:dyDescent="0.25">
      <c r="A2483" s="20">
        <v>42089</v>
      </c>
      <c r="B2483" s="21">
        <v>15993</v>
      </c>
      <c r="C2483" s="14" t="s">
        <v>151</v>
      </c>
      <c r="D2483" s="105">
        <v>4649.6000000000004</v>
      </c>
      <c r="E2483" s="65">
        <v>42092</v>
      </c>
      <c r="F2483" s="106">
        <v>4649.6000000000004</v>
      </c>
      <c r="G2483" s="31">
        <f t="shared" si="38"/>
        <v>0</v>
      </c>
      <c r="H2483" s="39" t="s">
        <v>9</v>
      </c>
      <c r="J2483" s="42"/>
    </row>
    <row r="2484" spans="1:10" s="3" customFormat="1" x14ac:dyDescent="0.25">
      <c r="A2484" s="20">
        <v>42089</v>
      </c>
      <c r="B2484" s="21">
        <v>15994</v>
      </c>
      <c r="C2484" s="14" t="s">
        <v>168</v>
      </c>
      <c r="D2484" s="105">
        <v>816</v>
      </c>
      <c r="E2484" s="65">
        <v>42089</v>
      </c>
      <c r="F2484" s="106">
        <v>816</v>
      </c>
      <c r="G2484" s="31">
        <f t="shared" si="38"/>
        <v>0</v>
      </c>
      <c r="H2484" s="39" t="s">
        <v>59</v>
      </c>
      <c r="J2484" s="42"/>
    </row>
    <row r="2485" spans="1:10" s="3" customFormat="1" x14ac:dyDescent="0.25">
      <c r="A2485" s="20">
        <v>42089</v>
      </c>
      <c r="B2485" s="21">
        <v>15995</v>
      </c>
      <c r="C2485" s="14" t="s">
        <v>81</v>
      </c>
      <c r="D2485" s="105">
        <v>1239.5999999999999</v>
      </c>
      <c r="E2485" s="65">
        <v>42089</v>
      </c>
      <c r="F2485" s="106">
        <v>1239.5999999999999</v>
      </c>
      <c r="G2485" s="31">
        <f t="shared" si="38"/>
        <v>0</v>
      </c>
      <c r="H2485" s="39" t="s">
        <v>59</v>
      </c>
      <c r="J2485" s="42"/>
    </row>
    <row r="2486" spans="1:10" s="3" customFormat="1" x14ac:dyDescent="0.25">
      <c r="A2486" s="20">
        <v>42089</v>
      </c>
      <c r="B2486" s="21">
        <v>15996</v>
      </c>
      <c r="C2486" s="14" t="s">
        <v>881</v>
      </c>
      <c r="D2486" s="105">
        <v>173.8</v>
      </c>
      <c r="E2486" s="65">
        <v>42089</v>
      </c>
      <c r="F2486" s="106">
        <v>173.8</v>
      </c>
      <c r="G2486" s="31">
        <f t="shared" si="38"/>
        <v>0</v>
      </c>
      <c r="H2486" s="39" t="s">
        <v>9</v>
      </c>
      <c r="J2486" s="42"/>
    </row>
    <row r="2487" spans="1:10" s="3" customFormat="1" x14ac:dyDescent="0.25">
      <c r="A2487" s="20">
        <v>42089</v>
      </c>
      <c r="B2487" s="21">
        <v>15997</v>
      </c>
      <c r="C2487" s="14" t="s">
        <v>47</v>
      </c>
      <c r="D2487" s="105">
        <v>9972</v>
      </c>
      <c r="E2487" s="65">
        <v>42090</v>
      </c>
      <c r="F2487" s="106">
        <v>9972</v>
      </c>
      <c r="G2487" s="31">
        <f t="shared" si="38"/>
        <v>0</v>
      </c>
      <c r="H2487" s="39" t="s">
        <v>773</v>
      </c>
      <c r="J2487" s="42"/>
    </row>
    <row r="2488" spans="1:10" s="3" customFormat="1" x14ac:dyDescent="0.25">
      <c r="A2488" s="20">
        <v>42089</v>
      </c>
      <c r="B2488" s="21">
        <v>15998</v>
      </c>
      <c r="C2488" s="14" t="s">
        <v>128</v>
      </c>
      <c r="D2488" s="105">
        <v>8764.7999999999993</v>
      </c>
      <c r="E2488" s="65">
        <v>42090</v>
      </c>
      <c r="F2488" s="106">
        <v>8764.7999999999993</v>
      </c>
      <c r="G2488" s="31">
        <f t="shared" si="38"/>
        <v>0</v>
      </c>
      <c r="H2488" s="39" t="s">
        <v>17</v>
      </c>
      <c r="J2488" s="42"/>
    </row>
    <row r="2489" spans="1:10" s="3" customFormat="1" x14ac:dyDescent="0.25">
      <c r="A2489" s="20">
        <v>42089</v>
      </c>
      <c r="B2489" s="21">
        <v>15999</v>
      </c>
      <c r="C2489" s="150" t="s">
        <v>130</v>
      </c>
      <c r="D2489" s="105">
        <v>3986.4</v>
      </c>
      <c r="E2489" s="65">
        <v>42091</v>
      </c>
      <c r="F2489" s="106">
        <v>3986.4</v>
      </c>
      <c r="G2489" s="31">
        <f t="shared" si="38"/>
        <v>0</v>
      </c>
      <c r="H2489" s="39" t="s">
        <v>17</v>
      </c>
      <c r="J2489" s="42"/>
    </row>
    <row r="2490" spans="1:10" s="3" customFormat="1" x14ac:dyDescent="0.25">
      <c r="A2490" s="20">
        <v>42089</v>
      </c>
      <c r="B2490" s="21">
        <v>16000</v>
      </c>
      <c r="C2490" s="14" t="s">
        <v>256</v>
      </c>
      <c r="D2490" s="105">
        <v>5869.4</v>
      </c>
      <c r="E2490" s="65">
        <v>42090</v>
      </c>
      <c r="F2490" s="106">
        <v>5869.4</v>
      </c>
      <c r="G2490" s="31">
        <f t="shared" si="38"/>
        <v>0</v>
      </c>
      <c r="H2490" s="39" t="s">
        <v>773</v>
      </c>
      <c r="J2490" s="42"/>
    </row>
    <row r="2491" spans="1:10" s="3" customFormat="1" x14ac:dyDescent="0.25">
      <c r="A2491" s="20">
        <v>42089</v>
      </c>
      <c r="B2491" s="21">
        <v>16001</v>
      </c>
      <c r="C2491" s="14" t="s">
        <v>37</v>
      </c>
      <c r="D2491" s="105">
        <v>20976.46</v>
      </c>
      <c r="E2491" s="74">
        <v>42095</v>
      </c>
      <c r="F2491" s="144">
        <v>20976.46</v>
      </c>
      <c r="G2491" s="31">
        <f t="shared" si="38"/>
        <v>0</v>
      </c>
      <c r="H2491" s="39" t="s">
        <v>773</v>
      </c>
      <c r="J2491" s="42"/>
    </row>
    <row r="2492" spans="1:10" s="3" customFormat="1" x14ac:dyDescent="0.25">
      <c r="A2492" s="20">
        <v>42089</v>
      </c>
      <c r="B2492" s="21">
        <v>16002</v>
      </c>
      <c r="C2492" s="14" t="s">
        <v>24</v>
      </c>
      <c r="D2492" s="105">
        <v>2454</v>
      </c>
      <c r="E2492" s="74">
        <v>42138</v>
      </c>
      <c r="F2492" s="144">
        <v>2454</v>
      </c>
      <c r="G2492" s="31">
        <f t="shared" si="38"/>
        <v>0</v>
      </c>
      <c r="H2492" s="39" t="s">
        <v>9</v>
      </c>
      <c r="J2492" s="42"/>
    </row>
    <row r="2493" spans="1:10" s="3" customFormat="1" x14ac:dyDescent="0.25">
      <c r="A2493" s="20">
        <v>42089</v>
      </c>
      <c r="B2493" s="21">
        <v>16003</v>
      </c>
      <c r="C2493" s="14" t="s">
        <v>131</v>
      </c>
      <c r="D2493" s="105">
        <v>7959.2</v>
      </c>
      <c r="E2493" s="65">
        <v>42090</v>
      </c>
      <c r="F2493" s="106">
        <v>7959.2</v>
      </c>
      <c r="G2493" s="31">
        <f t="shared" si="38"/>
        <v>0</v>
      </c>
      <c r="H2493" s="39" t="s">
        <v>17</v>
      </c>
      <c r="J2493" s="42"/>
    </row>
    <row r="2494" spans="1:10" s="3" customFormat="1" x14ac:dyDescent="0.25">
      <c r="A2494" s="20">
        <v>42089</v>
      </c>
      <c r="B2494" s="21">
        <v>16004</v>
      </c>
      <c r="C2494" s="14" t="s">
        <v>422</v>
      </c>
      <c r="D2494" s="105">
        <v>267.5</v>
      </c>
      <c r="E2494" s="65">
        <v>42089</v>
      </c>
      <c r="F2494" s="106">
        <v>267.5</v>
      </c>
      <c r="G2494" s="31">
        <f t="shared" si="38"/>
        <v>0</v>
      </c>
      <c r="H2494" s="39" t="s">
        <v>9</v>
      </c>
      <c r="J2494" s="42"/>
    </row>
    <row r="2495" spans="1:10" s="3" customFormat="1" x14ac:dyDescent="0.25">
      <c r="A2495" s="20">
        <v>42089</v>
      </c>
      <c r="B2495" s="21">
        <v>16005</v>
      </c>
      <c r="C2495" s="14" t="s">
        <v>55</v>
      </c>
      <c r="D2495" s="105">
        <v>17440.439999999999</v>
      </c>
      <c r="E2495" s="65">
        <v>42090</v>
      </c>
      <c r="F2495" s="106">
        <v>17440.439999999999</v>
      </c>
      <c r="G2495" s="31">
        <f t="shared" si="38"/>
        <v>0</v>
      </c>
      <c r="H2495" s="39" t="s">
        <v>773</v>
      </c>
      <c r="J2495" s="42"/>
    </row>
    <row r="2496" spans="1:10" s="3" customFormat="1" x14ac:dyDescent="0.25">
      <c r="A2496" s="20">
        <v>42089</v>
      </c>
      <c r="B2496" s="21">
        <v>16006</v>
      </c>
      <c r="C2496" s="14" t="s">
        <v>35</v>
      </c>
      <c r="D2496" s="105">
        <v>19464.310000000001</v>
      </c>
      <c r="E2496" s="65">
        <v>42090</v>
      </c>
      <c r="F2496" s="106">
        <v>19464.310000000001</v>
      </c>
      <c r="G2496" s="31">
        <f t="shared" si="38"/>
        <v>0</v>
      </c>
      <c r="H2496" s="39" t="s">
        <v>773</v>
      </c>
      <c r="J2496" s="42"/>
    </row>
    <row r="2497" spans="1:10" s="3" customFormat="1" x14ac:dyDescent="0.25">
      <c r="A2497" s="20">
        <v>42089</v>
      </c>
      <c r="B2497" s="21">
        <v>16007</v>
      </c>
      <c r="C2497" s="14" t="s">
        <v>236</v>
      </c>
      <c r="D2497" s="105">
        <v>37363</v>
      </c>
      <c r="E2497" s="74">
        <v>42101</v>
      </c>
      <c r="F2497" s="144">
        <v>37363</v>
      </c>
      <c r="G2497" s="31">
        <f t="shared" si="38"/>
        <v>0</v>
      </c>
      <c r="H2497" s="39" t="s">
        <v>62</v>
      </c>
      <c r="J2497" s="42"/>
    </row>
    <row r="2498" spans="1:10" s="3" customFormat="1" x14ac:dyDescent="0.25">
      <c r="A2498" s="20">
        <v>42089</v>
      </c>
      <c r="B2498" s="21">
        <v>16008</v>
      </c>
      <c r="C2498" s="14" t="s">
        <v>56</v>
      </c>
      <c r="D2498" s="105">
        <v>14247.6</v>
      </c>
      <c r="E2498" s="65">
        <v>42090</v>
      </c>
      <c r="F2498" s="106">
        <v>14247.6</v>
      </c>
      <c r="G2498" s="31">
        <f t="shared" si="38"/>
        <v>0</v>
      </c>
      <c r="H2498" s="39" t="s">
        <v>773</v>
      </c>
      <c r="J2498" s="42"/>
    </row>
    <row r="2499" spans="1:10" s="3" customFormat="1" x14ac:dyDescent="0.25">
      <c r="A2499" s="20">
        <v>42089</v>
      </c>
      <c r="B2499" s="21">
        <v>16009</v>
      </c>
      <c r="C2499" s="14" t="s">
        <v>137</v>
      </c>
      <c r="D2499" s="105">
        <v>564.6</v>
      </c>
      <c r="E2499" s="65">
        <v>42089</v>
      </c>
      <c r="F2499" s="106">
        <v>564.6</v>
      </c>
      <c r="G2499" s="31">
        <f t="shared" ref="G2499:G2562" si="39">D2499-F2499</f>
        <v>0</v>
      </c>
      <c r="H2499" s="39" t="s">
        <v>9</v>
      </c>
      <c r="J2499" s="42"/>
    </row>
    <row r="2500" spans="1:10" s="3" customFormat="1" x14ac:dyDescent="0.25">
      <c r="A2500" s="20">
        <v>42089</v>
      </c>
      <c r="B2500" s="21">
        <v>16010</v>
      </c>
      <c r="C2500" s="14" t="s">
        <v>49</v>
      </c>
      <c r="D2500" s="105">
        <v>1537.2</v>
      </c>
      <c r="E2500" s="65">
        <v>42089</v>
      </c>
      <c r="F2500" s="106">
        <v>1537.2</v>
      </c>
      <c r="G2500" s="31">
        <f t="shared" si="39"/>
        <v>0</v>
      </c>
      <c r="H2500" s="39" t="s">
        <v>94</v>
      </c>
      <c r="J2500" s="42"/>
    </row>
    <row r="2501" spans="1:10" s="3" customFormat="1" x14ac:dyDescent="0.25">
      <c r="A2501" s="20">
        <v>42089</v>
      </c>
      <c r="B2501" s="21">
        <v>16011</v>
      </c>
      <c r="C2501" s="14" t="s">
        <v>100</v>
      </c>
      <c r="D2501" s="105">
        <v>1272.9000000000001</v>
      </c>
      <c r="E2501" s="65">
        <v>42089</v>
      </c>
      <c r="F2501" s="106">
        <v>1272.9000000000001</v>
      </c>
      <c r="G2501" s="31">
        <f t="shared" si="39"/>
        <v>0</v>
      </c>
      <c r="H2501" s="39" t="s">
        <v>9</v>
      </c>
      <c r="J2501" s="42"/>
    </row>
    <row r="2502" spans="1:10" s="3" customFormat="1" x14ac:dyDescent="0.25">
      <c r="A2502" s="20">
        <v>42089</v>
      </c>
      <c r="B2502" s="21">
        <v>16012</v>
      </c>
      <c r="C2502" s="14" t="s">
        <v>844</v>
      </c>
      <c r="D2502" s="105">
        <v>8745.5</v>
      </c>
      <c r="E2502" s="65">
        <v>42089</v>
      </c>
      <c r="F2502" s="106">
        <v>8745.5</v>
      </c>
      <c r="G2502" s="31">
        <f t="shared" si="39"/>
        <v>0</v>
      </c>
      <c r="H2502" s="39" t="s">
        <v>94</v>
      </c>
      <c r="J2502" s="42"/>
    </row>
    <row r="2503" spans="1:10" s="3" customFormat="1" x14ac:dyDescent="0.25">
      <c r="A2503" s="20">
        <v>42089</v>
      </c>
      <c r="B2503" s="21">
        <v>16013</v>
      </c>
      <c r="C2503" s="14" t="s">
        <v>100</v>
      </c>
      <c r="D2503" s="105">
        <v>154</v>
      </c>
      <c r="E2503" s="65">
        <v>42089</v>
      </c>
      <c r="F2503" s="106">
        <v>154</v>
      </c>
      <c r="G2503" s="31">
        <f t="shared" si="39"/>
        <v>0</v>
      </c>
      <c r="H2503" s="39" t="s">
        <v>9</v>
      </c>
      <c r="J2503" s="42"/>
    </row>
    <row r="2504" spans="1:10" s="3" customFormat="1" x14ac:dyDescent="0.25">
      <c r="A2504" s="20">
        <v>42089</v>
      </c>
      <c r="B2504" s="21">
        <v>16014</v>
      </c>
      <c r="C2504" s="14" t="s">
        <v>335</v>
      </c>
      <c r="D2504" s="105">
        <v>459</v>
      </c>
      <c r="E2504" s="65">
        <v>42089</v>
      </c>
      <c r="F2504" s="106">
        <v>459</v>
      </c>
      <c r="G2504" s="31">
        <f t="shared" si="39"/>
        <v>0</v>
      </c>
      <c r="H2504" s="39" t="s">
        <v>9</v>
      </c>
      <c r="J2504" s="42"/>
    </row>
    <row r="2505" spans="1:10" s="3" customFormat="1" x14ac:dyDescent="0.25">
      <c r="A2505" s="20">
        <v>42089</v>
      </c>
      <c r="B2505" s="21">
        <v>16015</v>
      </c>
      <c r="C2505" s="14" t="s">
        <v>95</v>
      </c>
      <c r="D2505" s="105">
        <v>2476.8000000000002</v>
      </c>
      <c r="E2505" s="65">
        <v>42090</v>
      </c>
      <c r="F2505" s="106">
        <v>2476.8000000000002</v>
      </c>
      <c r="G2505" s="31">
        <f t="shared" si="39"/>
        <v>0</v>
      </c>
      <c r="H2505" s="39" t="s">
        <v>19</v>
      </c>
      <c r="J2505" s="42"/>
    </row>
    <row r="2506" spans="1:10" s="3" customFormat="1" x14ac:dyDescent="0.25">
      <c r="A2506" s="20">
        <v>42089</v>
      </c>
      <c r="B2506" s="21">
        <v>16016</v>
      </c>
      <c r="C2506" s="14" t="s">
        <v>98</v>
      </c>
      <c r="D2506" s="105">
        <v>867.4</v>
      </c>
      <c r="E2506" s="65">
        <v>42090</v>
      </c>
      <c r="F2506" s="106">
        <v>867.4</v>
      </c>
      <c r="G2506" s="31">
        <f t="shared" si="39"/>
        <v>0</v>
      </c>
      <c r="H2506" s="39" t="s">
        <v>19</v>
      </c>
      <c r="J2506" s="42"/>
    </row>
    <row r="2507" spans="1:10" s="3" customFormat="1" x14ac:dyDescent="0.25">
      <c r="A2507" s="20">
        <v>42089</v>
      </c>
      <c r="B2507" s="21">
        <v>16017</v>
      </c>
      <c r="C2507" s="26" t="s">
        <v>218</v>
      </c>
      <c r="D2507" s="108">
        <v>0</v>
      </c>
      <c r="E2507" s="65"/>
      <c r="F2507" s="106"/>
      <c r="G2507" s="31">
        <f t="shared" si="39"/>
        <v>0</v>
      </c>
      <c r="H2507" s="39" t="s">
        <v>13</v>
      </c>
      <c r="J2507" s="42"/>
    </row>
    <row r="2508" spans="1:10" s="3" customFormat="1" x14ac:dyDescent="0.25">
      <c r="A2508" s="20">
        <v>42089</v>
      </c>
      <c r="B2508" s="21">
        <v>16018</v>
      </c>
      <c r="C2508" s="26" t="s">
        <v>218</v>
      </c>
      <c r="D2508" s="108">
        <v>0</v>
      </c>
      <c r="E2508" s="65"/>
      <c r="F2508" s="106"/>
      <c r="G2508" s="31">
        <f t="shared" si="39"/>
        <v>0</v>
      </c>
      <c r="H2508" s="39" t="s">
        <v>13</v>
      </c>
      <c r="J2508" s="42"/>
    </row>
    <row r="2509" spans="1:10" s="3" customFormat="1" x14ac:dyDescent="0.25">
      <c r="A2509" s="20">
        <v>42089</v>
      </c>
      <c r="B2509" s="21">
        <v>16019</v>
      </c>
      <c r="C2509" s="14" t="s">
        <v>107</v>
      </c>
      <c r="D2509" s="105">
        <v>3427.6</v>
      </c>
      <c r="E2509" s="65">
        <v>42089</v>
      </c>
      <c r="F2509" s="106">
        <v>3427.6</v>
      </c>
      <c r="G2509" s="31">
        <f t="shared" si="39"/>
        <v>0</v>
      </c>
      <c r="H2509" s="39" t="s">
        <v>9</v>
      </c>
      <c r="J2509" s="42"/>
    </row>
    <row r="2510" spans="1:10" s="3" customFormat="1" x14ac:dyDescent="0.25">
      <c r="A2510" s="20">
        <v>42089</v>
      </c>
      <c r="B2510" s="21">
        <v>16020</v>
      </c>
      <c r="C2510" s="14" t="s">
        <v>930</v>
      </c>
      <c r="D2510" s="105">
        <v>4270.5</v>
      </c>
      <c r="E2510" s="65">
        <v>42090</v>
      </c>
      <c r="F2510" s="106">
        <v>4270.5</v>
      </c>
      <c r="G2510" s="31">
        <f t="shared" si="39"/>
        <v>0</v>
      </c>
      <c r="H2510" s="39" t="s">
        <v>19</v>
      </c>
      <c r="J2510" s="42"/>
    </row>
    <row r="2511" spans="1:10" s="3" customFormat="1" x14ac:dyDescent="0.25">
      <c r="A2511" s="20">
        <v>42089</v>
      </c>
      <c r="B2511" s="21">
        <v>16021</v>
      </c>
      <c r="C2511" s="14" t="s">
        <v>305</v>
      </c>
      <c r="D2511" s="105">
        <v>2368.8000000000002</v>
      </c>
      <c r="E2511" s="65">
        <v>42089</v>
      </c>
      <c r="F2511" s="106">
        <v>2368.8000000000002</v>
      </c>
      <c r="G2511" s="31">
        <f t="shared" si="39"/>
        <v>0</v>
      </c>
      <c r="H2511" s="39" t="s">
        <v>9</v>
      </c>
      <c r="J2511" s="42"/>
    </row>
    <row r="2512" spans="1:10" s="3" customFormat="1" x14ac:dyDescent="0.25">
      <c r="A2512" s="20">
        <v>42089</v>
      </c>
      <c r="B2512" s="21">
        <v>16022</v>
      </c>
      <c r="C2512" s="14" t="s">
        <v>190</v>
      </c>
      <c r="D2512" s="105">
        <v>5263.9</v>
      </c>
      <c r="E2512" s="65">
        <v>42090</v>
      </c>
      <c r="F2512" s="106">
        <v>5263.9</v>
      </c>
      <c r="G2512" s="31">
        <f t="shared" si="39"/>
        <v>0</v>
      </c>
      <c r="H2512" s="39" t="s">
        <v>19</v>
      </c>
      <c r="J2512" s="42"/>
    </row>
    <row r="2513" spans="1:10" s="3" customFormat="1" x14ac:dyDescent="0.25">
      <c r="A2513" s="20">
        <v>42089</v>
      </c>
      <c r="B2513" s="21">
        <v>16023</v>
      </c>
      <c r="C2513" s="14" t="s">
        <v>106</v>
      </c>
      <c r="D2513" s="105">
        <v>20512</v>
      </c>
      <c r="E2513" s="74">
        <v>42101</v>
      </c>
      <c r="F2513" s="144">
        <v>20512</v>
      </c>
      <c r="G2513" s="31">
        <f t="shared" si="39"/>
        <v>0</v>
      </c>
      <c r="H2513" s="39" t="s">
        <v>19</v>
      </c>
      <c r="J2513" s="42"/>
    </row>
    <row r="2514" spans="1:10" s="3" customFormat="1" x14ac:dyDescent="0.25">
      <c r="A2514" s="20">
        <v>42089</v>
      </c>
      <c r="B2514" s="21">
        <v>16024</v>
      </c>
      <c r="C2514" s="14" t="s">
        <v>158</v>
      </c>
      <c r="D2514" s="105">
        <v>3207.2</v>
      </c>
      <c r="E2514" s="65">
        <v>42089</v>
      </c>
      <c r="F2514" s="106">
        <v>3207.2</v>
      </c>
      <c r="G2514" s="31">
        <f t="shared" si="39"/>
        <v>0</v>
      </c>
      <c r="H2514" s="39" t="s">
        <v>9</v>
      </c>
      <c r="J2514" s="42"/>
    </row>
    <row r="2515" spans="1:10" s="3" customFormat="1" x14ac:dyDescent="0.25">
      <c r="A2515" s="20">
        <v>42089</v>
      </c>
      <c r="B2515" s="21">
        <v>16025</v>
      </c>
      <c r="C2515" s="14" t="s">
        <v>110</v>
      </c>
      <c r="D2515" s="105">
        <v>56453.91</v>
      </c>
      <c r="E2515" s="74" t="s">
        <v>1003</v>
      </c>
      <c r="F2515" s="144">
        <f>20609.54+29964.5+5879.87</f>
        <v>56453.91</v>
      </c>
      <c r="G2515" s="31">
        <f t="shared" si="39"/>
        <v>0</v>
      </c>
      <c r="H2515" s="39" t="s">
        <v>46</v>
      </c>
      <c r="J2515" s="42"/>
    </row>
    <row r="2516" spans="1:10" s="3" customFormat="1" x14ac:dyDescent="0.25">
      <c r="A2516" s="20">
        <v>42089</v>
      </c>
      <c r="B2516" s="21">
        <v>16026</v>
      </c>
      <c r="C2516" s="14" t="s">
        <v>24</v>
      </c>
      <c r="D2516" s="105">
        <v>317412.93</v>
      </c>
      <c r="E2516" s="74">
        <v>42108</v>
      </c>
      <c r="F2516" s="144">
        <v>317412.93</v>
      </c>
      <c r="G2516" s="31">
        <f t="shared" si="39"/>
        <v>0</v>
      </c>
      <c r="H2516" s="39" t="s">
        <v>9</v>
      </c>
      <c r="J2516" s="42"/>
    </row>
    <row r="2517" spans="1:10" s="3" customFormat="1" x14ac:dyDescent="0.25">
      <c r="A2517" s="20">
        <v>42089</v>
      </c>
      <c r="B2517" s="21">
        <v>16027</v>
      </c>
      <c r="C2517" s="14" t="s">
        <v>26</v>
      </c>
      <c r="D2517" s="105">
        <v>80</v>
      </c>
      <c r="E2517" s="65">
        <v>42089</v>
      </c>
      <c r="F2517" s="106">
        <v>80</v>
      </c>
      <c r="G2517" s="31">
        <f t="shared" si="39"/>
        <v>0</v>
      </c>
      <c r="H2517" s="39" t="s">
        <v>27</v>
      </c>
      <c r="J2517" s="42"/>
    </row>
    <row r="2518" spans="1:10" s="3" customFormat="1" x14ac:dyDescent="0.25">
      <c r="A2518" s="20">
        <v>42089</v>
      </c>
      <c r="B2518" s="21">
        <v>16028</v>
      </c>
      <c r="C2518" s="14" t="s">
        <v>121</v>
      </c>
      <c r="D2518" s="105">
        <v>644.4</v>
      </c>
      <c r="E2518" s="65">
        <v>42089</v>
      </c>
      <c r="F2518" s="106">
        <v>644.4</v>
      </c>
      <c r="G2518" s="31">
        <f t="shared" si="39"/>
        <v>0</v>
      </c>
      <c r="H2518" s="39" t="s">
        <v>62</v>
      </c>
      <c r="J2518" s="42"/>
    </row>
    <row r="2519" spans="1:10" s="3" customFormat="1" x14ac:dyDescent="0.25">
      <c r="A2519" s="20">
        <v>42089</v>
      </c>
      <c r="B2519" s="21">
        <v>16029</v>
      </c>
      <c r="C2519" s="14" t="s">
        <v>207</v>
      </c>
      <c r="D2519" s="105">
        <v>27300.48</v>
      </c>
      <c r="E2519" s="74">
        <v>42095</v>
      </c>
      <c r="F2519" s="144">
        <v>27300.48</v>
      </c>
      <c r="G2519" s="31">
        <f t="shared" si="39"/>
        <v>0</v>
      </c>
      <c r="H2519" s="39" t="s">
        <v>149</v>
      </c>
      <c r="J2519" s="42"/>
    </row>
    <row r="2520" spans="1:10" s="3" customFormat="1" x14ac:dyDescent="0.25">
      <c r="A2520" s="20">
        <v>42089</v>
      </c>
      <c r="B2520" s="21">
        <v>16030</v>
      </c>
      <c r="C2520" s="14" t="s">
        <v>195</v>
      </c>
      <c r="D2520" s="105">
        <v>52968.69</v>
      </c>
      <c r="E2520" s="74" t="s">
        <v>943</v>
      </c>
      <c r="F2520" s="144">
        <v>52968.69</v>
      </c>
      <c r="G2520" s="31">
        <f t="shared" si="39"/>
        <v>0</v>
      </c>
      <c r="H2520" s="39" t="s">
        <v>149</v>
      </c>
      <c r="J2520" s="42"/>
    </row>
    <row r="2521" spans="1:10" s="3" customFormat="1" x14ac:dyDescent="0.25">
      <c r="A2521" s="20">
        <v>42089</v>
      </c>
      <c r="B2521" s="21">
        <v>16031</v>
      </c>
      <c r="C2521" s="14" t="s">
        <v>143</v>
      </c>
      <c r="D2521" s="105">
        <v>23365.8</v>
      </c>
      <c r="E2521" s="65">
        <v>42090</v>
      </c>
      <c r="F2521" s="106">
        <v>23365.8</v>
      </c>
      <c r="G2521" s="31">
        <f t="shared" si="39"/>
        <v>0</v>
      </c>
      <c r="H2521" s="39" t="s">
        <v>17</v>
      </c>
      <c r="J2521" s="42"/>
    </row>
    <row r="2522" spans="1:10" s="3" customFormat="1" x14ac:dyDescent="0.25">
      <c r="A2522" s="20">
        <v>42089</v>
      </c>
      <c r="B2522" s="21">
        <v>16032</v>
      </c>
      <c r="C2522" s="14" t="s">
        <v>192</v>
      </c>
      <c r="D2522" s="105">
        <v>18252</v>
      </c>
      <c r="E2522" s="74">
        <v>42115</v>
      </c>
      <c r="F2522" s="144">
        <v>18252</v>
      </c>
      <c r="G2522" s="31">
        <f t="shared" si="39"/>
        <v>0</v>
      </c>
      <c r="H2522" s="39" t="s">
        <v>17</v>
      </c>
      <c r="J2522" s="42"/>
    </row>
    <row r="2523" spans="1:10" s="3" customFormat="1" x14ac:dyDescent="0.25">
      <c r="A2523" s="20">
        <v>42089</v>
      </c>
      <c r="B2523" s="21">
        <v>16033</v>
      </c>
      <c r="C2523" s="14" t="s">
        <v>205</v>
      </c>
      <c r="D2523" s="105">
        <v>5296.8</v>
      </c>
      <c r="E2523" s="74">
        <v>42095</v>
      </c>
      <c r="F2523" s="144">
        <v>5296.8</v>
      </c>
      <c r="G2523" s="31">
        <f t="shared" si="39"/>
        <v>0</v>
      </c>
      <c r="H2523" s="39" t="s">
        <v>149</v>
      </c>
      <c r="J2523" s="42"/>
    </row>
    <row r="2524" spans="1:10" s="3" customFormat="1" x14ac:dyDescent="0.25">
      <c r="A2524" s="20">
        <v>42089</v>
      </c>
      <c r="B2524" s="21">
        <v>16034</v>
      </c>
      <c r="C2524" s="14" t="s">
        <v>199</v>
      </c>
      <c r="D2524" s="105">
        <v>4558.3999999999996</v>
      </c>
      <c r="E2524" s="65">
        <v>42091</v>
      </c>
      <c r="F2524" s="106">
        <v>4558.3999999999996</v>
      </c>
      <c r="G2524" s="31">
        <f t="shared" si="39"/>
        <v>0</v>
      </c>
      <c r="H2524" s="39" t="s">
        <v>17</v>
      </c>
      <c r="J2524" s="42"/>
    </row>
    <row r="2525" spans="1:10" s="3" customFormat="1" x14ac:dyDescent="0.25">
      <c r="A2525" s="20">
        <v>42089</v>
      </c>
      <c r="B2525" s="21">
        <v>16035</v>
      </c>
      <c r="C2525" s="14" t="s">
        <v>472</v>
      </c>
      <c r="D2525" s="105">
        <v>103841.14</v>
      </c>
      <c r="E2525" s="66" t="s">
        <v>931</v>
      </c>
      <c r="F2525" s="106">
        <f>20000+2261.8+81579.34</f>
        <v>103841.14</v>
      </c>
      <c r="G2525" s="31">
        <f t="shared" si="39"/>
        <v>0</v>
      </c>
      <c r="H2525" s="39" t="s">
        <v>94</v>
      </c>
      <c r="J2525" s="42"/>
    </row>
    <row r="2526" spans="1:10" s="3" customFormat="1" x14ac:dyDescent="0.25">
      <c r="A2526" s="20">
        <v>42089</v>
      </c>
      <c r="B2526" s="21">
        <v>16036</v>
      </c>
      <c r="C2526" s="14" t="s">
        <v>420</v>
      </c>
      <c r="D2526" s="105">
        <v>2610.8000000000002</v>
      </c>
      <c r="E2526" s="65">
        <v>42091</v>
      </c>
      <c r="F2526" s="106">
        <v>2610.8000000000002</v>
      </c>
      <c r="G2526" s="31">
        <f t="shared" si="39"/>
        <v>0</v>
      </c>
      <c r="H2526" s="39" t="s">
        <v>149</v>
      </c>
      <c r="J2526" s="42"/>
    </row>
    <row r="2527" spans="1:10" s="3" customFormat="1" x14ac:dyDescent="0.25">
      <c r="A2527" s="20">
        <v>42089</v>
      </c>
      <c r="B2527" s="21">
        <v>16037</v>
      </c>
      <c r="C2527" s="14" t="s">
        <v>552</v>
      </c>
      <c r="D2527" s="105">
        <v>1342.4</v>
      </c>
      <c r="E2527" s="65">
        <v>42091</v>
      </c>
      <c r="F2527" s="106">
        <v>1342.4</v>
      </c>
      <c r="G2527" s="31">
        <f t="shared" si="39"/>
        <v>0</v>
      </c>
      <c r="H2527" s="39" t="s">
        <v>149</v>
      </c>
      <c r="J2527" s="42"/>
    </row>
    <row r="2528" spans="1:10" s="3" customFormat="1" x14ac:dyDescent="0.25">
      <c r="A2528" s="20">
        <v>42089</v>
      </c>
      <c r="B2528" s="21">
        <v>16038</v>
      </c>
      <c r="C2528" s="14" t="s">
        <v>204</v>
      </c>
      <c r="D2528" s="105">
        <v>2742.6</v>
      </c>
      <c r="E2528" s="65">
        <v>42091</v>
      </c>
      <c r="F2528" s="106">
        <v>2742.6</v>
      </c>
      <c r="G2528" s="31">
        <f t="shared" si="39"/>
        <v>0</v>
      </c>
      <c r="H2528" s="39" t="s">
        <v>149</v>
      </c>
      <c r="J2528" s="42"/>
    </row>
    <row r="2529" spans="1:10" s="3" customFormat="1" x14ac:dyDescent="0.25">
      <c r="A2529" s="20">
        <v>42089</v>
      </c>
      <c r="B2529" s="21">
        <v>16039</v>
      </c>
      <c r="C2529" s="14" t="s">
        <v>552</v>
      </c>
      <c r="D2529" s="105">
        <v>1900</v>
      </c>
      <c r="E2529" s="65">
        <v>42091</v>
      </c>
      <c r="F2529" s="106">
        <v>1900</v>
      </c>
      <c r="G2529" s="31">
        <f t="shared" si="39"/>
        <v>0</v>
      </c>
      <c r="H2529" s="39" t="s">
        <v>9</v>
      </c>
      <c r="J2529" s="42"/>
    </row>
    <row r="2530" spans="1:10" s="3" customFormat="1" x14ac:dyDescent="0.25">
      <c r="A2530" s="20">
        <v>42089</v>
      </c>
      <c r="B2530" s="21">
        <v>16040</v>
      </c>
      <c r="C2530" s="14" t="s">
        <v>203</v>
      </c>
      <c r="D2530" s="105">
        <v>929</v>
      </c>
      <c r="E2530" s="65">
        <v>42091</v>
      </c>
      <c r="F2530" s="106">
        <v>929</v>
      </c>
      <c r="G2530" s="31">
        <f t="shared" si="39"/>
        <v>0</v>
      </c>
      <c r="H2530" s="39" t="s">
        <v>149</v>
      </c>
      <c r="J2530" s="42"/>
    </row>
    <row r="2531" spans="1:10" s="3" customFormat="1" x14ac:dyDescent="0.25">
      <c r="A2531" s="20">
        <v>42089</v>
      </c>
      <c r="B2531" s="21">
        <v>16041</v>
      </c>
      <c r="C2531" s="110">
        <v>105</v>
      </c>
      <c r="D2531" s="105">
        <v>350</v>
      </c>
      <c r="E2531" s="65">
        <v>42089</v>
      </c>
      <c r="F2531" s="106">
        <v>350</v>
      </c>
      <c r="G2531" s="31">
        <f t="shared" si="39"/>
        <v>0</v>
      </c>
      <c r="H2531" s="39" t="s">
        <v>9</v>
      </c>
      <c r="J2531" s="42"/>
    </row>
    <row r="2532" spans="1:10" s="3" customFormat="1" x14ac:dyDescent="0.25">
      <c r="A2532" s="20">
        <v>42089</v>
      </c>
      <c r="B2532" s="21">
        <v>16042</v>
      </c>
      <c r="C2532" s="14" t="s">
        <v>196</v>
      </c>
      <c r="D2532" s="105">
        <v>24407.08</v>
      </c>
      <c r="E2532" s="74" t="s">
        <v>944</v>
      </c>
      <c r="F2532" s="144">
        <v>24407.08</v>
      </c>
      <c r="G2532" s="31">
        <f t="shared" si="39"/>
        <v>0</v>
      </c>
      <c r="H2532" s="39" t="s">
        <v>149</v>
      </c>
      <c r="J2532" s="42"/>
    </row>
    <row r="2533" spans="1:10" s="3" customFormat="1" x14ac:dyDescent="0.25">
      <c r="A2533" s="20">
        <v>42089</v>
      </c>
      <c r="B2533" s="21">
        <v>16043</v>
      </c>
      <c r="C2533" s="14" t="s">
        <v>806</v>
      </c>
      <c r="D2533" s="105">
        <v>2537.1999999999998</v>
      </c>
      <c r="E2533" s="65">
        <v>42091</v>
      </c>
      <c r="F2533" s="106">
        <v>2537.1999999999998</v>
      </c>
      <c r="G2533" s="31">
        <f t="shared" si="39"/>
        <v>0</v>
      </c>
      <c r="H2533" s="39" t="s">
        <v>149</v>
      </c>
      <c r="J2533" s="42"/>
    </row>
    <row r="2534" spans="1:10" s="3" customFormat="1" x14ac:dyDescent="0.25">
      <c r="A2534" s="20">
        <v>42089</v>
      </c>
      <c r="B2534" s="21">
        <v>16044</v>
      </c>
      <c r="C2534" s="14" t="s">
        <v>90</v>
      </c>
      <c r="D2534" s="105">
        <v>1543.2</v>
      </c>
      <c r="E2534" s="65">
        <v>42089</v>
      </c>
      <c r="F2534" s="106">
        <v>1543.2</v>
      </c>
      <c r="G2534" s="31">
        <f t="shared" si="39"/>
        <v>0</v>
      </c>
      <c r="H2534" s="39" t="s">
        <v>9</v>
      </c>
      <c r="J2534" s="42"/>
    </row>
    <row r="2535" spans="1:10" s="3" customFormat="1" x14ac:dyDescent="0.25">
      <c r="A2535" s="20">
        <v>42089</v>
      </c>
      <c r="B2535" s="21">
        <v>16045</v>
      </c>
      <c r="C2535" s="14" t="s">
        <v>80</v>
      </c>
      <c r="D2535" s="105">
        <v>6905.4</v>
      </c>
      <c r="E2535" s="65">
        <v>42089</v>
      </c>
      <c r="F2535" s="106">
        <v>6905.4</v>
      </c>
      <c r="G2535" s="31">
        <f t="shared" si="39"/>
        <v>0</v>
      </c>
      <c r="H2535" s="39" t="s">
        <v>9</v>
      </c>
      <c r="J2535" s="42"/>
    </row>
    <row r="2536" spans="1:10" s="3" customFormat="1" x14ac:dyDescent="0.25">
      <c r="A2536" s="20">
        <v>42089</v>
      </c>
      <c r="B2536" s="21">
        <v>16046</v>
      </c>
      <c r="C2536" s="14" t="s">
        <v>209</v>
      </c>
      <c r="D2536" s="105">
        <v>30999.4</v>
      </c>
      <c r="E2536" s="74">
        <v>42095</v>
      </c>
      <c r="F2536" s="144">
        <v>30999.4</v>
      </c>
      <c r="G2536" s="31">
        <f t="shared" si="39"/>
        <v>0</v>
      </c>
      <c r="H2536" s="39" t="s">
        <v>149</v>
      </c>
      <c r="J2536" s="42"/>
    </row>
    <row r="2537" spans="1:10" s="3" customFormat="1" x14ac:dyDescent="0.25">
      <c r="A2537" s="20">
        <v>42089</v>
      </c>
      <c r="B2537" s="21">
        <v>16047</v>
      </c>
      <c r="C2537" s="14" t="s">
        <v>196</v>
      </c>
      <c r="D2537" s="105">
        <v>3105</v>
      </c>
      <c r="E2537" s="74" t="s">
        <v>945</v>
      </c>
      <c r="F2537" s="144">
        <v>3105</v>
      </c>
      <c r="G2537" s="31">
        <f t="shared" si="39"/>
        <v>0</v>
      </c>
      <c r="H2537" s="39" t="s">
        <v>149</v>
      </c>
      <c r="J2537" s="42"/>
    </row>
    <row r="2538" spans="1:10" s="3" customFormat="1" x14ac:dyDescent="0.25">
      <c r="A2538" s="20">
        <v>42089</v>
      </c>
      <c r="B2538" s="21">
        <v>16048</v>
      </c>
      <c r="C2538" s="14" t="s">
        <v>200</v>
      </c>
      <c r="D2538" s="105">
        <v>479.6</v>
      </c>
      <c r="E2538" s="65">
        <v>42091</v>
      </c>
      <c r="F2538" s="106">
        <v>479.6</v>
      </c>
      <c r="G2538" s="31">
        <f t="shared" si="39"/>
        <v>0</v>
      </c>
      <c r="H2538" s="39" t="s">
        <v>149</v>
      </c>
      <c r="J2538" s="42"/>
    </row>
    <row r="2539" spans="1:10" s="3" customFormat="1" x14ac:dyDescent="0.25">
      <c r="A2539" s="20">
        <v>42089</v>
      </c>
      <c r="B2539" s="21">
        <v>16049</v>
      </c>
      <c r="C2539" s="14" t="s">
        <v>932</v>
      </c>
      <c r="D2539" s="105">
        <v>9040</v>
      </c>
      <c r="E2539" s="65">
        <v>42091</v>
      </c>
      <c r="F2539" s="106">
        <v>9040</v>
      </c>
      <c r="G2539" s="31">
        <f t="shared" si="39"/>
        <v>0</v>
      </c>
      <c r="H2539" s="39" t="s">
        <v>149</v>
      </c>
      <c r="J2539" s="42"/>
    </row>
    <row r="2540" spans="1:10" s="3" customFormat="1" x14ac:dyDescent="0.25">
      <c r="A2540" s="20">
        <v>42089</v>
      </c>
      <c r="B2540" s="21">
        <v>16050</v>
      </c>
      <c r="C2540" s="14" t="s">
        <v>850</v>
      </c>
      <c r="D2540" s="105">
        <v>3828.4</v>
      </c>
      <c r="E2540" s="65">
        <v>42089</v>
      </c>
      <c r="F2540" s="106">
        <v>3828.4</v>
      </c>
      <c r="G2540" s="31">
        <f t="shared" si="39"/>
        <v>0</v>
      </c>
      <c r="H2540" s="39" t="s">
        <v>9</v>
      </c>
      <c r="J2540" s="42"/>
    </row>
    <row r="2541" spans="1:10" s="3" customFormat="1" x14ac:dyDescent="0.25">
      <c r="A2541" s="20">
        <v>42089</v>
      </c>
      <c r="B2541" s="21">
        <v>16051</v>
      </c>
      <c r="C2541" s="14" t="s">
        <v>350</v>
      </c>
      <c r="D2541" s="105">
        <v>2402.4</v>
      </c>
      <c r="E2541" s="65">
        <v>42091</v>
      </c>
      <c r="F2541" s="106">
        <v>2402.4</v>
      </c>
      <c r="G2541" s="31">
        <f t="shared" si="39"/>
        <v>0</v>
      </c>
      <c r="H2541" s="39" t="s">
        <v>149</v>
      </c>
      <c r="J2541" s="42"/>
    </row>
    <row r="2542" spans="1:10" s="3" customFormat="1" x14ac:dyDescent="0.25">
      <c r="A2542" s="20">
        <v>42089</v>
      </c>
      <c r="B2542" s="21">
        <v>16052</v>
      </c>
      <c r="C2542" s="14" t="s">
        <v>877</v>
      </c>
      <c r="D2542" s="105">
        <v>2581.6</v>
      </c>
      <c r="E2542" s="65">
        <v>42091</v>
      </c>
      <c r="F2542" s="106">
        <v>2581.6</v>
      </c>
      <c r="G2542" s="31">
        <f t="shared" si="39"/>
        <v>0</v>
      </c>
      <c r="H2542" s="39" t="s">
        <v>149</v>
      </c>
      <c r="J2542" s="42"/>
    </row>
    <row r="2543" spans="1:10" s="3" customFormat="1" x14ac:dyDescent="0.25">
      <c r="A2543" s="20">
        <v>42089</v>
      </c>
      <c r="B2543" s="21">
        <v>16053</v>
      </c>
      <c r="C2543" s="14" t="s">
        <v>198</v>
      </c>
      <c r="D2543" s="105">
        <v>9016.7999999999993</v>
      </c>
      <c r="E2543" s="65">
        <v>42091</v>
      </c>
      <c r="F2543" s="106">
        <v>9016.7999999999993</v>
      </c>
      <c r="G2543" s="31">
        <f t="shared" si="39"/>
        <v>0</v>
      </c>
      <c r="H2543" s="39" t="s">
        <v>149</v>
      </c>
      <c r="J2543" s="42"/>
    </row>
    <row r="2544" spans="1:10" s="3" customFormat="1" x14ac:dyDescent="0.25">
      <c r="A2544" s="20">
        <v>42089</v>
      </c>
      <c r="B2544" s="21">
        <v>16054</v>
      </c>
      <c r="C2544" s="14" t="s">
        <v>195</v>
      </c>
      <c r="D2544" s="105">
        <v>45488.800000000003</v>
      </c>
      <c r="E2544" s="74" t="s">
        <v>946</v>
      </c>
      <c r="F2544" s="144">
        <v>45488.800000000003</v>
      </c>
      <c r="G2544" s="31">
        <f t="shared" si="39"/>
        <v>0</v>
      </c>
      <c r="H2544" s="39" t="s">
        <v>149</v>
      </c>
      <c r="J2544" s="42"/>
    </row>
    <row r="2545" spans="1:10" s="3" customFormat="1" x14ac:dyDescent="0.25">
      <c r="A2545" s="20">
        <v>42089</v>
      </c>
      <c r="B2545" s="21">
        <v>16055</v>
      </c>
      <c r="C2545" s="14" t="s">
        <v>552</v>
      </c>
      <c r="D2545" s="105">
        <v>8008</v>
      </c>
      <c r="E2545" s="65">
        <v>42091</v>
      </c>
      <c r="F2545" s="106">
        <v>8008</v>
      </c>
      <c r="G2545" s="31">
        <f t="shared" si="39"/>
        <v>0</v>
      </c>
      <c r="H2545" s="39" t="s">
        <v>149</v>
      </c>
      <c r="J2545" s="42"/>
    </row>
    <row r="2546" spans="1:10" s="3" customFormat="1" x14ac:dyDescent="0.25">
      <c r="A2546" s="20">
        <v>42089</v>
      </c>
      <c r="B2546" s="21">
        <v>16056</v>
      </c>
      <c r="C2546" s="14" t="s">
        <v>203</v>
      </c>
      <c r="D2546" s="105">
        <v>2508.8000000000002</v>
      </c>
      <c r="E2546" s="65">
        <v>42091</v>
      </c>
      <c r="F2546" s="106">
        <v>2508.8000000000002</v>
      </c>
      <c r="G2546" s="31">
        <f t="shared" si="39"/>
        <v>0</v>
      </c>
      <c r="H2546" s="39" t="s">
        <v>149</v>
      </c>
      <c r="J2546" s="42"/>
    </row>
    <row r="2547" spans="1:10" s="3" customFormat="1" x14ac:dyDescent="0.25">
      <c r="A2547" s="20">
        <v>42089</v>
      </c>
      <c r="B2547" s="21">
        <v>16057</v>
      </c>
      <c r="C2547" s="14" t="s">
        <v>249</v>
      </c>
      <c r="D2547" s="105">
        <v>3406.8</v>
      </c>
      <c r="E2547" s="65">
        <v>42090</v>
      </c>
      <c r="F2547" s="106">
        <v>3406.8</v>
      </c>
      <c r="G2547" s="31">
        <f t="shared" si="39"/>
        <v>0</v>
      </c>
      <c r="H2547" s="39" t="s">
        <v>59</v>
      </c>
      <c r="J2547" s="42"/>
    </row>
    <row r="2548" spans="1:10" s="3" customFormat="1" x14ac:dyDescent="0.25">
      <c r="A2548" s="20">
        <v>42089</v>
      </c>
      <c r="B2548" s="21">
        <v>16058</v>
      </c>
      <c r="C2548" s="14" t="s">
        <v>42</v>
      </c>
      <c r="D2548" s="105">
        <v>36</v>
      </c>
      <c r="E2548" s="65">
        <v>42089</v>
      </c>
      <c r="F2548" s="106">
        <v>36</v>
      </c>
      <c r="G2548" s="31">
        <f t="shared" si="39"/>
        <v>0</v>
      </c>
      <c r="H2548" s="39" t="s">
        <v>9</v>
      </c>
      <c r="J2548" s="42"/>
    </row>
    <row r="2549" spans="1:10" s="3" customFormat="1" x14ac:dyDescent="0.25">
      <c r="A2549" s="20">
        <v>42089</v>
      </c>
      <c r="B2549" s="21">
        <v>16059</v>
      </c>
      <c r="C2549" s="14" t="s">
        <v>806</v>
      </c>
      <c r="D2549" s="105">
        <v>3334.4</v>
      </c>
      <c r="E2549" s="65">
        <v>42091</v>
      </c>
      <c r="F2549" s="106">
        <v>3334.4</v>
      </c>
      <c r="G2549" s="31">
        <f t="shared" si="39"/>
        <v>0</v>
      </c>
      <c r="H2549" s="39" t="s">
        <v>149</v>
      </c>
      <c r="J2549" s="42"/>
    </row>
    <row r="2550" spans="1:10" s="3" customFormat="1" x14ac:dyDescent="0.25">
      <c r="A2550" s="20">
        <v>42089</v>
      </c>
      <c r="B2550" s="21">
        <v>16060</v>
      </c>
      <c r="C2550" s="14" t="s">
        <v>823</v>
      </c>
      <c r="D2550" s="105">
        <v>2635.8</v>
      </c>
      <c r="E2550" s="65">
        <v>42089</v>
      </c>
      <c r="F2550" s="106">
        <v>2635.8</v>
      </c>
      <c r="G2550" s="31">
        <f t="shared" si="39"/>
        <v>0</v>
      </c>
      <c r="H2550" s="39" t="s">
        <v>9</v>
      </c>
      <c r="J2550" s="42"/>
    </row>
    <row r="2551" spans="1:10" s="3" customFormat="1" x14ac:dyDescent="0.25">
      <c r="A2551" s="20">
        <v>42089</v>
      </c>
      <c r="B2551" s="21">
        <v>16061</v>
      </c>
      <c r="C2551" s="14" t="s">
        <v>24</v>
      </c>
      <c r="D2551" s="105">
        <v>3061.6</v>
      </c>
      <c r="E2551" s="74">
        <v>42138</v>
      </c>
      <c r="F2551" s="144">
        <v>3061.6</v>
      </c>
      <c r="G2551" s="31">
        <f t="shared" si="39"/>
        <v>0</v>
      </c>
      <c r="H2551" s="39" t="s">
        <v>9</v>
      </c>
      <c r="J2551" s="42"/>
    </row>
    <row r="2552" spans="1:10" s="3" customFormat="1" x14ac:dyDescent="0.25">
      <c r="A2552" s="20">
        <v>42090</v>
      </c>
      <c r="B2552" s="21">
        <v>16062</v>
      </c>
      <c r="C2552" s="14" t="s">
        <v>267</v>
      </c>
      <c r="D2552" s="105">
        <v>1965.68</v>
      </c>
      <c r="E2552" s="65">
        <v>42090</v>
      </c>
      <c r="F2552" s="106">
        <v>1965.68</v>
      </c>
      <c r="G2552" s="31">
        <f t="shared" si="39"/>
        <v>0</v>
      </c>
      <c r="H2552" s="39" t="s">
        <v>19</v>
      </c>
      <c r="J2552" s="42"/>
    </row>
    <row r="2553" spans="1:10" s="3" customFormat="1" x14ac:dyDescent="0.25">
      <c r="A2553" s="20">
        <v>42090</v>
      </c>
      <c r="B2553" s="21">
        <v>16063</v>
      </c>
      <c r="C2553" s="14" t="s">
        <v>25</v>
      </c>
      <c r="D2553" s="105">
        <v>1020.8</v>
      </c>
      <c r="E2553" s="65">
        <v>42090</v>
      </c>
      <c r="F2553" s="106">
        <v>1020.8</v>
      </c>
      <c r="G2553" s="31">
        <f t="shared" si="39"/>
        <v>0</v>
      </c>
      <c r="H2553" s="39" t="s">
        <v>9</v>
      </c>
      <c r="J2553" s="42"/>
    </row>
    <row r="2554" spans="1:10" s="3" customFormat="1" x14ac:dyDescent="0.25">
      <c r="A2554" s="20">
        <v>42090</v>
      </c>
      <c r="B2554" s="21">
        <v>16064</v>
      </c>
      <c r="C2554" s="14" t="s">
        <v>14</v>
      </c>
      <c r="D2554" s="105">
        <v>18073.8</v>
      </c>
      <c r="E2554" s="65">
        <v>42093</v>
      </c>
      <c r="F2554" s="106">
        <v>18073.8</v>
      </c>
      <c r="G2554" s="31">
        <f t="shared" si="39"/>
        <v>0</v>
      </c>
      <c r="H2554" s="39" t="s">
        <v>15</v>
      </c>
      <c r="J2554" s="42"/>
    </row>
    <row r="2555" spans="1:10" s="3" customFormat="1" x14ac:dyDescent="0.25">
      <c r="A2555" s="20">
        <v>42090</v>
      </c>
      <c r="B2555" s="21">
        <v>16065</v>
      </c>
      <c r="C2555" s="14" t="s">
        <v>20</v>
      </c>
      <c r="D2555" s="105">
        <v>10411.200000000001</v>
      </c>
      <c r="E2555" s="65">
        <v>42090</v>
      </c>
      <c r="F2555" s="106">
        <v>10411.200000000001</v>
      </c>
      <c r="G2555" s="31">
        <f t="shared" si="39"/>
        <v>0</v>
      </c>
      <c r="H2555" s="39" t="s">
        <v>94</v>
      </c>
      <c r="J2555" s="42"/>
    </row>
    <row r="2556" spans="1:10" s="3" customFormat="1" x14ac:dyDescent="0.25">
      <c r="A2556" s="20">
        <v>42090</v>
      </c>
      <c r="B2556" s="21">
        <v>16066</v>
      </c>
      <c r="C2556" s="14" t="s">
        <v>88</v>
      </c>
      <c r="D2556" s="105">
        <v>1579.4</v>
      </c>
      <c r="E2556" s="65">
        <v>42090</v>
      </c>
      <c r="F2556" s="106">
        <v>1579.4</v>
      </c>
      <c r="G2556" s="31">
        <f t="shared" si="39"/>
        <v>0</v>
      </c>
      <c r="H2556" s="39" t="s">
        <v>9</v>
      </c>
      <c r="J2556" s="42"/>
    </row>
    <row r="2557" spans="1:10" s="3" customFormat="1" x14ac:dyDescent="0.25">
      <c r="A2557" s="20">
        <v>42090</v>
      </c>
      <c r="B2557" s="21">
        <v>16067</v>
      </c>
      <c r="C2557" s="14" t="s">
        <v>114</v>
      </c>
      <c r="D2557" s="105">
        <v>1886.4</v>
      </c>
      <c r="E2557" s="65">
        <v>42090</v>
      </c>
      <c r="F2557" s="106">
        <v>1886.4</v>
      </c>
      <c r="G2557" s="31">
        <f t="shared" si="39"/>
        <v>0</v>
      </c>
      <c r="H2557" s="39" t="s">
        <v>9</v>
      </c>
      <c r="J2557" s="42"/>
    </row>
    <row r="2558" spans="1:10" s="3" customFormat="1" x14ac:dyDescent="0.25">
      <c r="A2558" s="20">
        <v>42090</v>
      </c>
      <c r="B2558" s="21">
        <v>16068</v>
      </c>
      <c r="C2558" s="14" t="s">
        <v>57</v>
      </c>
      <c r="D2558" s="105">
        <v>2380</v>
      </c>
      <c r="E2558" s="65">
        <v>42090</v>
      </c>
      <c r="F2558" s="106">
        <v>2380</v>
      </c>
      <c r="G2558" s="31">
        <f t="shared" si="39"/>
        <v>0</v>
      </c>
      <c r="H2558" s="39" t="s">
        <v>59</v>
      </c>
      <c r="J2558" s="42"/>
    </row>
    <row r="2559" spans="1:10" s="3" customFormat="1" x14ac:dyDescent="0.25">
      <c r="A2559" s="20">
        <v>42090</v>
      </c>
      <c r="B2559" s="21">
        <v>16069</v>
      </c>
      <c r="C2559" s="26" t="s">
        <v>218</v>
      </c>
      <c r="D2559" s="108">
        <v>0</v>
      </c>
      <c r="E2559" s="66"/>
      <c r="F2559" s="106"/>
      <c r="G2559" s="31">
        <f t="shared" si="39"/>
        <v>0</v>
      </c>
      <c r="H2559" s="39" t="s">
        <v>13</v>
      </c>
      <c r="J2559" s="42"/>
    </row>
    <row r="2560" spans="1:10" s="3" customFormat="1" x14ac:dyDescent="0.25">
      <c r="A2560" s="20">
        <v>42090</v>
      </c>
      <c r="B2560" s="21">
        <v>16070</v>
      </c>
      <c r="C2560" s="14" t="s">
        <v>26</v>
      </c>
      <c r="D2560" s="105">
        <v>3772</v>
      </c>
      <c r="E2560" s="65">
        <v>42090</v>
      </c>
      <c r="F2560" s="106">
        <v>3772</v>
      </c>
      <c r="G2560" s="31">
        <f t="shared" si="39"/>
        <v>0</v>
      </c>
      <c r="H2560" s="39" t="s">
        <v>27</v>
      </c>
      <c r="J2560" s="42"/>
    </row>
    <row r="2561" spans="1:10" s="3" customFormat="1" x14ac:dyDescent="0.25">
      <c r="A2561" s="20">
        <v>42090</v>
      </c>
      <c r="B2561" s="21">
        <v>16071</v>
      </c>
      <c r="C2561" s="110">
        <v>105</v>
      </c>
      <c r="D2561" s="105">
        <v>1610</v>
      </c>
      <c r="E2561" s="65">
        <v>42090</v>
      </c>
      <c r="F2561" s="106">
        <v>1610</v>
      </c>
      <c r="G2561" s="31">
        <f t="shared" si="39"/>
        <v>0</v>
      </c>
      <c r="H2561" s="39" t="s">
        <v>62</v>
      </c>
      <c r="J2561" s="42"/>
    </row>
    <row r="2562" spans="1:10" s="3" customFormat="1" x14ac:dyDescent="0.25">
      <c r="A2562" s="20">
        <v>42090</v>
      </c>
      <c r="B2562" s="21">
        <v>16072</v>
      </c>
      <c r="C2562" s="14" t="s">
        <v>124</v>
      </c>
      <c r="D2562" s="105">
        <v>2167.1999999999998</v>
      </c>
      <c r="E2562" s="65">
        <v>42090</v>
      </c>
      <c r="F2562" s="106">
        <v>2167.1999999999998</v>
      </c>
      <c r="G2562" s="31">
        <f t="shared" si="39"/>
        <v>0</v>
      </c>
      <c r="H2562" s="39" t="s">
        <v>9</v>
      </c>
      <c r="J2562" s="42"/>
    </row>
    <row r="2563" spans="1:10" s="3" customFormat="1" x14ac:dyDescent="0.25">
      <c r="A2563" s="20">
        <v>42090</v>
      </c>
      <c r="B2563" s="21">
        <v>16073</v>
      </c>
      <c r="C2563" s="14" t="s">
        <v>720</v>
      </c>
      <c r="D2563" s="105">
        <v>5143.2</v>
      </c>
      <c r="E2563" s="65">
        <v>42090</v>
      </c>
      <c r="F2563" s="106">
        <v>5143.2</v>
      </c>
      <c r="G2563" s="31">
        <f t="shared" ref="G2563:G2626" si="40">D2563-F2563</f>
        <v>0</v>
      </c>
      <c r="H2563" s="39" t="s">
        <v>9</v>
      </c>
      <c r="J2563" s="42"/>
    </row>
    <row r="2564" spans="1:10" s="3" customFormat="1" x14ac:dyDescent="0.25">
      <c r="A2564" s="20">
        <v>42090</v>
      </c>
      <c r="B2564" s="21">
        <v>16074</v>
      </c>
      <c r="C2564" s="14" t="s">
        <v>16</v>
      </c>
      <c r="D2564" s="105">
        <v>6690</v>
      </c>
      <c r="E2564" s="65">
        <v>42090</v>
      </c>
      <c r="F2564" s="106">
        <v>6690</v>
      </c>
      <c r="G2564" s="31">
        <f t="shared" si="40"/>
        <v>0</v>
      </c>
      <c r="H2564" s="39" t="s">
        <v>17</v>
      </c>
      <c r="J2564" s="42"/>
    </row>
    <row r="2565" spans="1:10" s="3" customFormat="1" x14ac:dyDescent="0.25">
      <c r="A2565" s="20">
        <v>42090</v>
      </c>
      <c r="B2565" s="21">
        <v>16075</v>
      </c>
      <c r="C2565" s="14" t="s">
        <v>21</v>
      </c>
      <c r="D2565" s="105">
        <v>7217.6</v>
      </c>
      <c r="E2565" s="65">
        <v>42090</v>
      </c>
      <c r="F2565" s="106">
        <v>7217.6</v>
      </c>
      <c r="G2565" s="31">
        <f t="shared" si="40"/>
        <v>0</v>
      </c>
      <c r="H2565" s="39" t="s">
        <v>9</v>
      </c>
      <c r="J2565" s="42"/>
    </row>
    <row r="2566" spans="1:10" s="3" customFormat="1" x14ac:dyDescent="0.25">
      <c r="A2566" s="20">
        <v>42090</v>
      </c>
      <c r="B2566" s="21">
        <v>16076</v>
      </c>
      <c r="C2566" s="14" t="s">
        <v>24</v>
      </c>
      <c r="D2566" s="105">
        <v>8166</v>
      </c>
      <c r="E2566" s="74">
        <v>42138</v>
      </c>
      <c r="F2566" s="144">
        <v>8166</v>
      </c>
      <c r="G2566" s="31">
        <f t="shared" si="40"/>
        <v>0</v>
      </c>
      <c r="H2566" s="39" t="s">
        <v>9</v>
      </c>
      <c r="J2566" s="42"/>
    </row>
    <row r="2567" spans="1:10" s="3" customFormat="1" x14ac:dyDescent="0.25">
      <c r="A2567" s="20">
        <v>42090</v>
      </c>
      <c r="B2567" s="21">
        <v>16077</v>
      </c>
      <c r="C2567" s="14" t="s">
        <v>22</v>
      </c>
      <c r="D2567" s="105">
        <v>4010.4</v>
      </c>
      <c r="E2567" s="65">
        <v>42090</v>
      </c>
      <c r="F2567" s="106">
        <v>4010.4</v>
      </c>
      <c r="G2567" s="31">
        <f t="shared" si="40"/>
        <v>0</v>
      </c>
      <c r="H2567" s="39" t="s">
        <v>9</v>
      </c>
      <c r="J2567" s="42"/>
    </row>
    <row r="2568" spans="1:10" s="3" customFormat="1" x14ac:dyDescent="0.25">
      <c r="A2568" s="20">
        <v>42090</v>
      </c>
      <c r="B2568" s="21">
        <v>16078</v>
      </c>
      <c r="C2568" s="14" t="s">
        <v>72</v>
      </c>
      <c r="D2568" s="105">
        <v>19125.5</v>
      </c>
      <c r="E2568" s="74" t="s">
        <v>1005</v>
      </c>
      <c r="F2568" s="144">
        <v>19125.5</v>
      </c>
      <c r="G2568" s="31">
        <f t="shared" si="40"/>
        <v>0</v>
      </c>
      <c r="H2568" s="39" t="s">
        <v>62</v>
      </c>
      <c r="J2568" s="42"/>
    </row>
    <row r="2569" spans="1:10" s="3" customFormat="1" x14ac:dyDescent="0.25">
      <c r="A2569" s="20">
        <v>42090</v>
      </c>
      <c r="B2569" s="21">
        <v>16079</v>
      </c>
      <c r="C2569" s="14" t="s">
        <v>84</v>
      </c>
      <c r="D2569" s="105">
        <v>40924.5</v>
      </c>
      <c r="E2569" s="74" t="s">
        <v>976</v>
      </c>
      <c r="F2569" s="144">
        <v>40924.5</v>
      </c>
      <c r="G2569" s="31">
        <f t="shared" si="40"/>
        <v>0</v>
      </c>
      <c r="H2569" s="39" t="s">
        <v>62</v>
      </c>
      <c r="J2569" s="42"/>
    </row>
    <row r="2570" spans="1:10" s="3" customFormat="1" x14ac:dyDescent="0.25">
      <c r="A2570" s="20">
        <v>42090</v>
      </c>
      <c r="B2570" s="21">
        <v>16080</v>
      </c>
      <c r="C2570" s="14" t="s">
        <v>173</v>
      </c>
      <c r="D2570" s="105">
        <v>36158.699999999997</v>
      </c>
      <c r="E2570" s="74" t="s">
        <v>977</v>
      </c>
      <c r="F2570" s="144">
        <v>36158.699999999997</v>
      </c>
      <c r="G2570" s="31">
        <f t="shared" si="40"/>
        <v>0</v>
      </c>
      <c r="H2570" s="39" t="s">
        <v>62</v>
      </c>
      <c r="J2570" s="42"/>
    </row>
    <row r="2571" spans="1:10" s="3" customFormat="1" x14ac:dyDescent="0.25">
      <c r="A2571" s="20">
        <v>42090</v>
      </c>
      <c r="B2571" s="21">
        <v>16081</v>
      </c>
      <c r="C2571" s="14" t="s">
        <v>125</v>
      </c>
      <c r="D2571" s="105">
        <v>17623</v>
      </c>
      <c r="E2571" s="65">
        <v>42090</v>
      </c>
      <c r="F2571" s="106">
        <v>17623</v>
      </c>
      <c r="G2571" s="31">
        <f t="shared" si="40"/>
        <v>0</v>
      </c>
      <c r="H2571" s="39" t="s">
        <v>9</v>
      </c>
      <c r="J2571" s="42"/>
    </row>
    <row r="2572" spans="1:10" s="3" customFormat="1" x14ac:dyDescent="0.25">
      <c r="A2572" s="20">
        <v>42090</v>
      </c>
      <c r="B2572" s="21">
        <v>16082</v>
      </c>
      <c r="C2572" s="14" t="s">
        <v>83</v>
      </c>
      <c r="D2572" s="105">
        <v>5869.6</v>
      </c>
      <c r="E2572" s="65">
        <v>42090</v>
      </c>
      <c r="F2572" s="106">
        <v>5869.6</v>
      </c>
      <c r="G2572" s="31">
        <f t="shared" si="40"/>
        <v>0</v>
      </c>
      <c r="H2572" s="39" t="s">
        <v>59</v>
      </c>
      <c r="J2572" s="42"/>
    </row>
    <row r="2573" spans="1:10" s="3" customFormat="1" x14ac:dyDescent="0.25">
      <c r="A2573" s="20">
        <v>42090</v>
      </c>
      <c r="B2573" s="21">
        <v>16083</v>
      </c>
      <c r="C2573" s="14" t="s">
        <v>214</v>
      </c>
      <c r="D2573" s="105">
        <v>2450</v>
      </c>
      <c r="E2573" s="65">
        <v>42090</v>
      </c>
      <c r="F2573" s="106">
        <v>2450</v>
      </c>
      <c r="G2573" s="31">
        <f t="shared" si="40"/>
        <v>0</v>
      </c>
      <c r="H2573" s="39" t="s">
        <v>9</v>
      </c>
      <c r="J2573" s="42"/>
    </row>
    <row r="2574" spans="1:10" s="3" customFormat="1" x14ac:dyDescent="0.25">
      <c r="A2574" s="20">
        <v>42090</v>
      </c>
      <c r="B2574" s="21">
        <v>16084</v>
      </c>
      <c r="C2574" s="14" t="s">
        <v>328</v>
      </c>
      <c r="D2574" s="105">
        <v>4133.6000000000004</v>
      </c>
      <c r="E2574" s="65">
        <v>42090</v>
      </c>
      <c r="F2574" s="106">
        <v>4133.6000000000004</v>
      </c>
      <c r="G2574" s="31">
        <f t="shared" si="40"/>
        <v>0</v>
      </c>
      <c r="H2574" s="39" t="s">
        <v>9</v>
      </c>
      <c r="J2574" s="42"/>
    </row>
    <row r="2575" spans="1:10" s="3" customFormat="1" x14ac:dyDescent="0.25">
      <c r="A2575" s="20">
        <v>42090</v>
      </c>
      <c r="B2575" s="21">
        <v>16085</v>
      </c>
      <c r="C2575" s="14" t="s">
        <v>933</v>
      </c>
      <c r="D2575" s="105">
        <v>8464</v>
      </c>
      <c r="E2575" s="65">
        <v>42090</v>
      </c>
      <c r="F2575" s="106">
        <v>8464</v>
      </c>
      <c r="G2575" s="31">
        <f t="shared" si="40"/>
        <v>0</v>
      </c>
      <c r="H2575" s="39" t="s">
        <v>9</v>
      </c>
      <c r="J2575" s="42"/>
    </row>
    <row r="2576" spans="1:10" s="3" customFormat="1" x14ac:dyDescent="0.25">
      <c r="A2576" s="20">
        <v>42090</v>
      </c>
      <c r="B2576" s="21">
        <v>16086</v>
      </c>
      <c r="C2576" s="26" t="s">
        <v>218</v>
      </c>
      <c r="D2576" s="108">
        <v>0</v>
      </c>
      <c r="E2576" s="65"/>
      <c r="F2576" s="106"/>
      <c r="G2576" s="31">
        <f t="shared" si="40"/>
        <v>0</v>
      </c>
      <c r="H2576" s="39" t="s">
        <v>13</v>
      </c>
      <c r="J2576" s="42"/>
    </row>
    <row r="2577" spans="1:10" s="3" customFormat="1" x14ac:dyDescent="0.25">
      <c r="A2577" s="20">
        <v>42090</v>
      </c>
      <c r="B2577" s="21">
        <v>16087</v>
      </c>
      <c r="C2577" s="14" t="s">
        <v>18</v>
      </c>
      <c r="D2577" s="105">
        <v>984</v>
      </c>
      <c r="E2577" s="65">
        <v>42090</v>
      </c>
      <c r="F2577" s="106">
        <v>984</v>
      </c>
      <c r="G2577" s="31">
        <f t="shared" si="40"/>
        <v>0</v>
      </c>
      <c r="H2577" s="39" t="s">
        <v>9</v>
      </c>
      <c r="J2577" s="42"/>
    </row>
    <row r="2578" spans="1:10" s="3" customFormat="1" x14ac:dyDescent="0.25">
      <c r="A2578" s="20">
        <v>42090</v>
      </c>
      <c r="B2578" s="21">
        <v>16088</v>
      </c>
      <c r="C2578" s="14" t="s">
        <v>151</v>
      </c>
      <c r="D2578" s="105">
        <v>3563.88</v>
      </c>
      <c r="E2578" s="65">
        <v>42090</v>
      </c>
      <c r="F2578" s="106">
        <v>3563.88</v>
      </c>
      <c r="G2578" s="31">
        <f t="shared" si="40"/>
        <v>0</v>
      </c>
      <c r="H2578" s="39" t="s">
        <v>9</v>
      </c>
      <c r="J2578" s="42"/>
    </row>
    <row r="2579" spans="1:10" s="3" customFormat="1" x14ac:dyDescent="0.25">
      <c r="A2579" s="20">
        <v>42090</v>
      </c>
      <c r="B2579" s="21">
        <v>16089</v>
      </c>
      <c r="C2579" s="14" t="s">
        <v>67</v>
      </c>
      <c r="D2579" s="105">
        <v>2883.2</v>
      </c>
      <c r="E2579" s="65">
        <v>42092</v>
      </c>
      <c r="F2579" s="106">
        <v>2883.2</v>
      </c>
      <c r="G2579" s="31">
        <f t="shared" si="40"/>
        <v>0</v>
      </c>
      <c r="H2579" s="39" t="s">
        <v>62</v>
      </c>
      <c r="J2579" s="42"/>
    </row>
    <row r="2580" spans="1:10" s="3" customFormat="1" x14ac:dyDescent="0.25">
      <c r="A2580" s="20">
        <v>42090</v>
      </c>
      <c r="B2580" s="21">
        <v>16090</v>
      </c>
      <c r="C2580" s="14" t="s">
        <v>170</v>
      </c>
      <c r="D2580" s="105">
        <v>3474.8</v>
      </c>
      <c r="E2580" s="65">
        <v>42092</v>
      </c>
      <c r="F2580" s="106">
        <v>3474.8</v>
      </c>
      <c r="G2580" s="31">
        <f t="shared" si="40"/>
        <v>0</v>
      </c>
      <c r="H2580" s="39" t="s">
        <v>62</v>
      </c>
      <c r="J2580" s="42"/>
    </row>
    <row r="2581" spans="1:10" s="3" customFormat="1" x14ac:dyDescent="0.25">
      <c r="A2581" s="20">
        <v>42090</v>
      </c>
      <c r="B2581" s="21">
        <v>16091</v>
      </c>
      <c r="C2581" s="14" t="s">
        <v>110</v>
      </c>
      <c r="D2581" s="105">
        <v>48340</v>
      </c>
      <c r="E2581" s="74">
        <v>42104</v>
      </c>
      <c r="F2581" s="144">
        <v>48340</v>
      </c>
      <c r="G2581" s="31">
        <f t="shared" si="40"/>
        <v>0</v>
      </c>
      <c r="H2581" s="39" t="s">
        <v>183</v>
      </c>
      <c r="J2581" s="42"/>
    </row>
    <row r="2582" spans="1:10" s="3" customFormat="1" x14ac:dyDescent="0.25">
      <c r="A2582" s="20">
        <v>42090</v>
      </c>
      <c r="B2582" s="21">
        <v>16092</v>
      </c>
      <c r="C2582" s="14" t="s">
        <v>78</v>
      </c>
      <c r="D2582" s="105">
        <v>7996.8</v>
      </c>
      <c r="E2582" s="65">
        <v>42092</v>
      </c>
      <c r="F2582" s="106">
        <v>7996.8</v>
      </c>
      <c r="G2582" s="31">
        <f t="shared" si="40"/>
        <v>0</v>
      </c>
      <c r="H2582" s="39" t="s">
        <v>62</v>
      </c>
      <c r="J2582" s="42"/>
    </row>
    <row r="2583" spans="1:10" s="3" customFormat="1" x14ac:dyDescent="0.25">
      <c r="A2583" s="20">
        <v>42090</v>
      </c>
      <c r="B2583" s="21">
        <v>16093</v>
      </c>
      <c r="C2583" s="14" t="s">
        <v>426</v>
      </c>
      <c r="D2583" s="105">
        <v>5171.6000000000004</v>
      </c>
      <c r="E2583" s="65">
        <v>42092</v>
      </c>
      <c r="F2583" s="106">
        <v>5171.6000000000004</v>
      </c>
      <c r="G2583" s="31">
        <f t="shared" si="40"/>
        <v>0</v>
      </c>
      <c r="H2583" s="39" t="s">
        <v>62</v>
      </c>
      <c r="J2583" s="42"/>
    </row>
    <row r="2584" spans="1:10" s="3" customFormat="1" x14ac:dyDescent="0.25">
      <c r="A2584" s="20">
        <v>42090</v>
      </c>
      <c r="B2584" s="21">
        <v>16094</v>
      </c>
      <c r="C2584" s="14" t="s">
        <v>110</v>
      </c>
      <c r="D2584" s="105">
        <v>565</v>
      </c>
      <c r="E2584" s="74">
        <v>42104</v>
      </c>
      <c r="F2584" s="144">
        <v>565</v>
      </c>
      <c r="G2584" s="31">
        <f t="shared" si="40"/>
        <v>0</v>
      </c>
      <c r="H2584" s="39" t="s">
        <v>183</v>
      </c>
      <c r="J2584" s="42"/>
    </row>
    <row r="2585" spans="1:10" s="3" customFormat="1" x14ac:dyDescent="0.25">
      <c r="A2585" s="20">
        <v>42090</v>
      </c>
      <c r="B2585" s="21">
        <v>16095</v>
      </c>
      <c r="C2585" s="14" t="s">
        <v>133</v>
      </c>
      <c r="D2585" s="105">
        <v>25581.55</v>
      </c>
      <c r="E2585" s="65">
        <v>42090</v>
      </c>
      <c r="F2585" s="106">
        <v>25581.55</v>
      </c>
      <c r="G2585" s="31">
        <f t="shared" si="40"/>
        <v>0</v>
      </c>
      <c r="H2585" s="39" t="s">
        <v>9</v>
      </c>
      <c r="J2585" s="42"/>
    </row>
    <row r="2586" spans="1:10" s="3" customFormat="1" x14ac:dyDescent="0.25">
      <c r="A2586" s="20">
        <v>42090</v>
      </c>
      <c r="B2586" s="21">
        <v>16096</v>
      </c>
      <c r="C2586" s="14" t="s">
        <v>121</v>
      </c>
      <c r="D2586" s="105">
        <v>2257.5</v>
      </c>
      <c r="E2586" s="65">
        <v>42090</v>
      </c>
      <c r="F2586" s="106">
        <v>2257.5</v>
      </c>
      <c r="G2586" s="31">
        <f t="shared" si="40"/>
        <v>0</v>
      </c>
      <c r="H2586" s="39" t="s">
        <v>9</v>
      </c>
      <c r="J2586" s="42"/>
    </row>
    <row r="2587" spans="1:10" s="3" customFormat="1" x14ac:dyDescent="0.25">
      <c r="A2587" s="20">
        <v>42090</v>
      </c>
      <c r="B2587" s="21">
        <v>16097</v>
      </c>
      <c r="C2587" s="14" t="s">
        <v>75</v>
      </c>
      <c r="D2587" s="105">
        <v>16697.8</v>
      </c>
      <c r="E2587" s="65">
        <v>42092</v>
      </c>
      <c r="F2587" s="106">
        <v>16697.8</v>
      </c>
      <c r="G2587" s="31">
        <f t="shared" si="40"/>
        <v>0</v>
      </c>
      <c r="H2587" s="39" t="s">
        <v>62</v>
      </c>
      <c r="J2587" s="42"/>
    </row>
    <row r="2588" spans="1:10" s="3" customFormat="1" x14ac:dyDescent="0.25">
      <c r="A2588" s="20">
        <v>42090</v>
      </c>
      <c r="B2588" s="21">
        <v>16098</v>
      </c>
      <c r="C2588" s="14" t="s">
        <v>285</v>
      </c>
      <c r="D2588" s="105">
        <v>840</v>
      </c>
      <c r="E2588" s="65">
        <v>42093</v>
      </c>
      <c r="F2588" s="106">
        <v>840</v>
      </c>
      <c r="G2588" s="31">
        <f t="shared" si="40"/>
        <v>0</v>
      </c>
      <c r="H2588" s="39" t="s">
        <v>15</v>
      </c>
      <c r="J2588" s="42"/>
    </row>
    <row r="2589" spans="1:10" s="3" customFormat="1" x14ac:dyDescent="0.25">
      <c r="A2589" s="20">
        <v>42090</v>
      </c>
      <c r="B2589" s="21">
        <v>16099</v>
      </c>
      <c r="C2589" s="14" t="s">
        <v>108</v>
      </c>
      <c r="D2589" s="105">
        <v>14744</v>
      </c>
      <c r="E2589" s="65">
        <v>42090</v>
      </c>
      <c r="F2589" s="106">
        <v>14744</v>
      </c>
      <c r="G2589" s="31">
        <f t="shared" si="40"/>
        <v>0</v>
      </c>
      <c r="H2589" s="39" t="s">
        <v>19</v>
      </c>
      <c r="J2589" s="42"/>
    </row>
    <row r="2590" spans="1:10" s="3" customFormat="1" x14ac:dyDescent="0.25">
      <c r="A2590" s="20">
        <v>42090</v>
      </c>
      <c r="B2590" s="21">
        <v>16100</v>
      </c>
      <c r="C2590" s="14" t="s">
        <v>45</v>
      </c>
      <c r="D2590" s="105">
        <v>24695.599999999999</v>
      </c>
      <c r="E2590" s="65">
        <v>42093</v>
      </c>
      <c r="F2590" s="106">
        <v>24695.599999999999</v>
      </c>
      <c r="G2590" s="31">
        <f t="shared" si="40"/>
        <v>0</v>
      </c>
      <c r="H2590" s="39" t="s">
        <v>59</v>
      </c>
      <c r="J2590" s="42"/>
    </row>
    <row r="2591" spans="1:10" s="3" customFormat="1" x14ac:dyDescent="0.25">
      <c r="A2591" s="20">
        <v>42090</v>
      </c>
      <c r="B2591" s="21">
        <v>16101</v>
      </c>
      <c r="C2591" s="14" t="s">
        <v>472</v>
      </c>
      <c r="D2591" s="105">
        <v>19880.55</v>
      </c>
      <c r="E2591" s="65">
        <v>42090</v>
      </c>
      <c r="F2591" s="106">
        <v>19880.55</v>
      </c>
      <c r="G2591" s="31">
        <f t="shared" si="40"/>
        <v>0</v>
      </c>
      <c r="H2591" s="39" t="s">
        <v>94</v>
      </c>
      <c r="J2591" s="42"/>
    </row>
    <row r="2592" spans="1:10" s="3" customFormat="1" x14ac:dyDescent="0.25">
      <c r="A2592" s="20">
        <v>42090</v>
      </c>
      <c r="B2592" s="21">
        <v>16102</v>
      </c>
      <c r="C2592" s="14" t="s">
        <v>226</v>
      </c>
      <c r="D2592" s="105">
        <v>1671.6</v>
      </c>
      <c r="E2592" s="65">
        <v>42093</v>
      </c>
      <c r="F2592" s="106">
        <v>1671.6</v>
      </c>
      <c r="G2592" s="31">
        <f t="shared" si="40"/>
        <v>0</v>
      </c>
      <c r="H2592" s="39" t="s">
        <v>15</v>
      </c>
      <c r="J2592" s="42"/>
    </row>
    <row r="2593" spans="1:10" s="3" customFormat="1" x14ac:dyDescent="0.25">
      <c r="A2593" s="20">
        <v>42090</v>
      </c>
      <c r="B2593" s="21">
        <v>16103</v>
      </c>
      <c r="C2593" s="14" t="s">
        <v>65</v>
      </c>
      <c r="D2593" s="105">
        <v>18680.8</v>
      </c>
      <c r="E2593" s="65">
        <v>42092</v>
      </c>
      <c r="F2593" s="106">
        <v>18680.8</v>
      </c>
      <c r="G2593" s="31">
        <f t="shared" si="40"/>
        <v>0</v>
      </c>
      <c r="H2593" s="39" t="s">
        <v>62</v>
      </c>
      <c r="J2593" s="42"/>
    </row>
    <row r="2594" spans="1:10" s="3" customFormat="1" x14ac:dyDescent="0.25">
      <c r="A2594" s="20">
        <v>42090</v>
      </c>
      <c r="B2594" s="21">
        <v>16104</v>
      </c>
      <c r="C2594" s="14" t="s">
        <v>34</v>
      </c>
      <c r="D2594" s="105">
        <v>4553.5</v>
      </c>
      <c r="E2594" s="65">
        <v>42090</v>
      </c>
      <c r="F2594" s="106">
        <v>4553.5</v>
      </c>
      <c r="G2594" s="31">
        <f t="shared" si="40"/>
        <v>0</v>
      </c>
      <c r="H2594" s="39" t="s">
        <v>9</v>
      </c>
      <c r="J2594" s="42"/>
    </row>
    <row r="2595" spans="1:10" s="3" customFormat="1" x14ac:dyDescent="0.25">
      <c r="A2595" s="20">
        <v>42090</v>
      </c>
      <c r="B2595" s="21">
        <v>16105</v>
      </c>
      <c r="C2595" s="14" t="s">
        <v>82</v>
      </c>
      <c r="D2595" s="105">
        <v>1296</v>
      </c>
      <c r="E2595" s="65">
        <v>42090</v>
      </c>
      <c r="F2595" s="106">
        <v>1296</v>
      </c>
      <c r="G2595" s="31">
        <f t="shared" si="40"/>
        <v>0</v>
      </c>
      <c r="H2595" s="39" t="s">
        <v>59</v>
      </c>
      <c r="J2595" s="42"/>
    </row>
    <row r="2596" spans="1:10" s="3" customFormat="1" x14ac:dyDescent="0.25">
      <c r="A2596" s="20">
        <v>42090</v>
      </c>
      <c r="B2596" s="21">
        <v>16106</v>
      </c>
      <c r="C2596" s="14" t="s">
        <v>42</v>
      </c>
      <c r="D2596" s="105">
        <v>621</v>
      </c>
      <c r="E2596" s="65">
        <v>42090</v>
      </c>
      <c r="F2596" s="106">
        <v>621</v>
      </c>
      <c r="G2596" s="31">
        <f t="shared" si="40"/>
        <v>0</v>
      </c>
      <c r="H2596" s="39" t="s">
        <v>9</v>
      </c>
      <c r="J2596" s="42"/>
    </row>
    <row r="2597" spans="1:10" s="3" customFormat="1" x14ac:dyDescent="0.25">
      <c r="A2597" s="20">
        <v>42090</v>
      </c>
      <c r="B2597" s="21">
        <v>16107</v>
      </c>
      <c r="C2597" s="14" t="s">
        <v>99</v>
      </c>
      <c r="D2597" s="105">
        <v>426</v>
      </c>
      <c r="E2597" s="65">
        <v>42093</v>
      </c>
      <c r="F2597" s="106">
        <v>426</v>
      </c>
      <c r="G2597" s="31">
        <f t="shared" si="40"/>
        <v>0</v>
      </c>
      <c r="H2597" s="39" t="s">
        <v>15</v>
      </c>
      <c r="J2597" s="42"/>
    </row>
    <row r="2598" spans="1:10" s="3" customFormat="1" x14ac:dyDescent="0.25">
      <c r="A2598" s="20">
        <v>42090</v>
      </c>
      <c r="B2598" s="21">
        <v>16108</v>
      </c>
      <c r="C2598" s="14" t="s">
        <v>53</v>
      </c>
      <c r="D2598" s="105">
        <v>1801.6</v>
      </c>
      <c r="E2598" s="65">
        <v>42090</v>
      </c>
      <c r="F2598" s="106">
        <v>1801.6</v>
      </c>
      <c r="G2598" s="31">
        <f t="shared" si="40"/>
        <v>0</v>
      </c>
      <c r="H2598" s="39" t="s">
        <v>59</v>
      </c>
      <c r="J2598" s="42"/>
    </row>
    <row r="2599" spans="1:10" s="3" customFormat="1" x14ac:dyDescent="0.25">
      <c r="A2599" s="20">
        <v>42090</v>
      </c>
      <c r="B2599" s="21">
        <v>16109</v>
      </c>
      <c r="C2599" s="150" t="s">
        <v>118</v>
      </c>
      <c r="D2599" s="105">
        <v>9717.7999999999993</v>
      </c>
      <c r="E2599" s="74">
        <v>42096</v>
      </c>
      <c r="F2599" s="144">
        <v>9717.7999999999993</v>
      </c>
      <c r="G2599" s="31">
        <f t="shared" si="40"/>
        <v>0</v>
      </c>
      <c r="H2599" s="39" t="s">
        <v>59</v>
      </c>
      <c r="J2599" s="42"/>
    </row>
    <row r="2600" spans="1:10" s="3" customFormat="1" x14ac:dyDescent="0.25">
      <c r="A2600" s="20">
        <v>42090</v>
      </c>
      <c r="B2600" s="21">
        <v>16110</v>
      </c>
      <c r="C2600" s="14" t="s">
        <v>694</v>
      </c>
      <c r="D2600" s="105">
        <v>1516.3</v>
      </c>
      <c r="E2600" s="65">
        <v>42090</v>
      </c>
      <c r="F2600" s="106">
        <v>1516.3</v>
      </c>
      <c r="G2600" s="31">
        <f t="shared" si="40"/>
        <v>0</v>
      </c>
      <c r="H2600" s="39" t="s">
        <v>9</v>
      </c>
      <c r="J2600" s="42"/>
    </row>
    <row r="2601" spans="1:10" s="3" customFormat="1" x14ac:dyDescent="0.25">
      <c r="A2601" s="20">
        <v>42090</v>
      </c>
      <c r="B2601" s="21">
        <v>16111</v>
      </c>
      <c r="C2601" s="14" t="s">
        <v>81</v>
      </c>
      <c r="D2601" s="105">
        <v>3139.6</v>
      </c>
      <c r="E2601" s="65">
        <v>42090</v>
      </c>
      <c r="F2601" s="106">
        <v>3139.6</v>
      </c>
      <c r="G2601" s="31">
        <f t="shared" si="40"/>
        <v>0</v>
      </c>
      <c r="H2601" s="39" t="s">
        <v>59</v>
      </c>
      <c r="J2601" s="42"/>
    </row>
    <row r="2602" spans="1:10" s="3" customFormat="1" x14ac:dyDescent="0.25">
      <c r="A2602" s="20">
        <v>42090</v>
      </c>
      <c r="B2602" s="21">
        <v>16112</v>
      </c>
      <c r="C2602" s="14" t="s">
        <v>176</v>
      </c>
      <c r="D2602" s="105">
        <v>9113.84</v>
      </c>
      <c r="E2602" s="74" t="s">
        <v>957</v>
      </c>
      <c r="F2602" s="144">
        <v>9113.84</v>
      </c>
      <c r="G2602" s="31">
        <f t="shared" si="40"/>
        <v>0</v>
      </c>
      <c r="H2602" s="39" t="s">
        <v>62</v>
      </c>
      <c r="J2602" s="42"/>
    </row>
    <row r="2603" spans="1:10" s="3" customFormat="1" x14ac:dyDescent="0.25">
      <c r="A2603" s="20">
        <v>42090</v>
      </c>
      <c r="B2603" s="21">
        <v>16113</v>
      </c>
      <c r="C2603" s="14" t="s">
        <v>472</v>
      </c>
      <c r="D2603" s="105">
        <v>15834.4</v>
      </c>
      <c r="E2603" s="65">
        <v>42090</v>
      </c>
      <c r="F2603" s="106">
        <v>15834.4</v>
      </c>
      <c r="G2603" s="31">
        <f t="shared" si="40"/>
        <v>0</v>
      </c>
      <c r="H2603" s="39" t="s">
        <v>41</v>
      </c>
      <c r="J2603" s="42"/>
    </row>
    <row r="2604" spans="1:10" s="3" customFormat="1" x14ac:dyDescent="0.25">
      <c r="A2604" s="20">
        <v>42090</v>
      </c>
      <c r="B2604" s="21">
        <v>16114</v>
      </c>
      <c r="C2604" s="14" t="s">
        <v>155</v>
      </c>
      <c r="D2604" s="105">
        <v>5841.4</v>
      </c>
      <c r="E2604" s="65">
        <v>42090</v>
      </c>
      <c r="F2604" s="106">
        <v>5841.4</v>
      </c>
      <c r="G2604" s="31">
        <f t="shared" si="40"/>
        <v>0</v>
      </c>
      <c r="H2604" s="39" t="s">
        <v>59</v>
      </c>
      <c r="J2604" s="42"/>
    </row>
    <row r="2605" spans="1:10" s="3" customFormat="1" x14ac:dyDescent="0.25">
      <c r="A2605" s="20">
        <v>42090</v>
      </c>
      <c r="B2605" s="21">
        <v>16115</v>
      </c>
      <c r="C2605" s="14" t="s">
        <v>131</v>
      </c>
      <c r="D2605" s="105">
        <v>7508.4</v>
      </c>
      <c r="E2605" s="65">
        <v>42090</v>
      </c>
      <c r="F2605" s="106">
        <v>7508.4</v>
      </c>
      <c r="G2605" s="31">
        <f t="shared" si="40"/>
        <v>0</v>
      </c>
      <c r="H2605" s="39" t="s">
        <v>17</v>
      </c>
      <c r="J2605" s="42"/>
    </row>
    <row r="2606" spans="1:10" s="3" customFormat="1" x14ac:dyDescent="0.25">
      <c r="A2606" s="20">
        <v>42090</v>
      </c>
      <c r="B2606" s="21">
        <v>16116</v>
      </c>
      <c r="C2606" s="14" t="s">
        <v>165</v>
      </c>
      <c r="D2606" s="105">
        <v>2478</v>
      </c>
      <c r="E2606" s="65">
        <v>42091</v>
      </c>
      <c r="F2606" s="106">
        <v>2478</v>
      </c>
      <c r="G2606" s="31">
        <f t="shared" si="40"/>
        <v>0</v>
      </c>
      <c r="H2606" s="39" t="s">
        <v>17</v>
      </c>
      <c r="J2606" s="42"/>
    </row>
    <row r="2607" spans="1:10" s="3" customFormat="1" x14ac:dyDescent="0.25">
      <c r="A2607" s="20">
        <v>42090</v>
      </c>
      <c r="B2607" s="21">
        <v>16117</v>
      </c>
      <c r="C2607" s="14" t="s">
        <v>50</v>
      </c>
      <c r="D2607" s="105">
        <v>2727</v>
      </c>
      <c r="E2607" s="65">
        <v>42090</v>
      </c>
      <c r="F2607" s="106">
        <v>2727</v>
      </c>
      <c r="G2607" s="31">
        <f t="shared" si="40"/>
        <v>0</v>
      </c>
      <c r="H2607" s="39" t="s">
        <v>27</v>
      </c>
      <c r="J2607" s="42"/>
    </row>
    <row r="2608" spans="1:10" s="3" customFormat="1" x14ac:dyDescent="0.25">
      <c r="A2608" s="20">
        <v>42090</v>
      </c>
      <c r="B2608" s="21">
        <v>16118</v>
      </c>
      <c r="C2608" s="14" t="s">
        <v>71</v>
      </c>
      <c r="D2608" s="105">
        <v>7149.84</v>
      </c>
      <c r="E2608" s="65">
        <v>42090</v>
      </c>
      <c r="F2608" s="106">
        <v>7149.84</v>
      </c>
      <c r="G2608" s="31">
        <f t="shared" si="40"/>
        <v>0</v>
      </c>
      <c r="H2608" s="39" t="s">
        <v>9</v>
      </c>
      <c r="J2608" s="42"/>
    </row>
    <row r="2609" spans="1:10" s="3" customFormat="1" x14ac:dyDescent="0.25">
      <c r="A2609" s="20">
        <v>42090</v>
      </c>
      <c r="B2609" s="21">
        <v>16119</v>
      </c>
      <c r="C2609" s="14" t="s">
        <v>128</v>
      </c>
      <c r="D2609" s="105">
        <v>7305.6</v>
      </c>
      <c r="E2609" s="65">
        <v>42090</v>
      </c>
      <c r="F2609" s="106">
        <v>7305.6</v>
      </c>
      <c r="G2609" s="31">
        <f t="shared" si="40"/>
        <v>0</v>
      </c>
      <c r="H2609" s="39" t="s">
        <v>9</v>
      </c>
      <c r="J2609" s="42"/>
    </row>
    <row r="2610" spans="1:10" s="3" customFormat="1" x14ac:dyDescent="0.25">
      <c r="A2610" s="20">
        <v>42090</v>
      </c>
      <c r="B2610" s="21">
        <v>16120</v>
      </c>
      <c r="C2610" s="14" t="s">
        <v>821</v>
      </c>
      <c r="D2610" s="105">
        <v>5742.8</v>
      </c>
      <c r="E2610" s="65">
        <v>42090</v>
      </c>
      <c r="F2610" s="106">
        <v>5742.8</v>
      </c>
      <c r="G2610" s="31">
        <f t="shared" si="40"/>
        <v>0</v>
      </c>
      <c r="H2610" s="39" t="s">
        <v>9</v>
      </c>
      <c r="J2610" s="42"/>
    </row>
    <row r="2611" spans="1:10" s="3" customFormat="1" x14ac:dyDescent="0.25">
      <c r="A2611" s="20">
        <v>42090</v>
      </c>
      <c r="B2611" s="21">
        <v>16121</v>
      </c>
      <c r="C2611" s="14" t="s">
        <v>332</v>
      </c>
      <c r="D2611" s="105">
        <v>2559.3000000000002</v>
      </c>
      <c r="E2611" s="65">
        <v>42090</v>
      </c>
      <c r="F2611" s="106">
        <v>2559.3000000000002</v>
      </c>
      <c r="G2611" s="31">
        <f t="shared" si="40"/>
        <v>0</v>
      </c>
      <c r="H2611" s="39" t="s">
        <v>9</v>
      </c>
      <c r="J2611" s="42"/>
    </row>
    <row r="2612" spans="1:10" s="3" customFormat="1" x14ac:dyDescent="0.25">
      <c r="A2612" s="20">
        <v>42090</v>
      </c>
      <c r="B2612" s="21">
        <v>16122</v>
      </c>
      <c r="C2612" s="14" t="s">
        <v>472</v>
      </c>
      <c r="D2612" s="105">
        <v>2138.4</v>
      </c>
      <c r="E2612" s="65">
        <v>42090</v>
      </c>
      <c r="F2612" s="106">
        <v>2138.4</v>
      </c>
      <c r="G2612" s="31">
        <f t="shared" si="40"/>
        <v>0</v>
      </c>
      <c r="H2612" s="39" t="s">
        <v>94</v>
      </c>
      <c r="J2612" s="42"/>
    </row>
    <row r="2613" spans="1:10" s="3" customFormat="1" x14ac:dyDescent="0.25">
      <c r="A2613" s="20">
        <v>42090</v>
      </c>
      <c r="B2613" s="21">
        <v>16123</v>
      </c>
      <c r="C2613" s="14" t="s">
        <v>47</v>
      </c>
      <c r="D2613" s="105">
        <v>17434.080000000002</v>
      </c>
      <c r="E2613" s="65">
        <v>42090</v>
      </c>
      <c r="F2613" s="106">
        <v>17434.080000000002</v>
      </c>
      <c r="G2613" s="31">
        <f t="shared" si="40"/>
        <v>0</v>
      </c>
      <c r="H2613" s="39" t="s">
        <v>773</v>
      </c>
      <c r="J2613" s="42"/>
    </row>
    <row r="2614" spans="1:10" s="3" customFormat="1" x14ac:dyDescent="0.25">
      <c r="A2614" s="20">
        <v>42090</v>
      </c>
      <c r="B2614" s="21">
        <v>16124</v>
      </c>
      <c r="C2614" s="14" t="s">
        <v>137</v>
      </c>
      <c r="D2614" s="105">
        <v>674.6</v>
      </c>
      <c r="E2614" s="65">
        <v>42090</v>
      </c>
      <c r="F2614" s="106">
        <v>674.6</v>
      </c>
      <c r="G2614" s="31">
        <f t="shared" si="40"/>
        <v>0</v>
      </c>
      <c r="H2614" s="39" t="s">
        <v>17</v>
      </c>
      <c r="J2614" s="42"/>
    </row>
    <row r="2615" spans="1:10" s="3" customFormat="1" x14ac:dyDescent="0.25">
      <c r="A2615" s="20">
        <v>42090</v>
      </c>
      <c r="B2615" s="21">
        <v>16125</v>
      </c>
      <c r="C2615" s="14" t="s">
        <v>55</v>
      </c>
      <c r="D2615" s="105">
        <v>1253.04</v>
      </c>
      <c r="E2615" s="65">
        <v>42090</v>
      </c>
      <c r="F2615" s="106">
        <v>1253.04</v>
      </c>
      <c r="G2615" s="31">
        <f t="shared" si="40"/>
        <v>0</v>
      </c>
      <c r="H2615" s="39" t="s">
        <v>59</v>
      </c>
      <c r="J2615" s="42"/>
    </row>
    <row r="2616" spans="1:10" s="3" customFormat="1" x14ac:dyDescent="0.25">
      <c r="A2616" s="20">
        <v>42090</v>
      </c>
      <c r="B2616" s="21">
        <v>16126</v>
      </c>
      <c r="C2616" s="14" t="s">
        <v>256</v>
      </c>
      <c r="D2616" s="105">
        <v>7862.6</v>
      </c>
      <c r="E2616" s="65">
        <v>42090</v>
      </c>
      <c r="F2616" s="106">
        <v>7862.6</v>
      </c>
      <c r="G2616" s="31">
        <f t="shared" si="40"/>
        <v>0</v>
      </c>
      <c r="H2616" s="39" t="s">
        <v>59</v>
      </c>
      <c r="J2616" s="42"/>
    </row>
    <row r="2617" spans="1:10" s="3" customFormat="1" x14ac:dyDescent="0.25">
      <c r="A2617" s="20">
        <v>42090</v>
      </c>
      <c r="B2617" s="21">
        <v>16127</v>
      </c>
      <c r="C2617" s="14" t="s">
        <v>168</v>
      </c>
      <c r="D2617" s="105">
        <v>7824</v>
      </c>
      <c r="E2617" s="65">
        <v>42090</v>
      </c>
      <c r="F2617" s="106">
        <v>7824</v>
      </c>
      <c r="G2617" s="31">
        <f t="shared" si="40"/>
        <v>0</v>
      </c>
      <c r="H2617" s="39" t="s">
        <v>59</v>
      </c>
      <c r="J2617" s="42"/>
    </row>
    <row r="2618" spans="1:10" s="3" customFormat="1" x14ac:dyDescent="0.25">
      <c r="A2618" s="20">
        <v>42090</v>
      </c>
      <c r="B2618" s="21">
        <v>16128</v>
      </c>
      <c r="C2618" s="26" t="s">
        <v>218</v>
      </c>
      <c r="D2618" s="108">
        <v>0</v>
      </c>
      <c r="E2618" s="65"/>
      <c r="F2618" s="106"/>
      <c r="G2618" s="31">
        <f t="shared" si="40"/>
        <v>0</v>
      </c>
      <c r="H2618" s="39" t="s">
        <v>13</v>
      </c>
      <c r="J2618" s="42"/>
    </row>
    <row r="2619" spans="1:10" s="3" customFormat="1" x14ac:dyDescent="0.25">
      <c r="A2619" s="20">
        <v>42090</v>
      </c>
      <c r="B2619" s="21">
        <v>16129</v>
      </c>
      <c r="C2619" s="14" t="s">
        <v>56</v>
      </c>
      <c r="D2619" s="105">
        <v>4684.8</v>
      </c>
      <c r="E2619" s="65">
        <v>42090</v>
      </c>
      <c r="F2619" s="106">
        <v>4684.8</v>
      </c>
      <c r="G2619" s="31">
        <f t="shared" si="40"/>
        <v>0</v>
      </c>
      <c r="H2619" s="39" t="s">
        <v>773</v>
      </c>
      <c r="J2619" s="42"/>
    </row>
    <row r="2620" spans="1:10" s="3" customFormat="1" x14ac:dyDescent="0.25">
      <c r="A2620" s="20">
        <v>42090</v>
      </c>
      <c r="B2620" s="21">
        <v>16130</v>
      </c>
      <c r="C2620" s="14" t="s">
        <v>112</v>
      </c>
      <c r="D2620" s="105">
        <v>4111.2</v>
      </c>
      <c r="E2620" s="65">
        <v>42090</v>
      </c>
      <c r="F2620" s="106">
        <v>4111.2</v>
      </c>
      <c r="G2620" s="31">
        <f t="shared" si="40"/>
        <v>0</v>
      </c>
      <c r="H2620" s="39" t="s">
        <v>9</v>
      </c>
      <c r="J2620" s="42"/>
    </row>
    <row r="2621" spans="1:10" s="3" customFormat="1" x14ac:dyDescent="0.25">
      <c r="A2621" s="20">
        <v>42090</v>
      </c>
      <c r="B2621" s="21">
        <v>16131</v>
      </c>
      <c r="C2621" s="14" t="s">
        <v>135</v>
      </c>
      <c r="D2621" s="105">
        <v>3318</v>
      </c>
      <c r="E2621" s="65">
        <v>42090</v>
      </c>
      <c r="F2621" s="106">
        <v>3318</v>
      </c>
      <c r="G2621" s="31">
        <f t="shared" si="40"/>
        <v>0</v>
      </c>
      <c r="H2621" s="39" t="s">
        <v>9</v>
      </c>
      <c r="J2621" s="42"/>
    </row>
    <row r="2622" spans="1:10" s="3" customFormat="1" x14ac:dyDescent="0.25">
      <c r="A2622" s="20">
        <v>42090</v>
      </c>
      <c r="B2622" s="21">
        <v>16132</v>
      </c>
      <c r="C2622" s="14" t="s">
        <v>89</v>
      </c>
      <c r="D2622" s="105">
        <v>4103.6000000000004</v>
      </c>
      <c r="E2622" s="65">
        <v>42090</v>
      </c>
      <c r="F2622" s="106">
        <v>4103.6000000000004</v>
      </c>
      <c r="G2622" s="31">
        <f t="shared" si="40"/>
        <v>0</v>
      </c>
      <c r="H2622" s="39" t="s">
        <v>9</v>
      </c>
      <c r="J2622" s="42"/>
    </row>
    <row r="2623" spans="1:10" s="3" customFormat="1" x14ac:dyDescent="0.25">
      <c r="A2623" s="20">
        <v>42090</v>
      </c>
      <c r="B2623" s="21">
        <v>16133</v>
      </c>
      <c r="C2623" s="14" t="s">
        <v>14</v>
      </c>
      <c r="D2623" s="105">
        <v>152417</v>
      </c>
      <c r="E2623" s="74" t="s">
        <v>978</v>
      </c>
      <c r="F2623" s="144">
        <f>79612.2+72804.8</f>
        <v>152417</v>
      </c>
      <c r="G2623" s="31">
        <f t="shared" si="40"/>
        <v>0</v>
      </c>
      <c r="H2623" s="39" t="s">
        <v>9</v>
      </c>
      <c r="J2623" s="42"/>
    </row>
    <row r="2624" spans="1:10" s="3" customFormat="1" x14ac:dyDescent="0.25">
      <c r="A2624" s="20">
        <v>42090</v>
      </c>
      <c r="B2624" s="21">
        <v>16134</v>
      </c>
      <c r="C2624" s="14" t="s">
        <v>472</v>
      </c>
      <c r="D2624" s="105">
        <v>518</v>
      </c>
      <c r="E2624" s="65">
        <v>42090</v>
      </c>
      <c r="F2624" s="106">
        <v>518</v>
      </c>
      <c r="G2624" s="31">
        <f t="shared" si="40"/>
        <v>0</v>
      </c>
      <c r="H2624" s="39" t="s">
        <v>46</v>
      </c>
      <c r="J2624" s="42"/>
    </row>
    <row r="2625" spans="1:10" s="3" customFormat="1" x14ac:dyDescent="0.25">
      <c r="A2625" s="20">
        <v>42090</v>
      </c>
      <c r="B2625" s="21">
        <v>16135</v>
      </c>
      <c r="C2625" s="14" t="s">
        <v>24</v>
      </c>
      <c r="D2625" s="105">
        <v>800</v>
      </c>
      <c r="E2625" s="74">
        <v>42108</v>
      </c>
      <c r="F2625" s="144">
        <v>800</v>
      </c>
      <c r="G2625" s="31">
        <f t="shared" si="40"/>
        <v>0</v>
      </c>
      <c r="H2625" s="39" t="s">
        <v>9</v>
      </c>
      <c r="J2625" s="42"/>
    </row>
    <row r="2626" spans="1:10" s="3" customFormat="1" x14ac:dyDescent="0.25">
      <c r="A2626" s="20">
        <v>42090</v>
      </c>
      <c r="B2626" s="21">
        <v>16136</v>
      </c>
      <c r="C2626" s="14" t="s">
        <v>93</v>
      </c>
      <c r="D2626" s="105">
        <v>3328</v>
      </c>
      <c r="E2626" s="65">
        <v>42091</v>
      </c>
      <c r="F2626" s="106">
        <v>3328</v>
      </c>
      <c r="G2626" s="31">
        <f t="shared" si="40"/>
        <v>0</v>
      </c>
      <c r="H2626" s="39" t="s">
        <v>9</v>
      </c>
      <c r="J2626" s="42"/>
    </row>
    <row r="2627" spans="1:10" s="3" customFormat="1" x14ac:dyDescent="0.25">
      <c r="A2627" s="20">
        <v>42090</v>
      </c>
      <c r="B2627" s="21">
        <v>16137</v>
      </c>
      <c r="C2627" s="14" t="s">
        <v>95</v>
      </c>
      <c r="D2627" s="105">
        <v>3219.2</v>
      </c>
      <c r="E2627" s="65">
        <v>42091</v>
      </c>
      <c r="F2627" s="106">
        <v>3219.2</v>
      </c>
      <c r="G2627" s="31">
        <f t="shared" ref="G2627:G2690" si="41">D2627-F2627</f>
        <v>0</v>
      </c>
      <c r="H2627" s="39" t="s">
        <v>19</v>
      </c>
      <c r="J2627" s="42"/>
    </row>
    <row r="2628" spans="1:10" s="3" customFormat="1" x14ac:dyDescent="0.25">
      <c r="A2628" s="20">
        <v>42090</v>
      </c>
      <c r="B2628" s="21">
        <v>16138</v>
      </c>
      <c r="C2628" s="14" t="s">
        <v>106</v>
      </c>
      <c r="D2628" s="105">
        <v>2540</v>
      </c>
      <c r="E2628" s="65">
        <v>42091</v>
      </c>
      <c r="F2628" s="106">
        <v>2540</v>
      </c>
      <c r="G2628" s="31">
        <f t="shared" si="41"/>
        <v>0</v>
      </c>
      <c r="H2628" s="39" t="s">
        <v>19</v>
      </c>
      <c r="J2628" s="42"/>
    </row>
    <row r="2629" spans="1:10" s="3" customFormat="1" x14ac:dyDescent="0.25">
      <c r="A2629" s="20">
        <v>42090</v>
      </c>
      <c r="B2629" s="21">
        <v>16139</v>
      </c>
      <c r="C2629" s="14" t="s">
        <v>86</v>
      </c>
      <c r="D2629" s="105">
        <v>404.9</v>
      </c>
      <c r="E2629" s="65">
        <v>42090</v>
      </c>
      <c r="F2629" s="106">
        <v>404.9</v>
      </c>
      <c r="G2629" s="31">
        <f t="shared" si="41"/>
        <v>0</v>
      </c>
      <c r="H2629" s="39" t="s">
        <v>9</v>
      </c>
      <c r="J2629" s="42"/>
    </row>
    <row r="2630" spans="1:10" s="3" customFormat="1" x14ac:dyDescent="0.25">
      <c r="A2630" s="20">
        <v>42090</v>
      </c>
      <c r="B2630" s="21">
        <v>16140</v>
      </c>
      <c r="C2630" s="14" t="s">
        <v>301</v>
      </c>
      <c r="D2630" s="105">
        <v>1332</v>
      </c>
      <c r="E2630" s="65">
        <v>42091</v>
      </c>
      <c r="F2630" s="106">
        <v>1332</v>
      </c>
      <c r="G2630" s="31">
        <f t="shared" si="41"/>
        <v>0</v>
      </c>
      <c r="H2630" s="39" t="s">
        <v>19</v>
      </c>
      <c r="J2630" s="42"/>
    </row>
    <row r="2631" spans="1:10" s="3" customFormat="1" x14ac:dyDescent="0.25">
      <c r="A2631" s="20">
        <v>42090</v>
      </c>
      <c r="B2631" s="21">
        <v>16141</v>
      </c>
      <c r="C2631" s="14" t="s">
        <v>98</v>
      </c>
      <c r="D2631" s="105">
        <v>587.5</v>
      </c>
      <c r="E2631" s="65">
        <v>42091</v>
      </c>
      <c r="F2631" s="106">
        <v>587.5</v>
      </c>
      <c r="G2631" s="31">
        <f t="shared" si="41"/>
        <v>0</v>
      </c>
      <c r="H2631" s="39" t="s">
        <v>19</v>
      </c>
      <c r="J2631" s="42"/>
    </row>
    <row r="2632" spans="1:10" s="3" customFormat="1" x14ac:dyDescent="0.25">
      <c r="A2632" s="20">
        <v>42090</v>
      </c>
      <c r="B2632" s="21">
        <v>16142</v>
      </c>
      <c r="C2632" s="14" t="s">
        <v>104</v>
      </c>
      <c r="D2632" s="105">
        <v>6736.8</v>
      </c>
      <c r="E2632" s="65">
        <v>42091</v>
      </c>
      <c r="F2632" s="106">
        <v>6736.8</v>
      </c>
      <c r="G2632" s="31">
        <f t="shared" si="41"/>
        <v>0</v>
      </c>
      <c r="H2632" s="39" t="s">
        <v>19</v>
      </c>
      <c r="J2632" s="42"/>
    </row>
    <row r="2633" spans="1:10" s="3" customFormat="1" x14ac:dyDescent="0.25">
      <c r="A2633" s="20">
        <v>42090</v>
      </c>
      <c r="B2633" s="21">
        <v>16143</v>
      </c>
      <c r="C2633" s="14" t="s">
        <v>104</v>
      </c>
      <c r="D2633" s="105">
        <v>273.60000000000002</v>
      </c>
      <c r="E2633" s="65">
        <v>42091</v>
      </c>
      <c r="F2633" s="106">
        <v>273.60000000000002</v>
      </c>
      <c r="G2633" s="31">
        <f t="shared" si="41"/>
        <v>0</v>
      </c>
      <c r="H2633" s="39" t="s">
        <v>9</v>
      </c>
      <c r="J2633" s="42"/>
    </row>
    <row r="2634" spans="1:10" s="3" customFormat="1" x14ac:dyDescent="0.25">
      <c r="A2634" s="20">
        <v>42090</v>
      </c>
      <c r="B2634" s="21">
        <v>16144</v>
      </c>
      <c r="C2634" s="14" t="s">
        <v>106</v>
      </c>
      <c r="D2634" s="105">
        <v>8504.7999999999993</v>
      </c>
      <c r="E2634" s="65">
        <v>42091</v>
      </c>
      <c r="F2634" s="106">
        <v>8504.7999999999993</v>
      </c>
      <c r="G2634" s="31">
        <f t="shared" si="41"/>
        <v>0</v>
      </c>
      <c r="H2634" s="39" t="s">
        <v>19</v>
      </c>
      <c r="J2634" s="42"/>
    </row>
    <row r="2635" spans="1:10" s="3" customFormat="1" x14ac:dyDescent="0.25">
      <c r="A2635" s="20">
        <v>42090</v>
      </c>
      <c r="B2635" s="21">
        <v>16145</v>
      </c>
      <c r="C2635" s="14" t="s">
        <v>136</v>
      </c>
      <c r="D2635" s="105">
        <v>2950.4</v>
      </c>
      <c r="E2635" s="65">
        <v>42090</v>
      </c>
      <c r="F2635" s="106">
        <v>2950.4</v>
      </c>
      <c r="G2635" s="31">
        <f t="shared" si="41"/>
        <v>0</v>
      </c>
      <c r="H2635" s="39" t="s">
        <v>9</v>
      </c>
      <c r="J2635" s="42"/>
    </row>
    <row r="2636" spans="1:10" s="3" customFormat="1" x14ac:dyDescent="0.25">
      <c r="A2636" s="20">
        <v>42090</v>
      </c>
      <c r="B2636" s="21">
        <v>16146</v>
      </c>
      <c r="C2636" s="14" t="s">
        <v>102</v>
      </c>
      <c r="D2636" s="105">
        <v>2939.2</v>
      </c>
      <c r="E2636" s="65">
        <v>42090</v>
      </c>
      <c r="F2636" s="106">
        <v>2939.2</v>
      </c>
      <c r="G2636" s="31">
        <f t="shared" si="41"/>
        <v>0</v>
      </c>
      <c r="H2636" s="39" t="s">
        <v>9</v>
      </c>
      <c r="J2636" s="42"/>
    </row>
    <row r="2637" spans="1:10" s="3" customFormat="1" x14ac:dyDescent="0.25">
      <c r="A2637" s="20">
        <v>42090</v>
      </c>
      <c r="B2637" s="21">
        <v>16147</v>
      </c>
      <c r="C2637" s="14" t="s">
        <v>38</v>
      </c>
      <c r="D2637" s="105">
        <v>32656</v>
      </c>
      <c r="E2637" s="74" t="s">
        <v>985</v>
      </c>
      <c r="F2637" s="144">
        <f>83.2+32572.8</f>
        <v>32656</v>
      </c>
      <c r="G2637" s="31">
        <f t="shared" si="41"/>
        <v>0</v>
      </c>
      <c r="H2637" s="39" t="s">
        <v>94</v>
      </c>
      <c r="J2637" s="42"/>
    </row>
    <row r="2638" spans="1:10" s="3" customFormat="1" x14ac:dyDescent="0.25">
      <c r="A2638" s="20">
        <v>42090</v>
      </c>
      <c r="B2638" s="21">
        <v>16148</v>
      </c>
      <c r="C2638" s="14" t="s">
        <v>24</v>
      </c>
      <c r="D2638" s="105">
        <v>25859.8</v>
      </c>
      <c r="E2638" s="74">
        <v>42108</v>
      </c>
      <c r="F2638" s="144">
        <v>25859.8</v>
      </c>
      <c r="G2638" s="31">
        <f t="shared" si="41"/>
        <v>0</v>
      </c>
      <c r="H2638" s="39" t="s">
        <v>183</v>
      </c>
      <c r="J2638" s="42"/>
    </row>
    <row r="2639" spans="1:10" s="3" customFormat="1" x14ac:dyDescent="0.25">
      <c r="A2639" s="20">
        <v>42090</v>
      </c>
      <c r="B2639" s="21">
        <v>16149</v>
      </c>
      <c r="C2639" s="14" t="s">
        <v>102</v>
      </c>
      <c r="D2639" s="105">
        <v>120</v>
      </c>
      <c r="E2639" s="65">
        <v>42090</v>
      </c>
      <c r="F2639" s="106">
        <v>120</v>
      </c>
      <c r="G2639" s="31">
        <f t="shared" si="41"/>
        <v>0</v>
      </c>
      <c r="H2639" s="39" t="s">
        <v>9</v>
      </c>
      <c r="J2639" s="42"/>
    </row>
    <row r="2640" spans="1:10" s="3" customFormat="1" x14ac:dyDescent="0.25">
      <c r="A2640" s="20">
        <v>42090</v>
      </c>
      <c r="B2640" s="21">
        <v>16150</v>
      </c>
      <c r="C2640" s="14" t="s">
        <v>336</v>
      </c>
      <c r="D2640" s="105">
        <v>3829.7</v>
      </c>
      <c r="E2640" s="65">
        <v>42090</v>
      </c>
      <c r="F2640" s="106">
        <v>3829.7</v>
      </c>
      <c r="G2640" s="31">
        <f t="shared" si="41"/>
        <v>0</v>
      </c>
      <c r="H2640" s="39" t="s">
        <v>9</v>
      </c>
      <c r="J2640" s="42"/>
    </row>
    <row r="2641" spans="1:10" s="3" customFormat="1" x14ac:dyDescent="0.25">
      <c r="A2641" s="20">
        <v>42090</v>
      </c>
      <c r="B2641" s="21">
        <v>16151</v>
      </c>
      <c r="C2641" s="14" t="s">
        <v>33</v>
      </c>
      <c r="D2641" s="105">
        <v>21031.200000000001</v>
      </c>
      <c r="E2641" s="65">
        <v>42090</v>
      </c>
      <c r="F2641" s="106">
        <v>21031.200000000001</v>
      </c>
      <c r="G2641" s="31">
        <f t="shared" si="41"/>
        <v>0</v>
      </c>
      <c r="H2641" s="39" t="s">
        <v>17</v>
      </c>
      <c r="J2641" s="42"/>
    </row>
    <row r="2642" spans="1:10" s="3" customFormat="1" x14ac:dyDescent="0.25">
      <c r="A2642" s="20">
        <v>42090</v>
      </c>
      <c r="B2642" s="21">
        <v>16152</v>
      </c>
      <c r="C2642" s="14" t="s">
        <v>697</v>
      </c>
      <c r="D2642" s="105">
        <v>14824.6</v>
      </c>
      <c r="E2642" s="74" t="s">
        <v>963</v>
      </c>
      <c r="F2642" s="144">
        <v>14824.6</v>
      </c>
      <c r="G2642" s="31">
        <f t="shared" si="41"/>
        <v>0</v>
      </c>
      <c r="H2642" s="39" t="s">
        <v>9</v>
      </c>
      <c r="J2642" s="42"/>
    </row>
    <row r="2643" spans="1:10" s="3" customFormat="1" x14ac:dyDescent="0.25">
      <c r="A2643" s="20">
        <v>42090</v>
      </c>
      <c r="B2643" s="21">
        <v>16153</v>
      </c>
      <c r="C2643" s="14" t="s">
        <v>35</v>
      </c>
      <c r="D2643" s="105">
        <v>1855</v>
      </c>
      <c r="E2643" s="65">
        <v>42090</v>
      </c>
      <c r="F2643" s="106">
        <v>1855</v>
      </c>
      <c r="G2643" s="31">
        <f t="shared" si="41"/>
        <v>0</v>
      </c>
      <c r="H2643" s="39" t="s">
        <v>9</v>
      </c>
      <c r="J2643" s="42"/>
    </row>
    <row r="2644" spans="1:10" s="3" customFormat="1" x14ac:dyDescent="0.25">
      <c r="A2644" s="20">
        <v>42090</v>
      </c>
      <c r="B2644" s="21">
        <v>16154</v>
      </c>
      <c r="C2644" s="14" t="s">
        <v>232</v>
      </c>
      <c r="D2644" s="105">
        <v>7632</v>
      </c>
      <c r="E2644" s="65">
        <v>42091</v>
      </c>
      <c r="F2644" s="106">
        <v>7632</v>
      </c>
      <c r="G2644" s="31">
        <f t="shared" si="41"/>
        <v>0</v>
      </c>
      <c r="H2644" s="39" t="s">
        <v>9</v>
      </c>
      <c r="J2644" s="42"/>
    </row>
    <row r="2645" spans="1:10" s="3" customFormat="1" x14ac:dyDescent="0.25">
      <c r="A2645" s="20">
        <v>42090</v>
      </c>
      <c r="B2645" s="21">
        <v>16155</v>
      </c>
      <c r="C2645" s="14" t="s">
        <v>136</v>
      </c>
      <c r="D2645" s="105">
        <v>31238.400000000001</v>
      </c>
      <c r="E2645" s="74" t="s">
        <v>951</v>
      </c>
      <c r="F2645" s="144">
        <f>18000+13238.4</f>
        <v>31238.400000000001</v>
      </c>
      <c r="G2645" s="31">
        <f t="shared" si="41"/>
        <v>0</v>
      </c>
      <c r="H2645" s="39" t="s">
        <v>9</v>
      </c>
      <c r="J2645" s="42"/>
    </row>
    <row r="2646" spans="1:10" s="3" customFormat="1" x14ac:dyDescent="0.25">
      <c r="A2646" s="20">
        <v>42090</v>
      </c>
      <c r="B2646" s="21">
        <v>16156</v>
      </c>
      <c r="C2646" s="14" t="s">
        <v>136</v>
      </c>
      <c r="D2646" s="105">
        <v>3250.8</v>
      </c>
      <c r="E2646" s="65">
        <v>42092</v>
      </c>
      <c r="F2646" s="106">
        <v>3250.8</v>
      </c>
      <c r="G2646" s="31">
        <f t="shared" si="41"/>
        <v>0</v>
      </c>
      <c r="H2646" s="39" t="s">
        <v>9</v>
      </c>
      <c r="J2646" s="42"/>
    </row>
    <row r="2647" spans="1:10" s="3" customFormat="1" x14ac:dyDescent="0.25">
      <c r="A2647" s="20">
        <v>42090</v>
      </c>
      <c r="B2647" s="21">
        <v>16157</v>
      </c>
      <c r="C2647" s="14" t="s">
        <v>107</v>
      </c>
      <c r="D2647" s="105">
        <v>3203.2</v>
      </c>
      <c r="E2647" s="65">
        <v>42090</v>
      </c>
      <c r="F2647" s="106">
        <v>3203.2</v>
      </c>
      <c r="G2647" s="31">
        <f t="shared" si="41"/>
        <v>0</v>
      </c>
      <c r="H2647" s="39" t="s">
        <v>9</v>
      </c>
      <c r="J2647" s="42"/>
    </row>
    <row r="2648" spans="1:10" s="3" customFormat="1" x14ac:dyDescent="0.25">
      <c r="A2648" s="20">
        <v>42090</v>
      </c>
      <c r="B2648" s="21">
        <v>16158</v>
      </c>
      <c r="C2648" s="14" t="s">
        <v>482</v>
      </c>
      <c r="D2648" s="105">
        <v>416</v>
      </c>
      <c r="E2648" s="65">
        <v>42090</v>
      </c>
      <c r="F2648" s="106">
        <v>416</v>
      </c>
      <c r="G2648" s="31">
        <f t="shared" si="41"/>
        <v>0</v>
      </c>
      <c r="H2648" s="39" t="s">
        <v>9</v>
      </c>
      <c r="J2648" s="42"/>
    </row>
    <row r="2649" spans="1:10" s="3" customFormat="1" x14ac:dyDescent="0.25">
      <c r="A2649" s="20">
        <v>42090</v>
      </c>
      <c r="B2649" s="21">
        <v>16159</v>
      </c>
      <c r="C2649" s="14" t="s">
        <v>111</v>
      </c>
      <c r="D2649" s="105">
        <v>141174</v>
      </c>
      <c r="E2649" s="74">
        <v>42095</v>
      </c>
      <c r="F2649" s="144">
        <v>141174</v>
      </c>
      <c r="G2649" s="31">
        <f t="shared" si="41"/>
        <v>0</v>
      </c>
      <c r="H2649" s="39" t="s">
        <v>9</v>
      </c>
      <c r="J2649" s="42"/>
    </row>
    <row r="2650" spans="1:10" s="3" customFormat="1" x14ac:dyDescent="0.25">
      <c r="A2650" s="20">
        <v>42090</v>
      </c>
      <c r="B2650" s="21">
        <v>16160</v>
      </c>
      <c r="C2650" s="14" t="s">
        <v>90</v>
      </c>
      <c r="D2650" s="105">
        <v>441.1</v>
      </c>
      <c r="E2650" s="65">
        <v>42090</v>
      </c>
      <c r="F2650" s="106">
        <v>441.1</v>
      </c>
      <c r="G2650" s="31">
        <f t="shared" si="41"/>
        <v>0</v>
      </c>
      <c r="H2650" s="39" t="s">
        <v>9</v>
      </c>
      <c r="J2650" s="42"/>
    </row>
    <row r="2651" spans="1:10" s="3" customFormat="1" x14ac:dyDescent="0.25">
      <c r="A2651" s="20">
        <v>42090</v>
      </c>
      <c r="B2651" s="21">
        <v>16161</v>
      </c>
      <c r="C2651" s="14" t="s">
        <v>74</v>
      </c>
      <c r="D2651" s="105">
        <v>1628.4</v>
      </c>
      <c r="E2651" s="65">
        <v>42090</v>
      </c>
      <c r="F2651" s="106">
        <v>1628.4</v>
      </c>
      <c r="G2651" s="31">
        <f t="shared" si="41"/>
        <v>0</v>
      </c>
      <c r="H2651" s="39" t="s">
        <v>9</v>
      </c>
      <c r="J2651" s="42"/>
    </row>
    <row r="2652" spans="1:10" s="3" customFormat="1" x14ac:dyDescent="0.25">
      <c r="A2652" s="20">
        <v>42090</v>
      </c>
      <c r="B2652" s="21">
        <v>16162</v>
      </c>
      <c r="C2652" s="14" t="s">
        <v>24</v>
      </c>
      <c r="D2652" s="105">
        <v>193430.86</v>
      </c>
      <c r="E2652" s="74">
        <v>42108</v>
      </c>
      <c r="F2652" s="144">
        <v>193430.86</v>
      </c>
      <c r="G2652" s="31">
        <f t="shared" si="41"/>
        <v>0</v>
      </c>
      <c r="H2652" s="39" t="s">
        <v>46</v>
      </c>
      <c r="J2652" s="42"/>
    </row>
    <row r="2653" spans="1:10" s="3" customFormat="1" x14ac:dyDescent="0.25">
      <c r="A2653" s="20">
        <v>42090</v>
      </c>
      <c r="B2653" s="21">
        <v>16163</v>
      </c>
      <c r="C2653" s="14" t="s">
        <v>234</v>
      </c>
      <c r="D2653" s="105">
        <v>237.6</v>
      </c>
      <c r="E2653" s="65">
        <v>42090</v>
      </c>
      <c r="F2653" s="106">
        <v>237.6</v>
      </c>
      <c r="G2653" s="31">
        <f t="shared" si="41"/>
        <v>0</v>
      </c>
      <c r="H2653" s="39" t="s">
        <v>9</v>
      </c>
      <c r="J2653" s="42"/>
    </row>
    <row r="2654" spans="1:10" s="3" customFormat="1" x14ac:dyDescent="0.25">
      <c r="A2654" s="20">
        <v>42090</v>
      </c>
      <c r="B2654" s="21">
        <v>16164</v>
      </c>
      <c r="C2654" s="14" t="s">
        <v>821</v>
      </c>
      <c r="D2654" s="105">
        <v>530.4</v>
      </c>
      <c r="E2654" s="65">
        <v>42090</v>
      </c>
      <c r="F2654" s="106">
        <v>530.4</v>
      </c>
      <c r="G2654" s="31">
        <f t="shared" si="41"/>
        <v>0</v>
      </c>
      <c r="H2654" s="39" t="s">
        <v>9</v>
      </c>
      <c r="J2654" s="42"/>
    </row>
    <row r="2655" spans="1:10" s="3" customFormat="1" x14ac:dyDescent="0.25">
      <c r="A2655" s="20">
        <v>42090</v>
      </c>
      <c r="B2655" s="21">
        <v>16165</v>
      </c>
      <c r="C2655" s="14" t="s">
        <v>28</v>
      </c>
      <c r="D2655" s="105">
        <v>3340.8</v>
      </c>
      <c r="E2655" s="65">
        <v>42090</v>
      </c>
      <c r="F2655" s="106">
        <v>3340.8</v>
      </c>
      <c r="G2655" s="31">
        <f t="shared" si="41"/>
        <v>0</v>
      </c>
      <c r="H2655" s="39" t="s">
        <v>773</v>
      </c>
      <c r="J2655" s="42"/>
    </row>
    <row r="2656" spans="1:10" s="3" customFormat="1" x14ac:dyDescent="0.25">
      <c r="A2656" s="20">
        <v>42090</v>
      </c>
      <c r="B2656" s="21">
        <v>16166</v>
      </c>
      <c r="C2656" s="14" t="s">
        <v>26</v>
      </c>
      <c r="D2656" s="105">
        <v>580</v>
      </c>
      <c r="E2656" s="65">
        <v>42090</v>
      </c>
      <c r="F2656" s="106">
        <v>580</v>
      </c>
      <c r="G2656" s="31">
        <f t="shared" si="41"/>
        <v>0</v>
      </c>
      <c r="H2656" s="39" t="s">
        <v>773</v>
      </c>
      <c r="J2656" s="42"/>
    </row>
    <row r="2657" spans="1:10" s="3" customFormat="1" x14ac:dyDescent="0.25">
      <c r="A2657" s="20">
        <v>42090</v>
      </c>
      <c r="B2657" s="21">
        <v>16167</v>
      </c>
      <c r="C2657" s="14" t="s">
        <v>267</v>
      </c>
      <c r="D2657" s="105">
        <v>3604</v>
      </c>
      <c r="E2657" s="65">
        <v>42090</v>
      </c>
      <c r="F2657" s="106">
        <v>3604</v>
      </c>
      <c r="G2657" s="31">
        <f t="shared" si="41"/>
        <v>0</v>
      </c>
      <c r="H2657" s="39" t="s">
        <v>773</v>
      </c>
      <c r="J2657" s="42"/>
    </row>
    <row r="2658" spans="1:10" s="3" customFormat="1" x14ac:dyDescent="0.25">
      <c r="A2658" s="20">
        <v>42090</v>
      </c>
      <c r="B2658" s="21">
        <v>16168</v>
      </c>
      <c r="C2658" s="14" t="s">
        <v>80</v>
      </c>
      <c r="D2658" s="105">
        <v>7208</v>
      </c>
      <c r="E2658" s="65">
        <v>42090</v>
      </c>
      <c r="F2658" s="106">
        <v>7208</v>
      </c>
      <c r="G2658" s="31">
        <f t="shared" si="41"/>
        <v>0</v>
      </c>
      <c r="H2658" s="39" t="s">
        <v>9</v>
      </c>
      <c r="J2658" s="42"/>
    </row>
    <row r="2659" spans="1:10" s="3" customFormat="1" x14ac:dyDescent="0.25">
      <c r="A2659" s="20">
        <v>42090</v>
      </c>
      <c r="B2659" s="21">
        <v>16169</v>
      </c>
      <c r="C2659" s="14" t="s">
        <v>265</v>
      </c>
      <c r="D2659" s="105">
        <v>622.5</v>
      </c>
      <c r="E2659" s="65">
        <v>42090</v>
      </c>
      <c r="F2659" s="106">
        <v>622.5</v>
      </c>
      <c r="G2659" s="31">
        <f t="shared" si="41"/>
        <v>0</v>
      </c>
      <c r="H2659" s="39" t="s">
        <v>9</v>
      </c>
      <c r="J2659" s="42"/>
    </row>
    <row r="2660" spans="1:10" s="3" customFormat="1" x14ac:dyDescent="0.25">
      <c r="A2660" s="20">
        <v>42090</v>
      </c>
      <c r="B2660" s="21">
        <v>16170</v>
      </c>
      <c r="C2660" s="14" t="s">
        <v>454</v>
      </c>
      <c r="D2660" s="105">
        <v>816</v>
      </c>
      <c r="E2660" s="65">
        <v>42091</v>
      </c>
      <c r="F2660" s="106">
        <v>816</v>
      </c>
      <c r="G2660" s="31">
        <f t="shared" si="41"/>
        <v>0</v>
      </c>
      <c r="H2660" s="39" t="s">
        <v>41</v>
      </c>
      <c r="J2660" s="42"/>
    </row>
    <row r="2661" spans="1:10" s="3" customFormat="1" x14ac:dyDescent="0.25">
      <c r="A2661" s="20">
        <v>42090</v>
      </c>
      <c r="B2661" s="21">
        <v>16171</v>
      </c>
      <c r="C2661" s="14" t="s">
        <v>24</v>
      </c>
      <c r="D2661" s="105">
        <v>5345.6</v>
      </c>
      <c r="E2661" s="74">
        <v>42138</v>
      </c>
      <c r="F2661" s="144">
        <v>5345.6</v>
      </c>
      <c r="G2661" s="31">
        <f t="shared" si="41"/>
        <v>0</v>
      </c>
      <c r="H2661" s="39" t="s">
        <v>59</v>
      </c>
      <c r="J2661" s="42"/>
    </row>
    <row r="2662" spans="1:10" s="3" customFormat="1" x14ac:dyDescent="0.25">
      <c r="A2662" s="20">
        <v>42091</v>
      </c>
      <c r="B2662" s="21">
        <v>16172</v>
      </c>
      <c r="C2662" s="14" t="s">
        <v>21</v>
      </c>
      <c r="D2662" s="105">
        <v>10970.4</v>
      </c>
      <c r="E2662" s="65">
        <v>42091</v>
      </c>
      <c r="F2662" s="106">
        <v>10970.4</v>
      </c>
      <c r="G2662" s="31">
        <f t="shared" si="41"/>
        <v>0</v>
      </c>
      <c r="H2662" s="39" t="s">
        <v>9</v>
      </c>
      <c r="J2662" s="42"/>
    </row>
    <row r="2663" spans="1:10" s="3" customFormat="1" x14ac:dyDescent="0.25">
      <c r="A2663" s="20">
        <v>42091</v>
      </c>
      <c r="B2663" s="21">
        <v>16173</v>
      </c>
      <c r="C2663" s="14" t="s">
        <v>799</v>
      </c>
      <c r="D2663" s="105">
        <v>34500.300000000003</v>
      </c>
      <c r="E2663" s="65">
        <v>42094</v>
      </c>
      <c r="F2663" s="106">
        <v>34500.300000000003</v>
      </c>
      <c r="G2663" s="31">
        <f t="shared" si="41"/>
        <v>0</v>
      </c>
      <c r="H2663" s="39" t="s">
        <v>9</v>
      </c>
      <c r="J2663" s="42"/>
    </row>
    <row r="2664" spans="1:10" s="3" customFormat="1" x14ac:dyDescent="0.25">
      <c r="A2664" s="20">
        <v>42091</v>
      </c>
      <c r="B2664" s="21">
        <v>16174</v>
      </c>
      <c r="C2664" s="14" t="s">
        <v>291</v>
      </c>
      <c r="D2664" s="105">
        <v>12185.52</v>
      </c>
      <c r="E2664" s="65">
        <v>42091</v>
      </c>
      <c r="F2664" s="106">
        <v>12185.52</v>
      </c>
      <c r="G2664" s="31">
        <f t="shared" si="41"/>
        <v>0</v>
      </c>
      <c r="H2664" s="39" t="s">
        <v>9</v>
      </c>
      <c r="J2664" s="42"/>
    </row>
    <row r="2665" spans="1:10" s="3" customFormat="1" x14ac:dyDescent="0.25">
      <c r="A2665" s="20">
        <v>42091</v>
      </c>
      <c r="B2665" s="21">
        <v>16175</v>
      </c>
      <c r="C2665" s="14" t="s">
        <v>112</v>
      </c>
      <c r="D2665" s="105">
        <v>15125.14</v>
      </c>
      <c r="E2665" s="65" t="s">
        <v>934</v>
      </c>
      <c r="F2665" s="106">
        <f>9000+6125.14</f>
        <v>15125.14</v>
      </c>
      <c r="G2665" s="31">
        <f t="shared" si="41"/>
        <v>0</v>
      </c>
      <c r="H2665" s="39" t="s">
        <v>9</v>
      </c>
      <c r="J2665" s="42"/>
    </row>
    <row r="2666" spans="1:10" s="3" customFormat="1" x14ac:dyDescent="0.25">
      <c r="A2666" s="20">
        <v>42091</v>
      </c>
      <c r="B2666" s="21">
        <v>16176</v>
      </c>
      <c r="C2666" s="14" t="s">
        <v>265</v>
      </c>
      <c r="D2666" s="105">
        <v>10787.6</v>
      </c>
      <c r="E2666" s="65">
        <v>42091</v>
      </c>
      <c r="F2666" s="106">
        <v>10787.6</v>
      </c>
      <c r="G2666" s="31">
        <f t="shared" si="41"/>
        <v>0</v>
      </c>
      <c r="H2666" s="39" t="s">
        <v>9</v>
      </c>
      <c r="J2666" s="42"/>
    </row>
    <row r="2667" spans="1:10" s="3" customFormat="1" x14ac:dyDescent="0.25">
      <c r="A2667" s="20">
        <v>42091</v>
      </c>
      <c r="B2667" s="21">
        <v>16177</v>
      </c>
      <c r="C2667" s="14" t="s">
        <v>854</v>
      </c>
      <c r="D2667" s="105">
        <v>4556.8</v>
      </c>
      <c r="E2667" s="65">
        <v>42091</v>
      </c>
      <c r="F2667" s="106">
        <v>4556.8</v>
      </c>
      <c r="G2667" s="31">
        <f t="shared" si="41"/>
        <v>0</v>
      </c>
      <c r="H2667" s="39" t="s">
        <v>9</v>
      </c>
      <c r="J2667" s="42"/>
    </row>
    <row r="2668" spans="1:10" s="3" customFormat="1" x14ac:dyDescent="0.25">
      <c r="A2668" s="20">
        <v>42091</v>
      </c>
      <c r="B2668" s="21">
        <v>16178</v>
      </c>
      <c r="C2668" s="14" t="s">
        <v>14</v>
      </c>
      <c r="D2668" s="105">
        <v>13494.6</v>
      </c>
      <c r="E2668" s="74">
        <v>42104</v>
      </c>
      <c r="F2668" s="144">
        <v>13494.6</v>
      </c>
      <c r="G2668" s="31">
        <f t="shared" si="41"/>
        <v>0</v>
      </c>
      <c r="H2668" s="39" t="s">
        <v>9</v>
      </c>
      <c r="J2668" s="42"/>
    </row>
    <row r="2669" spans="1:10" s="3" customFormat="1" x14ac:dyDescent="0.25">
      <c r="A2669" s="20">
        <v>42091</v>
      </c>
      <c r="B2669" s="21">
        <v>16179</v>
      </c>
      <c r="C2669" s="14" t="s">
        <v>799</v>
      </c>
      <c r="D2669" s="105">
        <v>2482</v>
      </c>
      <c r="E2669" s="65">
        <v>42094</v>
      </c>
      <c r="F2669" s="106">
        <v>2482</v>
      </c>
      <c r="G2669" s="31">
        <f t="shared" si="41"/>
        <v>0</v>
      </c>
      <c r="H2669" s="39" t="s">
        <v>9</v>
      </c>
      <c r="J2669" s="42"/>
    </row>
    <row r="2670" spans="1:10" s="3" customFormat="1" x14ac:dyDescent="0.25">
      <c r="A2670" s="20">
        <v>42091</v>
      </c>
      <c r="B2670" s="21">
        <v>16180</v>
      </c>
      <c r="C2670" s="14" t="s">
        <v>137</v>
      </c>
      <c r="D2670" s="105">
        <v>3109.2</v>
      </c>
      <c r="E2670" s="65">
        <v>42091</v>
      </c>
      <c r="F2670" s="106">
        <v>3109.2</v>
      </c>
      <c r="G2670" s="31">
        <f t="shared" si="41"/>
        <v>0</v>
      </c>
      <c r="H2670" s="39" t="s">
        <v>9</v>
      </c>
      <c r="J2670" s="42"/>
    </row>
    <row r="2671" spans="1:10" s="3" customFormat="1" x14ac:dyDescent="0.25">
      <c r="A2671" s="20">
        <v>42091</v>
      </c>
      <c r="B2671" s="21">
        <v>16181</v>
      </c>
      <c r="C2671" s="14" t="s">
        <v>854</v>
      </c>
      <c r="D2671" s="105">
        <v>1624</v>
      </c>
      <c r="E2671" s="65">
        <v>42091</v>
      </c>
      <c r="F2671" s="106">
        <v>1624</v>
      </c>
      <c r="G2671" s="31">
        <f t="shared" si="41"/>
        <v>0</v>
      </c>
      <c r="H2671" s="39" t="s">
        <v>9</v>
      </c>
      <c r="J2671" s="42"/>
    </row>
    <row r="2672" spans="1:10" s="3" customFormat="1" x14ac:dyDescent="0.25">
      <c r="A2672" s="20">
        <v>42091</v>
      </c>
      <c r="B2672" s="21">
        <v>16182</v>
      </c>
      <c r="C2672" s="14" t="s">
        <v>18</v>
      </c>
      <c r="D2672" s="105">
        <v>1987.2</v>
      </c>
      <c r="E2672" s="65">
        <v>42091</v>
      </c>
      <c r="F2672" s="106">
        <v>1987.2</v>
      </c>
      <c r="G2672" s="31">
        <f t="shared" si="41"/>
        <v>0</v>
      </c>
      <c r="H2672" s="39" t="s">
        <v>9</v>
      </c>
      <c r="J2672" s="42"/>
    </row>
    <row r="2673" spans="1:10" s="3" customFormat="1" x14ac:dyDescent="0.25">
      <c r="A2673" s="20">
        <v>42091</v>
      </c>
      <c r="B2673" s="21">
        <v>16183</v>
      </c>
      <c r="C2673" s="14" t="s">
        <v>422</v>
      </c>
      <c r="D2673" s="105">
        <v>614.70000000000005</v>
      </c>
      <c r="E2673" s="65">
        <v>42091</v>
      </c>
      <c r="F2673" s="106">
        <v>614.70000000000005</v>
      </c>
      <c r="G2673" s="31">
        <f t="shared" si="41"/>
        <v>0</v>
      </c>
      <c r="H2673" s="39" t="s">
        <v>9</v>
      </c>
      <c r="J2673" s="42"/>
    </row>
    <row r="2674" spans="1:10" s="3" customFormat="1" x14ac:dyDescent="0.25">
      <c r="A2674" s="20">
        <v>42091</v>
      </c>
      <c r="B2674" s="21">
        <v>16184</v>
      </c>
      <c r="C2674" s="14" t="s">
        <v>20</v>
      </c>
      <c r="D2674" s="105">
        <v>14114.4</v>
      </c>
      <c r="E2674" s="65">
        <v>42091</v>
      </c>
      <c r="F2674" s="106">
        <v>14114.4</v>
      </c>
      <c r="G2674" s="31">
        <f t="shared" si="41"/>
        <v>0</v>
      </c>
      <c r="H2674" s="39" t="s">
        <v>94</v>
      </c>
      <c r="J2674" s="42"/>
    </row>
    <row r="2675" spans="1:10" s="3" customFormat="1" x14ac:dyDescent="0.25">
      <c r="A2675" s="20">
        <v>42091</v>
      </c>
      <c r="B2675" s="21">
        <v>16185</v>
      </c>
      <c r="C2675" s="14" t="s">
        <v>697</v>
      </c>
      <c r="D2675" s="105">
        <v>7380.8</v>
      </c>
      <c r="E2675" s="74" t="s">
        <v>964</v>
      </c>
      <c r="F2675" s="144">
        <v>7380.8</v>
      </c>
      <c r="G2675" s="31">
        <f t="shared" si="41"/>
        <v>0</v>
      </c>
      <c r="H2675" s="39" t="s">
        <v>94</v>
      </c>
      <c r="J2675" s="42"/>
    </row>
    <row r="2676" spans="1:10" s="3" customFormat="1" x14ac:dyDescent="0.25">
      <c r="A2676" s="20">
        <v>42091</v>
      </c>
      <c r="B2676" s="21">
        <v>16186</v>
      </c>
      <c r="C2676" s="14" t="s">
        <v>294</v>
      </c>
      <c r="D2676" s="105">
        <v>2973</v>
      </c>
      <c r="E2676" s="65">
        <v>42091</v>
      </c>
      <c r="F2676" s="106">
        <v>2973</v>
      </c>
      <c r="G2676" s="31">
        <f t="shared" si="41"/>
        <v>0</v>
      </c>
      <c r="H2676" s="39" t="s">
        <v>9</v>
      </c>
      <c r="J2676" s="42"/>
    </row>
    <row r="2677" spans="1:10" s="3" customFormat="1" x14ac:dyDescent="0.25">
      <c r="A2677" s="20">
        <v>42091</v>
      </c>
      <c r="B2677" s="21">
        <v>16187</v>
      </c>
      <c r="C2677" s="14" t="s">
        <v>16</v>
      </c>
      <c r="D2677" s="105">
        <v>10279.200000000001</v>
      </c>
      <c r="E2677" s="65">
        <v>42091</v>
      </c>
      <c r="F2677" s="106">
        <v>10279.200000000001</v>
      </c>
      <c r="G2677" s="31">
        <f t="shared" si="41"/>
        <v>0</v>
      </c>
      <c r="H2677" s="39" t="s">
        <v>17</v>
      </c>
      <c r="J2677" s="42"/>
    </row>
    <row r="2678" spans="1:10" s="3" customFormat="1" x14ac:dyDescent="0.25">
      <c r="A2678" s="20">
        <v>42091</v>
      </c>
      <c r="B2678" s="21">
        <v>16188</v>
      </c>
      <c r="C2678" s="14" t="s">
        <v>116</v>
      </c>
      <c r="D2678" s="105">
        <v>13253.8</v>
      </c>
      <c r="E2678" s="65">
        <v>42091</v>
      </c>
      <c r="F2678" s="106">
        <v>13253.8</v>
      </c>
      <c r="G2678" s="31">
        <f t="shared" si="41"/>
        <v>0</v>
      </c>
      <c r="H2678" s="39" t="s">
        <v>9</v>
      </c>
      <c r="J2678" s="42"/>
    </row>
    <row r="2679" spans="1:10" s="3" customFormat="1" x14ac:dyDescent="0.25">
      <c r="A2679" s="20">
        <v>42091</v>
      </c>
      <c r="B2679" s="21">
        <v>16189</v>
      </c>
      <c r="C2679" s="14" t="s">
        <v>56</v>
      </c>
      <c r="D2679" s="105">
        <v>6444</v>
      </c>
      <c r="E2679" s="65">
        <v>42091</v>
      </c>
      <c r="F2679" s="106">
        <v>6444</v>
      </c>
      <c r="G2679" s="31">
        <f t="shared" si="41"/>
        <v>0</v>
      </c>
      <c r="H2679" s="39" t="s">
        <v>773</v>
      </c>
      <c r="J2679" s="42"/>
    </row>
    <row r="2680" spans="1:10" s="3" customFormat="1" x14ac:dyDescent="0.25">
      <c r="A2680" s="20">
        <v>42091</v>
      </c>
      <c r="B2680" s="21">
        <v>16190</v>
      </c>
      <c r="C2680" s="14" t="s">
        <v>233</v>
      </c>
      <c r="D2680" s="105">
        <v>16099.2</v>
      </c>
      <c r="E2680" s="65">
        <v>42091</v>
      </c>
      <c r="F2680" s="106">
        <v>16099.2</v>
      </c>
      <c r="G2680" s="31">
        <f t="shared" si="41"/>
        <v>0</v>
      </c>
      <c r="H2680" s="39" t="s">
        <v>773</v>
      </c>
      <c r="J2680" s="42"/>
    </row>
    <row r="2681" spans="1:10" s="3" customFormat="1" x14ac:dyDescent="0.25">
      <c r="A2681" s="20">
        <v>42091</v>
      </c>
      <c r="B2681" s="21">
        <v>16191</v>
      </c>
      <c r="C2681" s="14" t="s">
        <v>121</v>
      </c>
      <c r="D2681" s="105">
        <v>2219.1999999999998</v>
      </c>
      <c r="E2681" s="65">
        <v>42091</v>
      </c>
      <c r="F2681" s="106">
        <v>2219.1999999999998</v>
      </c>
      <c r="G2681" s="31">
        <f t="shared" si="41"/>
        <v>0</v>
      </c>
      <c r="H2681" s="39" t="s">
        <v>9</v>
      </c>
      <c r="J2681" s="42"/>
    </row>
    <row r="2682" spans="1:10" s="3" customFormat="1" x14ac:dyDescent="0.25">
      <c r="A2682" s="20">
        <v>42091</v>
      </c>
      <c r="B2682" s="21">
        <v>16192</v>
      </c>
      <c r="C2682" s="14" t="s">
        <v>35</v>
      </c>
      <c r="D2682" s="105">
        <v>21281.9</v>
      </c>
      <c r="E2682" s="65">
        <v>42091</v>
      </c>
      <c r="F2682" s="106">
        <v>21281.9</v>
      </c>
      <c r="G2682" s="31">
        <f t="shared" si="41"/>
        <v>0</v>
      </c>
      <c r="H2682" s="39" t="s">
        <v>773</v>
      </c>
      <c r="J2682" s="42"/>
    </row>
    <row r="2683" spans="1:10" s="3" customFormat="1" x14ac:dyDescent="0.25">
      <c r="A2683" s="20">
        <v>42091</v>
      </c>
      <c r="B2683" s="21">
        <v>16193</v>
      </c>
      <c r="C2683" s="14" t="s">
        <v>114</v>
      </c>
      <c r="D2683" s="105">
        <v>3865.6</v>
      </c>
      <c r="E2683" s="65">
        <v>42091</v>
      </c>
      <c r="F2683" s="106">
        <v>3865.6</v>
      </c>
      <c r="G2683" s="31">
        <f t="shared" si="41"/>
        <v>0</v>
      </c>
      <c r="H2683" s="39" t="s">
        <v>9</v>
      </c>
      <c r="J2683" s="42"/>
    </row>
    <row r="2684" spans="1:10" s="3" customFormat="1" x14ac:dyDescent="0.25">
      <c r="A2684" s="20">
        <v>42091</v>
      </c>
      <c r="B2684" s="21">
        <v>16194</v>
      </c>
      <c r="C2684" s="14" t="s">
        <v>863</v>
      </c>
      <c r="D2684" s="105">
        <v>11260.2</v>
      </c>
      <c r="E2684" s="65">
        <v>42091</v>
      </c>
      <c r="F2684" s="106">
        <v>11260.2</v>
      </c>
      <c r="G2684" s="31">
        <f t="shared" si="41"/>
        <v>0</v>
      </c>
      <c r="H2684" s="39" t="s">
        <v>9</v>
      </c>
      <c r="J2684" s="42"/>
    </row>
    <row r="2685" spans="1:10" s="3" customFormat="1" x14ac:dyDescent="0.25">
      <c r="A2685" s="20">
        <v>42091</v>
      </c>
      <c r="B2685" s="21">
        <v>16195</v>
      </c>
      <c r="C2685" s="14" t="s">
        <v>136</v>
      </c>
      <c r="D2685" s="105">
        <v>648</v>
      </c>
      <c r="E2685" s="65">
        <v>42091</v>
      </c>
      <c r="F2685" s="106">
        <v>648</v>
      </c>
      <c r="G2685" s="31">
        <f t="shared" si="41"/>
        <v>0</v>
      </c>
      <c r="H2685" s="39" t="s">
        <v>9</v>
      </c>
      <c r="J2685" s="42"/>
    </row>
    <row r="2686" spans="1:10" s="3" customFormat="1" x14ac:dyDescent="0.25">
      <c r="A2686" s="20">
        <v>42091</v>
      </c>
      <c r="B2686" s="21">
        <v>16196</v>
      </c>
      <c r="C2686" s="14" t="s">
        <v>30</v>
      </c>
      <c r="D2686" s="105">
        <v>2324</v>
      </c>
      <c r="E2686" s="65">
        <v>42091</v>
      </c>
      <c r="F2686" s="106">
        <v>2324</v>
      </c>
      <c r="G2686" s="31">
        <f t="shared" si="41"/>
        <v>0</v>
      </c>
      <c r="H2686" s="39" t="s">
        <v>9</v>
      </c>
      <c r="J2686" s="42"/>
    </row>
    <row r="2687" spans="1:10" s="3" customFormat="1" x14ac:dyDescent="0.25">
      <c r="A2687" s="20">
        <v>42091</v>
      </c>
      <c r="B2687" s="21">
        <v>16197</v>
      </c>
      <c r="C2687" s="14" t="s">
        <v>110</v>
      </c>
      <c r="D2687" s="105">
        <v>52754.85</v>
      </c>
      <c r="E2687" s="74" t="s">
        <v>1004</v>
      </c>
      <c r="F2687" s="144">
        <f>51631.5+1123.35</f>
        <v>52754.85</v>
      </c>
      <c r="G2687" s="31">
        <f t="shared" si="41"/>
        <v>0</v>
      </c>
      <c r="H2687" s="39" t="s">
        <v>46</v>
      </c>
      <c r="J2687" s="42"/>
    </row>
    <row r="2688" spans="1:10" s="3" customFormat="1" x14ac:dyDescent="0.25">
      <c r="A2688" s="20">
        <v>42091</v>
      </c>
      <c r="B2688" s="21">
        <v>16198</v>
      </c>
      <c r="C2688" s="14" t="s">
        <v>125</v>
      </c>
      <c r="D2688" s="105">
        <v>18141.3</v>
      </c>
      <c r="E2688" s="65">
        <v>42091</v>
      </c>
      <c r="F2688" s="106">
        <v>18141.3</v>
      </c>
      <c r="G2688" s="31">
        <f t="shared" si="41"/>
        <v>0</v>
      </c>
      <c r="H2688" s="39" t="s">
        <v>183</v>
      </c>
      <c r="J2688" s="42"/>
    </row>
    <row r="2689" spans="1:10" s="3" customFormat="1" x14ac:dyDescent="0.25">
      <c r="A2689" s="20">
        <v>42091</v>
      </c>
      <c r="B2689" s="21">
        <v>16199</v>
      </c>
      <c r="C2689" s="14" t="s">
        <v>604</v>
      </c>
      <c r="D2689" s="105">
        <v>2291.4</v>
      </c>
      <c r="E2689" s="65">
        <v>42091</v>
      </c>
      <c r="F2689" s="106">
        <v>2291.4</v>
      </c>
      <c r="G2689" s="31">
        <f t="shared" si="41"/>
        <v>0</v>
      </c>
      <c r="H2689" s="39" t="s">
        <v>9</v>
      </c>
      <c r="J2689" s="42"/>
    </row>
    <row r="2690" spans="1:10" s="3" customFormat="1" x14ac:dyDescent="0.25">
      <c r="A2690" s="20">
        <v>42091</v>
      </c>
      <c r="B2690" s="21">
        <v>16200</v>
      </c>
      <c r="C2690" s="14" t="s">
        <v>296</v>
      </c>
      <c r="D2690" s="105">
        <v>1431.2</v>
      </c>
      <c r="E2690" s="65">
        <v>42091</v>
      </c>
      <c r="F2690" s="106">
        <v>1431.2</v>
      </c>
      <c r="G2690" s="31">
        <f t="shared" si="41"/>
        <v>0</v>
      </c>
      <c r="H2690" s="39" t="s">
        <v>9</v>
      </c>
      <c r="J2690" s="42"/>
    </row>
    <row r="2691" spans="1:10" s="3" customFormat="1" x14ac:dyDescent="0.25">
      <c r="A2691" s="20">
        <v>42091</v>
      </c>
      <c r="B2691" s="21">
        <v>16201</v>
      </c>
      <c r="C2691" s="14" t="s">
        <v>127</v>
      </c>
      <c r="D2691" s="105">
        <v>11581.6</v>
      </c>
      <c r="E2691" s="65">
        <v>42091</v>
      </c>
      <c r="F2691" s="106">
        <v>11581.6</v>
      </c>
      <c r="G2691" s="31">
        <f t="shared" ref="G2691:G2754" si="42">D2691-F2691</f>
        <v>0</v>
      </c>
      <c r="H2691" s="39" t="s">
        <v>9</v>
      </c>
      <c r="J2691" s="42"/>
    </row>
    <row r="2692" spans="1:10" s="3" customFormat="1" x14ac:dyDescent="0.25">
      <c r="A2692" s="20">
        <v>42091</v>
      </c>
      <c r="B2692" s="21">
        <v>16202</v>
      </c>
      <c r="C2692" s="14" t="s">
        <v>24</v>
      </c>
      <c r="D2692" s="105">
        <v>12004.02</v>
      </c>
      <c r="E2692" s="74">
        <v>42138</v>
      </c>
      <c r="F2692" s="144">
        <v>12004.02</v>
      </c>
      <c r="G2692" s="31">
        <f t="shared" si="42"/>
        <v>0</v>
      </c>
      <c r="H2692" s="39" t="s">
        <v>312</v>
      </c>
      <c r="J2692" s="42"/>
    </row>
    <row r="2693" spans="1:10" s="3" customFormat="1" x14ac:dyDescent="0.25">
      <c r="A2693" s="20">
        <v>42091</v>
      </c>
      <c r="B2693" s="21">
        <v>16203</v>
      </c>
      <c r="C2693" s="14" t="s">
        <v>34</v>
      </c>
      <c r="D2693" s="105">
        <v>3500</v>
      </c>
      <c r="E2693" s="65">
        <v>42091</v>
      </c>
      <c r="F2693" s="106">
        <v>3500</v>
      </c>
      <c r="G2693" s="31">
        <f t="shared" si="42"/>
        <v>0</v>
      </c>
      <c r="H2693" s="39" t="s">
        <v>9</v>
      </c>
      <c r="J2693" s="42"/>
    </row>
    <row r="2694" spans="1:10" s="3" customFormat="1" x14ac:dyDescent="0.25">
      <c r="A2694" s="20">
        <v>42091</v>
      </c>
      <c r="B2694" s="21">
        <v>16204</v>
      </c>
      <c r="C2694" s="14" t="s">
        <v>91</v>
      </c>
      <c r="D2694" s="105">
        <v>33355.9</v>
      </c>
      <c r="E2694" s="65">
        <v>42091</v>
      </c>
      <c r="F2694" s="106">
        <v>33355.9</v>
      </c>
      <c r="G2694" s="31">
        <f t="shared" si="42"/>
        <v>0</v>
      </c>
      <c r="H2694" s="39" t="s">
        <v>59</v>
      </c>
      <c r="J2694" s="42"/>
    </row>
    <row r="2695" spans="1:10" s="3" customFormat="1" x14ac:dyDescent="0.25">
      <c r="A2695" s="20">
        <v>42091</v>
      </c>
      <c r="B2695" s="21">
        <v>16205</v>
      </c>
      <c r="C2695" s="14" t="s">
        <v>32</v>
      </c>
      <c r="D2695" s="105">
        <v>114255.9</v>
      </c>
      <c r="E2695" s="74">
        <v>42115</v>
      </c>
      <c r="F2695" s="144">
        <v>114255.9</v>
      </c>
      <c r="G2695" s="31">
        <f t="shared" si="42"/>
        <v>0</v>
      </c>
      <c r="H2695" s="39" t="s">
        <v>9</v>
      </c>
      <c r="J2695" s="42"/>
    </row>
    <row r="2696" spans="1:10" s="3" customFormat="1" x14ac:dyDescent="0.25">
      <c r="A2696" s="20">
        <v>42091</v>
      </c>
      <c r="B2696" s="21">
        <v>16206</v>
      </c>
      <c r="C2696" s="14" t="s">
        <v>14</v>
      </c>
      <c r="D2696" s="105">
        <v>12484</v>
      </c>
      <c r="E2696" s="74">
        <v>42104</v>
      </c>
      <c r="F2696" s="144">
        <v>12484</v>
      </c>
      <c r="G2696" s="31">
        <f t="shared" si="42"/>
        <v>0</v>
      </c>
      <c r="H2696" s="39" t="s">
        <v>15</v>
      </c>
      <c r="J2696" s="42"/>
    </row>
    <row r="2697" spans="1:10" s="3" customFormat="1" x14ac:dyDescent="0.25">
      <c r="A2697" s="20">
        <v>42091</v>
      </c>
      <c r="B2697" s="21">
        <v>16207</v>
      </c>
      <c r="C2697" s="14" t="s">
        <v>83</v>
      </c>
      <c r="D2697" s="105">
        <v>6156.8</v>
      </c>
      <c r="E2697" s="65">
        <v>42091</v>
      </c>
      <c r="F2697" s="106">
        <v>6156.8</v>
      </c>
      <c r="G2697" s="31">
        <f t="shared" si="42"/>
        <v>0</v>
      </c>
      <c r="H2697" s="39" t="s">
        <v>59</v>
      </c>
      <c r="J2697" s="42"/>
    </row>
    <row r="2698" spans="1:10" s="3" customFormat="1" x14ac:dyDescent="0.25">
      <c r="A2698" s="20">
        <v>42091</v>
      </c>
      <c r="B2698" s="21">
        <v>16208</v>
      </c>
      <c r="C2698" s="14" t="s">
        <v>82</v>
      </c>
      <c r="D2698" s="105">
        <v>5216.8</v>
      </c>
      <c r="E2698" s="65">
        <v>42091</v>
      </c>
      <c r="F2698" s="106">
        <v>5216.8</v>
      </c>
      <c r="G2698" s="31">
        <f t="shared" si="42"/>
        <v>0</v>
      </c>
      <c r="H2698" s="39" t="s">
        <v>59</v>
      </c>
      <c r="J2698" s="42"/>
    </row>
    <row r="2699" spans="1:10" s="3" customFormat="1" x14ac:dyDescent="0.25">
      <c r="A2699" s="20">
        <v>42091</v>
      </c>
      <c r="B2699" s="21">
        <v>16209</v>
      </c>
      <c r="C2699" s="14" t="s">
        <v>285</v>
      </c>
      <c r="D2699" s="105">
        <v>657.8</v>
      </c>
      <c r="E2699" s="65">
        <v>42093</v>
      </c>
      <c r="F2699" s="106">
        <v>657.8</v>
      </c>
      <c r="G2699" s="31">
        <f t="shared" si="42"/>
        <v>0</v>
      </c>
      <c r="H2699" s="39" t="s">
        <v>15</v>
      </c>
      <c r="J2699" s="42"/>
    </row>
    <row r="2700" spans="1:10" s="3" customFormat="1" x14ac:dyDescent="0.25">
      <c r="A2700" s="20">
        <v>42091</v>
      </c>
      <c r="B2700" s="21">
        <v>16210</v>
      </c>
      <c r="C2700" s="14" t="s">
        <v>292</v>
      </c>
      <c r="D2700" s="105">
        <v>3093.2</v>
      </c>
      <c r="E2700" s="65">
        <v>42091</v>
      </c>
      <c r="F2700" s="106">
        <v>3093.2</v>
      </c>
      <c r="G2700" s="31">
        <f t="shared" si="42"/>
        <v>0</v>
      </c>
      <c r="H2700" s="39" t="s">
        <v>59</v>
      </c>
      <c r="J2700" s="42"/>
    </row>
    <row r="2701" spans="1:10" s="3" customFormat="1" x14ac:dyDescent="0.25">
      <c r="A2701" s="20">
        <v>42091</v>
      </c>
      <c r="B2701" s="21">
        <v>16211</v>
      </c>
      <c r="C2701" s="14" t="s">
        <v>141</v>
      </c>
      <c r="D2701" s="105">
        <v>18720.8</v>
      </c>
      <c r="E2701" s="74" t="s">
        <v>993</v>
      </c>
      <c r="F2701" s="144">
        <f>14000+4720.8</f>
        <v>18720.8</v>
      </c>
      <c r="G2701" s="31">
        <f t="shared" si="42"/>
        <v>0</v>
      </c>
      <c r="H2701" s="39" t="s">
        <v>41</v>
      </c>
      <c r="J2701" s="42"/>
    </row>
    <row r="2702" spans="1:10" s="3" customFormat="1" x14ac:dyDescent="0.25">
      <c r="A2702" s="20">
        <v>42091</v>
      </c>
      <c r="B2702" s="21">
        <v>16212</v>
      </c>
      <c r="C2702" s="14" t="s">
        <v>53</v>
      </c>
      <c r="D2702" s="105">
        <v>2861.6</v>
      </c>
      <c r="E2702" s="65">
        <v>42091</v>
      </c>
      <c r="F2702" s="106">
        <v>2861.6</v>
      </c>
      <c r="G2702" s="31">
        <f t="shared" si="42"/>
        <v>0</v>
      </c>
      <c r="H2702" s="39" t="s">
        <v>59</v>
      </c>
      <c r="J2702" s="42"/>
    </row>
    <row r="2703" spans="1:10" s="3" customFormat="1" x14ac:dyDescent="0.25">
      <c r="A2703" s="20">
        <v>42091</v>
      </c>
      <c r="B2703" s="21">
        <v>16213</v>
      </c>
      <c r="C2703" s="14" t="s">
        <v>26</v>
      </c>
      <c r="D2703" s="105">
        <v>3264</v>
      </c>
      <c r="E2703" s="65">
        <v>42091</v>
      </c>
      <c r="F2703" s="106">
        <v>3264</v>
      </c>
      <c r="G2703" s="31">
        <f t="shared" si="42"/>
        <v>0</v>
      </c>
      <c r="H2703" s="39" t="s">
        <v>59</v>
      </c>
      <c r="J2703" s="42"/>
    </row>
    <row r="2704" spans="1:10" s="3" customFormat="1" x14ac:dyDescent="0.25">
      <c r="A2704" s="20">
        <v>42091</v>
      </c>
      <c r="B2704" s="21">
        <v>16214</v>
      </c>
      <c r="C2704" s="14" t="s">
        <v>57</v>
      </c>
      <c r="D2704" s="105">
        <v>1575</v>
      </c>
      <c r="E2704" s="65">
        <v>42091</v>
      </c>
      <c r="F2704" s="106">
        <v>1575</v>
      </c>
      <c r="G2704" s="31">
        <f t="shared" si="42"/>
        <v>0</v>
      </c>
      <c r="H2704" s="39" t="s">
        <v>59</v>
      </c>
      <c r="J2704" s="42"/>
    </row>
    <row r="2705" spans="1:10" s="3" customFormat="1" x14ac:dyDescent="0.25">
      <c r="A2705" s="20">
        <v>42091</v>
      </c>
      <c r="B2705" s="21">
        <v>16215</v>
      </c>
      <c r="C2705" s="14" t="s">
        <v>214</v>
      </c>
      <c r="D2705" s="105">
        <v>5250</v>
      </c>
      <c r="E2705" s="65">
        <v>42091</v>
      </c>
      <c r="F2705" s="106">
        <v>5250</v>
      </c>
      <c r="G2705" s="31">
        <f t="shared" si="42"/>
        <v>0</v>
      </c>
      <c r="H2705" s="39" t="s">
        <v>59</v>
      </c>
      <c r="J2705" s="42"/>
    </row>
    <row r="2706" spans="1:10" s="3" customFormat="1" x14ac:dyDescent="0.25">
      <c r="A2706" s="20">
        <v>42091</v>
      </c>
      <c r="B2706" s="21">
        <v>16216</v>
      </c>
      <c r="C2706" s="110">
        <v>105</v>
      </c>
      <c r="D2706" s="105">
        <v>2730</v>
      </c>
      <c r="E2706" s="65">
        <v>42091</v>
      </c>
      <c r="F2706" s="106">
        <v>2730</v>
      </c>
      <c r="G2706" s="31">
        <f t="shared" si="42"/>
        <v>0</v>
      </c>
      <c r="H2706" s="39" t="s">
        <v>59</v>
      </c>
      <c r="J2706" s="42"/>
    </row>
    <row r="2707" spans="1:10" s="3" customFormat="1" x14ac:dyDescent="0.25">
      <c r="A2707" s="20">
        <v>42091</v>
      </c>
      <c r="B2707" s="21">
        <v>16217</v>
      </c>
      <c r="C2707" s="14" t="s">
        <v>81</v>
      </c>
      <c r="D2707" s="105">
        <v>2337.1999999999998</v>
      </c>
      <c r="E2707" s="65">
        <v>42091</v>
      </c>
      <c r="F2707" s="106">
        <v>2337.1999999999998</v>
      </c>
      <c r="G2707" s="31">
        <f t="shared" si="42"/>
        <v>0</v>
      </c>
      <c r="H2707" s="39" t="s">
        <v>59</v>
      </c>
      <c r="J2707" s="42"/>
    </row>
    <row r="2708" spans="1:10" s="3" customFormat="1" x14ac:dyDescent="0.25">
      <c r="A2708" s="20">
        <v>42091</v>
      </c>
      <c r="B2708" s="21">
        <v>16218</v>
      </c>
      <c r="C2708" s="14" t="s">
        <v>128</v>
      </c>
      <c r="D2708" s="105">
        <v>7939.2</v>
      </c>
      <c r="E2708" s="65">
        <v>42091</v>
      </c>
      <c r="F2708" s="106">
        <v>7939.2</v>
      </c>
      <c r="G2708" s="31">
        <f t="shared" si="42"/>
        <v>0</v>
      </c>
      <c r="H2708" s="39" t="s">
        <v>17</v>
      </c>
      <c r="J2708" s="42"/>
    </row>
    <row r="2709" spans="1:10" s="3" customFormat="1" x14ac:dyDescent="0.25">
      <c r="A2709" s="20">
        <v>42091</v>
      </c>
      <c r="B2709" s="21">
        <v>16219</v>
      </c>
      <c r="C2709" s="14" t="s">
        <v>110</v>
      </c>
      <c r="D2709" s="105">
        <v>8076.4</v>
      </c>
      <c r="E2709" s="74">
        <v>42104</v>
      </c>
      <c r="F2709" s="144">
        <v>8076.4</v>
      </c>
      <c r="G2709" s="31">
        <f t="shared" si="42"/>
        <v>0</v>
      </c>
      <c r="H2709" s="39" t="s">
        <v>183</v>
      </c>
      <c r="J2709" s="42"/>
    </row>
    <row r="2710" spans="1:10" s="3" customFormat="1" x14ac:dyDescent="0.25">
      <c r="A2710" s="20">
        <v>42091</v>
      </c>
      <c r="B2710" s="21">
        <v>16220</v>
      </c>
      <c r="C2710" s="14" t="s">
        <v>45</v>
      </c>
      <c r="D2710" s="105">
        <v>9010</v>
      </c>
      <c r="E2710" s="74" t="s">
        <v>979</v>
      </c>
      <c r="F2710" s="144">
        <f>8519+491</f>
        <v>9010</v>
      </c>
      <c r="G2710" s="31">
        <f t="shared" si="42"/>
        <v>0</v>
      </c>
      <c r="H2710" s="39" t="s">
        <v>183</v>
      </c>
      <c r="J2710" s="42"/>
    </row>
    <row r="2711" spans="1:10" s="3" customFormat="1" x14ac:dyDescent="0.25">
      <c r="A2711" s="20">
        <v>42091</v>
      </c>
      <c r="B2711" s="21">
        <v>16221</v>
      </c>
      <c r="C2711" s="14" t="s">
        <v>130</v>
      </c>
      <c r="D2711" s="105">
        <v>10383.6</v>
      </c>
      <c r="E2711" s="65">
        <v>42093</v>
      </c>
      <c r="F2711" s="106">
        <v>10383.6</v>
      </c>
      <c r="G2711" s="31">
        <f t="shared" si="42"/>
        <v>0</v>
      </c>
      <c r="H2711" s="39" t="s">
        <v>17</v>
      </c>
      <c r="J2711" s="42"/>
    </row>
    <row r="2712" spans="1:10" s="3" customFormat="1" x14ac:dyDescent="0.25">
      <c r="A2712" s="20">
        <v>42091</v>
      </c>
      <c r="B2712" s="21">
        <v>16222</v>
      </c>
      <c r="C2712" s="14" t="s">
        <v>165</v>
      </c>
      <c r="D2712" s="105">
        <v>2335.1999999999998</v>
      </c>
      <c r="E2712" s="65">
        <v>42091</v>
      </c>
      <c r="F2712" s="106">
        <v>2335.1999999999998</v>
      </c>
      <c r="G2712" s="31">
        <f t="shared" si="42"/>
        <v>0</v>
      </c>
      <c r="H2712" s="39" t="s">
        <v>17</v>
      </c>
      <c r="J2712" s="42"/>
    </row>
    <row r="2713" spans="1:10" s="3" customFormat="1" x14ac:dyDescent="0.25">
      <c r="A2713" s="20">
        <v>42091</v>
      </c>
      <c r="B2713" s="21">
        <v>16223</v>
      </c>
      <c r="C2713" s="14" t="s">
        <v>130</v>
      </c>
      <c r="D2713" s="105">
        <v>6625.9</v>
      </c>
      <c r="E2713" s="65">
        <v>42091</v>
      </c>
      <c r="F2713" s="106">
        <v>6625.9</v>
      </c>
      <c r="G2713" s="31">
        <f t="shared" si="42"/>
        <v>0</v>
      </c>
      <c r="H2713" s="39" t="s">
        <v>17</v>
      </c>
      <c r="J2713" s="42"/>
    </row>
    <row r="2714" spans="1:10" s="3" customFormat="1" x14ac:dyDescent="0.25">
      <c r="A2714" s="20">
        <v>42091</v>
      </c>
      <c r="B2714" s="21">
        <v>16224</v>
      </c>
      <c r="C2714" s="14" t="s">
        <v>165</v>
      </c>
      <c r="D2714" s="105">
        <v>535.20000000000005</v>
      </c>
      <c r="E2714" s="65">
        <v>42091</v>
      </c>
      <c r="F2714" s="106">
        <v>535.20000000000005</v>
      </c>
      <c r="G2714" s="31">
        <f t="shared" si="42"/>
        <v>0</v>
      </c>
      <c r="H2714" s="39" t="s">
        <v>17</v>
      </c>
      <c r="J2714" s="42"/>
    </row>
    <row r="2715" spans="1:10" s="3" customFormat="1" x14ac:dyDescent="0.25">
      <c r="A2715" s="20">
        <v>42091</v>
      </c>
      <c r="B2715" s="21">
        <v>16225</v>
      </c>
      <c r="C2715" s="14" t="s">
        <v>131</v>
      </c>
      <c r="D2715" s="105">
        <v>9367</v>
      </c>
      <c r="E2715" s="65">
        <v>42091</v>
      </c>
      <c r="F2715" s="106">
        <v>9367</v>
      </c>
      <c r="G2715" s="31">
        <f t="shared" si="42"/>
        <v>0</v>
      </c>
      <c r="H2715" s="39" t="s">
        <v>17</v>
      </c>
      <c r="J2715" s="42"/>
    </row>
    <row r="2716" spans="1:10" s="3" customFormat="1" x14ac:dyDescent="0.25">
      <c r="A2716" s="20">
        <v>42091</v>
      </c>
      <c r="B2716" s="21">
        <v>16226</v>
      </c>
      <c r="C2716" s="14" t="s">
        <v>66</v>
      </c>
      <c r="D2716" s="105">
        <v>134.30000000000001</v>
      </c>
      <c r="E2716" s="65">
        <v>42091</v>
      </c>
      <c r="F2716" s="106">
        <v>134.30000000000001</v>
      </c>
      <c r="G2716" s="31">
        <f t="shared" si="42"/>
        <v>0</v>
      </c>
      <c r="H2716" s="39" t="s">
        <v>9</v>
      </c>
      <c r="J2716" s="42"/>
    </row>
    <row r="2717" spans="1:10" s="3" customFormat="1" x14ac:dyDescent="0.25">
      <c r="A2717" s="20">
        <v>42091</v>
      </c>
      <c r="B2717" s="21">
        <v>16227</v>
      </c>
      <c r="C2717" s="14" t="s">
        <v>332</v>
      </c>
      <c r="D2717" s="105">
        <v>2292</v>
      </c>
      <c r="E2717" s="65">
        <v>42091</v>
      </c>
      <c r="F2717" s="106">
        <v>2292</v>
      </c>
      <c r="G2717" s="31">
        <f t="shared" si="42"/>
        <v>0</v>
      </c>
      <c r="H2717" s="39" t="s">
        <v>9</v>
      </c>
      <c r="J2717" s="42"/>
    </row>
    <row r="2718" spans="1:10" s="3" customFormat="1" x14ac:dyDescent="0.25">
      <c r="A2718" s="20">
        <v>42091</v>
      </c>
      <c r="B2718" s="21">
        <v>16228</v>
      </c>
      <c r="C2718" s="14" t="s">
        <v>135</v>
      </c>
      <c r="D2718" s="105">
        <v>17161.2</v>
      </c>
      <c r="E2718" s="65">
        <v>42091</v>
      </c>
      <c r="F2718" s="106">
        <v>17161.2</v>
      </c>
      <c r="G2718" s="31">
        <f t="shared" si="42"/>
        <v>0</v>
      </c>
      <c r="H2718" s="39" t="s">
        <v>9</v>
      </c>
      <c r="J2718" s="42"/>
    </row>
    <row r="2719" spans="1:10" s="3" customFormat="1" x14ac:dyDescent="0.25">
      <c r="A2719" s="20">
        <v>42091</v>
      </c>
      <c r="B2719" s="21">
        <v>16229</v>
      </c>
      <c r="C2719" s="14" t="s">
        <v>93</v>
      </c>
      <c r="D2719" s="105">
        <v>2003.2</v>
      </c>
      <c r="E2719" s="65">
        <v>42091</v>
      </c>
      <c r="F2719" s="106">
        <v>2003.2</v>
      </c>
      <c r="G2719" s="31">
        <f t="shared" si="42"/>
        <v>0</v>
      </c>
      <c r="H2719" s="39" t="s">
        <v>94</v>
      </c>
      <c r="J2719" s="42"/>
    </row>
    <row r="2720" spans="1:10" s="3" customFormat="1" x14ac:dyDescent="0.25">
      <c r="A2720" s="20">
        <v>42091</v>
      </c>
      <c r="B2720" s="21">
        <v>16230</v>
      </c>
      <c r="C2720" s="14" t="s">
        <v>95</v>
      </c>
      <c r="D2720" s="105">
        <v>3337.6</v>
      </c>
      <c r="E2720" s="65">
        <v>42091</v>
      </c>
      <c r="F2720" s="106">
        <v>3337.6</v>
      </c>
      <c r="G2720" s="31">
        <f t="shared" si="42"/>
        <v>0</v>
      </c>
      <c r="H2720" s="39" t="s">
        <v>94</v>
      </c>
      <c r="J2720" s="42"/>
    </row>
    <row r="2721" spans="1:10" s="3" customFormat="1" x14ac:dyDescent="0.25">
      <c r="A2721" s="20">
        <v>42091</v>
      </c>
      <c r="B2721" s="21">
        <v>16231</v>
      </c>
      <c r="C2721" s="14" t="s">
        <v>98</v>
      </c>
      <c r="D2721" s="105">
        <v>1208.5999999999999</v>
      </c>
      <c r="E2721" s="65">
        <v>42091</v>
      </c>
      <c r="F2721" s="106">
        <v>1208.5999999999999</v>
      </c>
      <c r="G2721" s="31">
        <f t="shared" si="42"/>
        <v>0</v>
      </c>
      <c r="H2721" s="39" t="s">
        <v>94</v>
      </c>
      <c r="J2721" s="42"/>
    </row>
    <row r="2722" spans="1:10" s="3" customFormat="1" x14ac:dyDescent="0.25">
      <c r="A2722" s="20">
        <v>42091</v>
      </c>
      <c r="B2722" s="21">
        <v>16232</v>
      </c>
      <c r="C2722" s="14" t="s">
        <v>250</v>
      </c>
      <c r="D2722" s="105">
        <v>615</v>
      </c>
      <c r="E2722" s="65">
        <v>42091</v>
      </c>
      <c r="F2722" s="106">
        <v>615</v>
      </c>
      <c r="G2722" s="31">
        <f t="shared" si="42"/>
        <v>0</v>
      </c>
      <c r="H2722" s="39" t="s">
        <v>94</v>
      </c>
      <c r="J2722" s="42"/>
    </row>
    <row r="2723" spans="1:10" s="3" customFormat="1" x14ac:dyDescent="0.25">
      <c r="A2723" s="20">
        <v>42091</v>
      </c>
      <c r="B2723" s="21">
        <v>16233</v>
      </c>
      <c r="C2723" s="14" t="s">
        <v>106</v>
      </c>
      <c r="D2723" s="105">
        <v>3080</v>
      </c>
      <c r="E2723" s="74">
        <v>42101</v>
      </c>
      <c r="F2723" s="144">
        <v>3080</v>
      </c>
      <c r="G2723" s="31">
        <f t="shared" si="42"/>
        <v>0</v>
      </c>
      <c r="H2723" s="39" t="s">
        <v>94</v>
      </c>
      <c r="J2723" s="42"/>
    </row>
    <row r="2724" spans="1:10" s="3" customFormat="1" x14ac:dyDescent="0.25">
      <c r="A2724" s="20">
        <v>42091</v>
      </c>
      <c r="B2724" s="21">
        <v>16234</v>
      </c>
      <c r="C2724" s="14" t="s">
        <v>49</v>
      </c>
      <c r="D2724" s="105">
        <v>1396</v>
      </c>
      <c r="E2724" s="65">
        <v>42091</v>
      </c>
      <c r="F2724" s="106">
        <v>1396</v>
      </c>
      <c r="G2724" s="31">
        <f t="shared" si="42"/>
        <v>0</v>
      </c>
      <c r="H2724" s="39" t="s">
        <v>94</v>
      </c>
      <c r="J2724" s="42"/>
    </row>
    <row r="2725" spans="1:10" s="3" customFormat="1" x14ac:dyDescent="0.25">
      <c r="A2725" s="20">
        <v>42091</v>
      </c>
      <c r="B2725" s="21">
        <v>16235</v>
      </c>
      <c r="C2725" s="14" t="s">
        <v>50</v>
      </c>
      <c r="D2725" s="105">
        <v>2764.8</v>
      </c>
      <c r="E2725" s="65">
        <v>42091</v>
      </c>
      <c r="F2725" s="106">
        <v>2764.8</v>
      </c>
      <c r="G2725" s="31">
        <f t="shared" si="42"/>
        <v>0</v>
      </c>
      <c r="H2725" s="39" t="s">
        <v>94</v>
      </c>
      <c r="J2725" s="42"/>
    </row>
    <row r="2726" spans="1:10" s="3" customFormat="1" x14ac:dyDescent="0.25">
      <c r="A2726" s="20">
        <v>42091</v>
      </c>
      <c r="B2726" s="21">
        <v>16236</v>
      </c>
      <c r="C2726" s="14" t="s">
        <v>125</v>
      </c>
      <c r="D2726" s="105">
        <v>10154.700000000001</v>
      </c>
      <c r="E2726" s="74">
        <v>42101</v>
      </c>
      <c r="F2726" s="144">
        <v>10154.700000000001</v>
      </c>
      <c r="G2726" s="31">
        <f t="shared" si="42"/>
        <v>0</v>
      </c>
      <c r="H2726" s="39" t="s">
        <v>41</v>
      </c>
      <c r="J2726" s="42"/>
    </row>
    <row r="2727" spans="1:10" s="3" customFormat="1" x14ac:dyDescent="0.25">
      <c r="A2727" s="20">
        <v>42091</v>
      </c>
      <c r="B2727" s="21">
        <v>16237</v>
      </c>
      <c r="C2727" s="14" t="s">
        <v>111</v>
      </c>
      <c r="D2727" s="105">
        <v>238127</v>
      </c>
      <c r="E2727" s="74">
        <v>42095</v>
      </c>
      <c r="F2727" s="144">
        <v>238127</v>
      </c>
      <c r="G2727" s="31">
        <f t="shared" si="42"/>
        <v>0</v>
      </c>
      <c r="H2727" s="39" t="s">
        <v>9</v>
      </c>
      <c r="J2727" s="42"/>
    </row>
    <row r="2728" spans="1:10" s="3" customFormat="1" x14ac:dyDescent="0.25">
      <c r="A2728" s="20">
        <v>42091</v>
      </c>
      <c r="B2728" s="21">
        <v>16238</v>
      </c>
      <c r="C2728" s="14" t="s">
        <v>89</v>
      </c>
      <c r="D2728" s="105">
        <v>2257.1999999999998</v>
      </c>
      <c r="E2728" s="65">
        <v>42091</v>
      </c>
      <c r="F2728" s="106">
        <v>2257.1999999999998</v>
      </c>
      <c r="G2728" s="31">
        <f t="shared" si="42"/>
        <v>0</v>
      </c>
      <c r="H2728" s="39" t="s">
        <v>9</v>
      </c>
      <c r="J2728" s="42"/>
    </row>
    <row r="2729" spans="1:10" s="3" customFormat="1" x14ac:dyDescent="0.25">
      <c r="A2729" s="20">
        <v>42091</v>
      </c>
      <c r="B2729" s="21">
        <v>16239</v>
      </c>
      <c r="C2729" s="14" t="s">
        <v>294</v>
      </c>
      <c r="D2729" s="105">
        <v>559.79999999999995</v>
      </c>
      <c r="E2729" s="65">
        <v>42091</v>
      </c>
      <c r="F2729" s="106">
        <v>559.79999999999995</v>
      </c>
      <c r="G2729" s="31">
        <f t="shared" si="42"/>
        <v>0</v>
      </c>
      <c r="H2729" s="39" t="s">
        <v>9</v>
      </c>
      <c r="J2729" s="42"/>
    </row>
    <row r="2730" spans="1:10" s="3" customFormat="1" x14ac:dyDescent="0.25">
      <c r="A2730" s="20">
        <v>42091</v>
      </c>
      <c r="B2730" s="21">
        <v>16240</v>
      </c>
      <c r="C2730" s="14" t="s">
        <v>100</v>
      </c>
      <c r="D2730" s="105">
        <v>2680.8</v>
      </c>
      <c r="E2730" s="65" t="s">
        <v>935</v>
      </c>
      <c r="F2730" s="106">
        <f>1300+1380.8</f>
        <v>2680.8</v>
      </c>
      <c r="G2730" s="31">
        <f t="shared" si="42"/>
        <v>0</v>
      </c>
      <c r="H2730" s="39" t="s">
        <v>9</v>
      </c>
      <c r="J2730" s="42"/>
    </row>
    <row r="2731" spans="1:10" s="3" customFormat="1" x14ac:dyDescent="0.25">
      <c r="A2731" s="20">
        <v>42091</v>
      </c>
      <c r="B2731" s="21">
        <v>16241</v>
      </c>
      <c r="C2731" s="14" t="s">
        <v>42</v>
      </c>
      <c r="D2731" s="105">
        <v>290.39999999999998</v>
      </c>
      <c r="E2731" s="65">
        <v>42091</v>
      </c>
      <c r="F2731" s="106">
        <v>290.39999999999998</v>
      </c>
      <c r="G2731" s="31">
        <f t="shared" si="42"/>
        <v>0</v>
      </c>
      <c r="H2731" s="39" t="s">
        <v>9</v>
      </c>
      <c r="J2731" s="42"/>
    </row>
    <row r="2732" spans="1:10" s="3" customFormat="1" x14ac:dyDescent="0.25">
      <c r="A2732" s="20">
        <v>42091</v>
      </c>
      <c r="B2732" s="21">
        <v>16242</v>
      </c>
      <c r="C2732" s="150" t="s">
        <v>829</v>
      </c>
      <c r="D2732" s="105">
        <v>9395.2000000000007</v>
      </c>
      <c r="E2732" s="65">
        <v>42091</v>
      </c>
      <c r="F2732" s="106">
        <v>9395.2000000000007</v>
      </c>
      <c r="G2732" s="31">
        <f t="shared" si="42"/>
        <v>0</v>
      </c>
      <c r="H2732" s="39" t="s">
        <v>9</v>
      </c>
      <c r="J2732" s="42"/>
    </row>
    <row r="2733" spans="1:10" s="3" customFormat="1" x14ac:dyDescent="0.25">
      <c r="A2733" s="20">
        <v>42091</v>
      </c>
      <c r="B2733" s="21">
        <v>16243</v>
      </c>
      <c r="C2733" s="14" t="s">
        <v>228</v>
      </c>
      <c r="D2733" s="105">
        <v>2689.2</v>
      </c>
      <c r="E2733" s="65">
        <v>42091</v>
      </c>
      <c r="F2733" s="106">
        <v>2689.2</v>
      </c>
      <c r="G2733" s="31">
        <f t="shared" si="42"/>
        <v>0</v>
      </c>
      <c r="H2733" s="39" t="s">
        <v>9</v>
      </c>
      <c r="J2733" s="42"/>
    </row>
    <row r="2734" spans="1:10" s="3" customFormat="1" x14ac:dyDescent="0.25">
      <c r="A2734" s="20">
        <v>42091</v>
      </c>
      <c r="B2734" s="21">
        <v>16244</v>
      </c>
      <c r="C2734" s="14" t="s">
        <v>143</v>
      </c>
      <c r="D2734" s="105">
        <v>32297.279999999999</v>
      </c>
      <c r="E2734" s="65">
        <v>42091</v>
      </c>
      <c r="F2734" s="106">
        <v>32297.279999999999</v>
      </c>
      <c r="G2734" s="31">
        <f t="shared" si="42"/>
        <v>0</v>
      </c>
      <c r="H2734" s="39" t="s">
        <v>17</v>
      </c>
      <c r="J2734" s="42"/>
    </row>
    <row r="2735" spans="1:10" s="3" customFormat="1" x14ac:dyDescent="0.25">
      <c r="A2735" s="20">
        <v>42091</v>
      </c>
      <c r="B2735" s="21">
        <v>16245</v>
      </c>
      <c r="C2735" s="14" t="s">
        <v>411</v>
      </c>
      <c r="D2735" s="105">
        <v>2295.4</v>
      </c>
      <c r="E2735" s="65">
        <v>42091</v>
      </c>
      <c r="F2735" s="106">
        <v>2295.4</v>
      </c>
      <c r="G2735" s="31">
        <f t="shared" si="42"/>
        <v>0</v>
      </c>
      <c r="H2735" s="39" t="s">
        <v>9</v>
      </c>
      <c r="J2735" s="42"/>
    </row>
    <row r="2736" spans="1:10" s="3" customFormat="1" x14ac:dyDescent="0.25">
      <c r="A2736" s="20">
        <v>42091</v>
      </c>
      <c r="B2736" s="21">
        <v>16246</v>
      </c>
      <c r="C2736" s="14" t="s">
        <v>131</v>
      </c>
      <c r="D2736" s="105">
        <v>7051.4</v>
      </c>
      <c r="E2736" s="65">
        <v>42092</v>
      </c>
      <c r="F2736" s="106">
        <v>7051.4</v>
      </c>
      <c r="G2736" s="31">
        <f t="shared" si="42"/>
        <v>0</v>
      </c>
      <c r="H2736" s="39" t="s">
        <v>9</v>
      </c>
      <c r="J2736" s="42"/>
    </row>
    <row r="2737" spans="1:10" s="3" customFormat="1" x14ac:dyDescent="0.25">
      <c r="A2737" s="20">
        <v>42091</v>
      </c>
      <c r="B2737" s="21">
        <v>16247</v>
      </c>
      <c r="C2737" s="14" t="s">
        <v>192</v>
      </c>
      <c r="D2737" s="105">
        <v>547.20000000000005</v>
      </c>
      <c r="E2737" s="74">
        <v>42102</v>
      </c>
      <c r="F2737" s="144">
        <v>547.20000000000005</v>
      </c>
      <c r="G2737" s="31">
        <f t="shared" si="42"/>
        <v>0</v>
      </c>
      <c r="H2737" s="39" t="s">
        <v>9</v>
      </c>
      <c r="J2737" s="42"/>
    </row>
    <row r="2738" spans="1:10" s="3" customFormat="1" x14ac:dyDescent="0.25">
      <c r="A2738" s="20">
        <v>42091</v>
      </c>
      <c r="B2738" s="21">
        <v>16248</v>
      </c>
      <c r="C2738" s="14" t="s">
        <v>20</v>
      </c>
      <c r="D2738" s="105">
        <v>1425.6</v>
      </c>
      <c r="E2738" s="65">
        <v>42091</v>
      </c>
      <c r="F2738" s="106">
        <v>1425.6</v>
      </c>
      <c r="G2738" s="31">
        <f t="shared" si="42"/>
        <v>0</v>
      </c>
      <c r="H2738" s="39" t="s">
        <v>41</v>
      </c>
      <c r="J2738" s="42"/>
    </row>
    <row r="2739" spans="1:10" s="3" customFormat="1" x14ac:dyDescent="0.25">
      <c r="A2739" s="20">
        <v>42091</v>
      </c>
      <c r="B2739" s="21">
        <v>16249</v>
      </c>
      <c r="C2739" s="14" t="s">
        <v>834</v>
      </c>
      <c r="D2739" s="105">
        <v>13007</v>
      </c>
      <c r="E2739" s="65">
        <v>42091</v>
      </c>
      <c r="F2739" s="106">
        <v>13007</v>
      </c>
      <c r="G2739" s="31">
        <f t="shared" si="42"/>
        <v>0</v>
      </c>
      <c r="H2739" s="39" t="s">
        <v>9</v>
      </c>
      <c r="J2739" s="42"/>
    </row>
    <row r="2740" spans="1:10" s="3" customFormat="1" x14ac:dyDescent="0.25">
      <c r="A2740" s="20">
        <v>42091</v>
      </c>
      <c r="B2740" s="21">
        <v>16250</v>
      </c>
      <c r="C2740" s="14" t="s">
        <v>336</v>
      </c>
      <c r="D2740" s="105">
        <v>2774.2</v>
      </c>
      <c r="E2740" s="65">
        <v>42091</v>
      </c>
      <c r="F2740" s="106">
        <v>2774.2</v>
      </c>
      <c r="G2740" s="31">
        <f t="shared" si="42"/>
        <v>0</v>
      </c>
      <c r="H2740" s="39" t="s">
        <v>9</v>
      </c>
      <c r="J2740" s="42"/>
    </row>
    <row r="2741" spans="1:10" s="3" customFormat="1" x14ac:dyDescent="0.25">
      <c r="A2741" s="20">
        <v>42091</v>
      </c>
      <c r="B2741" s="21">
        <v>16251</v>
      </c>
      <c r="C2741" s="14" t="s">
        <v>141</v>
      </c>
      <c r="D2741" s="105">
        <v>105</v>
      </c>
      <c r="E2741" s="65">
        <v>42091</v>
      </c>
      <c r="F2741" s="106">
        <v>105</v>
      </c>
      <c r="G2741" s="31">
        <f t="shared" si="42"/>
        <v>0</v>
      </c>
      <c r="H2741" s="39" t="s">
        <v>9</v>
      </c>
      <c r="J2741" s="42"/>
    </row>
    <row r="2742" spans="1:10" s="3" customFormat="1" x14ac:dyDescent="0.25">
      <c r="A2742" s="20">
        <v>42091</v>
      </c>
      <c r="B2742" s="21">
        <v>16252</v>
      </c>
      <c r="C2742" s="14" t="s">
        <v>484</v>
      </c>
      <c r="D2742" s="105">
        <v>20166.3</v>
      </c>
      <c r="E2742" s="74">
        <v>42095</v>
      </c>
      <c r="F2742" s="144">
        <v>20166.3</v>
      </c>
      <c r="G2742" s="31">
        <f t="shared" si="42"/>
        <v>0</v>
      </c>
      <c r="H2742" s="39" t="s">
        <v>9</v>
      </c>
      <c r="J2742" s="42"/>
    </row>
    <row r="2743" spans="1:10" s="3" customFormat="1" x14ac:dyDescent="0.25">
      <c r="A2743" s="20">
        <v>42091</v>
      </c>
      <c r="B2743" s="21">
        <v>16253</v>
      </c>
      <c r="C2743" s="14" t="s">
        <v>902</v>
      </c>
      <c r="D2743" s="105">
        <v>5103.5</v>
      </c>
      <c r="E2743" s="65">
        <v>42091</v>
      </c>
      <c r="F2743" s="106">
        <v>5103.5</v>
      </c>
      <c r="G2743" s="31">
        <f t="shared" si="42"/>
        <v>0</v>
      </c>
      <c r="H2743" s="39" t="s">
        <v>41</v>
      </c>
      <c r="J2743" s="42"/>
    </row>
    <row r="2744" spans="1:10" s="3" customFormat="1" x14ac:dyDescent="0.25">
      <c r="A2744" s="20">
        <v>42091</v>
      </c>
      <c r="B2744" s="21">
        <v>16254</v>
      </c>
      <c r="C2744" s="14" t="s">
        <v>47</v>
      </c>
      <c r="D2744" s="105">
        <v>21272</v>
      </c>
      <c r="E2744" s="65">
        <v>42092</v>
      </c>
      <c r="F2744" s="106">
        <v>21272</v>
      </c>
      <c r="G2744" s="31">
        <f t="shared" si="42"/>
        <v>0</v>
      </c>
      <c r="H2744" s="39" t="s">
        <v>773</v>
      </c>
      <c r="J2744" s="42"/>
    </row>
    <row r="2745" spans="1:10" s="3" customFormat="1" x14ac:dyDescent="0.25">
      <c r="A2745" s="20">
        <v>42091</v>
      </c>
      <c r="B2745" s="21">
        <v>16255</v>
      </c>
      <c r="C2745" s="14" t="s">
        <v>472</v>
      </c>
      <c r="D2745" s="105">
        <v>16104</v>
      </c>
      <c r="E2745" s="74">
        <v>42095</v>
      </c>
      <c r="F2745" s="144">
        <v>16104</v>
      </c>
      <c r="G2745" s="31">
        <f t="shared" si="42"/>
        <v>0</v>
      </c>
      <c r="H2745" s="39" t="s">
        <v>149</v>
      </c>
      <c r="J2745" s="42"/>
    </row>
    <row r="2746" spans="1:10" s="3" customFormat="1" x14ac:dyDescent="0.25">
      <c r="A2746" s="20">
        <v>42091</v>
      </c>
      <c r="B2746" s="21">
        <v>16256</v>
      </c>
      <c r="C2746" s="14" t="s">
        <v>406</v>
      </c>
      <c r="D2746" s="105">
        <v>7172.2</v>
      </c>
      <c r="E2746" s="65">
        <v>42092</v>
      </c>
      <c r="F2746" s="106">
        <v>7172.2</v>
      </c>
      <c r="G2746" s="31">
        <f t="shared" si="42"/>
        <v>0</v>
      </c>
      <c r="H2746" s="39" t="s">
        <v>773</v>
      </c>
      <c r="J2746" s="42"/>
    </row>
    <row r="2747" spans="1:10" s="3" customFormat="1" x14ac:dyDescent="0.25">
      <c r="A2747" s="20">
        <v>42091</v>
      </c>
      <c r="B2747" s="21">
        <v>16257</v>
      </c>
      <c r="C2747" s="14" t="s">
        <v>591</v>
      </c>
      <c r="D2747" s="105">
        <v>11675</v>
      </c>
      <c r="E2747" s="65">
        <v>42092</v>
      </c>
      <c r="F2747" s="106">
        <v>11675</v>
      </c>
      <c r="G2747" s="31">
        <f t="shared" si="42"/>
        <v>0</v>
      </c>
      <c r="H2747" s="39" t="s">
        <v>773</v>
      </c>
      <c r="J2747" s="42"/>
    </row>
    <row r="2748" spans="1:10" s="3" customFormat="1" x14ac:dyDescent="0.25">
      <c r="A2748" s="20">
        <v>42091</v>
      </c>
      <c r="B2748" s="21">
        <v>16258</v>
      </c>
      <c r="C2748" s="14" t="s">
        <v>256</v>
      </c>
      <c r="D2748" s="105">
        <v>8234.6</v>
      </c>
      <c r="E2748" s="65">
        <v>42092</v>
      </c>
      <c r="F2748" s="106">
        <v>8234.6</v>
      </c>
      <c r="G2748" s="31">
        <f t="shared" si="42"/>
        <v>0</v>
      </c>
      <c r="H2748" s="39" t="s">
        <v>773</v>
      </c>
      <c r="J2748" s="42"/>
    </row>
    <row r="2749" spans="1:10" s="3" customFormat="1" x14ac:dyDescent="0.25">
      <c r="A2749" s="20">
        <v>42091</v>
      </c>
      <c r="B2749" s="21">
        <v>16259</v>
      </c>
      <c r="C2749" s="14" t="s">
        <v>55</v>
      </c>
      <c r="D2749" s="105">
        <v>21387.7</v>
      </c>
      <c r="E2749" s="65">
        <v>42092</v>
      </c>
      <c r="F2749" s="106">
        <v>21387.7</v>
      </c>
      <c r="G2749" s="31">
        <f t="shared" si="42"/>
        <v>0</v>
      </c>
      <c r="H2749" s="39" t="s">
        <v>773</v>
      </c>
      <c r="J2749" s="42"/>
    </row>
    <row r="2750" spans="1:10" s="3" customFormat="1" x14ac:dyDescent="0.25">
      <c r="A2750" s="20">
        <v>42091</v>
      </c>
      <c r="B2750" s="21">
        <v>16260</v>
      </c>
      <c r="C2750" s="14" t="s">
        <v>102</v>
      </c>
      <c r="D2750" s="105">
        <v>2559.4</v>
      </c>
      <c r="E2750" s="65">
        <v>42091</v>
      </c>
      <c r="F2750" s="106">
        <v>2559.4</v>
      </c>
      <c r="G2750" s="31">
        <f t="shared" si="42"/>
        <v>0</v>
      </c>
      <c r="H2750" s="39" t="s">
        <v>9</v>
      </c>
      <c r="J2750" s="42"/>
    </row>
    <row r="2751" spans="1:10" s="3" customFormat="1" x14ac:dyDescent="0.25">
      <c r="A2751" s="20">
        <v>42091</v>
      </c>
      <c r="B2751" s="21">
        <v>16261</v>
      </c>
      <c r="C2751" s="14" t="s">
        <v>416</v>
      </c>
      <c r="D2751" s="105">
        <v>140</v>
      </c>
      <c r="E2751" s="65">
        <v>42091</v>
      </c>
      <c r="F2751" s="106">
        <v>140</v>
      </c>
      <c r="G2751" s="31">
        <f t="shared" si="42"/>
        <v>0</v>
      </c>
      <c r="H2751" s="39" t="s">
        <v>9</v>
      </c>
      <c r="J2751" s="42"/>
    </row>
    <row r="2752" spans="1:10" s="3" customFormat="1" x14ac:dyDescent="0.25">
      <c r="A2752" s="20">
        <v>42091</v>
      </c>
      <c r="B2752" s="21">
        <v>16262</v>
      </c>
      <c r="C2752" s="26" t="s">
        <v>218</v>
      </c>
      <c r="D2752" s="108">
        <v>0</v>
      </c>
      <c r="E2752" s="65"/>
      <c r="F2752" s="106"/>
      <c r="G2752" s="31">
        <f t="shared" si="42"/>
        <v>0</v>
      </c>
      <c r="H2752" s="39" t="s">
        <v>13</v>
      </c>
      <c r="J2752" s="42"/>
    </row>
    <row r="2753" spans="1:10" s="3" customFormat="1" x14ac:dyDescent="0.25">
      <c r="A2753" s="20">
        <v>42091</v>
      </c>
      <c r="B2753" s="21">
        <v>16263</v>
      </c>
      <c r="C2753" s="14" t="s">
        <v>136</v>
      </c>
      <c r="D2753" s="105">
        <v>540</v>
      </c>
      <c r="E2753" s="65">
        <v>42091</v>
      </c>
      <c r="F2753" s="106">
        <v>540</v>
      </c>
      <c r="G2753" s="31">
        <f t="shared" si="42"/>
        <v>0</v>
      </c>
      <c r="H2753" s="39" t="s">
        <v>9</v>
      </c>
      <c r="J2753" s="42"/>
    </row>
    <row r="2754" spans="1:10" s="3" customFormat="1" x14ac:dyDescent="0.25">
      <c r="A2754" s="20">
        <v>42091</v>
      </c>
      <c r="B2754" s="21">
        <v>16264</v>
      </c>
      <c r="C2754" s="14" t="s">
        <v>14</v>
      </c>
      <c r="D2754" s="105">
        <v>159280.95999999999</v>
      </c>
      <c r="E2754" s="74">
        <v>42104</v>
      </c>
      <c r="F2754" s="144">
        <v>159280.95999999999</v>
      </c>
      <c r="G2754" s="31">
        <f t="shared" si="42"/>
        <v>0</v>
      </c>
      <c r="H2754" s="39" t="s">
        <v>9</v>
      </c>
      <c r="J2754" s="42"/>
    </row>
    <row r="2755" spans="1:10" s="3" customFormat="1" x14ac:dyDescent="0.25">
      <c r="A2755" s="20">
        <v>42091</v>
      </c>
      <c r="B2755" s="21">
        <v>16265</v>
      </c>
      <c r="C2755" s="14" t="s">
        <v>151</v>
      </c>
      <c r="D2755" s="105">
        <v>2031.2</v>
      </c>
      <c r="E2755" s="65">
        <v>42091</v>
      </c>
      <c r="F2755" s="106">
        <v>2031.2</v>
      </c>
      <c r="G2755" s="31">
        <f t="shared" ref="G2755:G2818" si="43">D2755-F2755</f>
        <v>0</v>
      </c>
      <c r="H2755" s="39" t="s">
        <v>9</v>
      </c>
      <c r="J2755" s="42"/>
    </row>
    <row r="2756" spans="1:10" s="3" customFormat="1" x14ac:dyDescent="0.25">
      <c r="A2756" s="20">
        <v>42091</v>
      </c>
      <c r="B2756" s="21">
        <v>16266</v>
      </c>
      <c r="C2756" s="14" t="s">
        <v>24</v>
      </c>
      <c r="D2756" s="105">
        <v>59822.6</v>
      </c>
      <c r="E2756" s="74" t="s">
        <v>999</v>
      </c>
      <c r="F2756" s="144">
        <f>14195.28+45627.32</f>
        <v>59822.6</v>
      </c>
      <c r="G2756" s="31">
        <f t="shared" si="43"/>
        <v>0</v>
      </c>
      <c r="H2756" s="39" t="s">
        <v>9</v>
      </c>
      <c r="J2756" s="42"/>
    </row>
    <row r="2757" spans="1:10" s="3" customFormat="1" x14ac:dyDescent="0.25">
      <c r="A2757" s="20">
        <v>42091</v>
      </c>
      <c r="B2757" s="21">
        <v>16267</v>
      </c>
      <c r="C2757" s="14" t="s">
        <v>267</v>
      </c>
      <c r="D2757" s="105">
        <v>3333.88</v>
      </c>
      <c r="E2757" s="65">
        <v>42091</v>
      </c>
      <c r="F2757" s="106">
        <v>3333.88</v>
      </c>
      <c r="G2757" s="31">
        <f t="shared" si="43"/>
        <v>0</v>
      </c>
      <c r="H2757" s="39" t="s">
        <v>41</v>
      </c>
      <c r="J2757" s="42"/>
    </row>
    <row r="2758" spans="1:10" s="3" customFormat="1" x14ac:dyDescent="0.25">
      <c r="A2758" s="20">
        <v>42091</v>
      </c>
      <c r="B2758" s="21">
        <v>16268</v>
      </c>
      <c r="C2758" s="14" t="s">
        <v>367</v>
      </c>
      <c r="D2758" s="105">
        <v>96675.6</v>
      </c>
      <c r="E2758" s="74">
        <v>42109</v>
      </c>
      <c r="F2758" s="144">
        <v>96675.6</v>
      </c>
      <c r="G2758" s="31">
        <f t="shared" si="43"/>
        <v>0</v>
      </c>
      <c r="H2758" s="39" t="s">
        <v>149</v>
      </c>
      <c r="J2758" s="42"/>
    </row>
    <row r="2759" spans="1:10" s="3" customFormat="1" x14ac:dyDescent="0.25">
      <c r="A2759" s="20">
        <v>42091</v>
      </c>
      <c r="B2759" s="21">
        <v>16269</v>
      </c>
      <c r="C2759" s="14" t="s">
        <v>35</v>
      </c>
      <c r="D2759" s="105">
        <v>21668.3</v>
      </c>
      <c r="E2759" s="65">
        <v>42093</v>
      </c>
      <c r="F2759" s="106">
        <v>21668.3</v>
      </c>
      <c r="G2759" s="31">
        <f t="shared" si="43"/>
        <v>0</v>
      </c>
      <c r="H2759" s="39" t="s">
        <v>17</v>
      </c>
      <c r="J2759" s="42"/>
    </row>
    <row r="2760" spans="1:10" s="3" customFormat="1" x14ac:dyDescent="0.25">
      <c r="A2760" s="20">
        <v>42091</v>
      </c>
      <c r="B2760" s="21">
        <v>16270</v>
      </c>
      <c r="C2760" s="14" t="s">
        <v>136</v>
      </c>
      <c r="D2760" s="105">
        <v>16179.2</v>
      </c>
      <c r="E2760" s="65">
        <v>42092</v>
      </c>
      <c r="F2760" s="106">
        <v>16179.2</v>
      </c>
      <c r="G2760" s="31">
        <f t="shared" si="43"/>
        <v>0</v>
      </c>
      <c r="H2760" s="39" t="s">
        <v>9</v>
      </c>
      <c r="J2760" s="42"/>
    </row>
    <row r="2761" spans="1:10" s="3" customFormat="1" x14ac:dyDescent="0.25">
      <c r="A2761" s="20">
        <v>42091</v>
      </c>
      <c r="B2761" s="21">
        <v>16271</v>
      </c>
      <c r="C2761" s="14" t="s">
        <v>102</v>
      </c>
      <c r="D2761" s="105">
        <v>2967.8</v>
      </c>
      <c r="E2761" s="65">
        <v>42091</v>
      </c>
      <c r="F2761" s="106">
        <v>2967.8</v>
      </c>
      <c r="G2761" s="31">
        <f t="shared" si="43"/>
        <v>0</v>
      </c>
      <c r="H2761" s="39" t="s">
        <v>9</v>
      </c>
      <c r="J2761" s="42"/>
    </row>
    <row r="2762" spans="1:10" s="3" customFormat="1" x14ac:dyDescent="0.25">
      <c r="A2762" s="20">
        <v>42091</v>
      </c>
      <c r="B2762" s="21">
        <v>16272</v>
      </c>
      <c r="C2762" s="14" t="s">
        <v>24</v>
      </c>
      <c r="D2762" s="105">
        <v>211928.24</v>
      </c>
      <c r="E2762" s="74">
        <v>42115</v>
      </c>
      <c r="F2762" s="144">
        <v>211928.24</v>
      </c>
      <c r="G2762" s="31">
        <f t="shared" si="43"/>
        <v>0</v>
      </c>
      <c r="H2762" s="39" t="s">
        <v>46</v>
      </c>
      <c r="J2762" s="42"/>
    </row>
    <row r="2763" spans="1:10" s="3" customFormat="1" x14ac:dyDescent="0.25">
      <c r="A2763" s="20">
        <v>42091</v>
      </c>
      <c r="B2763" s="21">
        <v>16273</v>
      </c>
      <c r="C2763" s="14" t="s">
        <v>161</v>
      </c>
      <c r="D2763" s="105">
        <v>22832.400000000001</v>
      </c>
      <c r="E2763" s="65">
        <v>42091</v>
      </c>
      <c r="F2763" s="106">
        <v>22832.400000000001</v>
      </c>
      <c r="G2763" s="31">
        <f t="shared" si="43"/>
        <v>0</v>
      </c>
      <c r="H2763" s="39" t="s">
        <v>9</v>
      </c>
      <c r="J2763" s="42"/>
    </row>
    <row r="2764" spans="1:10" s="3" customFormat="1" x14ac:dyDescent="0.25">
      <c r="A2764" s="20">
        <v>42092</v>
      </c>
      <c r="B2764" s="21">
        <v>16274</v>
      </c>
      <c r="C2764" s="14" t="s">
        <v>18</v>
      </c>
      <c r="D2764" s="105">
        <v>2993.8</v>
      </c>
      <c r="E2764" s="65">
        <v>42092</v>
      </c>
      <c r="F2764" s="106">
        <v>2993.8</v>
      </c>
      <c r="G2764" s="31">
        <f t="shared" si="43"/>
        <v>0</v>
      </c>
      <c r="H2764" s="39" t="s">
        <v>9</v>
      </c>
      <c r="J2764" s="42"/>
    </row>
    <row r="2765" spans="1:10" s="3" customFormat="1" x14ac:dyDescent="0.25">
      <c r="A2765" s="20">
        <v>42092</v>
      </c>
      <c r="B2765" s="21">
        <v>16275</v>
      </c>
      <c r="C2765" s="14" t="s">
        <v>21</v>
      </c>
      <c r="D2765" s="105">
        <v>12228.05</v>
      </c>
      <c r="E2765" s="65">
        <v>42092</v>
      </c>
      <c r="F2765" s="106">
        <v>12228.05</v>
      </c>
      <c r="G2765" s="31">
        <f t="shared" si="43"/>
        <v>0</v>
      </c>
      <c r="H2765" s="39" t="s">
        <v>9</v>
      </c>
      <c r="J2765" s="42"/>
    </row>
    <row r="2766" spans="1:10" s="3" customFormat="1" x14ac:dyDescent="0.25">
      <c r="A2766" s="20">
        <v>42092</v>
      </c>
      <c r="B2766" s="21">
        <v>16276</v>
      </c>
      <c r="C2766" s="14" t="s">
        <v>16</v>
      </c>
      <c r="D2766" s="105">
        <v>6468</v>
      </c>
      <c r="E2766" s="65">
        <v>42092</v>
      </c>
      <c r="F2766" s="106">
        <v>6468</v>
      </c>
      <c r="G2766" s="31">
        <f t="shared" si="43"/>
        <v>0</v>
      </c>
      <c r="H2766" s="39" t="s">
        <v>17</v>
      </c>
      <c r="J2766" s="42"/>
    </row>
    <row r="2767" spans="1:10" s="3" customFormat="1" x14ac:dyDescent="0.25">
      <c r="A2767" s="20">
        <v>42092</v>
      </c>
      <c r="B2767" s="21">
        <v>16277</v>
      </c>
      <c r="C2767" s="14" t="s">
        <v>720</v>
      </c>
      <c r="D2767" s="105">
        <v>7546.8</v>
      </c>
      <c r="E2767" s="65">
        <v>42092</v>
      </c>
      <c r="F2767" s="106">
        <v>7546.8</v>
      </c>
      <c r="G2767" s="31">
        <f t="shared" si="43"/>
        <v>0</v>
      </c>
      <c r="H2767" s="39" t="s">
        <v>9</v>
      </c>
      <c r="J2767" s="42"/>
    </row>
    <row r="2768" spans="1:10" s="3" customFormat="1" x14ac:dyDescent="0.25">
      <c r="A2768" s="20">
        <v>42092</v>
      </c>
      <c r="B2768" s="21">
        <v>16278</v>
      </c>
      <c r="C2768" s="14" t="s">
        <v>42</v>
      </c>
      <c r="D2768" s="105">
        <v>932.4</v>
      </c>
      <c r="E2768" s="65">
        <v>42092</v>
      </c>
      <c r="F2768" s="106">
        <v>932.4</v>
      </c>
      <c r="G2768" s="31">
        <f t="shared" si="43"/>
        <v>0</v>
      </c>
      <c r="H2768" s="39" t="s">
        <v>9</v>
      </c>
      <c r="J2768" s="42"/>
    </row>
    <row r="2769" spans="1:10" s="3" customFormat="1" x14ac:dyDescent="0.25">
      <c r="A2769" s="20">
        <v>42092</v>
      </c>
      <c r="B2769" s="21">
        <v>16279</v>
      </c>
      <c r="C2769" s="14" t="s">
        <v>114</v>
      </c>
      <c r="D2769" s="105">
        <v>2944.8</v>
      </c>
      <c r="E2769" s="65">
        <v>42092</v>
      </c>
      <c r="F2769" s="106">
        <v>2944.8</v>
      </c>
      <c r="G2769" s="31">
        <f t="shared" si="43"/>
        <v>0</v>
      </c>
      <c r="H2769" s="39" t="s">
        <v>9</v>
      </c>
      <c r="J2769" s="42"/>
    </row>
    <row r="2770" spans="1:10" s="3" customFormat="1" x14ac:dyDescent="0.25">
      <c r="A2770" s="20">
        <v>42092</v>
      </c>
      <c r="B2770" s="21">
        <v>16280</v>
      </c>
      <c r="C2770" s="14" t="s">
        <v>158</v>
      </c>
      <c r="D2770" s="105">
        <v>8831.4</v>
      </c>
      <c r="E2770" s="65">
        <v>42092</v>
      </c>
      <c r="F2770" s="106">
        <v>8831.4</v>
      </c>
      <c r="G2770" s="31">
        <f t="shared" si="43"/>
        <v>0</v>
      </c>
      <c r="H2770" s="39" t="s">
        <v>9</v>
      </c>
      <c r="J2770" s="42"/>
    </row>
    <row r="2771" spans="1:10" s="3" customFormat="1" x14ac:dyDescent="0.25">
      <c r="A2771" s="20">
        <v>42092</v>
      </c>
      <c r="B2771" s="21">
        <v>16281</v>
      </c>
      <c r="C2771" s="14" t="s">
        <v>20</v>
      </c>
      <c r="D2771" s="105">
        <v>14352.6</v>
      </c>
      <c r="E2771" s="65">
        <v>42092</v>
      </c>
      <c r="F2771" s="106">
        <v>14352.6</v>
      </c>
      <c r="G2771" s="31">
        <f t="shared" si="43"/>
        <v>0</v>
      </c>
      <c r="H2771" s="39" t="s">
        <v>62</v>
      </c>
      <c r="J2771" s="42"/>
    </row>
    <row r="2772" spans="1:10" s="3" customFormat="1" x14ac:dyDescent="0.25">
      <c r="A2772" s="20">
        <v>42092</v>
      </c>
      <c r="B2772" s="21">
        <v>16282</v>
      </c>
      <c r="C2772" s="14" t="s">
        <v>215</v>
      </c>
      <c r="D2772" s="105">
        <v>44966</v>
      </c>
      <c r="E2772" s="65">
        <v>42092</v>
      </c>
      <c r="F2772" s="106">
        <v>44966</v>
      </c>
      <c r="G2772" s="31">
        <f t="shared" si="43"/>
        <v>0</v>
      </c>
      <c r="H2772" s="39" t="s">
        <v>9</v>
      </c>
      <c r="J2772" s="42"/>
    </row>
    <row r="2773" spans="1:10" s="3" customFormat="1" x14ac:dyDescent="0.25">
      <c r="A2773" s="20">
        <v>42092</v>
      </c>
      <c r="B2773" s="21">
        <v>16283</v>
      </c>
      <c r="C2773" s="14" t="s">
        <v>148</v>
      </c>
      <c r="D2773" s="105">
        <v>8027.4</v>
      </c>
      <c r="E2773" s="65">
        <v>42092</v>
      </c>
      <c r="F2773" s="106">
        <v>8027.4</v>
      </c>
      <c r="G2773" s="31">
        <f t="shared" si="43"/>
        <v>0</v>
      </c>
      <c r="H2773" s="39" t="s">
        <v>9</v>
      </c>
      <c r="J2773" s="42"/>
    </row>
    <row r="2774" spans="1:10" s="3" customFormat="1" x14ac:dyDescent="0.25">
      <c r="A2774" s="20">
        <v>42092</v>
      </c>
      <c r="B2774" s="21">
        <v>16284</v>
      </c>
      <c r="C2774" s="14" t="s">
        <v>854</v>
      </c>
      <c r="D2774" s="105">
        <v>4699.75</v>
      </c>
      <c r="E2774" s="65">
        <v>42092</v>
      </c>
      <c r="F2774" s="106">
        <v>4699.75</v>
      </c>
      <c r="G2774" s="31">
        <f t="shared" si="43"/>
        <v>0</v>
      </c>
      <c r="H2774" s="39" t="s">
        <v>9</v>
      </c>
      <c r="J2774" s="42"/>
    </row>
    <row r="2775" spans="1:10" s="3" customFormat="1" x14ac:dyDescent="0.25">
      <c r="A2775" s="20">
        <v>42092</v>
      </c>
      <c r="B2775" s="21">
        <v>16285</v>
      </c>
      <c r="C2775" s="14" t="s">
        <v>86</v>
      </c>
      <c r="D2775" s="105">
        <v>318.5</v>
      </c>
      <c r="E2775" s="65">
        <v>42092</v>
      </c>
      <c r="F2775" s="106">
        <v>318.5</v>
      </c>
      <c r="G2775" s="31">
        <f t="shared" si="43"/>
        <v>0</v>
      </c>
      <c r="H2775" s="39" t="s">
        <v>9</v>
      </c>
      <c r="J2775" s="42"/>
    </row>
    <row r="2776" spans="1:10" s="3" customFormat="1" x14ac:dyDescent="0.25">
      <c r="A2776" s="20">
        <v>42092</v>
      </c>
      <c r="B2776" s="21">
        <v>16286</v>
      </c>
      <c r="C2776" s="14" t="s">
        <v>86</v>
      </c>
      <c r="D2776" s="105">
        <v>108.8</v>
      </c>
      <c r="E2776" s="65">
        <v>42092</v>
      </c>
      <c r="F2776" s="106">
        <v>108.8</v>
      </c>
      <c r="G2776" s="31">
        <f t="shared" si="43"/>
        <v>0</v>
      </c>
      <c r="H2776" s="39" t="s">
        <v>9</v>
      </c>
      <c r="J2776" s="42"/>
    </row>
    <row r="2777" spans="1:10" s="3" customFormat="1" x14ac:dyDescent="0.25">
      <c r="A2777" s="20">
        <v>42092</v>
      </c>
      <c r="B2777" s="21">
        <v>16287</v>
      </c>
      <c r="C2777" s="14" t="s">
        <v>30</v>
      </c>
      <c r="D2777" s="105">
        <v>4104.8</v>
      </c>
      <c r="E2777" s="65">
        <v>42092</v>
      </c>
      <c r="F2777" s="106">
        <v>4104.8</v>
      </c>
      <c r="G2777" s="31">
        <f t="shared" si="43"/>
        <v>0</v>
      </c>
      <c r="H2777" s="39" t="s">
        <v>9</v>
      </c>
      <c r="J2777" s="42"/>
    </row>
    <row r="2778" spans="1:10" s="3" customFormat="1" x14ac:dyDescent="0.25">
      <c r="A2778" s="20">
        <v>42092</v>
      </c>
      <c r="B2778" s="21">
        <v>16288</v>
      </c>
      <c r="C2778" s="14" t="s">
        <v>267</v>
      </c>
      <c r="D2778" s="105">
        <v>1513.2</v>
      </c>
      <c r="E2778" s="65">
        <v>42092</v>
      </c>
      <c r="F2778" s="106">
        <v>1513.2</v>
      </c>
      <c r="G2778" s="31">
        <f t="shared" si="43"/>
        <v>0</v>
      </c>
      <c r="H2778" s="39" t="s">
        <v>9</v>
      </c>
      <c r="J2778" s="42"/>
    </row>
    <row r="2779" spans="1:10" s="3" customFormat="1" x14ac:dyDescent="0.25">
      <c r="A2779" s="20">
        <v>42092</v>
      </c>
      <c r="B2779" s="21">
        <v>16289</v>
      </c>
      <c r="C2779" s="26" t="s">
        <v>218</v>
      </c>
      <c r="D2779" s="108">
        <v>0</v>
      </c>
      <c r="E2779" s="65"/>
      <c r="F2779" s="106"/>
      <c r="G2779" s="31">
        <f t="shared" si="43"/>
        <v>0</v>
      </c>
      <c r="H2779" s="39" t="s">
        <v>13</v>
      </c>
      <c r="J2779" s="42"/>
    </row>
    <row r="2780" spans="1:10" s="3" customFormat="1" x14ac:dyDescent="0.25">
      <c r="A2780" s="20">
        <v>42092</v>
      </c>
      <c r="B2780" s="21">
        <v>16290</v>
      </c>
      <c r="C2780" s="14" t="s">
        <v>229</v>
      </c>
      <c r="D2780" s="105">
        <v>4419.66</v>
      </c>
      <c r="E2780" s="65">
        <v>42092</v>
      </c>
      <c r="F2780" s="106">
        <v>4419.66</v>
      </c>
      <c r="G2780" s="31">
        <f t="shared" si="43"/>
        <v>0</v>
      </c>
      <c r="H2780" s="39" t="s">
        <v>9</v>
      </c>
      <c r="J2780" s="42"/>
    </row>
    <row r="2781" spans="1:10" s="3" customFormat="1" x14ac:dyDescent="0.25">
      <c r="A2781" s="20">
        <v>42092</v>
      </c>
      <c r="B2781" s="21">
        <v>16291</v>
      </c>
      <c r="C2781" s="14" t="s">
        <v>375</v>
      </c>
      <c r="D2781" s="105">
        <v>4362.3999999999996</v>
      </c>
      <c r="E2781" s="65">
        <v>42092</v>
      </c>
      <c r="F2781" s="106">
        <v>4362.3999999999996</v>
      </c>
      <c r="G2781" s="31">
        <f t="shared" si="43"/>
        <v>0</v>
      </c>
      <c r="H2781" s="39" t="s">
        <v>9</v>
      </c>
      <c r="J2781" s="42"/>
    </row>
    <row r="2782" spans="1:10" s="3" customFormat="1" x14ac:dyDescent="0.25">
      <c r="A2782" s="20">
        <v>42092</v>
      </c>
      <c r="B2782" s="21">
        <v>16292</v>
      </c>
      <c r="C2782" s="14" t="s">
        <v>256</v>
      </c>
      <c r="D2782" s="105">
        <v>5864.2</v>
      </c>
      <c r="E2782" s="65">
        <v>42092</v>
      </c>
      <c r="F2782" s="106">
        <v>5864.2</v>
      </c>
      <c r="G2782" s="31">
        <f t="shared" si="43"/>
        <v>0</v>
      </c>
      <c r="H2782" s="39" t="s">
        <v>773</v>
      </c>
      <c r="J2782" s="42"/>
    </row>
    <row r="2783" spans="1:10" s="3" customFormat="1" x14ac:dyDescent="0.25">
      <c r="A2783" s="20">
        <v>42092</v>
      </c>
      <c r="B2783" s="21">
        <v>16293</v>
      </c>
      <c r="C2783" s="14" t="s">
        <v>151</v>
      </c>
      <c r="D2783" s="105">
        <v>6410.9</v>
      </c>
      <c r="E2783" s="65">
        <v>42093</v>
      </c>
      <c r="F2783" s="106">
        <v>6410.9</v>
      </c>
      <c r="G2783" s="31">
        <f t="shared" si="43"/>
        <v>0</v>
      </c>
      <c r="H2783" s="39" t="s">
        <v>9</v>
      </c>
      <c r="J2783" s="42"/>
    </row>
    <row r="2784" spans="1:10" s="3" customFormat="1" x14ac:dyDescent="0.25">
      <c r="A2784" s="20">
        <v>42092</v>
      </c>
      <c r="B2784" s="21">
        <v>16294</v>
      </c>
      <c r="C2784" s="14" t="s">
        <v>34</v>
      </c>
      <c r="D2784" s="105">
        <v>2975</v>
      </c>
      <c r="E2784" s="65">
        <v>42092</v>
      </c>
      <c r="F2784" s="106">
        <v>2975</v>
      </c>
      <c r="G2784" s="31">
        <f t="shared" si="43"/>
        <v>0</v>
      </c>
      <c r="H2784" s="39" t="s">
        <v>9</v>
      </c>
      <c r="J2784" s="42"/>
    </row>
    <row r="2785" spans="1:10" s="3" customFormat="1" x14ac:dyDescent="0.25">
      <c r="A2785" s="20">
        <v>42092</v>
      </c>
      <c r="B2785" s="21">
        <v>16295</v>
      </c>
      <c r="C2785" s="14" t="s">
        <v>360</v>
      </c>
      <c r="D2785" s="105">
        <v>55.2</v>
      </c>
      <c r="E2785" s="65">
        <v>42092</v>
      </c>
      <c r="F2785" s="106">
        <v>55.2</v>
      </c>
      <c r="G2785" s="31">
        <f t="shared" si="43"/>
        <v>0</v>
      </c>
      <c r="H2785" s="39" t="s">
        <v>9</v>
      </c>
      <c r="J2785" s="42"/>
    </row>
    <row r="2786" spans="1:10" s="3" customFormat="1" x14ac:dyDescent="0.25">
      <c r="A2786" s="20">
        <v>42092</v>
      </c>
      <c r="B2786" s="21">
        <v>16296</v>
      </c>
      <c r="C2786" s="14" t="s">
        <v>56</v>
      </c>
      <c r="D2786" s="105">
        <v>8371.4</v>
      </c>
      <c r="E2786" s="65">
        <v>42092</v>
      </c>
      <c r="F2786" s="106">
        <v>8371.4</v>
      </c>
      <c r="G2786" s="31">
        <f t="shared" si="43"/>
        <v>0</v>
      </c>
      <c r="H2786" s="39" t="s">
        <v>773</v>
      </c>
      <c r="J2786" s="42"/>
    </row>
    <row r="2787" spans="1:10" s="3" customFormat="1" x14ac:dyDescent="0.25">
      <c r="A2787" s="20">
        <v>42092</v>
      </c>
      <c r="B2787" s="21">
        <v>16297</v>
      </c>
      <c r="C2787" s="14" t="s">
        <v>53</v>
      </c>
      <c r="D2787" s="105">
        <v>1916.8</v>
      </c>
      <c r="E2787" s="65">
        <v>42092</v>
      </c>
      <c r="F2787" s="106">
        <v>1916.8</v>
      </c>
      <c r="G2787" s="31">
        <f t="shared" si="43"/>
        <v>0</v>
      </c>
      <c r="H2787" s="39" t="s">
        <v>59</v>
      </c>
      <c r="J2787" s="42"/>
    </row>
    <row r="2788" spans="1:10" s="3" customFormat="1" x14ac:dyDescent="0.25">
      <c r="A2788" s="20">
        <v>42092</v>
      </c>
      <c r="B2788" s="21">
        <v>16298</v>
      </c>
      <c r="C2788" s="14" t="s">
        <v>137</v>
      </c>
      <c r="D2788" s="105">
        <v>421</v>
      </c>
      <c r="E2788" s="65">
        <v>42092</v>
      </c>
      <c r="F2788" s="106">
        <v>421</v>
      </c>
      <c r="G2788" s="31">
        <f t="shared" si="43"/>
        <v>0</v>
      </c>
      <c r="H2788" s="39" t="s">
        <v>9</v>
      </c>
      <c r="J2788" s="42"/>
    </row>
    <row r="2789" spans="1:10" s="3" customFormat="1" x14ac:dyDescent="0.25">
      <c r="A2789" s="20">
        <v>42092</v>
      </c>
      <c r="B2789" s="21">
        <v>16299</v>
      </c>
      <c r="C2789" s="14" t="s">
        <v>154</v>
      </c>
      <c r="D2789" s="105">
        <v>27493.200000000001</v>
      </c>
      <c r="E2789" s="65">
        <v>42092</v>
      </c>
      <c r="F2789" s="106">
        <v>27493.200000000001</v>
      </c>
      <c r="G2789" s="31">
        <f t="shared" si="43"/>
        <v>0</v>
      </c>
      <c r="H2789" s="39" t="s">
        <v>773</v>
      </c>
      <c r="J2789" s="42"/>
    </row>
    <row r="2790" spans="1:10" s="3" customFormat="1" x14ac:dyDescent="0.25">
      <c r="A2790" s="20">
        <v>42092</v>
      </c>
      <c r="B2790" s="21">
        <v>16300</v>
      </c>
      <c r="C2790" s="14" t="s">
        <v>155</v>
      </c>
      <c r="D2790" s="105">
        <v>1925</v>
      </c>
      <c r="E2790" s="65">
        <v>42092</v>
      </c>
      <c r="F2790" s="106">
        <v>1925</v>
      </c>
      <c r="G2790" s="31">
        <f t="shared" si="43"/>
        <v>0</v>
      </c>
      <c r="H2790" s="39" t="s">
        <v>59</v>
      </c>
      <c r="J2790" s="42"/>
    </row>
    <row r="2791" spans="1:10" s="3" customFormat="1" x14ac:dyDescent="0.25">
      <c r="A2791" s="20">
        <v>42092</v>
      </c>
      <c r="B2791" s="21">
        <v>16301</v>
      </c>
      <c r="C2791" s="14" t="s">
        <v>131</v>
      </c>
      <c r="D2791" s="105">
        <v>15247.75</v>
      </c>
      <c r="E2791" s="65">
        <v>42093</v>
      </c>
      <c r="F2791" s="106">
        <v>15247.75</v>
      </c>
      <c r="G2791" s="31">
        <f t="shared" si="43"/>
        <v>0</v>
      </c>
      <c r="H2791" s="39" t="s">
        <v>9</v>
      </c>
      <c r="J2791" s="42"/>
    </row>
    <row r="2792" spans="1:10" s="3" customFormat="1" x14ac:dyDescent="0.25">
      <c r="A2792" s="20">
        <v>42092</v>
      </c>
      <c r="B2792" s="21">
        <v>16302</v>
      </c>
      <c r="C2792" s="14" t="s">
        <v>213</v>
      </c>
      <c r="D2792" s="105">
        <v>6008.8</v>
      </c>
      <c r="E2792" s="74">
        <v>42153</v>
      </c>
      <c r="F2792" s="189">
        <v>985.68</v>
      </c>
      <c r="G2792" s="55">
        <f t="shared" si="43"/>
        <v>5023.12</v>
      </c>
      <c r="H2792" s="39" t="s">
        <v>59</v>
      </c>
      <c r="J2792" s="42"/>
    </row>
    <row r="2793" spans="1:10" s="3" customFormat="1" x14ac:dyDescent="0.25">
      <c r="A2793" s="20">
        <v>42092</v>
      </c>
      <c r="B2793" s="21">
        <v>16303</v>
      </c>
      <c r="C2793" s="14" t="s">
        <v>292</v>
      </c>
      <c r="D2793" s="105">
        <v>1927.7</v>
      </c>
      <c r="E2793" s="65">
        <v>42092</v>
      </c>
      <c r="F2793" s="106">
        <v>1927.7</v>
      </c>
      <c r="G2793" s="31">
        <f t="shared" si="43"/>
        <v>0</v>
      </c>
      <c r="H2793" s="39" t="s">
        <v>59</v>
      </c>
      <c r="J2793" s="42"/>
    </row>
    <row r="2794" spans="1:10" s="3" customFormat="1" x14ac:dyDescent="0.25">
      <c r="A2794" s="20">
        <v>42092</v>
      </c>
      <c r="B2794" s="21">
        <v>16304</v>
      </c>
      <c r="C2794" s="14" t="s">
        <v>82</v>
      </c>
      <c r="D2794" s="105">
        <v>5693</v>
      </c>
      <c r="E2794" s="65">
        <v>42092</v>
      </c>
      <c r="F2794" s="106">
        <v>5693</v>
      </c>
      <c r="G2794" s="31">
        <f t="shared" si="43"/>
        <v>0</v>
      </c>
      <c r="H2794" s="39" t="s">
        <v>59</v>
      </c>
      <c r="J2794" s="42"/>
    </row>
    <row r="2795" spans="1:10" s="3" customFormat="1" x14ac:dyDescent="0.25">
      <c r="A2795" s="20">
        <v>42092</v>
      </c>
      <c r="B2795" s="21">
        <v>16305</v>
      </c>
      <c r="C2795" s="14" t="s">
        <v>130</v>
      </c>
      <c r="D2795" s="105">
        <v>50035.199999999997</v>
      </c>
      <c r="E2795" s="65">
        <v>42092</v>
      </c>
      <c r="F2795" s="106">
        <v>50035.199999999997</v>
      </c>
      <c r="G2795" s="31">
        <f t="shared" si="43"/>
        <v>0</v>
      </c>
      <c r="H2795" s="39" t="s">
        <v>17</v>
      </c>
      <c r="J2795" s="42"/>
    </row>
    <row r="2796" spans="1:10" s="3" customFormat="1" x14ac:dyDescent="0.25">
      <c r="A2796" s="20">
        <v>42092</v>
      </c>
      <c r="B2796" s="21">
        <v>16306</v>
      </c>
      <c r="C2796" s="14" t="s">
        <v>130</v>
      </c>
      <c r="D2796" s="105">
        <v>10125.200000000001</v>
      </c>
      <c r="E2796" s="74" t="s">
        <v>965</v>
      </c>
      <c r="F2796" s="144">
        <f>2000+8125.2</f>
        <v>10125.200000000001</v>
      </c>
      <c r="G2796" s="31">
        <f t="shared" si="43"/>
        <v>0</v>
      </c>
      <c r="H2796" s="39" t="s">
        <v>17</v>
      </c>
      <c r="J2796" s="42"/>
    </row>
    <row r="2797" spans="1:10" s="3" customFormat="1" x14ac:dyDescent="0.25">
      <c r="A2797" s="20">
        <v>42092</v>
      </c>
      <c r="B2797" s="21">
        <v>16307</v>
      </c>
      <c r="C2797" s="14" t="s">
        <v>165</v>
      </c>
      <c r="D2797" s="105">
        <v>2139.5</v>
      </c>
      <c r="E2797" s="65">
        <v>42092</v>
      </c>
      <c r="F2797" s="106">
        <v>2139.5</v>
      </c>
      <c r="G2797" s="31">
        <f t="shared" si="43"/>
        <v>0</v>
      </c>
      <c r="H2797" s="39" t="s">
        <v>17</v>
      </c>
      <c r="J2797" s="42"/>
    </row>
    <row r="2798" spans="1:10" s="3" customFormat="1" x14ac:dyDescent="0.25">
      <c r="A2798" s="20">
        <v>42092</v>
      </c>
      <c r="B2798" s="21">
        <v>16308</v>
      </c>
      <c r="C2798" s="14" t="s">
        <v>57</v>
      </c>
      <c r="D2798" s="105">
        <v>630</v>
      </c>
      <c r="E2798" s="65">
        <v>42092</v>
      </c>
      <c r="F2798" s="106">
        <v>630</v>
      </c>
      <c r="G2798" s="31">
        <f t="shared" si="43"/>
        <v>0</v>
      </c>
      <c r="H2798" s="39" t="s">
        <v>59</v>
      </c>
      <c r="J2798" s="42"/>
    </row>
    <row r="2799" spans="1:10" s="3" customFormat="1" x14ac:dyDescent="0.25">
      <c r="A2799" s="20">
        <v>42092</v>
      </c>
      <c r="B2799" s="21">
        <v>16309</v>
      </c>
      <c r="C2799" s="110">
        <v>105</v>
      </c>
      <c r="D2799" s="105">
        <v>2240</v>
      </c>
      <c r="E2799" s="65">
        <v>42092</v>
      </c>
      <c r="F2799" s="106">
        <v>2240</v>
      </c>
      <c r="G2799" s="31">
        <f t="shared" si="43"/>
        <v>0</v>
      </c>
      <c r="H2799" s="39" t="s">
        <v>59</v>
      </c>
      <c r="J2799" s="42"/>
    </row>
    <row r="2800" spans="1:10" s="3" customFormat="1" x14ac:dyDescent="0.25">
      <c r="A2800" s="20">
        <v>42092</v>
      </c>
      <c r="B2800" s="21">
        <v>16310</v>
      </c>
      <c r="C2800" s="14" t="s">
        <v>214</v>
      </c>
      <c r="D2800" s="105">
        <v>1750</v>
      </c>
      <c r="E2800" s="65">
        <v>42092</v>
      </c>
      <c r="F2800" s="106">
        <v>1750</v>
      </c>
      <c r="G2800" s="31">
        <f t="shared" si="43"/>
        <v>0</v>
      </c>
      <c r="H2800" s="39" t="s">
        <v>59</v>
      </c>
      <c r="J2800" s="42"/>
    </row>
    <row r="2801" spans="1:10" s="3" customFormat="1" x14ac:dyDescent="0.25">
      <c r="A2801" s="20">
        <v>42092</v>
      </c>
      <c r="B2801" s="21">
        <v>16311</v>
      </c>
      <c r="C2801" s="14" t="s">
        <v>14</v>
      </c>
      <c r="D2801" s="105">
        <v>15221.6</v>
      </c>
      <c r="E2801" s="74">
        <v>42104</v>
      </c>
      <c r="F2801" s="144">
        <v>15221.6</v>
      </c>
      <c r="G2801" s="31">
        <f t="shared" si="43"/>
        <v>0</v>
      </c>
      <c r="H2801" s="39" t="s">
        <v>17</v>
      </c>
      <c r="J2801" s="42"/>
    </row>
    <row r="2802" spans="1:10" s="3" customFormat="1" x14ac:dyDescent="0.25">
      <c r="A2802" s="20">
        <v>42092</v>
      </c>
      <c r="B2802" s="21">
        <v>16312</v>
      </c>
      <c r="C2802" s="14" t="s">
        <v>152</v>
      </c>
      <c r="D2802" s="105">
        <v>8886.6</v>
      </c>
      <c r="E2802" s="23">
        <v>42092</v>
      </c>
      <c r="F2802" s="106">
        <v>8886.6</v>
      </c>
      <c r="G2802" s="31">
        <f t="shared" si="43"/>
        <v>0</v>
      </c>
      <c r="H2802" s="39" t="s">
        <v>59</v>
      </c>
      <c r="J2802" s="42"/>
    </row>
    <row r="2803" spans="1:10" s="3" customFormat="1" x14ac:dyDescent="0.25">
      <c r="A2803" s="20">
        <v>42092</v>
      </c>
      <c r="B2803" s="21">
        <v>16313</v>
      </c>
      <c r="C2803" s="14" t="s">
        <v>24</v>
      </c>
      <c r="D2803" s="105">
        <v>8689.4</v>
      </c>
      <c r="E2803" s="30">
        <v>42108</v>
      </c>
      <c r="F2803" s="144">
        <v>8689.4</v>
      </c>
      <c r="G2803" s="31">
        <f t="shared" si="43"/>
        <v>0</v>
      </c>
      <c r="H2803" s="39" t="s">
        <v>9</v>
      </c>
      <c r="J2803" s="42"/>
    </row>
    <row r="2804" spans="1:10" s="3" customFormat="1" x14ac:dyDescent="0.25">
      <c r="A2804" s="20">
        <v>42092</v>
      </c>
      <c r="B2804" s="21">
        <v>16314</v>
      </c>
      <c r="C2804" s="14" t="s">
        <v>229</v>
      </c>
      <c r="D2804" s="103">
        <v>1872</v>
      </c>
      <c r="E2804" s="23">
        <v>42092</v>
      </c>
      <c r="F2804" s="106">
        <v>1872</v>
      </c>
      <c r="G2804" s="31">
        <f t="shared" si="43"/>
        <v>0</v>
      </c>
      <c r="H2804" s="132" t="s">
        <v>9</v>
      </c>
      <c r="J2804" s="42"/>
    </row>
    <row r="2805" spans="1:10" s="3" customFormat="1" x14ac:dyDescent="0.25">
      <c r="A2805" s="20">
        <v>42092</v>
      </c>
      <c r="B2805" s="21">
        <v>16315</v>
      </c>
      <c r="C2805" s="14" t="s">
        <v>32</v>
      </c>
      <c r="D2805" s="103">
        <v>117382.16</v>
      </c>
      <c r="E2805" s="30">
        <v>42115</v>
      </c>
      <c r="F2805" s="144">
        <v>117382.16</v>
      </c>
      <c r="G2805" s="31">
        <f t="shared" si="43"/>
        <v>0</v>
      </c>
      <c r="H2805" s="132" t="s">
        <v>62</v>
      </c>
      <c r="J2805" s="42"/>
    </row>
    <row r="2806" spans="1:10" s="3" customFormat="1" x14ac:dyDescent="0.25">
      <c r="A2806" s="20">
        <v>42092</v>
      </c>
      <c r="B2806" s="21">
        <v>16316</v>
      </c>
      <c r="C2806" s="14" t="s">
        <v>285</v>
      </c>
      <c r="D2806" s="103">
        <v>590.5</v>
      </c>
      <c r="E2806" s="23">
        <v>42092</v>
      </c>
      <c r="F2806" s="106">
        <v>590.5</v>
      </c>
      <c r="G2806" s="31">
        <f t="shared" si="43"/>
        <v>0</v>
      </c>
      <c r="H2806" s="132" t="s">
        <v>62</v>
      </c>
      <c r="J2806" s="42"/>
    </row>
    <row r="2807" spans="1:10" s="3" customFormat="1" x14ac:dyDescent="0.25">
      <c r="A2807" s="20">
        <v>42092</v>
      </c>
      <c r="B2807" s="21">
        <v>16317</v>
      </c>
      <c r="C2807" s="14" t="s">
        <v>24</v>
      </c>
      <c r="D2807" s="103">
        <v>13406.8</v>
      </c>
      <c r="E2807" s="30">
        <v>42138</v>
      </c>
      <c r="F2807" s="144">
        <v>13406.8</v>
      </c>
      <c r="G2807" s="31">
        <f t="shared" si="43"/>
        <v>0</v>
      </c>
      <c r="H2807" s="132" t="s">
        <v>9</v>
      </c>
      <c r="J2807" s="42"/>
    </row>
    <row r="2808" spans="1:10" s="3" customFormat="1" x14ac:dyDescent="0.25">
      <c r="A2808" s="20">
        <v>42092</v>
      </c>
      <c r="B2808" s="21">
        <v>16318</v>
      </c>
      <c r="C2808" s="14" t="s">
        <v>50</v>
      </c>
      <c r="D2808" s="103">
        <v>397.8</v>
      </c>
      <c r="E2808" s="23">
        <v>42092</v>
      </c>
      <c r="F2808" s="106">
        <v>397.8</v>
      </c>
      <c r="G2808" s="31">
        <f t="shared" si="43"/>
        <v>0</v>
      </c>
      <c r="H2808" s="132" t="s">
        <v>9</v>
      </c>
      <c r="J2808" s="42"/>
    </row>
    <row r="2809" spans="1:10" s="3" customFormat="1" x14ac:dyDescent="0.25">
      <c r="A2809" s="20">
        <v>42092</v>
      </c>
      <c r="B2809" s="21">
        <v>16319</v>
      </c>
      <c r="C2809" s="14" t="s">
        <v>26</v>
      </c>
      <c r="D2809" s="103">
        <v>2720</v>
      </c>
      <c r="E2809" s="23">
        <v>42092</v>
      </c>
      <c r="F2809" s="106">
        <v>2720</v>
      </c>
      <c r="G2809" s="31">
        <f t="shared" si="43"/>
        <v>0</v>
      </c>
      <c r="H2809" s="132" t="s">
        <v>9</v>
      </c>
      <c r="J2809" s="42"/>
    </row>
    <row r="2810" spans="1:10" s="3" customFormat="1" x14ac:dyDescent="0.25">
      <c r="A2810" s="20">
        <v>42092</v>
      </c>
      <c r="B2810" s="21">
        <v>16320</v>
      </c>
      <c r="C2810" s="14" t="s">
        <v>89</v>
      </c>
      <c r="D2810" s="103">
        <v>3400.4</v>
      </c>
      <c r="E2810" s="23">
        <v>42092</v>
      </c>
      <c r="F2810" s="106">
        <v>3400.4</v>
      </c>
      <c r="G2810" s="31">
        <f t="shared" si="43"/>
        <v>0</v>
      </c>
      <c r="H2810" s="132" t="s">
        <v>9</v>
      </c>
      <c r="J2810" s="42"/>
    </row>
    <row r="2811" spans="1:10" s="3" customFormat="1" x14ac:dyDescent="0.25">
      <c r="A2811" s="20">
        <v>42092</v>
      </c>
      <c r="B2811" s="21">
        <v>16321</v>
      </c>
      <c r="C2811" s="14" t="s">
        <v>136</v>
      </c>
      <c r="D2811" s="103">
        <v>9395.2000000000007</v>
      </c>
      <c r="E2811" s="23">
        <v>42092</v>
      </c>
      <c r="F2811" s="106">
        <v>9395.2000000000007</v>
      </c>
      <c r="G2811" s="31">
        <f t="shared" si="43"/>
        <v>0</v>
      </c>
      <c r="H2811" s="132" t="s">
        <v>9</v>
      </c>
      <c r="J2811" s="42"/>
    </row>
    <row r="2812" spans="1:10" s="3" customFormat="1" x14ac:dyDescent="0.25">
      <c r="A2812" s="20">
        <v>42092</v>
      </c>
      <c r="B2812" s="21">
        <v>16322</v>
      </c>
      <c r="C2812" s="14" t="s">
        <v>239</v>
      </c>
      <c r="D2812" s="103">
        <v>596.70000000000005</v>
      </c>
      <c r="E2812" s="23">
        <v>42092</v>
      </c>
      <c r="F2812" s="106">
        <v>596.70000000000005</v>
      </c>
      <c r="G2812" s="31">
        <f t="shared" si="43"/>
        <v>0</v>
      </c>
      <c r="H2812" s="132" t="s">
        <v>9</v>
      </c>
      <c r="J2812" s="42"/>
    </row>
    <row r="2813" spans="1:10" s="3" customFormat="1" x14ac:dyDescent="0.25">
      <c r="A2813" s="20">
        <v>42092</v>
      </c>
      <c r="B2813" s="21">
        <v>16323</v>
      </c>
      <c r="C2813" s="14" t="s">
        <v>159</v>
      </c>
      <c r="D2813" s="103">
        <v>10078.799999999999</v>
      </c>
      <c r="E2813" s="23">
        <v>42092</v>
      </c>
      <c r="F2813" s="106">
        <v>10078.799999999999</v>
      </c>
      <c r="G2813" s="31">
        <f t="shared" si="43"/>
        <v>0</v>
      </c>
      <c r="H2813" s="132" t="s">
        <v>9</v>
      </c>
      <c r="J2813" s="42"/>
    </row>
    <row r="2814" spans="1:10" s="3" customFormat="1" x14ac:dyDescent="0.25">
      <c r="A2814" s="20">
        <v>42092</v>
      </c>
      <c r="B2814" s="21">
        <v>16324</v>
      </c>
      <c r="C2814" s="14" t="s">
        <v>138</v>
      </c>
      <c r="D2814" s="103">
        <v>4985.8</v>
      </c>
      <c r="E2814" s="23">
        <v>42092</v>
      </c>
      <c r="F2814" s="106">
        <v>4985.8</v>
      </c>
      <c r="G2814" s="31">
        <f t="shared" si="43"/>
        <v>0</v>
      </c>
      <c r="H2814" s="132" t="s">
        <v>17</v>
      </c>
      <c r="J2814" s="42"/>
    </row>
    <row r="2815" spans="1:10" s="3" customFormat="1" x14ac:dyDescent="0.25">
      <c r="A2815" s="20">
        <v>42092</v>
      </c>
      <c r="B2815" s="21">
        <v>16325</v>
      </c>
      <c r="C2815" s="14" t="s">
        <v>24</v>
      </c>
      <c r="D2815" s="103">
        <v>52611.4</v>
      </c>
      <c r="E2815" s="30">
        <v>42115</v>
      </c>
      <c r="F2815" s="144">
        <v>52611.4</v>
      </c>
      <c r="G2815" s="31">
        <f t="shared" si="43"/>
        <v>0</v>
      </c>
      <c r="H2815" s="132" t="s">
        <v>9</v>
      </c>
      <c r="J2815" s="42"/>
    </row>
    <row r="2816" spans="1:10" s="3" customFormat="1" x14ac:dyDescent="0.25">
      <c r="A2816" s="20">
        <v>42092</v>
      </c>
      <c r="B2816" s="21">
        <v>16326</v>
      </c>
      <c r="C2816" s="14" t="s">
        <v>305</v>
      </c>
      <c r="D2816" s="103">
        <v>1870.6</v>
      </c>
      <c r="E2816" s="23">
        <v>42092</v>
      </c>
      <c r="F2816" s="106">
        <v>1870.6</v>
      </c>
      <c r="G2816" s="31">
        <f t="shared" si="43"/>
        <v>0</v>
      </c>
      <c r="H2816" s="132" t="s">
        <v>9</v>
      </c>
      <c r="J2816" s="42"/>
    </row>
    <row r="2817" spans="1:10" s="3" customFormat="1" x14ac:dyDescent="0.25">
      <c r="A2817" s="20">
        <v>42092</v>
      </c>
      <c r="B2817" s="21">
        <v>16327</v>
      </c>
      <c r="C2817" s="14" t="s">
        <v>102</v>
      </c>
      <c r="D2817" s="103">
        <v>1618.32</v>
      </c>
      <c r="E2817" s="23">
        <v>42092</v>
      </c>
      <c r="F2817" s="106">
        <v>1618.32</v>
      </c>
      <c r="G2817" s="31">
        <f t="shared" si="43"/>
        <v>0</v>
      </c>
      <c r="H2817" s="132" t="s">
        <v>9</v>
      </c>
      <c r="J2817" s="42"/>
    </row>
    <row r="2818" spans="1:10" s="3" customFormat="1" x14ac:dyDescent="0.25">
      <c r="A2818" s="20">
        <v>42092</v>
      </c>
      <c r="B2818" s="21">
        <v>16328</v>
      </c>
      <c r="C2818" s="14" t="s">
        <v>252</v>
      </c>
      <c r="D2818" s="103">
        <v>10470.200000000001</v>
      </c>
      <c r="E2818" s="23">
        <v>42092</v>
      </c>
      <c r="F2818" s="106">
        <v>10470.200000000001</v>
      </c>
      <c r="G2818" s="31">
        <f t="shared" si="43"/>
        <v>0</v>
      </c>
      <c r="H2818" s="132" t="s">
        <v>9</v>
      </c>
      <c r="J2818" s="42"/>
    </row>
    <row r="2819" spans="1:10" s="3" customFormat="1" x14ac:dyDescent="0.25">
      <c r="A2819" s="20">
        <v>42093</v>
      </c>
      <c r="B2819" s="21">
        <v>16329</v>
      </c>
      <c r="C2819" s="14" t="s">
        <v>16</v>
      </c>
      <c r="D2819" s="103">
        <v>5370</v>
      </c>
      <c r="E2819" s="23">
        <v>42093</v>
      </c>
      <c r="F2819" s="106">
        <v>5370</v>
      </c>
      <c r="G2819" s="31">
        <f t="shared" ref="G2819:G2882" si="44">D2819-F2819</f>
        <v>0</v>
      </c>
      <c r="H2819" s="132" t="s">
        <v>17</v>
      </c>
      <c r="J2819" s="42"/>
    </row>
    <row r="2820" spans="1:10" s="3" customFormat="1" x14ac:dyDescent="0.25">
      <c r="A2820" s="20">
        <v>42093</v>
      </c>
      <c r="B2820" s="21">
        <v>16330</v>
      </c>
      <c r="C2820" s="14" t="s">
        <v>43</v>
      </c>
      <c r="D2820" s="103">
        <v>16052.84</v>
      </c>
      <c r="E2820" s="23">
        <v>42093</v>
      </c>
      <c r="F2820" s="106">
        <v>16052.84</v>
      </c>
      <c r="G2820" s="31">
        <f t="shared" si="44"/>
        <v>0</v>
      </c>
      <c r="H2820" s="132" t="s">
        <v>9</v>
      </c>
      <c r="J2820" s="42"/>
    </row>
    <row r="2821" spans="1:10" s="3" customFormat="1" x14ac:dyDescent="0.25">
      <c r="A2821" s="20">
        <v>42093</v>
      </c>
      <c r="B2821" s="21">
        <v>16331</v>
      </c>
      <c r="C2821" s="14" t="s">
        <v>18</v>
      </c>
      <c r="D2821" s="103">
        <v>1985.5</v>
      </c>
      <c r="E2821" s="23">
        <v>42093</v>
      </c>
      <c r="F2821" s="106">
        <v>1985.5</v>
      </c>
      <c r="G2821" s="31">
        <f t="shared" si="44"/>
        <v>0</v>
      </c>
      <c r="H2821" s="132" t="s">
        <v>9</v>
      </c>
      <c r="J2821" s="42"/>
    </row>
    <row r="2822" spans="1:10" s="3" customFormat="1" x14ac:dyDescent="0.25">
      <c r="A2822" s="20">
        <v>42093</v>
      </c>
      <c r="B2822" s="21">
        <v>16332</v>
      </c>
      <c r="C2822" s="14" t="s">
        <v>14</v>
      </c>
      <c r="D2822" s="103">
        <v>18078.3</v>
      </c>
      <c r="E2822" s="30">
        <v>42104</v>
      </c>
      <c r="F2822" s="144">
        <v>18078.3</v>
      </c>
      <c r="G2822" s="31">
        <f t="shared" si="44"/>
        <v>0</v>
      </c>
      <c r="H2822" s="132" t="s">
        <v>15</v>
      </c>
      <c r="J2822" s="42"/>
    </row>
    <row r="2823" spans="1:10" s="3" customFormat="1" x14ac:dyDescent="0.25">
      <c r="A2823" s="20">
        <v>42093</v>
      </c>
      <c r="B2823" s="21">
        <v>16333</v>
      </c>
      <c r="C2823" s="14" t="s">
        <v>720</v>
      </c>
      <c r="D2823" s="103">
        <v>9876.2999999999993</v>
      </c>
      <c r="E2823" s="23">
        <v>42093</v>
      </c>
      <c r="F2823" s="106">
        <v>9876.2999999999993</v>
      </c>
      <c r="G2823" s="31">
        <f t="shared" si="44"/>
        <v>0</v>
      </c>
      <c r="H2823" s="132" t="s">
        <v>9</v>
      </c>
      <c r="J2823" s="42"/>
    </row>
    <row r="2824" spans="1:10" s="3" customFormat="1" x14ac:dyDescent="0.25">
      <c r="A2824" s="20">
        <v>42093</v>
      </c>
      <c r="B2824" s="21">
        <v>16334</v>
      </c>
      <c r="C2824" s="14" t="s">
        <v>290</v>
      </c>
      <c r="D2824" s="103">
        <v>2132</v>
      </c>
      <c r="E2824" s="23">
        <v>42093</v>
      </c>
      <c r="F2824" s="106">
        <v>2132</v>
      </c>
      <c r="G2824" s="31">
        <f t="shared" si="44"/>
        <v>0</v>
      </c>
      <c r="H2824" s="132" t="s">
        <v>9</v>
      </c>
      <c r="J2824" s="42"/>
    </row>
    <row r="2825" spans="1:10" s="3" customFormat="1" x14ac:dyDescent="0.25">
      <c r="A2825" s="20">
        <v>42093</v>
      </c>
      <c r="B2825" s="21">
        <v>16335</v>
      </c>
      <c r="C2825" s="14" t="s">
        <v>267</v>
      </c>
      <c r="D2825" s="103">
        <v>999</v>
      </c>
      <c r="E2825" s="23">
        <v>42093</v>
      </c>
      <c r="F2825" s="106">
        <v>999</v>
      </c>
      <c r="G2825" s="31">
        <f t="shared" si="44"/>
        <v>0</v>
      </c>
      <c r="H2825" s="132" t="s">
        <v>94</v>
      </c>
      <c r="J2825" s="42"/>
    </row>
    <row r="2826" spans="1:10" s="3" customFormat="1" x14ac:dyDescent="0.25">
      <c r="A2826" s="20">
        <v>42093</v>
      </c>
      <c r="B2826" s="21">
        <v>16336</v>
      </c>
      <c r="C2826" s="14" t="s">
        <v>20</v>
      </c>
      <c r="D2826" s="103">
        <v>11045.2</v>
      </c>
      <c r="E2826" s="23">
        <v>42093</v>
      </c>
      <c r="F2826" s="106">
        <v>11045.2</v>
      </c>
      <c r="G2826" s="31">
        <f t="shared" si="44"/>
        <v>0</v>
      </c>
      <c r="H2826" s="132" t="s">
        <v>94</v>
      </c>
      <c r="J2826" s="42"/>
    </row>
    <row r="2827" spans="1:10" s="3" customFormat="1" x14ac:dyDescent="0.25">
      <c r="A2827" s="20">
        <v>42093</v>
      </c>
      <c r="B2827" s="21">
        <v>16337</v>
      </c>
      <c r="C2827" s="14" t="s">
        <v>136</v>
      </c>
      <c r="D2827" s="103">
        <v>540</v>
      </c>
      <c r="E2827" s="23">
        <v>42093</v>
      </c>
      <c r="F2827" s="106">
        <v>540</v>
      </c>
      <c r="G2827" s="31">
        <f t="shared" si="44"/>
        <v>0</v>
      </c>
      <c r="H2827" s="132" t="s">
        <v>9</v>
      </c>
      <c r="J2827" s="42"/>
    </row>
    <row r="2828" spans="1:10" s="3" customFormat="1" x14ac:dyDescent="0.25">
      <c r="A2828" s="20">
        <v>42093</v>
      </c>
      <c r="B2828" s="21">
        <v>16338</v>
      </c>
      <c r="C2828" s="14" t="s">
        <v>121</v>
      </c>
      <c r="D2828" s="103">
        <v>2232.35</v>
      </c>
      <c r="E2828" s="23">
        <v>42093</v>
      </c>
      <c r="F2828" s="106">
        <v>2232.35</v>
      </c>
      <c r="G2828" s="31">
        <f t="shared" si="44"/>
        <v>0</v>
      </c>
      <c r="H2828" s="132" t="s">
        <v>9</v>
      </c>
      <c r="J2828" s="42"/>
    </row>
    <row r="2829" spans="1:10" s="3" customFormat="1" x14ac:dyDescent="0.25">
      <c r="A2829" s="20">
        <v>42093</v>
      </c>
      <c r="B2829" s="21">
        <v>16339</v>
      </c>
      <c r="C2829" s="14" t="s">
        <v>854</v>
      </c>
      <c r="D2829" s="103">
        <v>2217.1</v>
      </c>
      <c r="E2829" s="23" t="s">
        <v>936</v>
      </c>
      <c r="F2829" s="106">
        <f>2000+217.1</f>
        <v>2217.1</v>
      </c>
      <c r="G2829" s="31">
        <f t="shared" si="44"/>
        <v>0</v>
      </c>
      <c r="H2829" s="132" t="s">
        <v>9</v>
      </c>
      <c r="J2829" s="42"/>
    </row>
    <row r="2830" spans="1:10" s="3" customFormat="1" x14ac:dyDescent="0.25">
      <c r="A2830" s="20">
        <v>42093</v>
      </c>
      <c r="B2830" s="21">
        <v>16340</v>
      </c>
      <c r="C2830" s="14" t="s">
        <v>114</v>
      </c>
      <c r="D2830" s="103">
        <v>2878.8</v>
      </c>
      <c r="E2830" s="23">
        <v>42093</v>
      </c>
      <c r="F2830" s="106">
        <v>2878.8</v>
      </c>
      <c r="G2830" s="31">
        <f t="shared" si="44"/>
        <v>0</v>
      </c>
      <c r="H2830" s="132" t="s">
        <v>9</v>
      </c>
      <c r="J2830" s="42"/>
    </row>
    <row r="2831" spans="1:10" s="3" customFormat="1" x14ac:dyDescent="0.25">
      <c r="A2831" s="20">
        <v>42093</v>
      </c>
      <c r="B2831" s="21">
        <v>16341</v>
      </c>
      <c r="C2831" s="14" t="s">
        <v>57</v>
      </c>
      <c r="D2831" s="103">
        <v>1575</v>
      </c>
      <c r="E2831" s="23">
        <v>42093</v>
      </c>
      <c r="F2831" s="106">
        <v>1575</v>
      </c>
      <c r="G2831" s="31">
        <f t="shared" si="44"/>
        <v>0</v>
      </c>
      <c r="H2831" s="132" t="s">
        <v>59</v>
      </c>
      <c r="J2831" s="42"/>
    </row>
    <row r="2832" spans="1:10" s="3" customFormat="1" x14ac:dyDescent="0.25">
      <c r="A2832" s="20">
        <v>42093</v>
      </c>
      <c r="B2832" s="21">
        <v>16342</v>
      </c>
      <c r="C2832" s="110">
        <v>105</v>
      </c>
      <c r="D2832" s="103">
        <v>1225</v>
      </c>
      <c r="E2832" s="23">
        <v>42093</v>
      </c>
      <c r="F2832" s="106">
        <v>1225</v>
      </c>
      <c r="G2832" s="31">
        <f t="shared" si="44"/>
        <v>0</v>
      </c>
      <c r="H2832" s="132" t="s">
        <v>59</v>
      </c>
      <c r="J2832" s="42"/>
    </row>
    <row r="2833" spans="1:10" s="3" customFormat="1" x14ac:dyDescent="0.25">
      <c r="A2833" s="20">
        <v>42093</v>
      </c>
      <c r="B2833" s="21">
        <v>16343</v>
      </c>
      <c r="C2833" s="14" t="s">
        <v>214</v>
      </c>
      <c r="D2833" s="103">
        <v>1050</v>
      </c>
      <c r="E2833" s="23">
        <v>42093</v>
      </c>
      <c r="F2833" s="106">
        <v>1050</v>
      </c>
      <c r="G2833" s="31">
        <f t="shared" si="44"/>
        <v>0</v>
      </c>
      <c r="H2833" s="132" t="s">
        <v>59</v>
      </c>
      <c r="J2833" s="42"/>
    </row>
    <row r="2834" spans="1:10" s="3" customFormat="1" x14ac:dyDescent="0.25">
      <c r="A2834" s="20">
        <v>42093</v>
      </c>
      <c r="B2834" s="21">
        <v>16344</v>
      </c>
      <c r="C2834" s="26" t="s">
        <v>218</v>
      </c>
      <c r="D2834" s="153">
        <v>0</v>
      </c>
      <c r="E2834" s="23"/>
      <c r="F2834" s="106"/>
      <c r="G2834" s="31">
        <f t="shared" si="44"/>
        <v>0</v>
      </c>
      <c r="H2834" s="132" t="s">
        <v>13</v>
      </c>
      <c r="J2834" s="42"/>
    </row>
    <row r="2835" spans="1:10" s="3" customFormat="1" x14ac:dyDescent="0.25">
      <c r="A2835" s="20">
        <v>42093</v>
      </c>
      <c r="B2835" s="21">
        <v>16345</v>
      </c>
      <c r="C2835" s="14" t="s">
        <v>26</v>
      </c>
      <c r="D2835" s="103">
        <v>1632</v>
      </c>
      <c r="E2835" s="23">
        <v>42093</v>
      </c>
      <c r="F2835" s="106">
        <v>1632</v>
      </c>
      <c r="G2835" s="31">
        <f t="shared" si="44"/>
        <v>0</v>
      </c>
      <c r="H2835" s="132" t="s">
        <v>27</v>
      </c>
      <c r="J2835" s="42"/>
    </row>
    <row r="2836" spans="1:10" s="3" customFormat="1" x14ac:dyDescent="0.25">
      <c r="A2836" s="20">
        <v>42093</v>
      </c>
      <c r="B2836" s="21">
        <v>16346</v>
      </c>
      <c r="C2836" s="14" t="s">
        <v>125</v>
      </c>
      <c r="D2836" s="103">
        <v>14967.2</v>
      </c>
      <c r="E2836" s="23">
        <v>42093</v>
      </c>
      <c r="F2836" s="106">
        <v>14967.2</v>
      </c>
      <c r="G2836" s="31">
        <f t="shared" si="44"/>
        <v>0</v>
      </c>
      <c r="H2836" s="132" t="s">
        <v>9</v>
      </c>
      <c r="J2836" s="42"/>
    </row>
    <row r="2837" spans="1:10" s="3" customFormat="1" x14ac:dyDescent="0.25">
      <c r="A2837" s="20">
        <v>42093</v>
      </c>
      <c r="B2837" s="21">
        <v>16347</v>
      </c>
      <c r="C2837" s="14" t="s">
        <v>53</v>
      </c>
      <c r="D2837" s="103">
        <v>988.8</v>
      </c>
      <c r="E2837" s="23">
        <v>42093</v>
      </c>
      <c r="F2837" s="106">
        <v>988.8</v>
      </c>
      <c r="G2837" s="31">
        <f t="shared" si="44"/>
        <v>0</v>
      </c>
      <c r="H2837" s="132" t="s">
        <v>59</v>
      </c>
      <c r="J2837" s="42"/>
    </row>
    <row r="2838" spans="1:10" s="3" customFormat="1" x14ac:dyDescent="0.25">
      <c r="A2838" s="20">
        <v>42093</v>
      </c>
      <c r="B2838" s="21">
        <v>16348</v>
      </c>
      <c r="C2838" s="14" t="s">
        <v>83</v>
      </c>
      <c r="D2838" s="103">
        <v>3724.8</v>
      </c>
      <c r="E2838" s="23">
        <v>42093</v>
      </c>
      <c r="F2838" s="106">
        <v>3724.8</v>
      </c>
      <c r="G2838" s="31">
        <f t="shared" si="44"/>
        <v>0</v>
      </c>
      <c r="H2838" s="132" t="s">
        <v>59</v>
      </c>
      <c r="J2838" s="42"/>
    </row>
    <row r="2839" spans="1:10" s="3" customFormat="1" x14ac:dyDescent="0.25">
      <c r="A2839" s="20">
        <v>42093</v>
      </c>
      <c r="B2839" s="21">
        <v>16349</v>
      </c>
      <c r="C2839" s="14" t="s">
        <v>81</v>
      </c>
      <c r="D2839" s="103">
        <v>2010.6</v>
      </c>
      <c r="E2839" s="23">
        <v>42093</v>
      </c>
      <c r="F2839" s="106">
        <v>2010.6</v>
      </c>
      <c r="G2839" s="31">
        <f t="shared" si="44"/>
        <v>0</v>
      </c>
      <c r="H2839" s="132" t="s">
        <v>59</v>
      </c>
      <c r="J2839" s="42"/>
    </row>
    <row r="2840" spans="1:10" s="3" customFormat="1" x14ac:dyDescent="0.25">
      <c r="A2840" s="20">
        <v>42093</v>
      </c>
      <c r="B2840" s="21">
        <v>16350</v>
      </c>
      <c r="C2840" s="14" t="s">
        <v>168</v>
      </c>
      <c r="D2840" s="103">
        <v>1075.4000000000001</v>
      </c>
      <c r="E2840" s="23">
        <v>42093</v>
      </c>
      <c r="F2840" s="106">
        <v>1075.4000000000001</v>
      </c>
      <c r="G2840" s="31">
        <f t="shared" si="44"/>
        <v>0</v>
      </c>
      <c r="H2840" s="132" t="s">
        <v>59</v>
      </c>
      <c r="J2840" s="42"/>
    </row>
    <row r="2841" spans="1:10" s="3" customFormat="1" x14ac:dyDescent="0.25">
      <c r="A2841" s="20">
        <v>42093</v>
      </c>
      <c r="B2841" s="21">
        <v>16351</v>
      </c>
      <c r="C2841" s="14" t="s">
        <v>82</v>
      </c>
      <c r="D2841" s="103">
        <v>3885</v>
      </c>
      <c r="E2841" s="23">
        <v>42093</v>
      </c>
      <c r="F2841" s="106">
        <v>3885</v>
      </c>
      <c r="G2841" s="31">
        <f t="shared" si="44"/>
        <v>0</v>
      </c>
      <c r="H2841" s="132" t="s">
        <v>59</v>
      </c>
      <c r="J2841" s="42"/>
    </row>
    <row r="2842" spans="1:10" s="3" customFormat="1" x14ac:dyDescent="0.25">
      <c r="A2842" s="20">
        <v>42093</v>
      </c>
      <c r="B2842" s="21">
        <v>16352</v>
      </c>
      <c r="C2842" s="14" t="s">
        <v>292</v>
      </c>
      <c r="D2842" s="103">
        <v>1557.7</v>
      </c>
      <c r="E2842" s="23">
        <v>42093</v>
      </c>
      <c r="F2842" s="106">
        <v>1557.7</v>
      </c>
      <c r="G2842" s="31">
        <f t="shared" si="44"/>
        <v>0</v>
      </c>
      <c r="H2842" s="132" t="s">
        <v>59</v>
      </c>
      <c r="J2842" s="42"/>
    </row>
    <row r="2843" spans="1:10" s="3" customFormat="1" x14ac:dyDescent="0.25">
      <c r="A2843" s="20">
        <v>42093</v>
      </c>
      <c r="B2843" s="21">
        <v>16353</v>
      </c>
      <c r="C2843" s="14" t="s">
        <v>937</v>
      </c>
      <c r="D2843" s="103">
        <v>1280</v>
      </c>
      <c r="E2843" s="23">
        <v>42093</v>
      </c>
      <c r="F2843" s="106">
        <v>1280</v>
      </c>
      <c r="G2843" s="31">
        <f t="shared" si="44"/>
        <v>0</v>
      </c>
      <c r="H2843" s="132" t="s">
        <v>15</v>
      </c>
      <c r="J2843" s="42"/>
    </row>
    <row r="2844" spans="1:10" s="3" customFormat="1" x14ac:dyDescent="0.25">
      <c r="A2844" s="20">
        <v>42093</v>
      </c>
      <c r="B2844" s="21">
        <v>16354</v>
      </c>
      <c r="C2844" s="14" t="s">
        <v>699</v>
      </c>
      <c r="D2844" s="103">
        <v>1802.5</v>
      </c>
      <c r="E2844" s="23">
        <v>42102</v>
      </c>
      <c r="F2844" s="106">
        <v>1802.5</v>
      </c>
      <c r="G2844" s="31">
        <f t="shared" si="44"/>
        <v>0</v>
      </c>
      <c r="H2844" s="132" t="s">
        <v>9</v>
      </c>
      <c r="J2844" s="42"/>
    </row>
    <row r="2845" spans="1:10" s="3" customFormat="1" x14ac:dyDescent="0.25">
      <c r="A2845" s="20">
        <v>42093</v>
      </c>
      <c r="B2845" s="21">
        <v>16355</v>
      </c>
      <c r="C2845" s="14" t="s">
        <v>226</v>
      </c>
      <c r="D2845" s="103">
        <v>2039.4</v>
      </c>
      <c r="E2845" s="23">
        <v>42093</v>
      </c>
      <c r="F2845" s="106">
        <v>2039.4</v>
      </c>
      <c r="G2845" s="31">
        <f t="shared" si="44"/>
        <v>0</v>
      </c>
      <c r="H2845" s="132" t="s">
        <v>15</v>
      </c>
      <c r="J2845" s="42"/>
    </row>
    <row r="2846" spans="1:10" s="3" customFormat="1" x14ac:dyDescent="0.25">
      <c r="A2846" s="20">
        <v>42093</v>
      </c>
      <c r="B2846" s="21">
        <v>16356</v>
      </c>
      <c r="C2846" s="14" t="s">
        <v>21</v>
      </c>
      <c r="D2846" s="103">
        <v>7008.2</v>
      </c>
      <c r="E2846" s="23">
        <v>42093</v>
      </c>
      <c r="F2846" s="106">
        <v>7008.2</v>
      </c>
      <c r="G2846" s="31">
        <f t="shared" si="44"/>
        <v>0</v>
      </c>
      <c r="H2846" s="132" t="s">
        <v>9</v>
      </c>
      <c r="J2846" s="42"/>
    </row>
    <row r="2847" spans="1:10" s="3" customFormat="1" x14ac:dyDescent="0.25">
      <c r="A2847" s="20">
        <v>42093</v>
      </c>
      <c r="B2847" s="21">
        <v>16357</v>
      </c>
      <c r="C2847" s="14" t="s">
        <v>55</v>
      </c>
      <c r="D2847" s="103">
        <v>18959.169999999998</v>
      </c>
      <c r="E2847" s="23">
        <v>42093</v>
      </c>
      <c r="F2847" s="106">
        <v>18959.169999999998</v>
      </c>
      <c r="G2847" s="31">
        <f t="shared" si="44"/>
        <v>0</v>
      </c>
      <c r="H2847" s="132" t="s">
        <v>773</v>
      </c>
      <c r="J2847" s="42"/>
    </row>
    <row r="2848" spans="1:10" s="3" customFormat="1" x14ac:dyDescent="0.25">
      <c r="A2848" s="20">
        <v>42093</v>
      </c>
      <c r="B2848" s="21">
        <v>16358</v>
      </c>
      <c r="C2848" s="14" t="s">
        <v>103</v>
      </c>
      <c r="D2848" s="103">
        <v>17490.22</v>
      </c>
      <c r="E2848" s="23">
        <v>42093</v>
      </c>
      <c r="F2848" s="106">
        <v>17490.22</v>
      </c>
      <c r="G2848" s="31">
        <f t="shared" si="44"/>
        <v>0</v>
      </c>
      <c r="H2848" s="132" t="s">
        <v>773</v>
      </c>
      <c r="J2848" s="42"/>
    </row>
    <row r="2849" spans="1:10" s="3" customFormat="1" x14ac:dyDescent="0.25">
      <c r="A2849" s="20">
        <v>42093</v>
      </c>
      <c r="B2849" s="21">
        <v>16359</v>
      </c>
      <c r="C2849" s="14" t="s">
        <v>103</v>
      </c>
      <c r="D2849" s="103">
        <v>13555.2</v>
      </c>
      <c r="E2849" s="23">
        <v>42093</v>
      </c>
      <c r="F2849" s="106">
        <v>13555.2</v>
      </c>
      <c r="G2849" s="31">
        <f t="shared" si="44"/>
        <v>0</v>
      </c>
      <c r="H2849" s="132" t="s">
        <v>773</v>
      </c>
      <c r="J2849" s="42"/>
    </row>
    <row r="2850" spans="1:10" s="3" customFormat="1" x14ac:dyDescent="0.25">
      <c r="A2850" s="20">
        <v>42093</v>
      </c>
      <c r="B2850" s="21">
        <v>16360</v>
      </c>
      <c r="C2850" s="14" t="s">
        <v>45</v>
      </c>
      <c r="D2850" s="103">
        <v>2339.1999999999998</v>
      </c>
      <c r="E2850" s="30">
        <v>42104</v>
      </c>
      <c r="F2850" s="144">
        <v>2339.1999999999998</v>
      </c>
      <c r="G2850" s="31">
        <f t="shared" si="44"/>
        <v>0</v>
      </c>
      <c r="H2850" s="132" t="s">
        <v>46</v>
      </c>
      <c r="J2850" s="42"/>
    </row>
    <row r="2851" spans="1:10" s="3" customFormat="1" x14ac:dyDescent="0.25">
      <c r="A2851" s="20">
        <v>42093</v>
      </c>
      <c r="B2851" s="21">
        <v>16361</v>
      </c>
      <c r="C2851" s="14" t="s">
        <v>56</v>
      </c>
      <c r="D2851" s="103">
        <v>3301.2</v>
      </c>
      <c r="E2851" s="23">
        <v>42093</v>
      </c>
      <c r="F2851" s="106">
        <v>3301.2</v>
      </c>
      <c r="G2851" s="31">
        <f t="shared" si="44"/>
        <v>0</v>
      </c>
      <c r="H2851" s="132" t="s">
        <v>9</v>
      </c>
      <c r="J2851" s="42"/>
    </row>
    <row r="2852" spans="1:10" s="3" customFormat="1" x14ac:dyDescent="0.25">
      <c r="A2852" s="20">
        <v>42093</v>
      </c>
      <c r="B2852" s="21">
        <v>16362</v>
      </c>
      <c r="C2852" s="14" t="s">
        <v>34</v>
      </c>
      <c r="D2852" s="103">
        <v>3192</v>
      </c>
      <c r="E2852" s="23">
        <v>42093</v>
      </c>
      <c r="F2852" s="106">
        <v>3192</v>
      </c>
      <c r="G2852" s="31">
        <f t="shared" si="44"/>
        <v>0</v>
      </c>
      <c r="H2852" s="132" t="s">
        <v>9</v>
      </c>
      <c r="J2852" s="42"/>
    </row>
    <row r="2853" spans="1:10" s="3" customFormat="1" x14ac:dyDescent="0.25">
      <c r="A2853" s="20">
        <v>42093</v>
      </c>
      <c r="B2853" s="21">
        <v>16363</v>
      </c>
      <c r="C2853" s="14" t="s">
        <v>215</v>
      </c>
      <c r="D2853" s="103">
        <v>4188</v>
      </c>
      <c r="E2853" s="23">
        <v>42093</v>
      </c>
      <c r="F2853" s="106">
        <v>4188</v>
      </c>
      <c r="G2853" s="31">
        <f t="shared" si="44"/>
        <v>0</v>
      </c>
      <c r="H2853" s="132" t="s">
        <v>17</v>
      </c>
      <c r="J2853" s="42"/>
    </row>
    <row r="2854" spans="1:10" s="3" customFormat="1" x14ac:dyDescent="0.25">
      <c r="A2854" s="20">
        <v>42093</v>
      </c>
      <c r="B2854" s="21">
        <v>16364</v>
      </c>
      <c r="C2854" s="14" t="s">
        <v>236</v>
      </c>
      <c r="D2854" s="103">
        <v>39029</v>
      </c>
      <c r="E2854" s="30" t="s">
        <v>989</v>
      </c>
      <c r="F2854" s="144">
        <f>10233.26+28795.74</f>
        <v>39029</v>
      </c>
      <c r="G2854" s="31">
        <f t="shared" si="44"/>
        <v>0</v>
      </c>
      <c r="H2854" s="132" t="s">
        <v>773</v>
      </c>
      <c r="J2854" s="42"/>
    </row>
    <row r="2855" spans="1:10" s="3" customFormat="1" x14ac:dyDescent="0.25">
      <c r="A2855" s="20">
        <v>42093</v>
      </c>
      <c r="B2855" s="21">
        <v>16365</v>
      </c>
      <c r="C2855" s="14" t="s">
        <v>45</v>
      </c>
      <c r="D2855" s="103">
        <v>52798.65</v>
      </c>
      <c r="E2855" s="30">
        <v>42104</v>
      </c>
      <c r="F2855" s="144">
        <v>52798.65</v>
      </c>
      <c r="G2855" s="31">
        <f t="shared" si="44"/>
        <v>0</v>
      </c>
      <c r="H2855" s="132" t="s">
        <v>9</v>
      </c>
      <c r="J2855" s="42"/>
    </row>
    <row r="2856" spans="1:10" s="3" customFormat="1" x14ac:dyDescent="0.25">
      <c r="A2856" s="20">
        <v>42093</v>
      </c>
      <c r="B2856" s="21">
        <v>16366</v>
      </c>
      <c r="C2856" s="14" t="s">
        <v>938</v>
      </c>
      <c r="D2856" s="103">
        <v>8211</v>
      </c>
      <c r="E2856" s="23">
        <v>42093</v>
      </c>
      <c r="F2856" s="106">
        <v>8211</v>
      </c>
      <c r="G2856" s="31">
        <f t="shared" si="44"/>
        <v>0</v>
      </c>
      <c r="H2856" s="132" t="s">
        <v>9</v>
      </c>
      <c r="J2856" s="42"/>
    </row>
    <row r="2857" spans="1:10" s="3" customFormat="1" x14ac:dyDescent="0.25">
      <c r="A2857" s="20">
        <v>42093</v>
      </c>
      <c r="B2857" s="21">
        <v>16367</v>
      </c>
      <c r="C2857" s="14" t="s">
        <v>213</v>
      </c>
      <c r="D2857" s="103">
        <v>3427.6</v>
      </c>
      <c r="E2857" s="23">
        <v>42093</v>
      </c>
      <c r="F2857" s="106">
        <v>3427.6</v>
      </c>
      <c r="G2857" s="31">
        <f t="shared" si="44"/>
        <v>0</v>
      </c>
      <c r="H2857" s="132" t="s">
        <v>46</v>
      </c>
      <c r="J2857" s="42"/>
    </row>
    <row r="2858" spans="1:10" s="3" customFormat="1" x14ac:dyDescent="0.25">
      <c r="A2858" s="20">
        <v>42093</v>
      </c>
      <c r="B2858" s="21">
        <v>16368</v>
      </c>
      <c r="C2858" s="14" t="s">
        <v>128</v>
      </c>
      <c r="D2858" s="103">
        <v>8131.2</v>
      </c>
      <c r="E2858" s="23">
        <v>42094</v>
      </c>
      <c r="F2858" s="106">
        <v>8131.2</v>
      </c>
      <c r="G2858" s="31">
        <f t="shared" si="44"/>
        <v>0</v>
      </c>
      <c r="H2858" s="132" t="s">
        <v>17</v>
      </c>
      <c r="J2858" s="42"/>
    </row>
    <row r="2859" spans="1:10" s="3" customFormat="1" x14ac:dyDescent="0.25">
      <c r="A2859" s="20">
        <v>42093</v>
      </c>
      <c r="B2859" s="21">
        <v>16369</v>
      </c>
      <c r="C2859" s="14" t="s">
        <v>103</v>
      </c>
      <c r="D2859" s="103">
        <v>444</v>
      </c>
      <c r="E2859" s="23">
        <v>42093</v>
      </c>
      <c r="F2859" s="106">
        <v>444</v>
      </c>
      <c r="G2859" s="31">
        <f t="shared" si="44"/>
        <v>0</v>
      </c>
      <c r="H2859" s="132" t="s">
        <v>773</v>
      </c>
      <c r="J2859" s="42"/>
    </row>
    <row r="2860" spans="1:10" s="3" customFormat="1" x14ac:dyDescent="0.25">
      <c r="A2860" s="20">
        <v>42093</v>
      </c>
      <c r="B2860" s="21">
        <v>16370</v>
      </c>
      <c r="C2860" s="14" t="s">
        <v>137</v>
      </c>
      <c r="D2860" s="103">
        <v>506.75</v>
      </c>
      <c r="E2860" s="23">
        <v>42093</v>
      </c>
      <c r="F2860" s="106">
        <v>506.75</v>
      </c>
      <c r="G2860" s="31">
        <f t="shared" si="44"/>
        <v>0</v>
      </c>
      <c r="H2860" s="132" t="s">
        <v>9</v>
      </c>
      <c r="J2860" s="42"/>
    </row>
    <row r="2861" spans="1:10" s="3" customFormat="1" x14ac:dyDescent="0.25">
      <c r="A2861" s="20">
        <v>42093</v>
      </c>
      <c r="B2861" s="21">
        <v>16371</v>
      </c>
      <c r="C2861" s="14" t="s">
        <v>131</v>
      </c>
      <c r="D2861" s="103">
        <v>5098.6000000000004</v>
      </c>
      <c r="E2861" s="30">
        <v>42095</v>
      </c>
      <c r="F2861" s="144">
        <v>5098.6000000000004</v>
      </c>
      <c r="G2861" s="31">
        <f t="shared" si="44"/>
        <v>0</v>
      </c>
      <c r="H2861" s="132" t="s">
        <v>17</v>
      </c>
      <c r="J2861" s="42"/>
    </row>
    <row r="2862" spans="1:10" s="3" customFormat="1" x14ac:dyDescent="0.25">
      <c r="A2862" s="20">
        <v>42093</v>
      </c>
      <c r="B2862" s="21">
        <v>16372</v>
      </c>
      <c r="C2862" s="14" t="s">
        <v>130</v>
      </c>
      <c r="D2862" s="103">
        <v>2649.4</v>
      </c>
      <c r="E2862" s="30">
        <v>42095</v>
      </c>
      <c r="F2862" s="144">
        <v>2649.4</v>
      </c>
      <c r="G2862" s="31">
        <f t="shared" si="44"/>
        <v>0</v>
      </c>
      <c r="H2862" s="132" t="s">
        <v>17</v>
      </c>
      <c r="J2862" s="42"/>
    </row>
    <row r="2863" spans="1:10" s="3" customFormat="1" x14ac:dyDescent="0.25">
      <c r="A2863" s="20">
        <v>42093</v>
      </c>
      <c r="B2863" s="21">
        <v>16373</v>
      </c>
      <c r="C2863" s="14" t="s">
        <v>165</v>
      </c>
      <c r="D2863" s="103">
        <v>2343</v>
      </c>
      <c r="E2863" s="23">
        <v>42094</v>
      </c>
      <c r="F2863" s="106">
        <v>2343</v>
      </c>
      <c r="G2863" s="31">
        <f t="shared" si="44"/>
        <v>0</v>
      </c>
      <c r="H2863" s="132" t="s">
        <v>17</v>
      </c>
      <c r="J2863" s="42"/>
    </row>
    <row r="2864" spans="1:10" s="3" customFormat="1" x14ac:dyDescent="0.25">
      <c r="A2864" s="20">
        <v>42093</v>
      </c>
      <c r="B2864" s="21">
        <v>16374</v>
      </c>
      <c r="C2864" s="14" t="s">
        <v>367</v>
      </c>
      <c r="D2864" s="103">
        <v>6510</v>
      </c>
      <c r="E2864" s="30">
        <v>42109</v>
      </c>
      <c r="F2864" s="144">
        <v>6510</v>
      </c>
      <c r="G2864" s="31">
        <f t="shared" si="44"/>
        <v>0</v>
      </c>
      <c r="H2864" s="132" t="s">
        <v>46</v>
      </c>
      <c r="J2864" s="42"/>
    </row>
    <row r="2865" spans="1:10" s="3" customFormat="1" x14ac:dyDescent="0.25">
      <c r="A2865" s="20">
        <v>42093</v>
      </c>
      <c r="B2865" s="21">
        <v>16375</v>
      </c>
      <c r="C2865" s="14" t="s">
        <v>604</v>
      </c>
      <c r="D2865" s="103">
        <v>2038.5</v>
      </c>
      <c r="E2865" s="23">
        <v>42093</v>
      </c>
      <c r="F2865" s="106">
        <v>2038.5</v>
      </c>
      <c r="G2865" s="31">
        <f t="shared" si="44"/>
        <v>0</v>
      </c>
      <c r="H2865" s="132" t="s">
        <v>9</v>
      </c>
      <c r="J2865" s="42"/>
    </row>
    <row r="2866" spans="1:10" s="3" customFormat="1" x14ac:dyDescent="0.25">
      <c r="A2866" s="20">
        <v>42093</v>
      </c>
      <c r="B2866" s="21">
        <v>16376</v>
      </c>
      <c r="C2866" s="14" t="s">
        <v>84</v>
      </c>
      <c r="D2866" s="103">
        <v>24393.5</v>
      </c>
      <c r="E2866" s="30" t="s">
        <v>980</v>
      </c>
      <c r="F2866" s="144">
        <v>24393.5</v>
      </c>
      <c r="G2866" s="31">
        <f t="shared" si="44"/>
        <v>0</v>
      </c>
      <c r="H2866" s="132" t="s">
        <v>62</v>
      </c>
      <c r="J2866" s="42"/>
    </row>
    <row r="2867" spans="1:10" s="3" customFormat="1" x14ac:dyDescent="0.25">
      <c r="A2867" s="20">
        <v>42093</v>
      </c>
      <c r="B2867" s="21">
        <v>16377</v>
      </c>
      <c r="C2867" s="14" t="s">
        <v>151</v>
      </c>
      <c r="D2867" s="103">
        <v>2363.6</v>
      </c>
      <c r="E2867" s="23">
        <v>42094</v>
      </c>
      <c r="F2867" s="106">
        <v>2363.6</v>
      </c>
      <c r="G2867" s="31">
        <f t="shared" si="44"/>
        <v>0</v>
      </c>
      <c r="H2867" s="132" t="s">
        <v>9</v>
      </c>
      <c r="J2867" s="42"/>
    </row>
    <row r="2868" spans="1:10" s="3" customFormat="1" x14ac:dyDescent="0.25">
      <c r="A2868" s="20">
        <v>42093</v>
      </c>
      <c r="B2868" s="21">
        <v>16378</v>
      </c>
      <c r="C2868" s="14" t="s">
        <v>72</v>
      </c>
      <c r="D2868" s="103">
        <v>15802.3</v>
      </c>
      <c r="E2868" s="30" t="s">
        <v>1006</v>
      </c>
      <c r="F2868" s="144">
        <v>15802.3</v>
      </c>
      <c r="G2868" s="31">
        <f t="shared" si="44"/>
        <v>0</v>
      </c>
      <c r="H2868" s="132" t="s">
        <v>62</v>
      </c>
      <c r="J2868" s="42"/>
    </row>
    <row r="2869" spans="1:10" s="3" customFormat="1" x14ac:dyDescent="0.25">
      <c r="A2869" s="20">
        <v>42093</v>
      </c>
      <c r="B2869" s="21">
        <v>16379</v>
      </c>
      <c r="C2869" s="14" t="s">
        <v>173</v>
      </c>
      <c r="D2869" s="103">
        <v>25435.9</v>
      </c>
      <c r="E2869" s="30" t="s">
        <v>996</v>
      </c>
      <c r="F2869" s="144">
        <v>25435.9</v>
      </c>
      <c r="G2869" s="31">
        <f t="shared" si="44"/>
        <v>0</v>
      </c>
      <c r="H2869" s="132" t="s">
        <v>62</v>
      </c>
      <c r="J2869" s="42"/>
    </row>
    <row r="2870" spans="1:10" s="3" customFormat="1" x14ac:dyDescent="0.25">
      <c r="A2870" s="20">
        <v>42093</v>
      </c>
      <c r="B2870" s="21">
        <v>16380</v>
      </c>
      <c r="C2870" s="14" t="s">
        <v>78</v>
      </c>
      <c r="D2870" s="103">
        <v>7047.4</v>
      </c>
      <c r="E2870" s="23">
        <v>42094</v>
      </c>
      <c r="F2870" s="106">
        <v>7047.4</v>
      </c>
      <c r="G2870" s="31">
        <f t="shared" si="44"/>
        <v>0</v>
      </c>
      <c r="H2870" s="132" t="s">
        <v>62</v>
      </c>
      <c r="J2870" s="42"/>
    </row>
    <row r="2871" spans="1:10" s="3" customFormat="1" x14ac:dyDescent="0.25">
      <c r="A2871" s="20">
        <v>42093</v>
      </c>
      <c r="B2871" s="21">
        <v>16381</v>
      </c>
      <c r="C2871" s="14" t="s">
        <v>79</v>
      </c>
      <c r="D2871" s="103">
        <v>1253.04</v>
      </c>
      <c r="E2871" s="23">
        <v>42094</v>
      </c>
      <c r="F2871" s="106">
        <v>1253.04</v>
      </c>
      <c r="G2871" s="31">
        <f t="shared" si="44"/>
        <v>0</v>
      </c>
      <c r="H2871" s="132" t="s">
        <v>62</v>
      </c>
      <c r="J2871" s="42"/>
    </row>
    <row r="2872" spans="1:10" s="3" customFormat="1" x14ac:dyDescent="0.25">
      <c r="A2872" s="20">
        <v>42093</v>
      </c>
      <c r="B2872" s="21">
        <v>16382</v>
      </c>
      <c r="C2872" s="14" t="s">
        <v>170</v>
      </c>
      <c r="D2872" s="103">
        <v>3345.6</v>
      </c>
      <c r="E2872" s="23">
        <v>42094</v>
      </c>
      <c r="F2872" s="106">
        <v>3345.6</v>
      </c>
      <c r="G2872" s="31">
        <f t="shared" si="44"/>
        <v>0</v>
      </c>
      <c r="H2872" s="132" t="s">
        <v>62</v>
      </c>
      <c r="J2872" s="42"/>
    </row>
    <row r="2873" spans="1:10" s="3" customFormat="1" x14ac:dyDescent="0.25">
      <c r="A2873" s="20">
        <v>42093</v>
      </c>
      <c r="B2873" s="21">
        <v>16383</v>
      </c>
      <c r="C2873" s="14" t="s">
        <v>858</v>
      </c>
      <c r="D2873" s="103">
        <v>9426.4</v>
      </c>
      <c r="E2873" s="23">
        <v>42094</v>
      </c>
      <c r="F2873" s="106">
        <v>9426.4</v>
      </c>
      <c r="G2873" s="31">
        <f t="shared" si="44"/>
        <v>0</v>
      </c>
      <c r="H2873" s="132" t="s">
        <v>62</v>
      </c>
      <c r="J2873" s="42"/>
    </row>
    <row r="2874" spans="1:10" s="3" customFormat="1" x14ac:dyDescent="0.25">
      <c r="A2874" s="20">
        <v>42093</v>
      </c>
      <c r="B2874" s="21">
        <v>16384</v>
      </c>
      <c r="C2874" s="14" t="s">
        <v>75</v>
      </c>
      <c r="D2874" s="103">
        <v>21755.4</v>
      </c>
      <c r="E2874" s="23">
        <v>42094</v>
      </c>
      <c r="F2874" s="106">
        <v>21755.4</v>
      </c>
      <c r="G2874" s="31">
        <f t="shared" si="44"/>
        <v>0</v>
      </c>
      <c r="H2874" s="132" t="s">
        <v>62</v>
      </c>
      <c r="J2874" s="42"/>
    </row>
    <row r="2875" spans="1:10" s="3" customFormat="1" x14ac:dyDescent="0.25">
      <c r="A2875" s="20">
        <v>42093</v>
      </c>
      <c r="B2875" s="21">
        <v>16385</v>
      </c>
      <c r="C2875" s="14" t="s">
        <v>32</v>
      </c>
      <c r="D2875" s="103">
        <v>159361.41</v>
      </c>
      <c r="E2875" s="30">
        <v>42115</v>
      </c>
      <c r="F2875" s="144">
        <v>159361.41</v>
      </c>
      <c r="G2875" s="31">
        <f t="shared" si="44"/>
        <v>0</v>
      </c>
      <c r="H2875" s="132" t="s">
        <v>149</v>
      </c>
      <c r="J2875" s="42"/>
    </row>
    <row r="2876" spans="1:10" s="3" customFormat="1" x14ac:dyDescent="0.25">
      <c r="A2876" s="20">
        <v>42093</v>
      </c>
      <c r="B2876" s="21">
        <v>16386</v>
      </c>
      <c r="C2876" s="14" t="s">
        <v>65</v>
      </c>
      <c r="D2876" s="103">
        <v>19078.04</v>
      </c>
      <c r="E2876" s="23">
        <v>42094</v>
      </c>
      <c r="F2876" s="106">
        <v>19078.04</v>
      </c>
      <c r="G2876" s="31">
        <f t="shared" si="44"/>
        <v>0</v>
      </c>
      <c r="H2876" s="132" t="s">
        <v>62</v>
      </c>
      <c r="J2876" s="42"/>
    </row>
    <row r="2877" spans="1:10" s="3" customFormat="1" x14ac:dyDescent="0.25">
      <c r="A2877" s="20">
        <v>42093</v>
      </c>
      <c r="B2877" s="21">
        <v>16387</v>
      </c>
      <c r="C2877" s="14" t="s">
        <v>176</v>
      </c>
      <c r="D2877" s="103">
        <v>5245.2</v>
      </c>
      <c r="E2877" s="30" t="s">
        <v>981</v>
      </c>
      <c r="F2877" s="144">
        <v>5245.2</v>
      </c>
      <c r="G2877" s="31">
        <f t="shared" si="44"/>
        <v>0</v>
      </c>
      <c r="H2877" s="132" t="s">
        <v>62</v>
      </c>
      <c r="J2877" s="42"/>
    </row>
    <row r="2878" spans="1:10" s="3" customFormat="1" x14ac:dyDescent="0.25">
      <c r="A2878" s="20">
        <v>42093</v>
      </c>
      <c r="B2878" s="21">
        <v>16388</v>
      </c>
      <c r="C2878" s="14" t="s">
        <v>900</v>
      </c>
      <c r="D2878" s="103">
        <v>2290.4</v>
      </c>
      <c r="E2878" s="23">
        <v>42093</v>
      </c>
      <c r="F2878" s="106">
        <v>2290.4</v>
      </c>
      <c r="G2878" s="31">
        <f t="shared" si="44"/>
        <v>0</v>
      </c>
      <c r="H2878" s="132" t="s">
        <v>9</v>
      </c>
      <c r="J2878" s="42"/>
    </row>
    <row r="2879" spans="1:10" s="3" customFormat="1" x14ac:dyDescent="0.25">
      <c r="A2879" s="20">
        <v>42093</v>
      </c>
      <c r="B2879" s="21">
        <v>16389</v>
      </c>
      <c r="C2879" s="14" t="s">
        <v>65</v>
      </c>
      <c r="D2879" s="103">
        <v>4181.7</v>
      </c>
      <c r="E2879" s="23">
        <v>42094</v>
      </c>
      <c r="F2879" s="106">
        <v>4181.7</v>
      </c>
      <c r="G2879" s="31">
        <f t="shared" si="44"/>
        <v>0</v>
      </c>
      <c r="H2879" s="132" t="s">
        <v>62</v>
      </c>
      <c r="J2879" s="42"/>
    </row>
    <row r="2880" spans="1:10" s="3" customFormat="1" x14ac:dyDescent="0.25">
      <c r="A2880" s="20">
        <v>42093</v>
      </c>
      <c r="B2880" s="21">
        <v>16390</v>
      </c>
      <c r="C2880" s="14" t="s">
        <v>104</v>
      </c>
      <c r="D2880" s="103">
        <v>12817.8</v>
      </c>
      <c r="E2880" s="23">
        <v>42094</v>
      </c>
      <c r="F2880" s="106">
        <v>12817.8</v>
      </c>
      <c r="G2880" s="31">
        <f t="shared" si="44"/>
        <v>0</v>
      </c>
      <c r="H2880" s="132" t="s">
        <v>94</v>
      </c>
      <c r="J2880" s="42"/>
    </row>
    <row r="2881" spans="1:10" s="3" customFormat="1" x14ac:dyDescent="0.25">
      <c r="A2881" s="20">
        <v>42093</v>
      </c>
      <c r="B2881" s="21">
        <v>16391</v>
      </c>
      <c r="C2881" s="26" t="s">
        <v>218</v>
      </c>
      <c r="D2881" s="153">
        <v>0</v>
      </c>
      <c r="E2881" s="23"/>
      <c r="F2881" s="106"/>
      <c r="G2881" s="31">
        <f t="shared" si="44"/>
        <v>0</v>
      </c>
      <c r="H2881" s="132" t="s">
        <v>13</v>
      </c>
      <c r="J2881" s="42"/>
    </row>
    <row r="2882" spans="1:10" s="3" customFormat="1" x14ac:dyDescent="0.25">
      <c r="A2882" s="20">
        <v>42093</v>
      </c>
      <c r="B2882" s="21">
        <v>16392</v>
      </c>
      <c r="C2882" s="14" t="s">
        <v>135</v>
      </c>
      <c r="D2882" s="103">
        <v>1096.5</v>
      </c>
      <c r="E2882" s="23">
        <v>42093</v>
      </c>
      <c r="F2882" s="106">
        <v>1096.5</v>
      </c>
      <c r="G2882" s="31">
        <f t="shared" si="44"/>
        <v>0</v>
      </c>
      <c r="H2882" s="132" t="s">
        <v>9</v>
      </c>
      <c r="J2882" s="42"/>
    </row>
    <row r="2883" spans="1:10" s="3" customFormat="1" x14ac:dyDescent="0.25">
      <c r="A2883" s="20">
        <v>42093</v>
      </c>
      <c r="B2883" s="21">
        <v>16393</v>
      </c>
      <c r="C2883" s="14" t="s">
        <v>250</v>
      </c>
      <c r="D2883" s="103">
        <v>3010.8</v>
      </c>
      <c r="E2883" s="23">
        <v>42094</v>
      </c>
      <c r="F2883" s="106">
        <v>3010.8</v>
      </c>
      <c r="G2883" s="31">
        <f t="shared" ref="G2883:G2946" si="45">D2883-F2883</f>
        <v>0</v>
      </c>
      <c r="H2883" s="132" t="s">
        <v>94</v>
      </c>
      <c r="J2883" s="42"/>
    </row>
    <row r="2884" spans="1:10" s="3" customFormat="1" x14ac:dyDescent="0.25">
      <c r="A2884" s="20">
        <v>42093</v>
      </c>
      <c r="B2884" s="21">
        <v>16394</v>
      </c>
      <c r="C2884" s="14" t="s">
        <v>95</v>
      </c>
      <c r="D2884" s="103">
        <v>1344</v>
      </c>
      <c r="E2884" s="23">
        <v>42094</v>
      </c>
      <c r="F2884" s="106">
        <v>1344</v>
      </c>
      <c r="G2884" s="31">
        <f t="shared" si="45"/>
        <v>0</v>
      </c>
      <c r="H2884" s="132" t="s">
        <v>94</v>
      </c>
      <c r="J2884" s="42"/>
    </row>
    <row r="2885" spans="1:10" s="3" customFormat="1" x14ac:dyDescent="0.25">
      <c r="A2885" s="20">
        <v>42093</v>
      </c>
      <c r="B2885" s="21">
        <v>16395</v>
      </c>
      <c r="C2885" s="14" t="s">
        <v>239</v>
      </c>
      <c r="D2885" s="103">
        <v>352.8</v>
      </c>
      <c r="E2885" s="23">
        <v>42093</v>
      </c>
      <c r="F2885" s="106">
        <v>352.8</v>
      </c>
      <c r="G2885" s="31">
        <f t="shared" si="45"/>
        <v>0</v>
      </c>
      <c r="H2885" s="132" t="s">
        <v>9</v>
      </c>
      <c r="J2885" s="42"/>
    </row>
    <row r="2886" spans="1:10" s="3" customFormat="1" x14ac:dyDescent="0.25">
      <c r="A2886" s="20">
        <v>42093</v>
      </c>
      <c r="B2886" s="21">
        <v>16396</v>
      </c>
      <c r="C2886" s="14" t="s">
        <v>190</v>
      </c>
      <c r="D2886" s="103">
        <v>5667.65</v>
      </c>
      <c r="E2886" s="23">
        <v>42094</v>
      </c>
      <c r="F2886" s="106">
        <v>5667.65</v>
      </c>
      <c r="G2886" s="31">
        <f t="shared" si="45"/>
        <v>0</v>
      </c>
      <c r="H2886" s="132" t="s">
        <v>94</v>
      </c>
      <c r="J2886" s="42"/>
    </row>
    <row r="2887" spans="1:10" s="3" customFormat="1" x14ac:dyDescent="0.25">
      <c r="A2887" s="20">
        <v>42093</v>
      </c>
      <c r="B2887" s="21">
        <v>16397</v>
      </c>
      <c r="C2887" s="14" t="s">
        <v>98</v>
      </c>
      <c r="D2887" s="103">
        <v>1661.1</v>
      </c>
      <c r="E2887" s="23">
        <v>42094</v>
      </c>
      <c r="F2887" s="106">
        <v>1661.1</v>
      </c>
      <c r="G2887" s="31">
        <f t="shared" si="45"/>
        <v>0</v>
      </c>
      <c r="H2887" s="132" t="s">
        <v>94</v>
      </c>
      <c r="J2887" s="42"/>
    </row>
    <row r="2888" spans="1:10" s="3" customFormat="1" x14ac:dyDescent="0.25">
      <c r="A2888" s="20">
        <v>42093</v>
      </c>
      <c r="B2888" s="21">
        <v>16398</v>
      </c>
      <c r="C2888" s="14" t="s">
        <v>136</v>
      </c>
      <c r="D2888" s="103">
        <v>32467.200000000001</v>
      </c>
      <c r="E2888" s="23">
        <v>42094</v>
      </c>
      <c r="F2888" s="106">
        <v>32467.200000000001</v>
      </c>
      <c r="G2888" s="31">
        <f t="shared" si="45"/>
        <v>0</v>
      </c>
      <c r="H2888" s="132" t="s">
        <v>9</v>
      </c>
      <c r="J2888" s="42"/>
    </row>
    <row r="2889" spans="1:10" s="3" customFormat="1" x14ac:dyDescent="0.25">
      <c r="A2889" s="20">
        <v>42093</v>
      </c>
      <c r="B2889" s="21">
        <v>16399</v>
      </c>
      <c r="C2889" s="14" t="s">
        <v>66</v>
      </c>
      <c r="D2889" s="103">
        <v>426.3</v>
      </c>
      <c r="E2889" s="23">
        <v>42093</v>
      </c>
      <c r="F2889" s="106">
        <v>426.3</v>
      </c>
      <c r="G2889" s="31">
        <f t="shared" si="45"/>
        <v>0</v>
      </c>
      <c r="H2889" s="132" t="s">
        <v>9</v>
      </c>
      <c r="J2889" s="42"/>
    </row>
    <row r="2890" spans="1:10" s="3" customFormat="1" x14ac:dyDescent="0.25">
      <c r="A2890" s="20">
        <v>42093</v>
      </c>
      <c r="B2890" s="21">
        <v>16400</v>
      </c>
      <c r="C2890" s="14" t="s">
        <v>89</v>
      </c>
      <c r="D2890" s="103">
        <v>782.6</v>
      </c>
      <c r="E2890" s="23">
        <v>42093</v>
      </c>
      <c r="F2890" s="106">
        <v>782.6</v>
      </c>
      <c r="G2890" s="31">
        <f t="shared" si="45"/>
        <v>0</v>
      </c>
      <c r="H2890" s="132" t="s">
        <v>9</v>
      </c>
      <c r="J2890" s="42"/>
    </row>
    <row r="2891" spans="1:10" s="3" customFormat="1" x14ac:dyDescent="0.25">
      <c r="A2891" s="20">
        <v>42093</v>
      </c>
      <c r="B2891" s="21">
        <v>16401</v>
      </c>
      <c r="C2891" s="14" t="s">
        <v>185</v>
      </c>
      <c r="D2891" s="103">
        <v>27632.799999999999</v>
      </c>
      <c r="E2891" s="23">
        <v>42094</v>
      </c>
      <c r="F2891" s="106">
        <v>27632.799999999999</v>
      </c>
      <c r="G2891" s="31">
        <f t="shared" si="45"/>
        <v>0</v>
      </c>
      <c r="H2891" s="132" t="s">
        <v>46</v>
      </c>
      <c r="J2891" s="42"/>
    </row>
    <row r="2892" spans="1:10" s="3" customFormat="1" x14ac:dyDescent="0.25">
      <c r="A2892" s="20">
        <v>42093</v>
      </c>
      <c r="B2892" s="21">
        <v>16402</v>
      </c>
      <c r="C2892" s="14" t="s">
        <v>24</v>
      </c>
      <c r="D2892" s="103">
        <v>46112.65</v>
      </c>
      <c r="E2892" s="30">
        <v>42115</v>
      </c>
      <c r="F2892" s="144">
        <v>46112.65</v>
      </c>
      <c r="G2892" s="31">
        <f t="shared" si="45"/>
        <v>0</v>
      </c>
      <c r="H2892" s="132" t="s">
        <v>46</v>
      </c>
      <c r="J2892" s="42"/>
    </row>
    <row r="2893" spans="1:10" s="3" customFormat="1" x14ac:dyDescent="0.25">
      <c r="A2893" s="20">
        <v>42093</v>
      </c>
      <c r="B2893" s="21">
        <v>16403</v>
      </c>
      <c r="C2893" s="14" t="s">
        <v>107</v>
      </c>
      <c r="D2893" s="103">
        <v>3238.4</v>
      </c>
      <c r="E2893" s="23">
        <v>42093</v>
      </c>
      <c r="F2893" s="106">
        <v>3238.4</v>
      </c>
      <c r="G2893" s="31">
        <f t="shared" si="45"/>
        <v>0</v>
      </c>
      <c r="H2893" s="132" t="s">
        <v>9</v>
      </c>
      <c r="J2893" s="42"/>
    </row>
    <row r="2894" spans="1:10" s="3" customFormat="1" x14ac:dyDescent="0.25">
      <c r="A2894" s="20">
        <v>42093</v>
      </c>
      <c r="B2894" s="21">
        <v>16404</v>
      </c>
      <c r="C2894" s="14" t="s">
        <v>87</v>
      </c>
      <c r="D2894" s="103">
        <v>1720.4</v>
      </c>
      <c r="E2894" s="23">
        <v>42093</v>
      </c>
      <c r="F2894" s="106">
        <v>1720.4</v>
      </c>
      <c r="G2894" s="31">
        <f t="shared" si="45"/>
        <v>0</v>
      </c>
      <c r="H2894" s="132" t="s">
        <v>41</v>
      </c>
      <c r="J2894" s="42"/>
    </row>
    <row r="2895" spans="1:10" s="3" customFormat="1" x14ac:dyDescent="0.25">
      <c r="A2895" s="20">
        <v>42093</v>
      </c>
      <c r="B2895" s="21">
        <v>16405</v>
      </c>
      <c r="C2895" s="14" t="s">
        <v>42</v>
      </c>
      <c r="D2895" s="103">
        <v>76</v>
      </c>
      <c r="E2895" s="23">
        <v>42093</v>
      </c>
      <c r="F2895" s="106">
        <v>76</v>
      </c>
      <c r="G2895" s="31">
        <f t="shared" si="45"/>
        <v>0</v>
      </c>
      <c r="H2895" s="132" t="s">
        <v>9</v>
      </c>
      <c r="J2895" s="42"/>
    </row>
    <row r="2896" spans="1:10" s="3" customFormat="1" x14ac:dyDescent="0.25">
      <c r="A2896" s="20">
        <v>42093</v>
      </c>
      <c r="B2896" s="21">
        <v>16406</v>
      </c>
      <c r="C2896" s="14" t="s">
        <v>416</v>
      </c>
      <c r="D2896" s="103">
        <v>126</v>
      </c>
      <c r="E2896" s="23">
        <v>42093</v>
      </c>
      <c r="F2896" s="106">
        <v>126</v>
      </c>
      <c r="G2896" s="31">
        <f t="shared" si="45"/>
        <v>0</v>
      </c>
      <c r="H2896" s="132" t="s">
        <v>9</v>
      </c>
      <c r="J2896" s="42"/>
    </row>
    <row r="2897" spans="1:10" s="3" customFormat="1" x14ac:dyDescent="0.25">
      <c r="A2897" s="20">
        <v>42093</v>
      </c>
      <c r="B2897" s="21">
        <v>16407</v>
      </c>
      <c r="C2897" s="14" t="s">
        <v>151</v>
      </c>
      <c r="D2897" s="103">
        <v>2623.3</v>
      </c>
      <c r="E2897" s="23">
        <v>42093</v>
      </c>
      <c r="F2897" s="106">
        <v>2623.3</v>
      </c>
      <c r="G2897" s="31">
        <f t="shared" si="45"/>
        <v>0</v>
      </c>
      <c r="H2897" s="132" t="s">
        <v>9</v>
      </c>
      <c r="J2897" s="42"/>
    </row>
    <row r="2898" spans="1:10" s="3" customFormat="1" x14ac:dyDescent="0.25">
      <c r="A2898" s="20">
        <v>42093</v>
      </c>
      <c r="B2898" s="21">
        <v>16408</v>
      </c>
      <c r="C2898" s="14" t="s">
        <v>256</v>
      </c>
      <c r="D2898" s="103">
        <v>3544.8</v>
      </c>
      <c r="E2898" s="23">
        <v>42094</v>
      </c>
      <c r="F2898" s="106">
        <v>3544.8</v>
      </c>
      <c r="G2898" s="31">
        <f t="shared" si="45"/>
        <v>0</v>
      </c>
      <c r="H2898" s="132" t="s">
        <v>773</v>
      </c>
      <c r="J2898" s="42"/>
    </row>
    <row r="2899" spans="1:10" s="3" customFormat="1" x14ac:dyDescent="0.25">
      <c r="A2899" s="20">
        <v>42093</v>
      </c>
      <c r="B2899" s="21">
        <v>16409</v>
      </c>
      <c r="C2899" s="14" t="s">
        <v>63</v>
      </c>
      <c r="D2899" s="103">
        <v>1404</v>
      </c>
      <c r="E2899" s="23">
        <v>42094</v>
      </c>
      <c r="F2899" s="106">
        <v>1404</v>
      </c>
      <c r="G2899" s="31">
        <f t="shared" si="45"/>
        <v>0</v>
      </c>
      <c r="H2899" s="132" t="s">
        <v>773</v>
      </c>
      <c r="J2899" s="42"/>
    </row>
    <row r="2900" spans="1:10" s="3" customFormat="1" x14ac:dyDescent="0.25">
      <c r="A2900" s="20">
        <v>42093</v>
      </c>
      <c r="B2900" s="21">
        <v>16410</v>
      </c>
      <c r="C2900" s="14" t="s">
        <v>56</v>
      </c>
      <c r="D2900" s="103">
        <v>3326.4</v>
      </c>
      <c r="E2900" s="23">
        <v>42094</v>
      </c>
      <c r="F2900" s="106">
        <v>3326.4</v>
      </c>
      <c r="G2900" s="31">
        <f t="shared" si="45"/>
        <v>0</v>
      </c>
      <c r="H2900" s="132" t="s">
        <v>773</v>
      </c>
      <c r="J2900" s="42"/>
    </row>
    <row r="2901" spans="1:10" s="3" customFormat="1" x14ac:dyDescent="0.25">
      <c r="A2901" s="20">
        <v>42093</v>
      </c>
      <c r="B2901" s="21">
        <v>16411</v>
      </c>
      <c r="C2901" s="14" t="s">
        <v>464</v>
      </c>
      <c r="D2901" s="103">
        <v>2327.5</v>
      </c>
      <c r="E2901" s="23">
        <v>42093</v>
      </c>
      <c r="F2901" s="106">
        <v>2327.5</v>
      </c>
      <c r="G2901" s="31">
        <f t="shared" si="45"/>
        <v>0</v>
      </c>
      <c r="H2901" s="132" t="s">
        <v>9</v>
      </c>
      <c r="J2901" s="42"/>
    </row>
    <row r="2902" spans="1:10" s="3" customFormat="1" x14ac:dyDescent="0.25">
      <c r="A2902" s="20">
        <v>42093</v>
      </c>
      <c r="B2902" s="21">
        <v>16412</v>
      </c>
      <c r="C2902" s="14" t="s">
        <v>35</v>
      </c>
      <c r="D2902" s="103">
        <v>552.4</v>
      </c>
      <c r="E2902" s="23">
        <v>42093</v>
      </c>
      <c r="F2902" s="106">
        <v>552.4</v>
      </c>
      <c r="G2902" s="31">
        <f t="shared" si="45"/>
        <v>0</v>
      </c>
      <c r="H2902" s="132" t="s">
        <v>9</v>
      </c>
      <c r="J2902" s="42"/>
    </row>
    <row r="2903" spans="1:10" s="3" customFormat="1" x14ac:dyDescent="0.25">
      <c r="A2903" s="20">
        <v>42093</v>
      </c>
      <c r="B2903" s="21">
        <v>16413</v>
      </c>
      <c r="C2903" s="14" t="s">
        <v>440</v>
      </c>
      <c r="D2903" s="103">
        <v>12604.6</v>
      </c>
      <c r="E2903" s="23">
        <v>42093</v>
      </c>
      <c r="F2903" s="106">
        <v>12604.6</v>
      </c>
      <c r="G2903" s="31">
        <f t="shared" si="45"/>
        <v>0</v>
      </c>
      <c r="H2903" s="132" t="s">
        <v>9</v>
      </c>
      <c r="J2903" s="42"/>
    </row>
    <row r="2904" spans="1:10" s="3" customFormat="1" x14ac:dyDescent="0.25">
      <c r="A2904" s="20">
        <v>42093</v>
      </c>
      <c r="B2904" s="21">
        <v>16414</v>
      </c>
      <c r="C2904" s="14" t="s">
        <v>90</v>
      </c>
      <c r="D2904" s="103">
        <v>1184</v>
      </c>
      <c r="E2904" s="23">
        <v>42093</v>
      </c>
      <c r="F2904" s="106">
        <v>1184</v>
      </c>
      <c r="G2904" s="31">
        <f t="shared" si="45"/>
        <v>0</v>
      </c>
      <c r="H2904" s="132" t="s">
        <v>9</v>
      </c>
      <c r="J2904" s="42"/>
    </row>
    <row r="2905" spans="1:10" s="3" customFormat="1" x14ac:dyDescent="0.25">
      <c r="A2905" s="20">
        <v>42093</v>
      </c>
      <c r="B2905" s="21">
        <v>16415</v>
      </c>
      <c r="C2905" s="14" t="s">
        <v>472</v>
      </c>
      <c r="D2905" s="103">
        <v>29464.6</v>
      </c>
      <c r="E2905" s="30" t="s">
        <v>1000</v>
      </c>
      <c r="F2905" s="144">
        <f>15100+14364.6</f>
        <v>29464.6</v>
      </c>
      <c r="G2905" s="31">
        <f t="shared" si="45"/>
        <v>0</v>
      </c>
      <c r="H2905" s="132" t="s">
        <v>17</v>
      </c>
      <c r="J2905" s="42"/>
    </row>
    <row r="2906" spans="1:10" s="3" customFormat="1" x14ac:dyDescent="0.25">
      <c r="A2906" s="20">
        <v>42093</v>
      </c>
      <c r="B2906" s="21">
        <v>16416</v>
      </c>
      <c r="C2906" s="14" t="s">
        <v>235</v>
      </c>
      <c r="D2906" s="103">
        <v>2501.1999999999998</v>
      </c>
      <c r="E2906" s="23">
        <v>42094</v>
      </c>
      <c r="F2906" s="106">
        <v>2501.1999999999998</v>
      </c>
      <c r="G2906" s="31">
        <f t="shared" si="45"/>
        <v>0</v>
      </c>
      <c r="H2906" s="132" t="s">
        <v>17</v>
      </c>
      <c r="J2906" s="42"/>
    </row>
    <row r="2907" spans="1:10" s="3" customFormat="1" x14ac:dyDescent="0.25">
      <c r="A2907" s="20">
        <v>42093</v>
      </c>
      <c r="B2907" s="21">
        <v>16417</v>
      </c>
      <c r="C2907" s="14" t="s">
        <v>24</v>
      </c>
      <c r="D2907" s="103">
        <v>9126</v>
      </c>
      <c r="E2907" s="30">
        <v>42108</v>
      </c>
      <c r="F2907" s="144">
        <v>9126</v>
      </c>
      <c r="G2907" s="31">
        <f t="shared" si="45"/>
        <v>0</v>
      </c>
      <c r="H2907" s="132" t="s">
        <v>17</v>
      </c>
      <c r="J2907" s="42"/>
    </row>
    <row r="2908" spans="1:10" s="3" customFormat="1" x14ac:dyDescent="0.25">
      <c r="A2908" s="20">
        <v>42093</v>
      </c>
      <c r="B2908" s="21">
        <v>16418</v>
      </c>
      <c r="C2908" s="14" t="s">
        <v>420</v>
      </c>
      <c r="D2908" s="103">
        <v>3564.4</v>
      </c>
      <c r="E2908" s="30">
        <v>42095</v>
      </c>
      <c r="F2908" s="144">
        <v>3564.4</v>
      </c>
      <c r="G2908" s="31">
        <f t="shared" si="45"/>
        <v>0</v>
      </c>
      <c r="H2908" s="132" t="s">
        <v>149</v>
      </c>
      <c r="J2908" s="42"/>
    </row>
    <row r="2909" spans="1:10" s="3" customFormat="1" x14ac:dyDescent="0.25">
      <c r="A2909" s="20">
        <v>42093</v>
      </c>
      <c r="B2909" s="21">
        <v>16419</v>
      </c>
      <c r="C2909" s="14" t="s">
        <v>197</v>
      </c>
      <c r="D2909" s="103">
        <v>4337.88</v>
      </c>
      <c r="E2909" s="30">
        <v>42095</v>
      </c>
      <c r="F2909" s="144">
        <v>4337.88</v>
      </c>
      <c r="G2909" s="31">
        <f t="shared" si="45"/>
        <v>0</v>
      </c>
      <c r="H2909" s="132" t="s">
        <v>149</v>
      </c>
      <c r="J2909" s="42"/>
    </row>
    <row r="2910" spans="1:10" s="3" customFormat="1" x14ac:dyDescent="0.25">
      <c r="A2910" s="20">
        <v>42093</v>
      </c>
      <c r="B2910" s="21">
        <v>16420</v>
      </c>
      <c r="C2910" s="14" t="s">
        <v>733</v>
      </c>
      <c r="D2910" s="103">
        <v>5061.6000000000004</v>
      </c>
      <c r="E2910" s="30">
        <v>42095</v>
      </c>
      <c r="F2910" s="144">
        <v>5061.6000000000004</v>
      </c>
      <c r="G2910" s="31">
        <f t="shared" si="45"/>
        <v>0</v>
      </c>
      <c r="H2910" s="132" t="s">
        <v>149</v>
      </c>
      <c r="J2910" s="42"/>
    </row>
    <row r="2911" spans="1:10" s="3" customFormat="1" x14ac:dyDescent="0.25">
      <c r="A2911" s="20">
        <v>42093</v>
      </c>
      <c r="B2911" s="21">
        <v>16421</v>
      </c>
      <c r="C2911" s="14" t="s">
        <v>206</v>
      </c>
      <c r="D2911" s="103">
        <v>17598</v>
      </c>
      <c r="E2911" s="30" t="s">
        <v>966</v>
      </c>
      <c r="F2911" s="144">
        <v>17598</v>
      </c>
      <c r="G2911" s="31">
        <f t="shared" si="45"/>
        <v>0</v>
      </c>
      <c r="H2911" s="132" t="s">
        <v>149</v>
      </c>
      <c r="J2911" s="42"/>
    </row>
    <row r="2912" spans="1:10" s="3" customFormat="1" x14ac:dyDescent="0.25">
      <c r="A2912" s="20">
        <v>42093</v>
      </c>
      <c r="B2912" s="21">
        <v>16422</v>
      </c>
      <c r="C2912" s="14" t="s">
        <v>206</v>
      </c>
      <c r="D2912" s="103">
        <v>43041.84</v>
      </c>
      <c r="E2912" s="30" t="s">
        <v>966</v>
      </c>
      <c r="F2912" s="144">
        <v>43041.84</v>
      </c>
      <c r="G2912" s="31">
        <f t="shared" si="45"/>
        <v>0</v>
      </c>
      <c r="H2912" s="132" t="s">
        <v>149</v>
      </c>
      <c r="J2912" s="42"/>
    </row>
    <row r="2913" spans="1:10" s="3" customFormat="1" x14ac:dyDescent="0.25">
      <c r="A2913" s="20">
        <v>42093</v>
      </c>
      <c r="B2913" s="21">
        <v>16423</v>
      </c>
      <c r="C2913" s="14" t="s">
        <v>80</v>
      </c>
      <c r="D2913" s="103">
        <v>6973.4</v>
      </c>
      <c r="E2913" s="23">
        <v>42093</v>
      </c>
      <c r="F2913" s="106">
        <v>6973.4</v>
      </c>
      <c r="G2913" s="31">
        <f t="shared" si="45"/>
        <v>0</v>
      </c>
      <c r="H2913" s="132" t="s">
        <v>9</v>
      </c>
      <c r="J2913" s="42"/>
    </row>
    <row r="2914" spans="1:10" s="3" customFormat="1" x14ac:dyDescent="0.25">
      <c r="A2914" s="20">
        <v>42093</v>
      </c>
      <c r="B2914" s="21">
        <v>16424</v>
      </c>
      <c r="C2914" s="14" t="s">
        <v>195</v>
      </c>
      <c r="D2914" s="103">
        <v>154157.62</v>
      </c>
      <c r="E2914" s="97" t="s">
        <v>947</v>
      </c>
      <c r="F2914" s="144">
        <v>154157.62</v>
      </c>
      <c r="G2914" s="31">
        <f t="shared" si="45"/>
        <v>0</v>
      </c>
      <c r="H2914" s="132" t="s">
        <v>149</v>
      </c>
      <c r="J2914" s="42"/>
    </row>
    <row r="2915" spans="1:10" s="3" customFormat="1" x14ac:dyDescent="0.25">
      <c r="A2915" s="20">
        <v>42093</v>
      </c>
      <c r="B2915" s="21">
        <v>16425</v>
      </c>
      <c r="C2915" s="14" t="s">
        <v>446</v>
      </c>
      <c r="D2915" s="103">
        <v>10712.2</v>
      </c>
      <c r="E2915" s="30" t="s">
        <v>967</v>
      </c>
      <c r="F2915" s="144">
        <v>10712.2</v>
      </c>
      <c r="G2915" s="31">
        <f t="shared" si="45"/>
        <v>0</v>
      </c>
      <c r="H2915" s="132" t="s">
        <v>9</v>
      </c>
      <c r="J2915" s="42"/>
    </row>
    <row r="2916" spans="1:10" s="3" customFormat="1" x14ac:dyDescent="0.25">
      <c r="A2916" s="20">
        <v>42093</v>
      </c>
      <c r="B2916" s="21">
        <v>16426</v>
      </c>
      <c r="C2916" s="14" t="s">
        <v>877</v>
      </c>
      <c r="D2916" s="103">
        <v>3334.1</v>
      </c>
      <c r="E2916" s="30">
        <v>42095</v>
      </c>
      <c r="F2916" s="144">
        <v>3334.1</v>
      </c>
      <c r="G2916" s="31">
        <f t="shared" si="45"/>
        <v>0</v>
      </c>
      <c r="H2916" s="132" t="s">
        <v>149</v>
      </c>
      <c r="J2916" s="42"/>
    </row>
    <row r="2917" spans="1:10" s="3" customFormat="1" x14ac:dyDescent="0.25">
      <c r="A2917" s="20">
        <v>42093</v>
      </c>
      <c r="B2917" s="21">
        <v>16427</v>
      </c>
      <c r="C2917" s="14" t="s">
        <v>834</v>
      </c>
      <c r="D2917" s="103">
        <v>4620.2</v>
      </c>
      <c r="E2917" s="23">
        <v>42093</v>
      </c>
      <c r="F2917" s="106">
        <v>4620.2</v>
      </c>
      <c r="G2917" s="31">
        <f t="shared" si="45"/>
        <v>0</v>
      </c>
      <c r="H2917" s="132" t="s">
        <v>9</v>
      </c>
      <c r="J2917" s="42"/>
    </row>
    <row r="2918" spans="1:10" s="3" customFormat="1" x14ac:dyDescent="0.25">
      <c r="A2918" s="20">
        <v>42093</v>
      </c>
      <c r="B2918" s="21">
        <v>16428</v>
      </c>
      <c r="C2918" s="14" t="s">
        <v>207</v>
      </c>
      <c r="D2918" s="103">
        <v>24592.25</v>
      </c>
      <c r="E2918" s="30">
        <v>42099</v>
      </c>
      <c r="F2918" s="144">
        <v>24592.25</v>
      </c>
      <c r="G2918" s="31">
        <f t="shared" si="45"/>
        <v>0</v>
      </c>
      <c r="H2918" s="132" t="s">
        <v>149</v>
      </c>
      <c r="J2918" s="42"/>
    </row>
    <row r="2919" spans="1:10" s="3" customFormat="1" x14ac:dyDescent="0.25">
      <c r="A2919" s="20">
        <v>42093</v>
      </c>
      <c r="B2919" s="21">
        <v>16429</v>
      </c>
      <c r="C2919" s="26" t="s">
        <v>218</v>
      </c>
      <c r="D2919" s="153">
        <v>0</v>
      </c>
      <c r="E2919" s="23"/>
      <c r="F2919" s="106"/>
      <c r="G2919" s="31">
        <f t="shared" si="45"/>
        <v>0</v>
      </c>
      <c r="H2919" s="132" t="s">
        <v>13</v>
      </c>
      <c r="J2919" s="42"/>
    </row>
    <row r="2920" spans="1:10" s="3" customFormat="1" x14ac:dyDescent="0.25">
      <c r="A2920" s="20">
        <v>42093</v>
      </c>
      <c r="B2920" s="21">
        <v>16430</v>
      </c>
      <c r="C2920" s="14" t="s">
        <v>74</v>
      </c>
      <c r="D2920" s="103">
        <v>2129.2800000000002</v>
      </c>
      <c r="E2920" s="23">
        <v>42093</v>
      </c>
      <c r="F2920" s="106">
        <v>2129.2800000000002</v>
      </c>
      <c r="G2920" s="31">
        <f t="shared" si="45"/>
        <v>0</v>
      </c>
      <c r="H2920" s="132" t="s">
        <v>9</v>
      </c>
      <c r="J2920" s="42"/>
    </row>
    <row r="2921" spans="1:10" s="3" customFormat="1" x14ac:dyDescent="0.25">
      <c r="A2921" s="20">
        <v>42093</v>
      </c>
      <c r="B2921" s="21">
        <v>16431</v>
      </c>
      <c r="C2921" s="14" t="s">
        <v>203</v>
      </c>
      <c r="D2921" s="103">
        <v>3066.9</v>
      </c>
      <c r="E2921" s="30">
        <v>42095</v>
      </c>
      <c r="F2921" s="144">
        <v>3066.9</v>
      </c>
      <c r="G2921" s="31">
        <f t="shared" si="45"/>
        <v>0</v>
      </c>
      <c r="H2921" s="132" t="s">
        <v>149</v>
      </c>
      <c r="J2921" s="42"/>
    </row>
    <row r="2922" spans="1:10" s="3" customFormat="1" x14ac:dyDescent="0.25">
      <c r="A2922" s="20">
        <v>42093</v>
      </c>
      <c r="B2922" s="21">
        <v>16432</v>
      </c>
      <c r="C2922" s="14" t="s">
        <v>806</v>
      </c>
      <c r="D2922" s="103">
        <v>13649.3</v>
      </c>
      <c r="E2922" s="30">
        <v>42095</v>
      </c>
      <c r="F2922" s="144">
        <v>13649.3</v>
      </c>
      <c r="G2922" s="31">
        <f t="shared" si="45"/>
        <v>0</v>
      </c>
      <c r="H2922" s="132" t="s">
        <v>149</v>
      </c>
      <c r="J2922" s="42"/>
    </row>
    <row r="2923" spans="1:10" s="3" customFormat="1" x14ac:dyDescent="0.25">
      <c r="A2923" s="20">
        <v>42093</v>
      </c>
      <c r="B2923" s="21">
        <v>16433</v>
      </c>
      <c r="C2923" s="14" t="s">
        <v>829</v>
      </c>
      <c r="D2923" s="103">
        <v>6183.5</v>
      </c>
      <c r="E2923" s="23">
        <v>42093</v>
      </c>
      <c r="F2923" s="106">
        <v>6183.5</v>
      </c>
      <c r="G2923" s="31">
        <f t="shared" si="45"/>
        <v>0</v>
      </c>
      <c r="H2923" s="132" t="s">
        <v>9</v>
      </c>
      <c r="J2923" s="42"/>
    </row>
    <row r="2924" spans="1:10" s="3" customFormat="1" x14ac:dyDescent="0.25">
      <c r="A2924" s="20">
        <v>42093</v>
      </c>
      <c r="B2924" s="21">
        <v>16434</v>
      </c>
      <c r="C2924" s="14" t="s">
        <v>199</v>
      </c>
      <c r="D2924" s="103">
        <v>7511.8</v>
      </c>
      <c r="E2924" s="30">
        <v>42095</v>
      </c>
      <c r="F2924" s="144">
        <v>7511.8</v>
      </c>
      <c r="G2924" s="31">
        <f t="shared" si="45"/>
        <v>0</v>
      </c>
      <c r="H2924" s="132" t="s">
        <v>149</v>
      </c>
      <c r="J2924" s="42"/>
    </row>
    <row r="2925" spans="1:10" s="3" customFormat="1" x14ac:dyDescent="0.25">
      <c r="A2925" s="20">
        <v>42093</v>
      </c>
      <c r="B2925" s="21">
        <v>16435</v>
      </c>
      <c r="C2925" s="14" t="s">
        <v>552</v>
      </c>
      <c r="D2925" s="103">
        <v>5844.7</v>
      </c>
      <c r="E2925" s="30">
        <v>42095</v>
      </c>
      <c r="F2925" s="144">
        <v>5844.7</v>
      </c>
      <c r="G2925" s="31">
        <f t="shared" si="45"/>
        <v>0</v>
      </c>
      <c r="H2925" s="132" t="s">
        <v>149</v>
      </c>
      <c r="J2925" s="42"/>
    </row>
    <row r="2926" spans="1:10" s="3" customFormat="1" x14ac:dyDescent="0.25">
      <c r="A2926" s="20">
        <v>42093</v>
      </c>
      <c r="B2926" s="21">
        <v>16436</v>
      </c>
      <c r="C2926" s="14" t="s">
        <v>420</v>
      </c>
      <c r="D2926" s="103">
        <v>4403.7</v>
      </c>
      <c r="E2926" s="30">
        <v>42095</v>
      </c>
      <c r="F2926" s="144">
        <v>4403.7</v>
      </c>
      <c r="G2926" s="31">
        <f t="shared" si="45"/>
        <v>0</v>
      </c>
      <c r="H2926" s="132" t="s">
        <v>149</v>
      </c>
      <c r="J2926" s="42"/>
    </row>
    <row r="2927" spans="1:10" s="3" customFormat="1" x14ac:dyDescent="0.25">
      <c r="A2927" s="20">
        <v>42093</v>
      </c>
      <c r="B2927" s="21">
        <v>16437</v>
      </c>
      <c r="C2927" s="14" t="s">
        <v>262</v>
      </c>
      <c r="D2927" s="103">
        <v>25094.18</v>
      </c>
      <c r="E2927" s="30">
        <v>42102</v>
      </c>
      <c r="F2927" s="144">
        <v>25094.18</v>
      </c>
      <c r="G2927" s="31">
        <f t="shared" si="45"/>
        <v>0</v>
      </c>
      <c r="H2927" s="132" t="s">
        <v>9</v>
      </c>
      <c r="J2927" s="42"/>
    </row>
    <row r="2928" spans="1:10" s="3" customFormat="1" x14ac:dyDescent="0.25">
      <c r="A2928" s="20">
        <v>42093</v>
      </c>
      <c r="B2928" s="21">
        <v>16438</v>
      </c>
      <c r="C2928" s="14" t="s">
        <v>111</v>
      </c>
      <c r="D2928" s="103">
        <v>171561</v>
      </c>
      <c r="E2928" s="30">
        <v>42095</v>
      </c>
      <c r="F2928" s="144">
        <v>171561</v>
      </c>
      <c r="G2928" s="31">
        <f t="shared" si="45"/>
        <v>0</v>
      </c>
      <c r="H2928" s="132" t="s">
        <v>9</v>
      </c>
      <c r="J2928" s="42"/>
    </row>
    <row r="2929" spans="1:10" s="3" customFormat="1" x14ac:dyDescent="0.25">
      <c r="A2929" s="20">
        <v>42093</v>
      </c>
      <c r="B2929" s="21">
        <v>16439</v>
      </c>
      <c r="C2929" s="14" t="s">
        <v>262</v>
      </c>
      <c r="D2929" s="103">
        <v>1697.4</v>
      </c>
      <c r="E2929" s="30">
        <v>42095</v>
      </c>
      <c r="F2929" s="144">
        <v>1697.4</v>
      </c>
      <c r="G2929" s="31">
        <f t="shared" si="45"/>
        <v>0</v>
      </c>
      <c r="H2929" s="132" t="s">
        <v>149</v>
      </c>
      <c r="J2929" s="42"/>
    </row>
    <row r="2930" spans="1:10" s="3" customFormat="1" x14ac:dyDescent="0.25">
      <c r="A2930" s="20">
        <v>42093</v>
      </c>
      <c r="B2930" s="21">
        <v>16440</v>
      </c>
      <c r="C2930" s="14" t="s">
        <v>204</v>
      </c>
      <c r="D2930" s="103">
        <v>3420.4</v>
      </c>
      <c r="E2930" s="30">
        <v>42095</v>
      </c>
      <c r="F2930" s="144">
        <v>3420.4</v>
      </c>
      <c r="G2930" s="31">
        <f t="shared" si="45"/>
        <v>0</v>
      </c>
      <c r="H2930" s="132" t="s">
        <v>149</v>
      </c>
      <c r="J2930" s="42"/>
    </row>
    <row r="2931" spans="1:10" s="3" customFormat="1" x14ac:dyDescent="0.25">
      <c r="A2931" s="20">
        <v>42093</v>
      </c>
      <c r="B2931" s="21">
        <v>16441</v>
      </c>
      <c r="C2931" s="14" t="s">
        <v>851</v>
      </c>
      <c r="D2931" s="103">
        <v>1734</v>
      </c>
      <c r="E2931" s="30">
        <v>42095</v>
      </c>
      <c r="F2931" s="144">
        <v>1734</v>
      </c>
      <c r="G2931" s="31">
        <f t="shared" si="45"/>
        <v>0</v>
      </c>
      <c r="H2931" s="132" t="s">
        <v>41</v>
      </c>
      <c r="J2931" s="42"/>
    </row>
    <row r="2932" spans="1:10" s="3" customFormat="1" x14ac:dyDescent="0.25">
      <c r="A2932" s="20">
        <v>42093</v>
      </c>
      <c r="B2932" s="21">
        <v>16442</v>
      </c>
      <c r="C2932" s="14" t="s">
        <v>939</v>
      </c>
      <c r="D2932" s="103">
        <v>160.4</v>
      </c>
      <c r="E2932" s="23">
        <v>42094</v>
      </c>
      <c r="F2932" s="106">
        <v>160.4</v>
      </c>
      <c r="G2932" s="31">
        <f t="shared" si="45"/>
        <v>0</v>
      </c>
      <c r="H2932" s="132" t="s">
        <v>9</v>
      </c>
      <c r="J2932" s="42"/>
    </row>
    <row r="2933" spans="1:10" s="3" customFormat="1" x14ac:dyDescent="0.25">
      <c r="A2933" s="20">
        <v>42094</v>
      </c>
      <c r="B2933" s="21">
        <v>16443</v>
      </c>
      <c r="C2933" s="14" t="s">
        <v>151</v>
      </c>
      <c r="D2933" s="103">
        <v>7156.8</v>
      </c>
      <c r="E2933" s="23">
        <v>42094</v>
      </c>
      <c r="F2933" s="106">
        <v>7156.8</v>
      </c>
      <c r="G2933" s="31">
        <f t="shared" si="45"/>
        <v>0</v>
      </c>
      <c r="H2933" s="132" t="s">
        <v>9</v>
      </c>
      <c r="J2933" s="42"/>
    </row>
    <row r="2934" spans="1:10" s="3" customFormat="1" x14ac:dyDescent="0.25">
      <c r="A2934" s="20">
        <v>42094</v>
      </c>
      <c r="B2934" s="21">
        <v>16444</v>
      </c>
      <c r="C2934" s="14" t="s">
        <v>799</v>
      </c>
      <c r="D2934" s="103">
        <v>54876.5</v>
      </c>
      <c r="E2934" s="30">
        <v>42107</v>
      </c>
      <c r="F2934" s="144">
        <v>54876.5</v>
      </c>
      <c r="G2934" s="31">
        <f t="shared" si="45"/>
        <v>0</v>
      </c>
      <c r="H2934" s="132" t="s">
        <v>9</v>
      </c>
      <c r="J2934" s="42"/>
    </row>
    <row r="2935" spans="1:10" s="3" customFormat="1" x14ac:dyDescent="0.25">
      <c r="A2935" s="20">
        <v>42094</v>
      </c>
      <c r="B2935" s="21">
        <v>16445</v>
      </c>
      <c r="C2935" s="14" t="s">
        <v>267</v>
      </c>
      <c r="D2935" s="103">
        <v>1181.8</v>
      </c>
      <c r="E2935" s="23">
        <v>42094</v>
      </c>
      <c r="F2935" s="106">
        <v>1181.8</v>
      </c>
      <c r="G2935" s="31">
        <f t="shared" si="45"/>
        <v>0</v>
      </c>
      <c r="H2935" s="132" t="s">
        <v>17</v>
      </c>
      <c r="J2935" s="42"/>
    </row>
    <row r="2936" spans="1:10" s="3" customFormat="1" x14ac:dyDescent="0.25">
      <c r="A2936" s="20">
        <v>42094</v>
      </c>
      <c r="B2936" s="21">
        <v>16446</v>
      </c>
      <c r="C2936" s="14" t="s">
        <v>16</v>
      </c>
      <c r="D2936" s="103">
        <v>6976.2</v>
      </c>
      <c r="E2936" s="23">
        <v>42094</v>
      </c>
      <c r="F2936" s="106">
        <v>6976.2</v>
      </c>
      <c r="G2936" s="31">
        <f t="shared" si="45"/>
        <v>0</v>
      </c>
      <c r="H2936" s="132" t="s">
        <v>17</v>
      </c>
      <c r="J2936" s="42"/>
    </row>
    <row r="2937" spans="1:10" s="3" customFormat="1" x14ac:dyDescent="0.25">
      <c r="A2937" s="20">
        <v>42094</v>
      </c>
      <c r="B2937" s="21">
        <v>16447</v>
      </c>
      <c r="C2937" s="14" t="s">
        <v>14</v>
      </c>
      <c r="D2937" s="103">
        <v>17156.099999999999</v>
      </c>
      <c r="E2937" s="30">
        <v>42104</v>
      </c>
      <c r="F2937" s="144">
        <v>17156.099999999999</v>
      </c>
      <c r="G2937" s="31">
        <f t="shared" si="45"/>
        <v>0</v>
      </c>
      <c r="H2937" s="132" t="s">
        <v>15</v>
      </c>
      <c r="J2937" s="42"/>
    </row>
    <row r="2938" spans="1:10" s="3" customFormat="1" x14ac:dyDescent="0.25">
      <c r="A2938" s="20">
        <v>42094</v>
      </c>
      <c r="B2938" s="21">
        <v>16448</v>
      </c>
      <c r="C2938" s="14" t="s">
        <v>367</v>
      </c>
      <c r="D2938" s="103">
        <v>9138</v>
      </c>
      <c r="E2938" s="30">
        <v>42109</v>
      </c>
      <c r="F2938" s="144">
        <v>9138</v>
      </c>
      <c r="G2938" s="31">
        <f t="shared" si="45"/>
        <v>0</v>
      </c>
      <c r="H2938" s="132" t="s">
        <v>15</v>
      </c>
      <c r="J2938" s="42"/>
    </row>
    <row r="2939" spans="1:10" s="3" customFormat="1" x14ac:dyDescent="0.25">
      <c r="A2939" s="20">
        <v>42094</v>
      </c>
      <c r="B2939" s="21">
        <v>16449</v>
      </c>
      <c r="C2939" s="14" t="s">
        <v>854</v>
      </c>
      <c r="D2939" s="103">
        <v>2367.1999999999998</v>
      </c>
      <c r="E2939" s="23">
        <v>42094</v>
      </c>
      <c r="F2939" s="106">
        <v>2367.1999999999998</v>
      </c>
      <c r="G2939" s="31">
        <f t="shared" si="45"/>
        <v>0</v>
      </c>
      <c r="H2939" s="132" t="s">
        <v>9</v>
      </c>
      <c r="J2939" s="42"/>
    </row>
    <row r="2940" spans="1:10" s="3" customFormat="1" x14ac:dyDescent="0.25">
      <c r="A2940" s="20">
        <v>42094</v>
      </c>
      <c r="B2940" s="21">
        <v>16450</v>
      </c>
      <c r="C2940" s="14" t="s">
        <v>224</v>
      </c>
      <c r="D2940" s="103">
        <v>3445.68</v>
      </c>
      <c r="E2940" s="23">
        <v>42094</v>
      </c>
      <c r="F2940" s="106">
        <v>3445.68</v>
      </c>
      <c r="G2940" s="31">
        <f t="shared" si="45"/>
        <v>0</v>
      </c>
      <c r="H2940" s="132" t="s">
        <v>15</v>
      </c>
      <c r="J2940" s="42"/>
    </row>
    <row r="2941" spans="1:10" s="3" customFormat="1" x14ac:dyDescent="0.25">
      <c r="A2941" s="20">
        <v>42094</v>
      </c>
      <c r="B2941" s="21">
        <v>16451</v>
      </c>
      <c r="C2941" s="14" t="s">
        <v>720</v>
      </c>
      <c r="D2941" s="103">
        <v>5690.75</v>
      </c>
      <c r="E2941" s="23">
        <v>42094</v>
      </c>
      <c r="F2941" s="106">
        <v>5690.75</v>
      </c>
      <c r="G2941" s="31">
        <f t="shared" si="45"/>
        <v>0</v>
      </c>
      <c r="H2941" s="132" t="s">
        <v>9</v>
      </c>
      <c r="J2941" s="42"/>
    </row>
    <row r="2942" spans="1:10" s="3" customFormat="1" x14ac:dyDescent="0.25">
      <c r="A2942" s="20">
        <v>42094</v>
      </c>
      <c r="B2942" s="21">
        <v>16452</v>
      </c>
      <c r="C2942" s="14" t="s">
        <v>34</v>
      </c>
      <c r="D2942" s="103">
        <v>3500</v>
      </c>
      <c r="E2942" s="23">
        <v>42094</v>
      </c>
      <c r="F2942" s="106">
        <v>3500</v>
      </c>
      <c r="G2942" s="31">
        <f t="shared" si="45"/>
        <v>0</v>
      </c>
      <c r="H2942" s="132" t="s">
        <v>9</v>
      </c>
      <c r="J2942" s="42"/>
    </row>
    <row r="2943" spans="1:10" s="3" customFormat="1" x14ac:dyDescent="0.25">
      <c r="A2943" s="20">
        <v>42094</v>
      </c>
      <c r="B2943" s="21">
        <v>16453</v>
      </c>
      <c r="C2943" s="26" t="s">
        <v>218</v>
      </c>
      <c r="D2943" s="153">
        <v>0</v>
      </c>
      <c r="E2943" s="23"/>
      <c r="F2943" s="106"/>
      <c r="G2943" s="31">
        <f t="shared" si="45"/>
        <v>0</v>
      </c>
      <c r="H2943" s="132" t="s">
        <v>13</v>
      </c>
      <c r="J2943" s="42"/>
    </row>
    <row r="2944" spans="1:10" s="3" customFormat="1" x14ac:dyDescent="0.25">
      <c r="A2944" s="20">
        <v>42094</v>
      </c>
      <c r="B2944" s="21">
        <v>16454</v>
      </c>
      <c r="C2944" s="14" t="s">
        <v>49</v>
      </c>
      <c r="D2944" s="103">
        <v>1496</v>
      </c>
      <c r="E2944" s="23">
        <v>42094</v>
      </c>
      <c r="F2944" s="106">
        <v>1496</v>
      </c>
      <c r="G2944" s="31">
        <f t="shared" si="45"/>
        <v>0</v>
      </c>
      <c r="H2944" s="132" t="s">
        <v>94</v>
      </c>
      <c r="J2944" s="42"/>
    </row>
    <row r="2945" spans="1:10" s="3" customFormat="1" x14ac:dyDescent="0.25">
      <c r="A2945" s="20">
        <v>42094</v>
      </c>
      <c r="B2945" s="21">
        <v>16455</v>
      </c>
      <c r="C2945" s="14" t="s">
        <v>114</v>
      </c>
      <c r="D2945" s="103">
        <v>2682</v>
      </c>
      <c r="E2945" s="23">
        <v>42094</v>
      </c>
      <c r="F2945" s="106">
        <v>2682</v>
      </c>
      <c r="G2945" s="31">
        <f t="shared" si="45"/>
        <v>0</v>
      </c>
      <c r="H2945" s="132" t="s">
        <v>9</v>
      </c>
      <c r="J2945" s="42"/>
    </row>
    <row r="2946" spans="1:10" s="3" customFormat="1" x14ac:dyDescent="0.25">
      <c r="A2946" s="20">
        <v>42094</v>
      </c>
      <c r="B2946" s="21">
        <v>16456</v>
      </c>
      <c r="C2946" s="14" t="s">
        <v>91</v>
      </c>
      <c r="D2946" s="103">
        <v>21402</v>
      </c>
      <c r="E2946" s="23">
        <v>42094</v>
      </c>
      <c r="F2946" s="106">
        <v>21402</v>
      </c>
      <c r="G2946" s="31">
        <f t="shared" si="45"/>
        <v>0</v>
      </c>
      <c r="H2946" s="132" t="s">
        <v>59</v>
      </c>
      <c r="J2946" s="42"/>
    </row>
    <row r="2947" spans="1:10" s="3" customFormat="1" x14ac:dyDescent="0.25">
      <c r="A2947" s="20">
        <v>42094</v>
      </c>
      <c r="B2947" s="21">
        <v>16457</v>
      </c>
      <c r="C2947" s="14" t="s">
        <v>238</v>
      </c>
      <c r="D2947" s="103">
        <v>780</v>
      </c>
      <c r="E2947" s="23">
        <v>42094</v>
      </c>
      <c r="F2947" s="106">
        <v>780</v>
      </c>
      <c r="G2947" s="31">
        <f t="shared" ref="G2947:G3010" si="46">D2947-F2947</f>
        <v>0</v>
      </c>
      <c r="H2947" s="132" t="s">
        <v>59</v>
      </c>
      <c r="J2947" s="42"/>
    </row>
    <row r="2948" spans="1:10" s="3" customFormat="1" x14ac:dyDescent="0.25">
      <c r="A2948" s="20">
        <v>42094</v>
      </c>
      <c r="B2948" s="21">
        <v>16458</v>
      </c>
      <c r="C2948" s="14" t="s">
        <v>21</v>
      </c>
      <c r="D2948" s="103">
        <v>3821.5</v>
      </c>
      <c r="E2948" s="23">
        <v>42094</v>
      </c>
      <c r="F2948" s="106">
        <v>3821.5</v>
      </c>
      <c r="G2948" s="31">
        <f t="shared" si="46"/>
        <v>0</v>
      </c>
      <c r="H2948" s="132" t="s">
        <v>9</v>
      </c>
      <c r="J2948" s="42"/>
    </row>
    <row r="2949" spans="1:10" s="3" customFormat="1" x14ac:dyDescent="0.25">
      <c r="A2949" s="20">
        <v>42094</v>
      </c>
      <c r="B2949" s="21">
        <v>16459</v>
      </c>
      <c r="C2949" s="14" t="s">
        <v>136</v>
      </c>
      <c r="D2949" s="103">
        <v>432</v>
      </c>
      <c r="E2949" s="23">
        <v>42094</v>
      </c>
      <c r="F2949" s="106">
        <v>432</v>
      </c>
      <c r="G2949" s="31">
        <f t="shared" si="46"/>
        <v>0</v>
      </c>
      <c r="H2949" s="132" t="s">
        <v>9</v>
      </c>
      <c r="J2949" s="42"/>
    </row>
    <row r="2950" spans="1:10" s="3" customFormat="1" x14ac:dyDescent="0.25">
      <c r="A2950" s="20">
        <v>42094</v>
      </c>
      <c r="B2950" s="21">
        <v>16460</v>
      </c>
      <c r="C2950" s="14" t="s">
        <v>167</v>
      </c>
      <c r="D2950" s="103">
        <v>452.4</v>
      </c>
      <c r="E2950" s="23">
        <v>42094</v>
      </c>
      <c r="F2950" s="106">
        <v>452.4</v>
      </c>
      <c r="G2950" s="31">
        <f t="shared" si="46"/>
        <v>0</v>
      </c>
      <c r="H2950" s="132" t="s">
        <v>59</v>
      </c>
      <c r="J2950" s="42"/>
    </row>
    <row r="2951" spans="1:10" s="3" customFormat="1" x14ac:dyDescent="0.25">
      <c r="A2951" s="20">
        <v>42094</v>
      </c>
      <c r="B2951" s="21">
        <v>16461</v>
      </c>
      <c r="C2951" s="14" t="s">
        <v>81</v>
      </c>
      <c r="D2951" s="103">
        <v>1426.2</v>
      </c>
      <c r="E2951" s="23">
        <v>42094</v>
      </c>
      <c r="F2951" s="106">
        <v>1426.2</v>
      </c>
      <c r="G2951" s="31">
        <f t="shared" si="46"/>
        <v>0</v>
      </c>
      <c r="H2951" s="132" t="s">
        <v>59</v>
      </c>
      <c r="J2951" s="42"/>
    </row>
    <row r="2952" spans="1:10" s="3" customFormat="1" x14ac:dyDescent="0.25">
      <c r="A2952" s="20">
        <v>42094</v>
      </c>
      <c r="B2952" s="21">
        <v>16462</v>
      </c>
      <c r="C2952" s="14" t="s">
        <v>333</v>
      </c>
      <c r="D2952" s="103">
        <v>6519.5</v>
      </c>
      <c r="E2952" s="23">
        <v>42094</v>
      </c>
      <c r="F2952" s="106">
        <v>6519.5</v>
      </c>
      <c r="G2952" s="31">
        <f t="shared" si="46"/>
        <v>0</v>
      </c>
      <c r="H2952" s="132" t="s">
        <v>94</v>
      </c>
      <c r="J2952" s="42"/>
    </row>
    <row r="2953" spans="1:10" s="3" customFormat="1" x14ac:dyDescent="0.25">
      <c r="A2953" s="20">
        <v>42094</v>
      </c>
      <c r="B2953" s="21">
        <v>16463</v>
      </c>
      <c r="C2953" s="14" t="s">
        <v>82</v>
      </c>
      <c r="D2953" s="103">
        <v>7545.8</v>
      </c>
      <c r="E2953" s="23">
        <v>42094</v>
      </c>
      <c r="F2953" s="106">
        <v>7545.8</v>
      </c>
      <c r="G2953" s="31">
        <f t="shared" si="46"/>
        <v>0</v>
      </c>
      <c r="H2953" s="132" t="s">
        <v>59</v>
      </c>
      <c r="J2953" s="42"/>
    </row>
    <row r="2954" spans="1:10" s="3" customFormat="1" x14ac:dyDescent="0.25">
      <c r="A2954" s="20">
        <v>42094</v>
      </c>
      <c r="B2954" s="21">
        <v>16464</v>
      </c>
      <c r="C2954" s="14" t="s">
        <v>50</v>
      </c>
      <c r="D2954" s="103">
        <v>5479.2</v>
      </c>
      <c r="E2954" s="23">
        <v>42094</v>
      </c>
      <c r="F2954" s="106">
        <v>5479.2</v>
      </c>
      <c r="G2954" s="31">
        <f t="shared" si="46"/>
        <v>0</v>
      </c>
      <c r="H2954" s="132" t="s">
        <v>94</v>
      </c>
      <c r="J2954" s="42"/>
    </row>
    <row r="2955" spans="1:10" s="3" customFormat="1" x14ac:dyDescent="0.25">
      <c r="A2955" s="20">
        <v>42094</v>
      </c>
      <c r="B2955" s="21">
        <v>16465</v>
      </c>
      <c r="C2955" s="14" t="s">
        <v>168</v>
      </c>
      <c r="D2955" s="103">
        <v>581.4</v>
      </c>
      <c r="E2955" s="23">
        <v>42094</v>
      </c>
      <c r="F2955" s="106">
        <v>581.4</v>
      </c>
      <c r="G2955" s="31">
        <f t="shared" si="46"/>
        <v>0</v>
      </c>
      <c r="H2955" s="132" t="s">
        <v>59</v>
      </c>
      <c r="J2955" s="42"/>
    </row>
    <row r="2956" spans="1:10" s="3" customFormat="1" x14ac:dyDescent="0.25">
      <c r="A2956" s="20">
        <v>42094</v>
      </c>
      <c r="B2956" s="21">
        <v>16466</v>
      </c>
      <c r="C2956" s="26" t="s">
        <v>218</v>
      </c>
      <c r="D2956" s="153">
        <v>0</v>
      </c>
      <c r="E2956" s="23"/>
      <c r="F2956" s="106"/>
      <c r="G2956" s="31">
        <f t="shared" si="46"/>
        <v>0</v>
      </c>
      <c r="H2956" s="132" t="s">
        <v>13</v>
      </c>
      <c r="J2956" s="42"/>
    </row>
    <row r="2957" spans="1:10" s="3" customFormat="1" x14ac:dyDescent="0.25">
      <c r="A2957" s="20">
        <v>42094</v>
      </c>
      <c r="B2957" s="21">
        <v>16467</v>
      </c>
      <c r="C2957" s="14" t="s">
        <v>20</v>
      </c>
      <c r="D2957" s="103">
        <v>10462.200000000001</v>
      </c>
      <c r="E2957" s="23">
        <v>42094</v>
      </c>
      <c r="F2957" s="106">
        <v>10462.200000000001</v>
      </c>
      <c r="G2957" s="31">
        <f t="shared" si="46"/>
        <v>0</v>
      </c>
      <c r="H2957" s="132" t="s">
        <v>94</v>
      </c>
      <c r="J2957" s="42"/>
    </row>
    <row r="2958" spans="1:10" s="3" customFormat="1" x14ac:dyDescent="0.25">
      <c r="A2958" s="20">
        <v>42094</v>
      </c>
      <c r="B2958" s="21">
        <v>16468</v>
      </c>
      <c r="C2958" s="14" t="s">
        <v>53</v>
      </c>
      <c r="D2958" s="103">
        <v>848</v>
      </c>
      <c r="E2958" s="23">
        <v>42094</v>
      </c>
      <c r="F2958" s="106">
        <v>848</v>
      </c>
      <c r="G2958" s="31">
        <f t="shared" si="46"/>
        <v>0</v>
      </c>
      <c r="H2958" s="132" t="s">
        <v>59</v>
      </c>
      <c r="J2958" s="42"/>
    </row>
    <row r="2959" spans="1:10" s="3" customFormat="1" x14ac:dyDescent="0.25">
      <c r="A2959" s="20">
        <v>42094</v>
      </c>
      <c r="B2959" s="21">
        <v>16469</v>
      </c>
      <c r="C2959" s="14" t="s">
        <v>23</v>
      </c>
      <c r="D2959" s="103">
        <v>2208.4</v>
      </c>
      <c r="E2959" s="23">
        <v>42094</v>
      </c>
      <c r="F2959" s="106">
        <v>2208.4</v>
      </c>
      <c r="G2959" s="31">
        <f t="shared" si="46"/>
        <v>0</v>
      </c>
      <c r="H2959" s="132" t="s">
        <v>9</v>
      </c>
      <c r="J2959" s="42"/>
    </row>
    <row r="2960" spans="1:10" s="3" customFormat="1" x14ac:dyDescent="0.25">
      <c r="A2960" s="20">
        <v>42094</v>
      </c>
      <c r="B2960" s="21">
        <v>16470</v>
      </c>
      <c r="C2960" s="14" t="s">
        <v>137</v>
      </c>
      <c r="D2960" s="103">
        <v>2184.3000000000002</v>
      </c>
      <c r="E2960" s="23">
        <v>42094</v>
      </c>
      <c r="F2960" s="106">
        <v>2184.3000000000002</v>
      </c>
      <c r="G2960" s="31">
        <f t="shared" si="46"/>
        <v>0</v>
      </c>
      <c r="H2960" s="132" t="s">
        <v>9</v>
      </c>
      <c r="J2960" s="42"/>
    </row>
    <row r="2961" spans="1:10" s="3" customFormat="1" x14ac:dyDescent="0.25">
      <c r="A2961" s="20">
        <v>42094</v>
      </c>
      <c r="B2961" s="21">
        <v>16471</v>
      </c>
      <c r="C2961" s="14" t="s">
        <v>14</v>
      </c>
      <c r="D2961" s="103">
        <v>57003.54</v>
      </c>
      <c r="E2961" s="30">
        <v>42104</v>
      </c>
      <c r="F2961" s="144">
        <v>57003.54</v>
      </c>
      <c r="G2961" s="31">
        <f t="shared" si="46"/>
        <v>0</v>
      </c>
      <c r="H2961" s="132" t="s">
        <v>9</v>
      </c>
      <c r="J2961" s="42"/>
    </row>
    <row r="2962" spans="1:10" s="3" customFormat="1" x14ac:dyDescent="0.25">
      <c r="A2962" s="20">
        <v>42094</v>
      </c>
      <c r="B2962" s="21">
        <v>16472</v>
      </c>
      <c r="C2962" s="14" t="s">
        <v>474</v>
      </c>
      <c r="D2962" s="103">
        <v>3696</v>
      </c>
      <c r="E2962" s="23">
        <v>42094</v>
      </c>
      <c r="F2962" s="106">
        <v>3696</v>
      </c>
      <c r="G2962" s="31">
        <f t="shared" si="46"/>
        <v>0</v>
      </c>
      <c r="H2962" s="132" t="s">
        <v>9</v>
      </c>
      <c r="J2962" s="42"/>
    </row>
    <row r="2963" spans="1:10" s="3" customFormat="1" x14ac:dyDescent="0.25">
      <c r="A2963" s="20">
        <v>42094</v>
      </c>
      <c r="B2963" s="21">
        <v>16473</v>
      </c>
      <c r="C2963" s="14" t="s">
        <v>118</v>
      </c>
      <c r="D2963" s="103">
        <v>11551.6</v>
      </c>
      <c r="E2963" s="30">
        <v>42096</v>
      </c>
      <c r="F2963" s="144">
        <v>11551.6</v>
      </c>
      <c r="G2963" s="31">
        <f t="shared" si="46"/>
        <v>0</v>
      </c>
      <c r="H2963" s="132" t="s">
        <v>59</v>
      </c>
      <c r="J2963" s="42"/>
    </row>
    <row r="2964" spans="1:10" s="3" customFormat="1" x14ac:dyDescent="0.25">
      <c r="A2964" s="20">
        <v>42094</v>
      </c>
      <c r="B2964" s="21">
        <v>16474</v>
      </c>
      <c r="C2964" s="14" t="s">
        <v>940</v>
      </c>
      <c r="D2964" s="103">
        <v>5446.4</v>
      </c>
      <c r="E2964" s="23">
        <v>42094</v>
      </c>
      <c r="F2964" s="106">
        <v>5446.4</v>
      </c>
      <c r="G2964" s="31">
        <f t="shared" si="46"/>
        <v>0</v>
      </c>
      <c r="H2964" s="132" t="s">
        <v>9</v>
      </c>
      <c r="J2964" s="42"/>
    </row>
    <row r="2965" spans="1:10" s="3" customFormat="1" x14ac:dyDescent="0.25">
      <c r="A2965" s="20">
        <v>42094</v>
      </c>
      <c r="B2965" s="21">
        <v>16475</v>
      </c>
      <c r="C2965" s="14" t="s">
        <v>367</v>
      </c>
      <c r="D2965" s="103">
        <v>7915</v>
      </c>
      <c r="E2965" s="30">
        <v>42109</v>
      </c>
      <c r="F2965" s="144">
        <v>7915</v>
      </c>
      <c r="G2965" s="31">
        <f t="shared" si="46"/>
        <v>0</v>
      </c>
      <c r="H2965" s="132" t="s">
        <v>9</v>
      </c>
      <c r="J2965" s="42"/>
    </row>
    <row r="2966" spans="1:10" s="3" customFormat="1" x14ac:dyDescent="0.25">
      <c r="A2966" s="20">
        <v>42094</v>
      </c>
      <c r="B2966" s="21">
        <v>16476</v>
      </c>
      <c r="C2966" s="14" t="s">
        <v>57</v>
      </c>
      <c r="D2966" s="103">
        <v>700</v>
      </c>
      <c r="E2966" s="23">
        <v>42094</v>
      </c>
      <c r="F2966" s="106">
        <v>700</v>
      </c>
      <c r="G2966" s="31">
        <f t="shared" si="46"/>
        <v>0</v>
      </c>
      <c r="H2966" s="132" t="s">
        <v>9</v>
      </c>
      <c r="J2966" s="42"/>
    </row>
    <row r="2967" spans="1:10" s="3" customFormat="1" x14ac:dyDescent="0.25">
      <c r="A2967" s="20">
        <v>42094</v>
      </c>
      <c r="B2967" s="21">
        <v>16477</v>
      </c>
      <c r="C2967" s="14" t="s">
        <v>906</v>
      </c>
      <c r="D2967" s="103">
        <v>2211</v>
      </c>
      <c r="E2967" s="23">
        <v>42094</v>
      </c>
      <c r="F2967" s="106">
        <v>2211</v>
      </c>
      <c r="G2967" s="31">
        <f t="shared" si="46"/>
        <v>0</v>
      </c>
      <c r="H2967" s="132" t="s">
        <v>62</v>
      </c>
      <c r="J2967" s="42"/>
    </row>
    <row r="2968" spans="1:10" s="3" customFormat="1" x14ac:dyDescent="0.25">
      <c r="A2968" s="20">
        <v>42094</v>
      </c>
      <c r="B2968" s="21">
        <v>16478</v>
      </c>
      <c r="C2968" s="110">
        <v>105</v>
      </c>
      <c r="D2968" s="103">
        <v>1225</v>
      </c>
      <c r="E2968" s="23">
        <v>42094</v>
      </c>
      <c r="F2968" s="106">
        <v>1225</v>
      </c>
      <c r="G2968" s="31">
        <f t="shared" si="46"/>
        <v>0</v>
      </c>
      <c r="H2968" s="132" t="s">
        <v>59</v>
      </c>
      <c r="J2968" s="42"/>
    </row>
    <row r="2969" spans="1:10" s="3" customFormat="1" x14ac:dyDescent="0.25">
      <c r="A2969" s="20">
        <v>42094</v>
      </c>
      <c r="B2969" s="21">
        <v>16479</v>
      </c>
      <c r="C2969" s="14" t="s">
        <v>694</v>
      </c>
      <c r="D2969" s="103">
        <v>1203.5</v>
      </c>
      <c r="E2969" s="23">
        <v>42094</v>
      </c>
      <c r="F2969" s="106">
        <v>1203.5</v>
      </c>
      <c r="G2969" s="31">
        <f t="shared" si="46"/>
        <v>0</v>
      </c>
      <c r="H2969" s="132" t="s">
        <v>9</v>
      </c>
      <c r="J2969" s="42"/>
    </row>
    <row r="2970" spans="1:10" s="3" customFormat="1" x14ac:dyDescent="0.25">
      <c r="A2970" s="20">
        <v>42094</v>
      </c>
      <c r="B2970" s="21">
        <v>16480</v>
      </c>
      <c r="C2970" s="14" t="s">
        <v>45</v>
      </c>
      <c r="D2970" s="103">
        <v>7077.6</v>
      </c>
      <c r="E2970" s="30">
        <v>42104</v>
      </c>
      <c r="F2970" s="144">
        <v>7077.6</v>
      </c>
      <c r="G2970" s="31">
        <f t="shared" si="46"/>
        <v>0</v>
      </c>
      <c r="H2970" s="132" t="s">
        <v>59</v>
      </c>
      <c r="J2970" s="42"/>
    </row>
    <row r="2971" spans="1:10" s="3" customFormat="1" x14ac:dyDescent="0.25">
      <c r="A2971" s="20">
        <v>42094</v>
      </c>
      <c r="B2971" s="21">
        <v>16481</v>
      </c>
      <c r="C2971" s="14" t="s">
        <v>214</v>
      </c>
      <c r="D2971" s="103">
        <v>1050</v>
      </c>
      <c r="E2971" s="23">
        <v>42094</v>
      </c>
      <c r="F2971" s="106">
        <v>1050</v>
      </c>
      <c r="G2971" s="31">
        <f t="shared" si="46"/>
        <v>0</v>
      </c>
      <c r="H2971" s="132" t="s">
        <v>59</v>
      </c>
      <c r="J2971" s="42"/>
    </row>
    <row r="2972" spans="1:10" s="3" customFormat="1" x14ac:dyDescent="0.25">
      <c r="A2972" s="20">
        <v>42094</v>
      </c>
      <c r="B2972" s="21">
        <v>16482</v>
      </c>
      <c r="C2972" s="14" t="s">
        <v>128</v>
      </c>
      <c r="D2972" s="103">
        <v>7478.4</v>
      </c>
      <c r="E2972" s="23">
        <v>42094</v>
      </c>
      <c r="F2972" s="106">
        <v>7478.4</v>
      </c>
      <c r="G2972" s="31">
        <f t="shared" si="46"/>
        <v>0</v>
      </c>
      <c r="H2972" s="132" t="s">
        <v>41</v>
      </c>
      <c r="J2972" s="42"/>
    </row>
    <row r="2973" spans="1:10" s="3" customFormat="1" x14ac:dyDescent="0.25">
      <c r="A2973" s="20">
        <v>42094</v>
      </c>
      <c r="B2973" s="21">
        <v>16483</v>
      </c>
      <c r="C2973" s="14" t="s">
        <v>604</v>
      </c>
      <c r="D2973" s="103">
        <v>3102.5</v>
      </c>
      <c r="E2973" s="23">
        <v>42094</v>
      </c>
      <c r="F2973" s="106">
        <v>3102.5</v>
      </c>
      <c r="G2973" s="31">
        <f t="shared" si="46"/>
        <v>0</v>
      </c>
      <c r="H2973" s="132" t="s">
        <v>9</v>
      </c>
      <c r="J2973" s="42"/>
    </row>
    <row r="2974" spans="1:10" s="3" customFormat="1" x14ac:dyDescent="0.25">
      <c r="A2974" s="20">
        <v>42094</v>
      </c>
      <c r="B2974" s="21">
        <v>16484</v>
      </c>
      <c r="C2974" s="14" t="s">
        <v>131</v>
      </c>
      <c r="D2974" s="103">
        <v>5433</v>
      </c>
      <c r="E2974" s="23">
        <v>42094</v>
      </c>
      <c r="F2974" s="106">
        <v>5433</v>
      </c>
      <c r="G2974" s="31">
        <f t="shared" si="46"/>
        <v>0</v>
      </c>
      <c r="H2974" s="132" t="s">
        <v>17</v>
      </c>
      <c r="J2974" s="42"/>
    </row>
    <row r="2975" spans="1:10" s="3" customFormat="1" x14ac:dyDescent="0.25">
      <c r="A2975" s="20">
        <v>42094</v>
      </c>
      <c r="B2975" s="21">
        <v>16485</v>
      </c>
      <c r="C2975" s="14" t="s">
        <v>130</v>
      </c>
      <c r="D2975" s="103">
        <v>3156.6</v>
      </c>
      <c r="E2975" s="23">
        <v>42094</v>
      </c>
      <c r="F2975" s="106">
        <v>3156.6</v>
      </c>
      <c r="G2975" s="31">
        <f t="shared" si="46"/>
        <v>0</v>
      </c>
      <c r="H2975" s="132" t="s">
        <v>41</v>
      </c>
      <c r="J2975" s="42"/>
    </row>
    <row r="2976" spans="1:10" s="3" customFormat="1" x14ac:dyDescent="0.25">
      <c r="A2976" s="20">
        <v>42094</v>
      </c>
      <c r="B2976" s="21">
        <v>16486</v>
      </c>
      <c r="C2976" s="14" t="s">
        <v>30</v>
      </c>
      <c r="D2976" s="103">
        <v>2870.5</v>
      </c>
      <c r="E2976" s="23">
        <v>42094</v>
      </c>
      <c r="F2976" s="106">
        <v>2870.5</v>
      </c>
      <c r="G2976" s="31">
        <f t="shared" si="46"/>
        <v>0</v>
      </c>
      <c r="H2976" s="132" t="s">
        <v>9</v>
      </c>
      <c r="J2976" s="42"/>
    </row>
    <row r="2977" spans="1:10" s="3" customFormat="1" x14ac:dyDescent="0.25">
      <c r="A2977" s="20">
        <v>42094</v>
      </c>
      <c r="B2977" s="21">
        <v>16487</v>
      </c>
      <c r="C2977" s="14" t="s">
        <v>225</v>
      </c>
      <c r="D2977" s="103">
        <v>2227.5</v>
      </c>
      <c r="E2977" s="23">
        <v>42094</v>
      </c>
      <c r="F2977" s="106">
        <v>2227.5</v>
      </c>
      <c r="G2977" s="31">
        <f t="shared" si="46"/>
        <v>0</v>
      </c>
      <c r="H2977" s="132" t="s">
        <v>9</v>
      </c>
      <c r="J2977" s="42"/>
    </row>
    <row r="2978" spans="1:10" s="3" customFormat="1" x14ac:dyDescent="0.25">
      <c r="A2978" s="20">
        <v>42094</v>
      </c>
      <c r="B2978" s="21">
        <v>16488</v>
      </c>
      <c r="C2978" s="201" t="s">
        <v>1254</v>
      </c>
      <c r="D2978" s="103">
        <v>0</v>
      </c>
      <c r="E2978" s="30"/>
      <c r="F2978" s="144"/>
      <c r="G2978" s="31">
        <f t="shared" si="46"/>
        <v>0</v>
      </c>
      <c r="H2978" s="132" t="s">
        <v>13</v>
      </c>
      <c r="J2978" s="42"/>
    </row>
    <row r="2979" spans="1:10" s="3" customFormat="1" x14ac:dyDescent="0.25">
      <c r="A2979" s="20">
        <v>42094</v>
      </c>
      <c r="B2979" s="21">
        <v>16489</v>
      </c>
      <c r="C2979" s="14" t="s">
        <v>159</v>
      </c>
      <c r="D2979" s="103">
        <v>3994.2</v>
      </c>
      <c r="E2979" s="23">
        <v>42094</v>
      </c>
      <c r="F2979" s="106">
        <v>3994.2</v>
      </c>
      <c r="G2979" s="31">
        <f t="shared" si="46"/>
        <v>0</v>
      </c>
      <c r="H2979" s="132" t="s">
        <v>9</v>
      </c>
      <c r="J2979" s="42"/>
    </row>
    <row r="2980" spans="1:10" s="3" customFormat="1" x14ac:dyDescent="0.25">
      <c r="A2980" s="20">
        <v>42094</v>
      </c>
      <c r="B2980" s="21">
        <v>16490</v>
      </c>
      <c r="C2980" s="14" t="s">
        <v>56</v>
      </c>
      <c r="D2980" s="103">
        <v>5709.6</v>
      </c>
      <c r="E2980" s="23">
        <v>42094</v>
      </c>
      <c r="F2980" s="106">
        <v>5709.6</v>
      </c>
      <c r="G2980" s="31">
        <f t="shared" si="46"/>
        <v>0</v>
      </c>
      <c r="H2980" s="132" t="s">
        <v>17</v>
      </c>
      <c r="J2980" s="42"/>
    </row>
    <row r="2981" spans="1:10" s="3" customFormat="1" x14ac:dyDescent="0.25">
      <c r="A2981" s="20">
        <v>42094</v>
      </c>
      <c r="B2981" s="21">
        <v>16491</v>
      </c>
      <c r="C2981" s="14" t="s">
        <v>26</v>
      </c>
      <c r="D2981" s="103">
        <v>1632</v>
      </c>
      <c r="E2981" s="23">
        <v>42094</v>
      </c>
      <c r="F2981" s="106">
        <v>1632</v>
      </c>
      <c r="G2981" s="31">
        <f t="shared" si="46"/>
        <v>0</v>
      </c>
      <c r="H2981" s="132" t="s">
        <v>27</v>
      </c>
      <c r="J2981" s="42"/>
    </row>
    <row r="2982" spans="1:10" s="3" customFormat="1" x14ac:dyDescent="0.25">
      <c r="A2982" s="20">
        <v>42094</v>
      </c>
      <c r="B2982" s="21">
        <v>16492</v>
      </c>
      <c r="C2982" s="14" t="s">
        <v>239</v>
      </c>
      <c r="D2982" s="103">
        <v>809.35</v>
      </c>
      <c r="E2982" s="23">
        <v>42094</v>
      </c>
      <c r="F2982" s="106">
        <v>809.35</v>
      </c>
      <c r="G2982" s="31">
        <f t="shared" si="46"/>
        <v>0</v>
      </c>
      <c r="H2982" s="132" t="s">
        <v>9</v>
      </c>
      <c r="J2982" s="42"/>
    </row>
    <row r="2983" spans="1:10" s="3" customFormat="1" x14ac:dyDescent="0.25">
      <c r="A2983" s="20">
        <v>42094</v>
      </c>
      <c r="B2983" s="21">
        <v>16493</v>
      </c>
      <c r="C2983" s="14" t="s">
        <v>35</v>
      </c>
      <c r="D2983" s="103">
        <v>20776.8</v>
      </c>
      <c r="E2983" s="23">
        <v>42094</v>
      </c>
      <c r="F2983" s="106">
        <v>20776.8</v>
      </c>
      <c r="G2983" s="31">
        <f t="shared" si="46"/>
        <v>0</v>
      </c>
      <c r="H2983" s="132" t="s">
        <v>17</v>
      </c>
      <c r="J2983" s="42"/>
    </row>
    <row r="2984" spans="1:10" s="3" customFormat="1" x14ac:dyDescent="0.25">
      <c r="A2984" s="20">
        <v>42094</v>
      </c>
      <c r="B2984" s="21">
        <v>16494</v>
      </c>
      <c r="C2984" s="14" t="s">
        <v>158</v>
      </c>
      <c r="D2984" s="103">
        <v>7532.4</v>
      </c>
      <c r="E2984" s="23">
        <v>42094</v>
      </c>
      <c r="F2984" s="106">
        <v>7532.4</v>
      </c>
      <c r="G2984" s="31">
        <f t="shared" si="46"/>
        <v>0</v>
      </c>
      <c r="H2984" s="132" t="s">
        <v>9</v>
      </c>
      <c r="J2984" s="42"/>
    </row>
    <row r="2985" spans="1:10" s="3" customFormat="1" x14ac:dyDescent="0.25">
      <c r="A2985" s="20">
        <v>42094</v>
      </c>
      <c r="B2985" s="21">
        <v>16495</v>
      </c>
      <c r="C2985" s="14" t="s">
        <v>14</v>
      </c>
      <c r="D2985" s="103">
        <v>6319.6</v>
      </c>
      <c r="E2985" s="30">
        <v>42104</v>
      </c>
      <c r="F2985" s="144">
        <v>6319.6</v>
      </c>
      <c r="G2985" s="31">
        <f t="shared" si="46"/>
        <v>0</v>
      </c>
      <c r="H2985" s="132" t="s">
        <v>15</v>
      </c>
      <c r="J2985" s="42"/>
    </row>
    <row r="2986" spans="1:10" s="3" customFormat="1" x14ac:dyDescent="0.25">
      <c r="A2986" s="20">
        <v>42094</v>
      </c>
      <c r="B2986" s="21">
        <v>16496</v>
      </c>
      <c r="C2986" s="14" t="s">
        <v>110</v>
      </c>
      <c r="D2986" s="103">
        <v>3507.2</v>
      </c>
      <c r="E2986" s="30">
        <v>42104</v>
      </c>
      <c r="F2986" s="144">
        <v>3507.2</v>
      </c>
      <c r="G2986" s="31">
        <f t="shared" si="46"/>
        <v>0</v>
      </c>
      <c r="H2986" s="132" t="s">
        <v>17</v>
      </c>
      <c r="J2986" s="42"/>
    </row>
    <row r="2987" spans="1:10" s="3" customFormat="1" x14ac:dyDescent="0.25">
      <c r="A2987" s="20">
        <v>42094</v>
      </c>
      <c r="B2987" s="21">
        <v>16497</v>
      </c>
      <c r="C2987" s="14" t="s">
        <v>256</v>
      </c>
      <c r="D2987" s="103">
        <v>3702</v>
      </c>
      <c r="E2987" s="23">
        <v>42094</v>
      </c>
      <c r="F2987" s="106">
        <v>3702</v>
      </c>
      <c r="G2987" s="31">
        <f t="shared" si="46"/>
        <v>0</v>
      </c>
      <c r="H2987" s="132" t="s">
        <v>17</v>
      </c>
      <c r="J2987" s="42"/>
    </row>
    <row r="2988" spans="1:10" s="3" customFormat="1" x14ac:dyDescent="0.25">
      <c r="A2988" s="20">
        <v>42094</v>
      </c>
      <c r="B2988" s="21">
        <v>16498</v>
      </c>
      <c r="C2988" s="26" t="s">
        <v>1002</v>
      </c>
      <c r="D2988" s="153">
        <v>0</v>
      </c>
      <c r="E2988" s="30" t="s">
        <v>1001</v>
      </c>
      <c r="F2988" s="144"/>
      <c r="G2988" s="31">
        <f t="shared" si="46"/>
        <v>0</v>
      </c>
      <c r="H2988" s="132" t="s">
        <v>183</v>
      </c>
      <c r="J2988" s="42"/>
    </row>
    <row r="2989" spans="1:10" s="3" customFormat="1" x14ac:dyDescent="0.25">
      <c r="A2989" s="20">
        <v>42094</v>
      </c>
      <c r="B2989" s="21">
        <v>16499</v>
      </c>
      <c r="C2989" s="14" t="s">
        <v>472</v>
      </c>
      <c r="D2989" s="103">
        <v>85666.5</v>
      </c>
      <c r="E2989" s="30">
        <v>42039</v>
      </c>
      <c r="F2989" s="144">
        <v>85666.5</v>
      </c>
      <c r="G2989" s="31">
        <f t="shared" si="46"/>
        <v>0</v>
      </c>
      <c r="H2989" s="132" t="s">
        <v>46</v>
      </c>
      <c r="J2989" s="42"/>
    </row>
    <row r="2990" spans="1:10" s="3" customFormat="1" x14ac:dyDescent="0.25">
      <c r="A2990" s="20">
        <v>42094</v>
      </c>
      <c r="B2990" s="21">
        <v>16500</v>
      </c>
      <c r="C2990" s="14" t="s">
        <v>151</v>
      </c>
      <c r="D2990" s="103">
        <v>1716</v>
      </c>
      <c r="E2990" s="23">
        <v>42094</v>
      </c>
      <c r="F2990" s="106">
        <v>1716</v>
      </c>
      <c r="G2990" s="31">
        <f t="shared" si="46"/>
        <v>0</v>
      </c>
      <c r="H2990" s="132" t="s">
        <v>9</v>
      </c>
      <c r="J2990" s="42"/>
    </row>
    <row r="2991" spans="1:10" s="3" customFormat="1" x14ac:dyDescent="0.25">
      <c r="A2991" s="20">
        <v>42094</v>
      </c>
      <c r="B2991" s="21">
        <v>16501</v>
      </c>
      <c r="C2991" s="14" t="s">
        <v>881</v>
      </c>
      <c r="D2991" s="103">
        <v>1457.4</v>
      </c>
      <c r="E2991" s="23">
        <v>42094</v>
      </c>
      <c r="F2991" s="106">
        <v>1457.4</v>
      </c>
      <c r="G2991" s="31">
        <f t="shared" si="46"/>
        <v>0</v>
      </c>
      <c r="H2991" s="132" t="s">
        <v>9</v>
      </c>
      <c r="J2991" s="42"/>
    </row>
    <row r="2992" spans="1:10" s="3" customFormat="1" x14ac:dyDescent="0.25">
      <c r="A2992" s="20">
        <v>42094</v>
      </c>
      <c r="B2992" s="21">
        <v>16502</v>
      </c>
      <c r="C2992" s="14" t="s">
        <v>100</v>
      </c>
      <c r="D2992" s="103">
        <v>2104.6999999999998</v>
      </c>
      <c r="E2992" s="30">
        <v>42095</v>
      </c>
      <c r="F2992" s="144">
        <v>2104.6999999999998</v>
      </c>
      <c r="G2992" s="31">
        <f t="shared" si="46"/>
        <v>0</v>
      </c>
      <c r="H2992" s="132" t="s">
        <v>9</v>
      </c>
      <c r="J2992" s="42"/>
    </row>
    <row r="2993" spans="1:24" x14ac:dyDescent="0.25">
      <c r="A2993" s="20">
        <v>42094</v>
      </c>
      <c r="B2993" s="21">
        <v>16503</v>
      </c>
      <c r="C2993" s="14" t="s">
        <v>213</v>
      </c>
      <c r="D2993" s="103">
        <v>2809.8</v>
      </c>
      <c r="E2993" s="30">
        <v>42039</v>
      </c>
      <c r="F2993" s="144">
        <v>2809.8</v>
      </c>
      <c r="G2993" s="31">
        <f t="shared" si="46"/>
        <v>0</v>
      </c>
      <c r="H2993" s="132" t="s">
        <v>46</v>
      </c>
      <c r="I2993" s="3"/>
      <c r="J2993" s="42"/>
      <c r="K2993" s="3"/>
    </row>
    <row r="2994" spans="1:24" x14ac:dyDescent="0.25">
      <c r="A2994" s="20">
        <v>42094</v>
      </c>
      <c r="B2994" s="21">
        <v>16504</v>
      </c>
      <c r="C2994" s="14" t="s">
        <v>472</v>
      </c>
      <c r="D2994" s="103">
        <v>18724.5</v>
      </c>
      <c r="E2994" s="30">
        <v>42095</v>
      </c>
      <c r="F2994" s="144">
        <v>18724.5</v>
      </c>
      <c r="G2994" s="31">
        <f t="shared" si="46"/>
        <v>0</v>
      </c>
      <c r="H2994" s="132" t="s">
        <v>46</v>
      </c>
      <c r="I2994" s="3"/>
      <c r="J2994" s="42"/>
      <c r="K2994" s="3"/>
    </row>
    <row r="2995" spans="1:24" x14ac:dyDescent="0.25">
      <c r="A2995" s="20">
        <v>42094</v>
      </c>
      <c r="B2995" s="21">
        <v>16505</v>
      </c>
      <c r="C2995" s="14" t="s">
        <v>66</v>
      </c>
      <c r="D2995" s="103">
        <v>1898.4</v>
      </c>
      <c r="E2995" s="23">
        <v>42094</v>
      </c>
      <c r="F2995" s="106">
        <v>1898.4</v>
      </c>
      <c r="G2995" s="31">
        <f t="shared" si="46"/>
        <v>0</v>
      </c>
      <c r="H2995" s="132" t="s">
        <v>9</v>
      </c>
      <c r="I2995" s="3"/>
      <c r="J2995" s="42"/>
      <c r="K2995" s="3"/>
    </row>
    <row r="2996" spans="1:24" x14ac:dyDescent="0.25">
      <c r="A2996" s="20">
        <v>42094</v>
      </c>
      <c r="B2996" s="21">
        <v>16506</v>
      </c>
      <c r="C2996" s="14" t="s">
        <v>66</v>
      </c>
      <c r="D2996" s="103">
        <v>40</v>
      </c>
      <c r="E2996" s="23">
        <v>42094</v>
      </c>
      <c r="F2996" s="106">
        <v>40</v>
      </c>
      <c r="G2996" s="31">
        <f t="shared" si="46"/>
        <v>0</v>
      </c>
      <c r="H2996" s="132" t="s">
        <v>9</v>
      </c>
      <c r="I2996" s="3"/>
      <c r="J2996" s="42"/>
      <c r="K2996" s="174"/>
    </row>
    <row r="2997" spans="1:24" x14ac:dyDescent="0.25">
      <c r="A2997" s="20">
        <v>42094</v>
      </c>
      <c r="B2997" s="21">
        <v>16507</v>
      </c>
      <c r="C2997" s="14" t="s">
        <v>43</v>
      </c>
      <c r="D2997" s="103">
        <v>3325.3</v>
      </c>
      <c r="E2997" s="23">
        <v>42094</v>
      </c>
      <c r="F2997" s="106">
        <v>3325.3</v>
      </c>
      <c r="G2997" s="31">
        <f t="shared" si="46"/>
        <v>0</v>
      </c>
      <c r="H2997" s="132" t="s">
        <v>9</v>
      </c>
      <c r="I2997" s="3"/>
      <c r="J2997" s="42"/>
      <c r="K2997" s="174"/>
    </row>
    <row r="2998" spans="1:24" x14ac:dyDescent="0.25">
      <c r="A2998" s="20">
        <v>42094</v>
      </c>
      <c r="B2998" s="21">
        <v>16508</v>
      </c>
      <c r="C2998" s="14" t="s">
        <v>229</v>
      </c>
      <c r="D2998" s="103">
        <v>2417.96</v>
      </c>
      <c r="E2998" s="23">
        <v>42094</v>
      </c>
      <c r="F2998" s="106">
        <v>2417.96</v>
      </c>
      <c r="G2998" s="31">
        <f t="shared" si="46"/>
        <v>0</v>
      </c>
      <c r="H2998" s="132" t="s">
        <v>9</v>
      </c>
      <c r="I2998" s="3"/>
      <c r="J2998" s="42"/>
      <c r="K2998" s="174"/>
    </row>
    <row r="2999" spans="1:24" ht="31.5" thickBot="1" x14ac:dyDescent="0.35">
      <c r="A2999" s="20">
        <v>42094</v>
      </c>
      <c r="B2999" s="21">
        <v>16509</v>
      </c>
      <c r="C2999" s="14" t="s">
        <v>131</v>
      </c>
      <c r="D2999" s="103">
        <v>510.6</v>
      </c>
      <c r="E2999" s="23">
        <v>42094</v>
      </c>
      <c r="F2999" s="106">
        <v>510.6</v>
      </c>
      <c r="G2999" s="31">
        <f t="shared" si="46"/>
        <v>0</v>
      </c>
      <c r="H2999" s="132" t="s">
        <v>41</v>
      </c>
      <c r="I2999" s="3"/>
      <c r="J2999" s="42"/>
      <c r="K2999" s="174"/>
      <c r="L2999" s="5" t="s">
        <v>1</v>
      </c>
      <c r="M2999" s="6" t="s">
        <v>2</v>
      </c>
      <c r="N2999" s="173" t="s">
        <v>1008</v>
      </c>
      <c r="O2999" s="101" t="s">
        <v>4</v>
      </c>
      <c r="P2999" s="9" t="s">
        <v>5</v>
      </c>
      <c r="Q2999" s="102" t="s">
        <v>6</v>
      </c>
      <c r="R2999" s="11" t="s">
        <v>7</v>
      </c>
    </row>
    <row r="3000" spans="1:24" ht="15.75" thickTop="1" x14ac:dyDescent="0.25">
      <c r="A3000" s="20">
        <v>42094</v>
      </c>
      <c r="B3000" s="21">
        <v>16510</v>
      </c>
      <c r="C3000" s="14" t="s">
        <v>48</v>
      </c>
      <c r="D3000" s="103">
        <v>6916.8</v>
      </c>
      <c r="E3000" s="30">
        <v>42095</v>
      </c>
      <c r="F3000" s="144">
        <v>6916.8</v>
      </c>
      <c r="G3000" s="31">
        <f t="shared" si="46"/>
        <v>0</v>
      </c>
      <c r="H3000" s="132" t="s">
        <v>9</v>
      </c>
      <c r="I3000" s="3"/>
      <c r="J3000" s="42"/>
      <c r="K3000" s="174"/>
      <c r="L3000" s="12"/>
      <c r="M3000" s="21"/>
      <c r="N3000" s="40"/>
      <c r="O3000" s="105"/>
      <c r="P3000" s="23"/>
      <c r="Q3000" s="106"/>
      <c r="R3000" s="31">
        <f t="shared" ref="R3000:R3019" si="47">O3000-Q3000</f>
        <v>0</v>
      </c>
      <c r="S3000" s="175" t="s">
        <v>183</v>
      </c>
      <c r="T3000" s="62"/>
      <c r="U3000" s="62"/>
      <c r="V3000" s="62"/>
      <c r="W3000" s="62"/>
      <c r="X3000" s="62"/>
    </row>
    <row r="3001" spans="1:24" x14ac:dyDescent="0.25">
      <c r="A3001" s="20">
        <v>42094</v>
      </c>
      <c r="B3001" s="21">
        <v>16511</v>
      </c>
      <c r="C3001" s="14" t="s">
        <v>18</v>
      </c>
      <c r="D3001" s="103">
        <v>82540.679999999993</v>
      </c>
      <c r="E3001" s="30">
        <v>42124</v>
      </c>
      <c r="F3001" s="144">
        <v>82540.679999999993</v>
      </c>
      <c r="G3001" s="31">
        <f t="shared" si="46"/>
        <v>0</v>
      </c>
      <c r="H3001" s="132" t="s">
        <v>9</v>
      </c>
      <c r="I3001" s="3"/>
      <c r="J3001" s="42"/>
      <c r="K3001" s="174"/>
      <c r="L3001" s="20">
        <v>42067</v>
      </c>
      <c r="M3001" s="21">
        <v>13883</v>
      </c>
      <c r="N3001" s="14" t="s">
        <v>286</v>
      </c>
      <c r="O3001" s="105">
        <v>1750</v>
      </c>
      <c r="P3001" s="29" t="s">
        <v>1252</v>
      </c>
      <c r="Q3001" s="106">
        <f>350+350+550+500</f>
        <v>1750</v>
      </c>
      <c r="R3001" s="31">
        <f t="shared" si="47"/>
        <v>0</v>
      </c>
      <c r="S3001" s="176" t="s">
        <v>9</v>
      </c>
      <c r="T3001" s="62"/>
      <c r="U3001" s="62"/>
      <c r="V3001" s="62"/>
      <c r="W3001" s="62"/>
      <c r="X3001" s="62"/>
    </row>
    <row r="3002" spans="1:24" x14ac:dyDescent="0.25">
      <c r="A3002" s="20">
        <v>42094</v>
      </c>
      <c r="B3002" s="21">
        <v>16512</v>
      </c>
      <c r="C3002" s="14" t="s">
        <v>89</v>
      </c>
      <c r="D3002" s="103">
        <v>3740.2</v>
      </c>
      <c r="E3002" s="23">
        <v>42094</v>
      </c>
      <c r="F3002" s="106">
        <v>3740.2</v>
      </c>
      <c r="G3002" s="31">
        <f t="shared" si="46"/>
        <v>0</v>
      </c>
      <c r="H3002" s="132" t="s">
        <v>9</v>
      </c>
      <c r="I3002" s="3"/>
      <c r="J3002" s="42"/>
      <c r="K3002" s="174"/>
      <c r="L3002" s="20"/>
      <c r="M3002" s="21"/>
      <c r="N3002" s="50"/>
      <c r="O3002" s="105"/>
      <c r="P3002" s="30"/>
      <c r="Q3002" s="144"/>
      <c r="R3002" s="31">
        <f t="shared" si="47"/>
        <v>0</v>
      </c>
      <c r="S3002" s="177" t="s">
        <v>94</v>
      </c>
      <c r="T3002" s="62"/>
      <c r="U3002" s="62"/>
      <c r="V3002" s="62"/>
      <c r="W3002" s="62"/>
      <c r="X3002" s="62"/>
    </row>
    <row r="3003" spans="1:24" x14ac:dyDescent="0.25">
      <c r="A3003" s="20">
        <v>42094</v>
      </c>
      <c r="B3003" s="21">
        <v>16513</v>
      </c>
      <c r="C3003" s="14" t="s">
        <v>912</v>
      </c>
      <c r="D3003" s="103">
        <v>21056.2</v>
      </c>
      <c r="E3003" s="23">
        <v>42094</v>
      </c>
      <c r="F3003" s="106">
        <v>21056.2</v>
      </c>
      <c r="G3003" s="31">
        <f t="shared" si="46"/>
        <v>0</v>
      </c>
      <c r="H3003" s="132" t="s">
        <v>9</v>
      </c>
      <c r="I3003" s="3"/>
      <c r="J3003" s="42"/>
      <c r="K3003" s="174"/>
      <c r="L3003" s="20">
        <v>42072</v>
      </c>
      <c r="M3003" s="21">
        <v>14374</v>
      </c>
      <c r="N3003" s="14" t="s">
        <v>24</v>
      </c>
      <c r="O3003" s="105">
        <v>59072.4</v>
      </c>
      <c r="P3003" s="30">
        <v>42125</v>
      </c>
      <c r="Q3003" s="144">
        <v>59072.4</v>
      </c>
      <c r="R3003" s="31">
        <f t="shared" si="47"/>
        <v>0</v>
      </c>
      <c r="S3003" s="176" t="s">
        <v>46</v>
      </c>
      <c r="T3003" s="62"/>
      <c r="U3003" s="62"/>
      <c r="V3003" s="62"/>
      <c r="W3003" s="62"/>
      <c r="X3003" s="62"/>
    </row>
    <row r="3004" spans="1:24" x14ac:dyDescent="0.25">
      <c r="A3004" s="20">
        <v>42094</v>
      </c>
      <c r="B3004" s="21">
        <v>16514</v>
      </c>
      <c r="C3004" s="14" t="s">
        <v>228</v>
      </c>
      <c r="D3004" s="103">
        <v>2222.1</v>
      </c>
      <c r="E3004" s="23">
        <v>42094</v>
      </c>
      <c r="F3004" s="106">
        <v>2222.1</v>
      </c>
      <c r="G3004" s="31">
        <f t="shared" si="46"/>
        <v>0</v>
      </c>
      <c r="H3004" s="132" t="s">
        <v>9</v>
      </c>
      <c r="I3004" s="3"/>
      <c r="J3004" s="42"/>
      <c r="K3004" s="174"/>
      <c r="L3004" s="20">
        <v>42075</v>
      </c>
      <c r="M3004" s="21">
        <v>14607</v>
      </c>
      <c r="N3004" s="14" t="s">
        <v>213</v>
      </c>
      <c r="O3004" s="105">
        <v>52671.199999999997</v>
      </c>
      <c r="P3004" s="30">
        <v>42153</v>
      </c>
      <c r="Q3004" s="144">
        <v>52671.199999999997</v>
      </c>
      <c r="R3004" s="31">
        <f t="shared" si="47"/>
        <v>0</v>
      </c>
      <c r="S3004" s="177" t="s">
        <v>187</v>
      </c>
      <c r="T3004" s="62"/>
      <c r="U3004" s="62"/>
      <c r="V3004" s="62"/>
      <c r="W3004" s="62"/>
      <c r="X3004" s="62"/>
    </row>
    <row r="3005" spans="1:24" x14ac:dyDescent="0.25">
      <c r="A3005" s="20">
        <v>42094</v>
      </c>
      <c r="B3005" s="21">
        <v>16515</v>
      </c>
      <c r="C3005" s="14" t="s">
        <v>180</v>
      </c>
      <c r="D3005" s="103">
        <v>4312.6000000000004</v>
      </c>
      <c r="E3005" s="23">
        <v>42094</v>
      </c>
      <c r="F3005" s="106">
        <v>4312.6000000000004</v>
      </c>
      <c r="G3005" s="31">
        <f t="shared" si="46"/>
        <v>0</v>
      </c>
      <c r="H3005" s="132" t="s">
        <v>9</v>
      </c>
      <c r="I3005" s="3"/>
      <c r="J3005" s="42"/>
      <c r="K3005" s="174"/>
      <c r="L3005" s="20">
        <v>42079</v>
      </c>
      <c r="M3005" s="21">
        <v>15030</v>
      </c>
      <c r="N3005" s="14" t="s">
        <v>24</v>
      </c>
      <c r="O3005" s="105">
        <v>6260.4</v>
      </c>
      <c r="P3005" s="30">
        <v>42125</v>
      </c>
      <c r="Q3005" s="144">
        <v>6260.4</v>
      </c>
      <c r="R3005" s="31">
        <f t="shared" si="47"/>
        <v>0</v>
      </c>
      <c r="S3005" s="177" t="s">
        <v>9</v>
      </c>
      <c r="T3005" s="62"/>
      <c r="U3005" s="62"/>
      <c r="V3005" s="62"/>
      <c r="W3005" s="62"/>
      <c r="X3005" s="62"/>
    </row>
    <row r="3006" spans="1:24" x14ac:dyDescent="0.25">
      <c r="A3006" s="20">
        <v>42094</v>
      </c>
      <c r="B3006" s="21">
        <v>16516</v>
      </c>
      <c r="C3006" s="14" t="s">
        <v>24</v>
      </c>
      <c r="D3006" s="103">
        <v>10606.7</v>
      </c>
      <c r="E3006" s="30">
        <v>42108</v>
      </c>
      <c r="F3006" s="144">
        <v>10606.7</v>
      </c>
      <c r="G3006" s="31">
        <f t="shared" si="46"/>
        <v>0</v>
      </c>
      <c r="H3006" s="132" t="s">
        <v>187</v>
      </c>
      <c r="I3006" s="3"/>
      <c r="J3006" s="42"/>
      <c r="K3006" s="174"/>
      <c r="L3006" s="20">
        <v>42082</v>
      </c>
      <c r="M3006" s="21">
        <v>15265</v>
      </c>
      <c r="N3006" s="14" t="s">
        <v>24</v>
      </c>
      <c r="O3006" s="105">
        <v>38617.599999999999</v>
      </c>
      <c r="P3006" s="30">
        <v>42125</v>
      </c>
      <c r="Q3006" s="145">
        <v>38617.599999999999</v>
      </c>
      <c r="R3006" s="31">
        <f t="shared" si="47"/>
        <v>0</v>
      </c>
      <c r="S3006" s="178" t="s">
        <v>187</v>
      </c>
      <c r="T3006" s="62"/>
      <c r="U3006" s="62"/>
      <c r="V3006" s="62"/>
      <c r="W3006" s="62"/>
      <c r="X3006" s="62"/>
    </row>
    <row r="3007" spans="1:24" x14ac:dyDescent="0.25">
      <c r="A3007" s="20">
        <v>42094</v>
      </c>
      <c r="B3007" s="21">
        <v>16517</v>
      </c>
      <c r="C3007" s="14" t="s">
        <v>71</v>
      </c>
      <c r="D3007" s="103">
        <v>7455.12</v>
      </c>
      <c r="E3007" s="23">
        <v>42094</v>
      </c>
      <c r="F3007" s="106">
        <v>7455.12</v>
      </c>
      <c r="G3007" s="31">
        <f t="shared" si="46"/>
        <v>0</v>
      </c>
      <c r="H3007" s="132" t="s">
        <v>9</v>
      </c>
      <c r="I3007" s="3"/>
      <c r="J3007" s="42"/>
      <c r="K3007" s="174"/>
      <c r="L3007" s="20">
        <v>42084</v>
      </c>
      <c r="M3007" s="21">
        <v>15546</v>
      </c>
      <c r="N3007" s="14" t="s">
        <v>213</v>
      </c>
      <c r="O3007" s="105">
        <v>19445.5</v>
      </c>
      <c r="P3007" s="30">
        <v>42153</v>
      </c>
      <c r="Q3007" s="145">
        <v>19445.5</v>
      </c>
      <c r="R3007" s="31">
        <f t="shared" si="47"/>
        <v>0</v>
      </c>
      <c r="S3007" s="179" t="s">
        <v>9</v>
      </c>
      <c r="T3007" s="62"/>
      <c r="U3007" s="62"/>
      <c r="V3007" s="62"/>
      <c r="W3007" s="62"/>
      <c r="X3007" s="62"/>
    </row>
    <row r="3008" spans="1:24" x14ac:dyDescent="0.25">
      <c r="A3008" s="20">
        <v>42094</v>
      </c>
      <c r="B3008" s="21">
        <v>16518</v>
      </c>
      <c r="C3008" s="14" t="s">
        <v>71</v>
      </c>
      <c r="D3008" s="103">
        <v>21.28</v>
      </c>
      <c r="E3008" s="23">
        <v>42094</v>
      </c>
      <c r="F3008" s="106">
        <v>21.28</v>
      </c>
      <c r="G3008" s="31">
        <f t="shared" si="46"/>
        <v>0</v>
      </c>
      <c r="H3008" s="132" t="s">
        <v>9</v>
      </c>
      <c r="I3008" s="3"/>
      <c r="J3008" s="42"/>
      <c r="K3008" s="174"/>
      <c r="L3008" s="20">
        <v>42086</v>
      </c>
      <c r="M3008" s="21">
        <v>15661</v>
      </c>
      <c r="N3008" s="14" t="s">
        <v>24</v>
      </c>
      <c r="O3008" s="105">
        <v>30847.599999999999</v>
      </c>
      <c r="P3008" s="30" t="s">
        <v>1253</v>
      </c>
      <c r="Q3008" s="144">
        <f>25919.34+4928.26</f>
        <v>30847.599999999999</v>
      </c>
      <c r="R3008" s="31">
        <f t="shared" si="47"/>
        <v>0</v>
      </c>
      <c r="S3008" s="177" t="s">
        <v>19</v>
      </c>
      <c r="T3008" s="62"/>
      <c r="U3008" s="62"/>
      <c r="V3008" s="62"/>
      <c r="W3008" s="62"/>
      <c r="X3008" s="62"/>
    </row>
    <row r="3009" spans="1:24" x14ac:dyDescent="0.25">
      <c r="A3009" s="20">
        <v>42094</v>
      </c>
      <c r="B3009" s="21">
        <v>16519</v>
      </c>
      <c r="C3009" s="14" t="s">
        <v>141</v>
      </c>
      <c r="D3009" s="103">
        <v>2065</v>
      </c>
      <c r="E3009" s="23">
        <v>42094</v>
      </c>
      <c r="F3009" s="106">
        <v>2065</v>
      </c>
      <c r="G3009" s="31">
        <f t="shared" si="46"/>
        <v>0</v>
      </c>
      <c r="H3009" s="132" t="s">
        <v>62</v>
      </c>
      <c r="I3009" s="3"/>
      <c r="J3009" s="42"/>
      <c r="K3009" s="174"/>
      <c r="L3009" s="20">
        <v>42088</v>
      </c>
      <c r="M3009" s="21">
        <v>15946</v>
      </c>
      <c r="N3009" s="14" t="s">
        <v>24</v>
      </c>
      <c r="O3009" s="105">
        <v>50879.4</v>
      </c>
      <c r="P3009" s="74">
        <v>42138</v>
      </c>
      <c r="Q3009" s="144">
        <v>50879.4</v>
      </c>
      <c r="R3009" s="31">
        <f t="shared" si="47"/>
        <v>0</v>
      </c>
      <c r="S3009" s="177" t="s">
        <v>94</v>
      </c>
      <c r="T3009" s="62"/>
      <c r="U3009" s="62"/>
      <c r="V3009" s="62"/>
      <c r="W3009" s="62"/>
      <c r="X3009" s="62"/>
    </row>
    <row r="3010" spans="1:24" x14ac:dyDescent="0.25">
      <c r="A3010" s="20">
        <v>42094</v>
      </c>
      <c r="B3010" s="21">
        <v>16520</v>
      </c>
      <c r="C3010" s="14" t="s">
        <v>941</v>
      </c>
      <c r="D3010" s="103">
        <v>26270.560000000001</v>
      </c>
      <c r="E3010" s="23">
        <v>42094</v>
      </c>
      <c r="F3010" s="106">
        <v>26270.560000000001</v>
      </c>
      <c r="G3010" s="31">
        <f t="shared" si="46"/>
        <v>0</v>
      </c>
      <c r="H3010" s="132" t="s">
        <v>9</v>
      </c>
      <c r="I3010" s="3"/>
      <c r="J3010" s="42"/>
      <c r="K3010" s="174"/>
      <c r="L3010" s="20">
        <v>42089</v>
      </c>
      <c r="M3010" s="21">
        <v>16002</v>
      </c>
      <c r="N3010" s="14" t="s">
        <v>24</v>
      </c>
      <c r="O3010" s="105">
        <v>2454</v>
      </c>
      <c r="P3010" s="74">
        <v>42138</v>
      </c>
      <c r="Q3010" s="144">
        <v>2454</v>
      </c>
      <c r="R3010" s="31">
        <f t="shared" si="47"/>
        <v>0</v>
      </c>
      <c r="S3010" s="177" t="s">
        <v>9</v>
      </c>
      <c r="T3010" s="62"/>
      <c r="U3010" s="62"/>
      <c r="V3010" s="62"/>
      <c r="W3010" s="62"/>
      <c r="X3010" s="62"/>
    </row>
    <row r="3011" spans="1:24" x14ac:dyDescent="0.25">
      <c r="A3011" s="20">
        <v>42094</v>
      </c>
      <c r="B3011" s="21">
        <v>16521</v>
      </c>
      <c r="C3011" s="14" t="s">
        <v>855</v>
      </c>
      <c r="D3011" s="103">
        <v>3197</v>
      </c>
      <c r="E3011" s="23">
        <v>42094</v>
      </c>
      <c r="F3011" s="106">
        <v>3197</v>
      </c>
      <c r="G3011" s="31">
        <f t="shared" ref="G3011:G3031" si="48">D3011-F3011</f>
        <v>0</v>
      </c>
      <c r="H3011" s="132" t="s">
        <v>9</v>
      </c>
      <c r="I3011" s="3"/>
      <c r="J3011" s="42"/>
      <c r="K3011" s="174"/>
      <c r="L3011" s="20">
        <v>42089</v>
      </c>
      <c r="M3011" s="21">
        <v>16061</v>
      </c>
      <c r="N3011" s="14" t="s">
        <v>24</v>
      </c>
      <c r="O3011" s="105">
        <v>3061.6</v>
      </c>
      <c r="P3011" s="74">
        <v>42138</v>
      </c>
      <c r="Q3011" s="144">
        <v>3061.6</v>
      </c>
      <c r="R3011" s="31">
        <f t="shared" si="47"/>
        <v>0</v>
      </c>
      <c r="S3011" s="177" t="s">
        <v>9</v>
      </c>
      <c r="T3011" s="62"/>
      <c r="U3011" s="62"/>
      <c r="V3011" s="62"/>
      <c r="W3011" s="62"/>
      <c r="X3011" s="62"/>
    </row>
    <row r="3012" spans="1:24" x14ac:dyDescent="0.25">
      <c r="A3012" s="20">
        <v>42094</v>
      </c>
      <c r="B3012" s="21">
        <v>16522</v>
      </c>
      <c r="C3012" s="14" t="s">
        <v>110</v>
      </c>
      <c r="D3012" s="103">
        <v>42297.82</v>
      </c>
      <c r="E3012" s="30">
        <v>42104</v>
      </c>
      <c r="F3012" s="144">
        <v>42297.82</v>
      </c>
      <c r="G3012" s="31">
        <f t="shared" si="48"/>
        <v>0</v>
      </c>
      <c r="H3012" s="132" t="s">
        <v>46</v>
      </c>
      <c r="I3012" s="3"/>
      <c r="J3012" s="42"/>
      <c r="K3012" s="174"/>
      <c r="L3012" s="20">
        <v>42090</v>
      </c>
      <c r="M3012" s="21">
        <v>16076</v>
      </c>
      <c r="N3012" s="14" t="s">
        <v>24</v>
      </c>
      <c r="O3012" s="105">
        <v>8166</v>
      </c>
      <c r="P3012" s="74">
        <v>42138</v>
      </c>
      <c r="Q3012" s="144">
        <v>8166</v>
      </c>
      <c r="R3012" s="31">
        <f t="shared" si="47"/>
        <v>0</v>
      </c>
      <c r="S3012" s="177" t="s">
        <v>9</v>
      </c>
      <c r="T3012" s="62"/>
      <c r="U3012" s="62"/>
      <c r="V3012" s="62"/>
      <c r="W3012" s="62"/>
      <c r="X3012" s="62"/>
    </row>
    <row r="3013" spans="1:24" x14ac:dyDescent="0.25">
      <c r="A3013" s="20">
        <v>42094</v>
      </c>
      <c r="B3013" s="21">
        <v>16523</v>
      </c>
      <c r="C3013" s="14" t="s">
        <v>136</v>
      </c>
      <c r="D3013" s="103">
        <v>16864</v>
      </c>
      <c r="E3013" s="30" t="s">
        <v>948</v>
      </c>
      <c r="F3013" s="144">
        <f>8000+8864</f>
        <v>16864</v>
      </c>
      <c r="G3013" s="31">
        <f t="shared" si="48"/>
        <v>0</v>
      </c>
      <c r="H3013" s="132" t="s">
        <v>9</v>
      </c>
      <c r="I3013" s="3"/>
      <c r="J3013" s="42"/>
      <c r="K3013" s="174"/>
      <c r="L3013" s="20">
        <v>42090</v>
      </c>
      <c r="M3013" s="21">
        <v>16171</v>
      </c>
      <c r="N3013" s="14" t="s">
        <v>24</v>
      </c>
      <c r="O3013" s="105">
        <v>5345.6</v>
      </c>
      <c r="P3013" s="74">
        <v>42138</v>
      </c>
      <c r="Q3013" s="144">
        <v>5345.6</v>
      </c>
      <c r="R3013" s="31">
        <f t="shared" si="47"/>
        <v>0</v>
      </c>
      <c r="S3013" s="177" t="s">
        <v>59</v>
      </c>
      <c r="T3013" s="62"/>
      <c r="U3013" s="62"/>
      <c r="V3013" s="62"/>
      <c r="W3013" s="62"/>
      <c r="X3013" s="62"/>
    </row>
    <row r="3014" spans="1:24" x14ac:dyDescent="0.25">
      <c r="A3014" s="20">
        <v>42094</v>
      </c>
      <c r="B3014" s="21">
        <v>16524</v>
      </c>
      <c r="C3014" s="14" t="s">
        <v>136</v>
      </c>
      <c r="D3014" s="103">
        <v>2134.4</v>
      </c>
      <c r="E3014" s="23">
        <v>42094</v>
      </c>
      <c r="F3014" s="106">
        <v>2134.4</v>
      </c>
      <c r="G3014" s="31">
        <f t="shared" si="48"/>
        <v>0</v>
      </c>
      <c r="H3014" s="132" t="s">
        <v>9</v>
      </c>
      <c r="I3014" s="3"/>
      <c r="J3014" s="42"/>
      <c r="K3014" s="174"/>
      <c r="L3014" s="20">
        <v>42091</v>
      </c>
      <c r="M3014" s="21">
        <v>16202</v>
      </c>
      <c r="N3014" s="14" t="s">
        <v>24</v>
      </c>
      <c r="O3014" s="105">
        <v>12004.02</v>
      </c>
      <c r="P3014" s="74">
        <v>42138</v>
      </c>
      <c r="Q3014" s="144">
        <v>12004.02</v>
      </c>
      <c r="R3014" s="31">
        <f t="shared" si="47"/>
        <v>0</v>
      </c>
      <c r="S3014" s="177" t="s">
        <v>312</v>
      </c>
      <c r="T3014" s="62"/>
      <c r="U3014" s="62"/>
      <c r="V3014" s="62"/>
      <c r="W3014" s="62"/>
      <c r="X3014" s="62"/>
    </row>
    <row r="3015" spans="1:24" x14ac:dyDescent="0.25">
      <c r="A3015" s="20">
        <v>42094</v>
      </c>
      <c r="B3015" s="21">
        <v>16525</v>
      </c>
      <c r="C3015" s="14" t="s">
        <v>95</v>
      </c>
      <c r="D3015" s="103">
        <v>1798</v>
      </c>
      <c r="E3015" s="30">
        <v>42095</v>
      </c>
      <c r="F3015" s="144">
        <v>1798</v>
      </c>
      <c r="G3015" s="31">
        <f t="shared" si="48"/>
        <v>0</v>
      </c>
      <c r="H3015" s="132" t="s">
        <v>94</v>
      </c>
      <c r="I3015" s="3"/>
      <c r="J3015" s="42"/>
      <c r="K3015" s="174"/>
      <c r="L3015" s="20">
        <v>42092</v>
      </c>
      <c r="M3015" s="21">
        <v>16302</v>
      </c>
      <c r="N3015" s="14" t="s">
        <v>213</v>
      </c>
      <c r="O3015" s="105">
        <v>6008.8</v>
      </c>
      <c r="P3015" s="74">
        <v>42153</v>
      </c>
      <c r="Q3015" s="189">
        <v>985.68</v>
      </c>
      <c r="R3015" s="55">
        <f t="shared" si="47"/>
        <v>5023.12</v>
      </c>
      <c r="S3015" s="177" t="s">
        <v>59</v>
      </c>
      <c r="T3015" s="62"/>
      <c r="U3015" s="62"/>
      <c r="V3015" s="62"/>
      <c r="W3015" s="62"/>
      <c r="X3015" s="62"/>
    </row>
    <row r="3016" spans="1:24" x14ac:dyDescent="0.25">
      <c r="A3016" s="20">
        <v>42094</v>
      </c>
      <c r="B3016" s="21">
        <v>16526</v>
      </c>
      <c r="C3016" s="14" t="s">
        <v>101</v>
      </c>
      <c r="D3016" s="103">
        <v>886.5</v>
      </c>
      <c r="E3016" s="30">
        <v>42095</v>
      </c>
      <c r="F3016" s="144">
        <v>886.5</v>
      </c>
      <c r="G3016" s="31">
        <f t="shared" si="48"/>
        <v>0</v>
      </c>
      <c r="H3016" s="132" t="s">
        <v>94</v>
      </c>
      <c r="I3016" s="3"/>
      <c r="J3016" s="42"/>
      <c r="K3016" s="174"/>
      <c r="L3016" s="20">
        <v>42092</v>
      </c>
      <c r="M3016" s="21">
        <v>16317</v>
      </c>
      <c r="N3016" s="14" t="s">
        <v>24</v>
      </c>
      <c r="O3016" s="103">
        <v>13406.8</v>
      </c>
      <c r="P3016" s="30">
        <v>42138</v>
      </c>
      <c r="Q3016" s="144">
        <v>13406.8</v>
      </c>
      <c r="R3016" s="31">
        <f t="shared" si="47"/>
        <v>0</v>
      </c>
      <c r="S3016" s="132" t="s">
        <v>9</v>
      </c>
      <c r="T3016" s="62"/>
      <c r="U3016" s="62"/>
      <c r="V3016" s="62"/>
      <c r="W3016" s="62"/>
      <c r="X3016" s="62"/>
    </row>
    <row r="3017" spans="1:24" x14ac:dyDescent="0.25">
      <c r="A3017" s="20">
        <v>42094</v>
      </c>
      <c r="B3017" s="21">
        <v>16527</v>
      </c>
      <c r="C3017" s="14" t="s">
        <v>93</v>
      </c>
      <c r="D3017" s="103">
        <v>1472.5</v>
      </c>
      <c r="E3017" s="30">
        <v>42095</v>
      </c>
      <c r="F3017" s="144">
        <v>1472.5</v>
      </c>
      <c r="G3017" s="31">
        <f t="shared" si="48"/>
        <v>0</v>
      </c>
      <c r="H3017" s="132" t="s">
        <v>94</v>
      </c>
      <c r="I3017" s="3"/>
      <c r="J3017" s="42"/>
      <c r="K3017" s="174"/>
      <c r="L3017" s="20"/>
      <c r="M3017" s="21"/>
      <c r="N3017" s="14"/>
      <c r="O3017" s="103"/>
      <c r="P3017" s="30"/>
      <c r="Q3017" s="144"/>
      <c r="R3017" s="31">
        <f t="shared" si="47"/>
        <v>0</v>
      </c>
      <c r="S3017" s="132" t="s">
        <v>41</v>
      </c>
      <c r="T3017" s="62"/>
      <c r="U3017" s="62"/>
      <c r="V3017" s="62"/>
      <c r="W3017" s="62"/>
      <c r="X3017" s="62"/>
    </row>
    <row r="3018" spans="1:24" x14ac:dyDescent="0.25">
      <c r="A3018" s="20">
        <v>42094</v>
      </c>
      <c r="B3018" s="21">
        <v>16528</v>
      </c>
      <c r="C3018" s="14" t="s">
        <v>99</v>
      </c>
      <c r="D3018" s="103">
        <v>588</v>
      </c>
      <c r="E3018" s="30">
        <v>42095</v>
      </c>
      <c r="F3018" s="144">
        <v>588</v>
      </c>
      <c r="G3018" s="31">
        <f t="shared" si="48"/>
        <v>0</v>
      </c>
      <c r="H3018" s="132" t="s">
        <v>94</v>
      </c>
      <c r="I3018" s="3"/>
      <c r="J3018" s="42"/>
      <c r="K3018" s="174"/>
      <c r="L3018" s="20"/>
      <c r="M3018" s="21"/>
      <c r="N3018" s="14" t="s">
        <v>485</v>
      </c>
      <c r="O3018" s="103"/>
      <c r="P3018" s="23"/>
      <c r="Q3018" s="106"/>
      <c r="R3018" s="31">
        <f t="shared" si="47"/>
        <v>0</v>
      </c>
      <c r="S3018" s="132"/>
      <c r="T3018" s="180"/>
      <c r="U3018" s="180"/>
      <c r="V3018" s="180"/>
      <c r="W3018" s="180"/>
    </row>
    <row r="3019" spans="1:24" ht="16.5" thickBot="1" x14ac:dyDescent="0.3">
      <c r="A3019" s="20">
        <v>42094</v>
      </c>
      <c r="B3019" s="21">
        <v>16529</v>
      </c>
      <c r="C3019" s="14" t="s">
        <v>98</v>
      </c>
      <c r="D3019" s="103">
        <v>1399.9</v>
      </c>
      <c r="E3019" s="30">
        <v>42095</v>
      </c>
      <c r="F3019" s="144">
        <v>1399.9</v>
      </c>
      <c r="G3019" s="31">
        <f t="shared" si="48"/>
        <v>0</v>
      </c>
      <c r="H3019" s="132" t="s">
        <v>94</v>
      </c>
      <c r="I3019" s="3"/>
      <c r="J3019" s="42"/>
      <c r="K3019" s="174"/>
      <c r="L3019" s="20"/>
      <c r="M3019" s="77"/>
      <c r="N3019" s="79" t="s">
        <v>485</v>
      </c>
      <c r="O3019" s="133"/>
      <c r="P3019" s="81"/>
      <c r="Q3019" s="134"/>
      <c r="R3019" s="25">
        <f t="shared" si="47"/>
        <v>0</v>
      </c>
      <c r="T3019" s="180"/>
      <c r="U3019" s="180"/>
      <c r="V3019" s="180"/>
      <c r="W3019" s="180"/>
    </row>
    <row r="3020" spans="1:24" x14ac:dyDescent="0.25">
      <c r="A3020" s="20">
        <v>42094</v>
      </c>
      <c r="B3020" s="21">
        <v>16530</v>
      </c>
      <c r="C3020" s="14" t="s">
        <v>38</v>
      </c>
      <c r="D3020" s="103">
        <v>30690</v>
      </c>
      <c r="E3020" s="30" t="s">
        <v>988</v>
      </c>
      <c r="F3020" s="144">
        <f>15210+15480</f>
        <v>30690</v>
      </c>
      <c r="G3020" s="31">
        <f t="shared" si="48"/>
        <v>0</v>
      </c>
      <c r="H3020" s="132" t="s">
        <v>62</v>
      </c>
      <c r="I3020" s="3"/>
      <c r="J3020" s="42"/>
      <c r="K3020" s="174"/>
      <c r="L3020" s="82"/>
      <c r="M3020" s="83"/>
      <c r="N3020" s="84"/>
      <c r="O3020" s="135">
        <f>SUM(O3000:O3019)</f>
        <v>309990.92</v>
      </c>
      <c r="P3020" s="86"/>
      <c r="Q3020" s="136">
        <f>SUM(Q3000:Q3019)</f>
        <v>304967.8</v>
      </c>
      <c r="R3020" s="87"/>
    </row>
    <row r="3021" spans="1:24" ht="15.75" thickBot="1" x14ac:dyDescent="0.3">
      <c r="A3021" s="20">
        <v>42094</v>
      </c>
      <c r="B3021" s="21">
        <v>16531</v>
      </c>
      <c r="C3021" s="14" t="s">
        <v>14</v>
      </c>
      <c r="D3021" s="103">
        <v>10655.08</v>
      </c>
      <c r="E3021" s="30">
        <v>42104</v>
      </c>
      <c r="F3021" s="144">
        <v>10655.08</v>
      </c>
      <c r="G3021" s="31">
        <f t="shared" si="48"/>
        <v>0</v>
      </c>
      <c r="H3021" s="132" t="s">
        <v>9</v>
      </c>
      <c r="I3021" s="3"/>
      <c r="J3021" s="42"/>
      <c r="K3021" s="174"/>
      <c r="L3021" s="82"/>
      <c r="M3021" s="83"/>
      <c r="N3021" s="84"/>
      <c r="O3021" s="137"/>
      <c r="P3021" s="86"/>
      <c r="Q3021" s="138"/>
      <c r="R3021" s="87"/>
    </row>
    <row r="3022" spans="1:24" x14ac:dyDescent="0.25">
      <c r="A3022" s="20">
        <v>42094</v>
      </c>
      <c r="B3022" s="21">
        <v>16532</v>
      </c>
      <c r="C3022" s="14" t="s">
        <v>80</v>
      </c>
      <c r="D3022" s="103">
        <v>9033.7999999999993</v>
      </c>
      <c r="E3022" s="23">
        <v>42094</v>
      </c>
      <c r="F3022" s="106">
        <v>9033.7999999999993</v>
      </c>
      <c r="G3022" s="31">
        <f t="shared" si="48"/>
        <v>0</v>
      </c>
      <c r="H3022" s="132" t="s">
        <v>9</v>
      </c>
      <c r="I3022" s="3"/>
      <c r="J3022" s="42"/>
      <c r="K3022" s="174"/>
      <c r="L3022" s="82"/>
      <c r="M3022" s="83"/>
      <c r="N3022" s="84"/>
      <c r="O3022" s="139"/>
      <c r="P3022" s="86"/>
      <c r="Q3022" s="140"/>
      <c r="R3022" s="87"/>
    </row>
    <row r="3023" spans="1:24" ht="31.5" x14ac:dyDescent="0.25">
      <c r="A3023" s="20">
        <v>42094</v>
      </c>
      <c r="B3023" s="21">
        <v>16533</v>
      </c>
      <c r="C3023" s="14" t="s">
        <v>697</v>
      </c>
      <c r="D3023" s="103">
        <v>20277.400000000001</v>
      </c>
      <c r="E3023" s="30" t="s">
        <v>990</v>
      </c>
      <c r="F3023" s="144">
        <v>20277.400000000001</v>
      </c>
      <c r="G3023" s="31">
        <f t="shared" si="48"/>
        <v>0</v>
      </c>
      <c r="H3023" s="132" t="s">
        <v>9</v>
      </c>
      <c r="I3023" s="3"/>
      <c r="J3023" s="42"/>
      <c r="K3023" s="174"/>
      <c r="L3023" s="82"/>
      <c r="M3023" s="83"/>
      <c r="N3023" s="4"/>
      <c r="O3023" s="141" t="s">
        <v>486</v>
      </c>
      <c r="P3023" s="86"/>
      <c r="Q3023" s="142" t="s">
        <v>487</v>
      </c>
      <c r="R3023" s="87"/>
    </row>
    <row r="3024" spans="1:24" x14ac:dyDescent="0.25">
      <c r="A3024" s="20">
        <v>42094</v>
      </c>
      <c r="B3024" s="21">
        <v>16534</v>
      </c>
      <c r="C3024" s="26" t="s">
        <v>218</v>
      </c>
      <c r="D3024" s="153">
        <v>0</v>
      </c>
      <c r="E3024" s="23"/>
      <c r="F3024" s="106"/>
      <c r="G3024" s="31">
        <f t="shared" si="48"/>
        <v>0</v>
      </c>
      <c r="H3024" s="132" t="s">
        <v>13</v>
      </c>
      <c r="I3024" s="3"/>
      <c r="J3024" s="42"/>
      <c r="K3024" s="3"/>
      <c r="L3024" s="82"/>
      <c r="M3024" s="83"/>
      <c r="N3024" s="84"/>
      <c r="O3024" s="139"/>
      <c r="P3024" s="86"/>
      <c r="Q3024" s="140"/>
      <c r="R3024" s="87"/>
    </row>
    <row r="3025" spans="1:18" x14ac:dyDescent="0.25">
      <c r="A3025" s="20">
        <v>42094</v>
      </c>
      <c r="B3025" s="21">
        <v>16535</v>
      </c>
      <c r="C3025" s="14" t="s">
        <v>111</v>
      </c>
      <c r="D3025" s="103">
        <v>27485.599999999999</v>
      </c>
      <c r="E3025" s="30">
        <v>42098</v>
      </c>
      <c r="F3025" s="144">
        <v>27485.599999999999</v>
      </c>
      <c r="G3025" s="31">
        <f t="shared" si="48"/>
        <v>0</v>
      </c>
      <c r="H3025" s="132" t="s">
        <v>17</v>
      </c>
      <c r="I3025" s="3"/>
      <c r="J3025" s="42"/>
      <c r="K3025" s="3"/>
      <c r="L3025" s="82"/>
      <c r="M3025" s="83"/>
      <c r="N3025" s="84"/>
      <c r="O3025" s="139"/>
      <c r="P3025" s="86"/>
      <c r="Q3025" s="140"/>
      <c r="R3025" s="87"/>
    </row>
    <row r="3026" spans="1:18" x14ac:dyDescent="0.25">
      <c r="A3026" s="20">
        <v>42094</v>
      </c>
      <c r="B3026" s="21">
        <v>16536</v>
      </c>
      <c r="C3026" s="14" t="s">
        <v>472</v>
      </c>
      <c r="D3026" s="103">
        <v>9112</v>
      </c>
      <c r="E3026" s="30">
        <v>42095</v>
      </c>
      <c r="F3026" s="144">
        <v>9112</v>
      </c>
      <c r="G3026" s="31">
        <f t="shared" si="48"/>
        <v>0</v>
      </c>
      <c r="H3026" s="132" t="s">
        <v>17</v>
      </c>
      <c r="I3026" s="3"/>
      <c r="J3026" s="42"/>
      <c r="K3026" s="3"/>
      <c r="L3026" s="82"/>
      <c r="M3026" s="83"/>
      <c r="N3026" s="84"/>
      <c r="O3026" s="139"/>
      <c r="P3026" s="86"/>
      <c r="Q3026" s="140"/>
      <c r="R3026" s="87"/>
    </row>
    <row r="3027" spans="1:18" ht="21" x14ac:dyDescent="0.35">
      <c r="A3027" s="20">
        <v>42094</v>
      </c>
      <c r="B3027" s="21">
        <v>16537</v>
      </c>
      <c r="C3027" s="14" t="s">
        <v>24</v>
      </c>
      <c r="D3027" s="103">
        <v>70844.2</v>
      </c>
      <c r="E3027" s="30">
        <v>42115</v>
      </c>
      <c r="F3027" s="144">
        <v>70844.2</v>
      </c>
      <c r="G3027" s="31">
        <f t="shared" si="48"/>
        <v>0</v>
      </c>
      <c r="H3027" s="132" t="s">
        <v>46</v>
      </c>
      <c r="I3027" s="3"/>
      <c r="J3027" s="42"/>
      <c r="K3027" s="3"/>
      <c r="L3027" s="82"/>
      <c r="M3027" s="83"/>
      <c r="N3027" s="84"/>
      <c r="O3027" s="217">
        <f>O3020-Q3020</f>
        <v>5023.1199999999953</v>
      </c>
      <c r="P3027" s="218"/>
      <c r="Q3027" s="218"/>
      <c r="R3027" s="87"/>
    </row>
    <row r="3028" spans="1:18" x14ac:dyDescent="0.25">
      <c r="A3028" s="20">
        <v>42094</v>
      </c>
      <c r="B3028" s="21">
        <v>16538</v>
      </c>
      <c r="C3028" s="14" t="s">
        <v>24</v>
      </c>
      <c r="D3028" s="103">
        <v>243070.16</v>
      </c>
      <c r="E3028" s="30">
        <v>42115</v>
      </c>
      <c r="F3028" s="144">
        <v>243070.16</v>
      </c>
      <c r="G3028" s="31">
        <f t="shared" si="48"/>
        <v>0</v>
      </c>
      <c r="H3028" s="132" t="s">
        <v>46</v>
      </c>
      <c r="I3028" s="3"/>
      <c r="J3028" s="42"/>
      <c r="K3028" s="3"/>
      <c r="L3028" s="82"/>
      <c r="M3028" s="83"/>
      <c r="N3028" s="84"/>
      <c r="O3028" s="139"/>
      <c r="P3028" s="86"/>
      <c r="Q3028" s="140"/>
      <c r="R3028" s="87"/>
    </row>
    <row r="3029" spans="1:18" ht="18.75" x14ac:dyDescent="0.3">
      <c r="A3029" s="20">
        <v>42094</v>
      </c>
      <c r="B3029" s="21">
        <v>16539</v>
      </c>
      <c r="C3029" s="14" t="s">
        <v>454</v>
      </c>
      <c r="D3029" s="103">
        <v>1365</v>
      </c>
      <c r="E3029" s="30">
        <v>42095</v>
      </c>
      <c r="F3029" s="144">
        <v>1365</v>
      </c>
      <c r="G3029" s="31">
        <f t="shared" si="48"/>
        <v>0</v>
      </c>
      <c r="H3029" s="132" t="s">
        <v>41</v>
      </c>
      <c r="I3029" s="3"/>
      <c r="J3029" s="42"/>
      <c r="K3029" s="3"/>
      <c r="L3029" s="82"/>
      <c r="M3029" s="83"/>
      <c r="N3029" s="84"/>
      <c r="O3029" s="219" t="s">
        <v>488</v>
      </c>
      <c r="P3029" s="219"/>
      <c r="Q3029" s="219"/>
      <c r="R3029" s="87"/>
    </row>
    <row r="3030" spans="1:18" x14ac:dyDescent="0.25">
      <c r="A3030" s="20"/>
      <c r="B3030" s="21"/>
      <c r="C3030" s="14" t="s">
        <v>485</v>
      </c>
      <c r="D3030" s="103"/>
      <c r="E3030" s="23"/>
      <c r="F3030" s="106"/>
      <c r="G3030" s="31">
        <f t="shared" si="48"/>
        <v>0</v>
      </c>
      <c r="H3030" s="132"/>
      <c r="I3030" s="3"/>
      <c r="J3030" s="42"/>
      <c r="K3030" s="3"/>
    </row>
    <row r="3031" spans="1:18" ht="16.5" thickBot="1" x14ac:dyDescent="0.3">
      <c r="A3031" s="20"/>
      <c r="B3031" s="77"/>
      <c r="C3031" s="79" t="s">
        <v>485</v>
      </c>
      <c r="D3031" s="133"/>
      <c r="E3031" s="81"/>
      <c r="F3031" s="134"/>
      <c r="G3031" s="25">
        <f t="shared" si="48"/>
        <v>0</v>
      </c>
      <c r="I3031" s="3"/>
      <c r="J3031" s="42"/>
      <c r="K3031" s="3"/>
    </row>
    <row r="3032" spans="1:18" x14ac:dyDescent="0.25">
      <c r="A3032" s="82"/>
      <c r="B3032" s="83"/>
      <c r="C3032" s="84"/>
      <c r="D3032" s="135">
        <f>SUM(D4:D3031)</f>
        <v>40517580.23999995</v>
      </c>
      <c r="E3032" s="86"/>
      <c r="F3032" s="136">
        <f>SUM(F4:F3031)</f>
        <v>40512557.119999953</v>
      </c>
      <c r="G3032" s="87"/>
      <c r="I3032" s="3"/>
      <c r="J3032" s="42"/>
      <c r="K3032" s="3"/>
    </row>
    <row r="3033" spans="1:18" ht="15.75" thickBot="1" x14ac:dyDescent="0.3">
      <c r="A3033" s="82"/>
      <c r="B3033" s="83"/>
      <c r="C3033" s="84"/>
      <c r="D3033" s="137"/>
      <c r="E3033" s="86"/>
      <c r="F3033" s="138"/>
      <c r="G3033" s="87"/>
      <c r="I3033" s="3"/>
      <c r="J3033" s="42"/>
      <c r="K3033" s="3"/>
    </row>
    <row r="3034" spans="1:18" x14ac:dyDescent="0.25">
      <c r="A3034" s="82"/>
      <c r="B3034" s="83"/>
      <c r="C3034" s="84"/>
      <c r="D3034" s="139"/>
      <c r="E3034" s="86"/>
      <c r="F3034" s="140"/>
      <c r="G3034" s="87"/>
      <c r="I3034" s="3"/>
      <c r="J3034" s="42"/>
      <c r="K3034" s="3"/>
    </row>
    <row r="3035" spans="1:18" ht="31.5" x14ac:dyDescent="0.25">
      <c r="A3035" s="82"/>
      <c r="B3035" s="83"/>
      <c r="C3035" s="4"/>
      <c r="D3035" s="141" t="s">
        <v>486</v>
      </c>
      <c r="E3035" s="86"/>
      <c r="F3035" s="142" t="s">
        <v>487</v>
      </c>
      <c r="G3035" s="87"/>
      <c r="I3035" s="3"/>
      <c r="J3035" s="42"/>
      <c r="K3035" s="3"/>
    </row>
    <row r="3036" spans="1:18" x14ac:dyDescent="0.25">
      <c r="A3036" s="82"/>
      <c r="B3036" s="83"/>
      <c r="C3036" s="84"/>
      <c r="D3036" s="139"/>
      <c r="E3036" s="86"/>
      <c r="F3036" s="140"/>
      <c r="G3036" s="87"/>
      <c r="I3036" s="3"/>
      <c r="J3036" s="42"/>
      <c r="K3036" s="3"/>
    </row>
    <row r="3037" spans="1:18" x14ac:dyDescent="0.25">
      <c r="A3037" s="82"/>
      <c r="B3037" s="83"/>
      <c r="C3037" s="84"/>
      <c r="D3037" s="139"/>
      <c r="E3037" s="86"/>
      <c r="F3037" s="140"/>
      <c r="G3037" s="87"/>
      <c r="I3037" s="3"/>
      <c r="J3037" s="42"/>
      <c r="K3037" s="3"/>
    </row>
    <row r="3038" spans="1:18" x14ac:dyDescent="0.25">
      <c r="A3038" s="82"/>
      <c r="B3038" s="83"/>
      <c r="C3038" s="84"/>
      <c r="D3038" s="139"/>
      <c r="E3038" s="86"/>
      <c r="F3038" s="140"/>
      <c r="G3038" s="87"/>
      <c r="I3038" s="3"/>
      <c r="J3038" s="42"/>
      <c r="K3038" s="3"/>
    </row>
    <row r="3039" spans="1:18" ht="21" x14ac:dyDescent="0.35">
      <c r="A3039" s="82"/>
      <c r="B3039" s="83"/>
      <c r="C3039" s="84"/>
      <c r="D3039" s="217">
        <f>D3032-F3032</f>
        <v>5023.1199999973178</v>
      </c>
      <c r="E3039" s="218"/>
      <c r="F3039" s="218"/>
      <c r="G3039" s="87"/>
      <c r="I3039" s="3"/>
      <c r="J3039" s="42"/>
      <c r="K3039" s="3"/>
    </row>
    <row r="3040" spans="1:18" x14ac:dyDescent="0.25">
      <c r="A3040" s="82"/>
      <c r="B3040" s="83"/>
      <c r="C3040" s="84"/>
      <c r="D3040" s="139"/>
      <c r="E3040" s="86"/>
      <c r="F3040" s="140"/>
      <c r="G3040" s="87"/>
      <c r="I3040" s="3"/>
      <c r="J3040" s="42"/>
      <c r="K3040" s="3"/>
    </row>
    <row r="3041" spans="1:10" s="3" customFormat="1" ht="18.75" x14ac:dyDescent="0.3">
      <c r="A3041" s="82"/>
      <c r="B3041" s="83"/>
      <c r="C3041" s="84"/>
      <c r="D3041" s="219" t="s">
        <v>488</v>
      </c>
      <c r="E3041" s="219"/>
      <c r="F3041" s="219"/>
      <c r="G3041" s="87"/>
      <c r="J3041" s="42"/>
    </row>
    <row r="3042" spans="1:10" s="3" customFormat="1" x14ac:dyDescent="0.25">
      <c r="A3042" s="82"/>
      <c r="B3042" s="83"/>
      <c r="C3042" s="84"/>
      <c r="D3042" s="139"/>
      <c r="E3042" s="86"/>
      <c r="F3042" s="140"/>
      <c r="G3042" s="87"/>
      <c r="J3042" s="42"/>
    </row>
    <row r="3043" spans="1:10" s="3" customFormat="1" x14ac:dyDescent="0.25">
      <c r="A3043" s="82"/>
      <c r="B3043" s="83"/>
      <c r="C3043" s="84"/>
      <c r="D3043" s="139"/>
      <c r="E3043" s="86"/>
      <c r="F3043" s="140"/>
      <c r="G3043" s="87"/>
      <c r="J3043" s="42"/>
    </row>
    <row r="3044" spans="1:10" s="3" customFormat="1" x14ac:dyDescent="0.25">
      <c r="A3044" s="82"/>
      <c r="B3044" s="83"/>
      <c r="C3044" s="84"/>
      <c r="D3044" s="139"/>
      <c r="E3044" s="86"/>
      <c r="F3044" s="140"/>
      <c r="G3044" s="87"/>
      <c r="J3044" s="42"/>
    </row>
  </sheetData>
  <sortState ref="B3016:D3017">
    <sortCondition ref="B3016:B3017"/>
  </sortState>
  <mergeCells count="5">
    <mergeCell ref="A1:E1"/>
    <mergeCell ref="D3039:F3039"/>
    <mergeCell ref="D3041:F3041"/>
    <mergeCell ref="O3027:Q3027"/>
    <mergeCell ref="O3029:Q3029"/>
  </mergeCells>
  <pageMargins left="0.70866141732283472" right="0.70866141732283472" top="0.74803149606299213" bottom="0.74803149606299213" header="0.31496062992125984" footer="0.31496062992125984"/>
  <pageSetup scale="80" orientation="landscape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P3054"/>
  <sheetViews>
    <sheetView topLeftCell="A923" workbookViewId="0">
      <selection activeCell="E951" sqref="E951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5" width="11.42578125" style="3"/>
    <col min="16" max="16" width="14.140625" style="42" bestFit="1" customWidth="1"/>
    <col min="17" max="16384" width="11.42578125" style="3"/>
  </cols>
  <sheetData>
    <row r="1" spans="1:11" ht="18.75" x14ac:dyDescent="0.3">
      <c r="A1" s="216" t="s">
        <v>1009</v>
      </c>
      <c r="B1" s="216"/>
      <c r="C1" s="216"/>
      <c r="D1" s="216"/>
      <c r="E1" s="216"/>
      <c r="F1" s="100"/>
      <c r="G1" s="2"/>
      <c r="K1" s="3"/>
    </row>
    <row r="2" spans="1:11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K2" s="3"/>
    </row>
    <row r="3" spans="1:11" ht="15.75" thickTop="1" x14ac:dyDescent="0.25">
      <c r="A3" s="12">
        <v>42095</v>
      </c>
      <c r="B3" s="77">
        <v>16540</v>
      </c>
      <c r="C3" s="14" t="s">
        <v>697</v>
      </c>
      <c r="D3" s="103">
        <v>11323.2</v>
      </c>
      <c r="E3" s="182" t="s">
        <v>1010</v>
      </c>
      <c r="F3" s="104">
        <v>11323.2</v>
      </c>
      <c r="G3" s="18">
        <f t="shared" ref="G3:G66" si="0">D3-F3</f>
        <v>0</v>
      </c>
      <c r="H3" s="19" t="s">
        <v>17</v>
      </c>
      <c r="K3" s="3"/>
    </row>
    <row r="4" spans="1:11" x14ac:dyDescent="0.25">
      <c r="A4" s="20">
        <v>42095</v>
      </c>
      <c r="B4" s="183">
        <v>16541</v>
      </c>
      <c r="C4" s="14" t="s">
        <v>16</v>
      </c>
      <c r="D4" s="105">
        <v>6774</v>
      </c>
      <c r="E4" s="23">
        <v>42095</v>
      </c>
      <c r="F4" s="106">
        <v>6774</v>
      </c>
      <c r="G4" s="25">
        <f t="shared" si="0"/>
        <v>0</v>
      </c>
      <c r="H4" s="19" t="s">
        <v>17</v>
      </c>
      <c r="K4" s="3"/>
    </row>
    <row r="5" spans="1:11" x14ac:dyDescent="0.25">
      <c r="A5" s="12">
        <v>42095</v>
      </c>
      <c r="B5" s="183">
        <v>16542</v>
      </c>
      <c r="C5" s="14" t="s">
        <v>112</v>
      </c>
      <c r="D5" s="105">
        <v>1253.04</v>
      </c>
      <c r="E5" s="23" t="s">
        <v>1011</v>
      </c>
      <c r="F5" s="106">
        <f>927+326.04</f>
        <v>1253.04</v>
      </c>
      <c r="G5" s="25">
        <f t="shared" si="0"/>
        <v>0</v>
      </c>
      <c r="H5" s="19" t="s">
        <v>9</v>
      </c>
      <c r="K5" s="3"/>
    </row>
    <row r="6" spans="1:11" x14ac:dyDescent="0.25">
      <c r="A6" s="20">
        <v>42095</v>
      </c>
      <c r="B6" s="183">
        <v>16543</v>
      </c>
      <c r="C6" s="14" t="s">
        <v>151</v>
      </c>
      <c r="D6" s="105">
        <v>4448.2</v>
      </c>
      <c r="E6" s="23">
        <v>42095</v>
      </c>
      <c r="F6" s="106">
        <v>4448.2</v>
      </c>
      <c r="G6" s="25">
        <f t="shared" si="0"/>
        <v>0</v>
      </c>
      <c r="H6" s="19" t="s">
        <v>9</v>
      </c>
      <c r="K6" s="3"/>
    </row>
    <row r="7" spans="1:11" x14ac:dyDescent="0.25">
      <c r="A7" s="12">
        <v>42095</v>
      </c>
      <c r="B7" s="183">
        <v>16544</v>
      </c>
      <c r="C7" s="14" t="s">
        <v>213</v>
      </c>
      <c r="D7" s="105">
        <v>8221.5</v>
      </c>
      <c r="E7" s="23">
        <v>42095</v>
      </c>
      <c r="F7" s="106">
        <v>8221.5</v>
      </c>
      <c r="G7" s="25">
        <f t="shared" si="0"/>
        <v>0</v>
      </c>
      <c r="H7" s="19" t="s">
        <v>17</v>
      </c>
      <c r="K7" s="3"/>
    </row>
    <row r="8" spans="1:11" x14ac:dyDescent="0.25">
      <c r="A8" s="20">
        <v>42095</v>
      </c>
      <c r="B8" s="183">
        <v>16545</v>
      </c>
      <c r="C8" s="14" t="s">
        <v>267</v>
      </c>
      <c r="D8" s="105">
        <v>1001.2</v>
      </c>
      <c r="E8" s="23">
        <v>42095</v>
      </c>
      <c r="F8" s="106">
        <v>1001.2</v>
      </c>
      <c r="G8" s="25">
        <f t="shared" si="0"/>
        <v>0</v>
      </c>
      <c r="H8" s="19" t="s">
        <v>17</v>
      </c>
      <c r="K8" s="3"/>
    </row>
    <row r="9" spans="1:11" x14ac:dyDescent="0.25">
      <c r="A9" s="12">
        <v>42095</v>
      </c>
      <c r="B9" s="183">
        <v>16546</v>
      </c>
      <c r="C9" s="14" t="s">
        <v>112</v>
      </c>
      <c r="D9" s="105">
        <v>8073</v>
      </c>
      <c r="E9" s="23">
        <v>42095</v>
      </c>
      <c r="F9" s="106">
        <v>8073</v>
      </c>
      <c r="G9" s="25">
        <f t="shared" si="0"/>
        <v>0</v>
      </c>
      <c r="H9" s="19" t="s">
        <v>9</v>
      </c>
      <c r="K9" s="3"/>
    </row>
    <row r="10" spans="1:11" x14ac:dyDescent="0.25">
      <c r="A10" s="20">
        <v>42095</v>
      </c>
      <c r="B10" s="183">
        <v>16547</v>
      </c>
      <c r="C10" s="14" t="s">
        <v>14</v>
      </c>
      <c r="D10" s="105">
        <v>15619.7</v>
      </c>
      <c r="E10" s="23">
        <v>42104</v>
      </c>
      <c r="F10" s="106">
        <v>15619.7</v>
      </c>
      <c r="G10" s="25">
        <f t="shared" si="0"/>
        <v>0</v>
      </c>
      <c r="H10" s="19" t="s">
        <v>9</v>
      </c>
      <c r="K10" s="3"/>
    </row>
    <row r="11" spans="1:11" x14ac:dyDescent="0.25">
      <c r="A11" s="12">
        <v>42095</v>
      </c>
      <c r="B11" s="183">
        <v>16548</v>
      </c>
      <c r="C11" s="14" t="s">
        <v>1012</v>
      </c>
      <c r="D11" s="105">
        <v>16056.75</v>
      </c>
      <c r="E11" s="23">
        <v>42095</v>
      </c>
      <c r="F11" s="106">
        <v>16056.75</v>
      </c>
      <c r="G11" s="25">
        <f t="shared" si="0"/>
        <v>0</v>
      </c>
      <c r="H11" s="19" t="s">
        <v>9</v>
      </c>
      <c r="K11" s="3"/>
    </row>
    <row r="12" spans="1:11" x14ac:dyDescent="0.25">
      <c r="A12" s="20">
        <v>42095</v>
      </c>
      <c r="B12" s="183">
        <v>16549</v>
      </c>
      <c r="C12" s="26" t="s">
        <v>218</v>
      </c>
      <c r="D12" s="108">
        <v>0</v>
      </c>
      <c r="E12" s="23"/>
      <c r="F12" s="106"/>
      <c r="G12" s="25">
        <f t="shared" si="0"/>
        <v>0</v>
      </c>
      <c r="H12" s="19" t="s">
        <v>13</v>
      </c>
      <c r="K12" s="3"/>
    </row>
    <row r="13" spans="1:11" x14ac:dyDescent="0.25">
      <c r="A13" s="12">
        <v>42095</v>
      </c>
      <c r="B13" s="183">
        <v>16550</v>
      </c>
      <c r="C13" s="14" t="s">
        <v>18</v>
      </c>
      <c r="D13" s="105">
        <v>45384.78</v>
      </c>
      <c r="E13" s="23">
        <v>42101</v>
      </c>
      <c r="F13" s="106">
        <v>45384.78</v>
      </c>
      <c r="G13" s="25">
        <f t="shared" si="0"/>
        <v>0</v>
      </c>
      <c r="H13" s="19" t="s">
        <v>187</v>
      </c>
      <c r="J13" s="107"/>
      <c r="K13" s="3"/>
    </row>
    <row r="14" spans="1:11" x14ac:dyDescent="0.25">
      <c r="A14" s="20">
        <v>42095</v>
      </c>
      <c r="B14" s="183">
        <v>16551</v>
      </c>
      <c r="C14" s="14" t="s">
        <v>121</v>
      </c>
      <c r="D14" s="105">
        <v>2362.25</v>
      </c>
      <c r="E14" s="23">
        <v>42095</v>
      </c>
      <c r="F14" s="106">
        <v>2362.25</v>
      </c>
      <c r="G14" s="25">
        <f t="shared" si="0"/>
        <v>0</v>
      </c>
      <c r="H14" s="19" t="s">
        <v>9</v>
      </c>
      <c r="K14" s="3"/>
    </row>
    <row r="15" spans="1:11" x14ac:dyDescent="0.25">
      <c r="A15" s="12">
        <v>42095</v>
      </c>
      <c r="B15" s="183">
        <v>16552</v>
      </c>
      <c r="C15" s="14" t="s">
        <v>55</v>
      </c>
      <c r="D15" s="105">
        <v>19199.400000000001</v>
      </c>
      <c r="E15" s="23">
        <v>42095</v>
      </c>
      <c r="F15" s="106">
        <v>19199.400000000001</v>
      </c>
      <c r="G15" s="25">
        <f t="shared" si="0"/>
        <v>0</v>
      </c>
      <c r="H15" s="19" t="s">
        <v>773</v>
      </c>
      <c r="K15" s="3"/>
    </row>
    <row r="16" spans="1:11" x14ac:dyDescent="0.25">
      <c r="A16" s="20">
        <v>42095</v>
      </c>
      <c r="B16" s="183">
        <v>16553</v>
      </c>
      <c r="C16" s="14" t="s">
        <v>20</v>
      </c>
      <c r="D16" s="105">
        <v>10941.85</v>
      </c>
      <c r="E16" s="23">
        <v>42095</v>
      </c>
      <c r="F16" s="106">
        <v>10941.85</v>
      </c>
      <c r="G16" s="25">
        <f t="shared" si="0"/>
        <v>0</v>
      </c>
      <c r="H16" s="19" t="s">
        <v>94</v>
      </c>
      <c r="K16" s="3"/>
    </row>
    <row r="17" spans="1:11" x14ac:dyDescent="0.25">
      <c r="A17" s="12">
        <v>42095</v>
      </c>
      <c r="B17" s="183">
        <v>16554</v>
      </c>
      <c r="C17" s="14" t="s">
        <v>35</v>
      </c>
      <c r="D17" s="105">
        <v>20517.2</v>
      </c>
      <c r="E17" s="23">
        <v>42095</v>
      </c>
      <c r="F17" s="106">
        <v>20517.2</v>
      </c>
      <c r="G17" s="25">
        <f t="shared" si="0"/>
        <v>0</v>
      </c>
      <c r="H17" s="19" t="s">
        <v>773</v>
      </c>
      <c r="K17" s="3"/>
    </row>
    <row r="18" spans="1:11" x14ac:dyDescent="0.25">
      <c r="A18" s="20">
        <v>42095</v>
      </c>
      <c r="B18" s="183">
        <v>16555</v>
      </c>
      <c r="C18" s="14" t="s">
        <v>28</v>
      </c>
      <c r="D18" s="105">
        <v>3432</v>
      </c>
      <c r="E18" s="23">
        <v>42095</v>
      </c>
      <c r="F18" s="106">
        <v>3432</v>
      </c>
      <c r="G18" s="25">
        <f t="shared" si="0"/>
        <v>0</v>
      </c>
      <c r="H18" s="19" t="s">
        <v>773</v>
      </c>
      <c r="K18" s="3"/>
    </row>
    <row r="19" spans="1:11" x14ac:dyDescent="0.25">
      <c r="A19" s="12">
        <v>42095</v>
      </c>
      <c r="B19" s="183">
        <v>16556</v>
      </c>
      <c r="C19" s="14" t="s">
        <v>56</v>
      </c>
      <c r="D19" s="105">
        <v>10536.8</v>
      </c>
      <c r="E19" s="23">
        <v>42095</v>
      </c>
      <c r="F19" s="106">
        <v>10536.8</v>
      </c>
      <c r="G19" s="25">
        <f t="shared" si="0"/>
        <v>0</v>
      </c>
      <c r="H19" s="19" t="s">
        <v>773</v>
      </c>
      <c r="K19" s="3"/>
    </row>
    <row r="20" spans="1:11" x14ac:dyDescent="0.25">
      <c r="A20" s="20">
        <v>42095</v>
      </c>
      <c r="B20" s="183">
        <v>16557</v>
      </c>
      <c r="C20" s="14" t="s">
        <v>56</v>
      </c>
      <c r="D20" s="105">
        <v>1166.2</v>
      </c>
      <c r="E20" s="23">
        <v>42039</v>
      </c>
      <c r="F20" s="106">
        <v>1166.2</v>
      </c>
      <c r="G20" s="25">
        <f t="shared" si="0"/>
        <v>0</v>
      </c>
      <c r="H20" s="19" t="s">
        <v>773</v>
      </c>
      <c r="K20" s="3"/>
    </row>
    <row r="21" spans="1:11" x14ac:dyDescent="0.25">
      <c r="A21" s="12">
        <v>42095</v>
      </c>
      <c r="B21" s="183">
        <v>16558</v>
      </c>
      <c r="C21" s="14" t="s">
        <v>591</v>
      </c>
      <c r="D21" s="105">
        <v>2506.08</v>
      </c>
      <c r="E21" s="23">
        <v>42095</v>
      </c>
      <c r="F21" s="106">
        <v>2506.08</v>
      </c>
      <c r="G21" s="25">
        <f t="shared" si="0"/>
        <v>0</v>
      </c>
      <c r="H21" s="19" t="s">
        <v>773</v>
      </c>
      <c r="K21" s="3"/>
    </row>
    <row r="22" spans="1:11" x14ac:dyDescent="0.25">
      <c r="A22" s="20">
        <v>42095</v>
      </c>
      <c r="B22" s="183">
        <v>16559</v>
      </c>
      <c r="C22" s="14" t="s">
        <v>22</v>
      </c>
      <c r="D22" s="105">
        <v>3545.6</v>
      </c>
      <c r="E22" s="23">
        <v>42095</v>
      </c>
      <c r="F22" s="106">
        <v>3545.6</v>
      </c>
      <c r="G22" s="25">
        <f t="shared" si="0"/>
        <v>0</v>
      </c>
      <c r="H22" s="19" t="s">
        <v>9</v>
      </c>
      <c r="K22" s="3"/>
    </row>
    <row r="23" spans="1:11" x14ac:dyDescent="0.25">
      <c r="A23" s="12">
        <v>42095</v>
      </c>
      <c r="B23" s="183">
        <v>16560</v>
      </c>
      <c r="C23" s="14" t="s">
        <v>922</v>
      </c>
      <c r="D23" s="105">
        <v>2942.8</v>
      </c>
      <c r="E23" s="23">
        <v>42095</v>
      </c>
      <c r="F23" s="106">
        <v>2942.8</v>
      </c>
      <c r="G23" s="25">
        <f t="shared" si="0"/>
        <v>0</v>
      </c>
      <c r="H23" s="19" t="s">
        <v>9</v>
      </c>
      <c r="K23" s="3"/>
    </row>
    <row r="24" spans="1:11" x14ac:dyDescent="0.25">
      <c r="A24" s="20">
        <v>42095</v>
      </c>
      <c r="B24" s="183">
        <v>16561</v>
      </c>
      <c r="C24" s="14" t="s">
        <v>863</v>
      </c>
      <c r="D24" s="105">
        <v>3943.4</v>
      </c>
      <c r="E24" s="23">
        <v>42095</v>
      </c>
      <c r="F24" s="106">
        <v>3943.4</v>
      </c>
      <c r="G24" s="25">
        <f t="shared" si="0"/>
        <v>0</v>
      </c>
      <c r="H24" s="19" t="s">
        <v>9</v>
      </c>
      <c r="K24" s="3"/>
    </row>
    <row r="25" spans="1:11" x14ac:dyDescent="0.25">
      <c r="A25" s="12">
        <v>42095</v>
      </c>
      <c r="B25" s="183">
        <v>16562</v>
      </c>
      <c r="C25" s="14" t="s">
        <v>25</v>
      </c>
      <c r="D25" s="105">
        <v>816.2</v>
      </c>
      <c r="E25" s="23">
        <v>42095</v>
      </c>
      <c r="F25" s="106">
        <v>816.2</v>
      </c>
      <c r="G25" s="25">
        <f t="shared" si="0"/>
        <v>0</v>
      </c>
      <c r="H25" s="19" t="s">
        <v>9</v>
      </c>
      <c r="K25" s="3"/>
    </row>
    <row r="26" spans="1:11" x14ac:dyDescent="0.25">
      <c r="A26" s="20">
        <v>42095</v>
      </c>
      <c r="B26" s="183">
        <v>16563</v>
      </c>
      <c r="C26" s="14" t="s">
        <v>103</v>
      </c>
      <c r="D26" s="105">
        <v>35890.46</v>
      </c>
      <c r="E26" s="23">
        <v>42096</v>
      </c>
      <c r="F26" s="106">
        <v>35890.46</v>
      </c>
      <c r="G26" s="25">
        <f t="shared" si="0"/>
        <v>0</v>
      </c>
      <c r="H26" s="19" t="s">
        <v>773</v>
      </c>
      <c r="K26" s="3"/>
    </row>
    <row r="27" spans="1:11" x14ac:dyDescent="0.25">
      <c r="A27" s="12">
        <v>42095</v>
      </c>
      <c r="B27" s="183">
        <v>16564</v>
      </c>
      <c r="C27" s="14" t="s">
        <v>48</v>
      </c>
      <c r="D27" s="105">
        <v>1091.2</v>
      </c>
      <c r="E27" s="23">
        <v>42095</v>
      </c>
      <c r="F27" s="106">
        <v>1091.2</v>
      </c>
      <c r="G27" s="25">
        <f t="shared" si="0"/>
        <v>0</v>
      </c>
      <c r="H27" s="19" t="s">
        <v>94</v>
      </c>
      <c r="K27" s="3"/>
    </row>
    <row r="28" spans="1:11" x14ac:dyDescent="0.25">
      <c r="A28" s="20">
        <v>42095</v>
      </c>
      <c r="B28" s="183">
        <v>16565</v>
      </c>
      <c r="C28" s="14" t="s">
        <v>21</v>
      </c>
      <c r="D28" s="105">
        <v>4240.5</v>
      </c>
      <c r="E28" s="23">
        <v>42095</v>
      </c>
      <c r="F28" s="106">
        <v>4240.5</v>
      </c>
      <c r="G28" s="25">
        <f t="shared" si="0"/>
        <v>0</v>
      </c>
      <c r="H28" s="19" t="s">
        <v>9</v>
      </c>
      <c r="K28" s="3"/>
    </row>
    <row r="29" spans="1:11" x14ac:dyDescent="0.25">
      <c r="A29" s="12">
        <v>42095</v>
      </c>
      <c r="B29" s="183">
        <v>16566</v>
      </c>
      <c r="C29" s="14" t="s">
        <v>21</v>
      </c>
      <c r="D29" s="105">
        <v>2185</v>
      </c>
      <c r="E29" s="23">
        <v>42095</v>
      </c>
      <c r="F29" s="106">
        <v>2185</v>
      </c>
      <c r="G29" s="25">
        <f t="shared" si="0"/>
        <v>0</v>
      </c>
      <c r="H29" s="19" t="s">
        <v>9</v>
      </c>
      <c r="K29" s="3"/>
    </row>
    <row r="30" spans="1:11" x14ac:dyDescent="0.25">
      <c r="A30" s="20">
        <v>42095</v>
      </c>
      <c r="B30" s="183">
        <v>16567</v>
      </c>
      <c r="C30" s="14" t="s">
        <v>215</v>
      </c>
      <c r="D30" s="105">
        <v>37977.519999999997</v>
      </c>
      <c r="E30" s="23">
        <v>42095</v>
      </c>
      <c r="F30" s="106">
        <v>37977.519999999997</v>
      </c>
      <c r="G30" s="25">
        <f t="shared" si="0"/>
        <v>0</v>
      </c>
      <c r="H30" s="19" t="s">
        <v>46</v>
      </c>
      <c r="K30" s="3"/>
    </row>
    <row r="31" spans="1:11" x14ac:dyDescent="0.25">
      <c r="A31" s="12">
        <v>42095</v>
      </c>
      <c r="B31" s="183">
        <v>16568</v>
      </c>
      <c r="C31" s="14" t="s">
        <v>151</v>
      </c>
      <c r="D31" s="105">
        <v>4002</v>
      </c>
      <c r="E31" s="23">
        <v>42095</v>
      </c>
      <c r="F31" s="106">
        <v>4002</v>
      </c>
      <c r="G31" s="25">
        <f t="shared" si="0"/>
        <v>0</v>
      </c>
      <c r="H31" s="19" t="s">
        <v>9</v>
      </c>
      <c r="J31" s="107"/>
      <c r="K31" s="3"/>
    </row>
    <row r="32" spans="1:11" x14ac:dyDescent="0.25">
      <c r="A32" s="20">
        <v>42095</v>
      </c>
      <c r="B32" s="183">
        <v>16569</v>
      </c>
      <c r="C32" s="110" t="s">
        <v>26</v>
      </c>
      <c r="D32" s="105">
        <v>1632</v>
      </c>
      <c r="E32" s="23">
        <v>42095</v>
      </c>
      <c r="F32" s="106">
        <v>1632</v>
      </c>
      <c r="G32" s="25">
        <f t="shared" si="0"/>
        <v>0</v>
      </c>
      <c r="H32" s="19" t="s">
        <v>27</v>
      </c>
      <c r="K32" s="3"/>
    </row>
    <row r="33" spans="1:11" x14ac:dyDescent="0.25">
      <c r="A33" s="12">
        <v>42095</v>
      </c>
      <c r="B33" s="183">
        <v>16570</v>
      </c>
      <c r="C33" s="14" t="s">
        <v>214</v>
      </c>
      <c r="D33" s="105">
        <v>1530</v>
      </c>
      <c r="E33" s="23">
        <v>42095</v>
      </c>
      <c r="F33" s="106">
        <v>1530</v>
      </c>
      <c r="G33" s="25">
        <f t="shared" si="0"/>
        <v>0</v>
      </c>
      <c r="H33" s="19" t="s">
        <v>41</v>
      </c>
      <c r="K33" s="3"/>
    </row>
    <row r="34" spans="1:11" x14ac:dyDescent="0.25">
      <c r="A34" s="20">
        <v>42095</v>
      </c>
      <c r="B34" s="183">
        <v>16571</v>
      </c>
      <c r="C34" s="14" t="s">
        <v>57</v>
      </c>
      <c r="D34" s="105">
        <v>1190</v>
      </c>
      <c r="E34" s="23">
        <v>42095</v>
      </c>
      <c r="F34" s="106">
        <v>1190</v>
      </c>
      <c r="G34" s="25">
        <f t="shared" si="0"/>
        <v>0</v>
      </c>
      <c r="H34" s="19" t="s">
        <v>41</v>
      </c>
      <c r="K34" s="3"/>
    </row>
    <row r="35" spans="1:11" x14ac:dyDescent="0.25">
      <c r="A35" s="12">
        <v>42095</v>
      </c>
      <c r="B35" s="183">
        <v>16572</v>
      </c>
      <c r="C35" s="14" t="s">
        <v>239</v>
      </c>
      <c r="D35" s="105">
        <v>120</v>
      </c>
      <c r="E35" s="23">
        <v>42095</v>
      </c>
      <c r="F35" s="106">
        <v>120</v>
      </c>
      <c r="G35" s="25">
        <f t="shared" si="0"/>
        <v>0</v>
      </c>
      <c r="H35" s="19" t="s">
        <v>9</v>
      </c>
      <c r="K35" s="3"/>
    </row>
    <row r="36" spans="1:11" x14ac:dyDescent="0.25">
      <c r="A36" s="20">
        <v>42095</v>
      </c>
      <c r="B36" s="183">
        <v>16573</v>
      </c>
      <c r="C36" s="14" t="s">
        <v>729</v>
      </c>
      <c r="D36" s="105">
        <v>1785.6</v>
      </c>
      <c r="E36" s="23">
        <v>42095</v>
      </c>
      <c r="F36" s="106">
        <v>1785.6</v>
      </c>
      <c r="G36" s="25">
        <f t="shared" si="0"/>
        <v>0</v>
      </c>
      <c r="H36" s="19" t="s">
        <v>1013</v>
      </c>
      <c r="K36" s="3"/>
    </row>
    <row r="37" spans="1:11" x14ac:dyDescent="0.25">
      <c r="A37" s="12">
        <v>42095</v>
      </c>
      <c r="B37" s="183">
        <v>16574</v>
      </c>
      <c r="C37" s="14" t="s">
        <v>81</v>
      </c>
      <c r="D37" s="105">
        <v>1348.2</v>
      </c>
      <c r="E37" s="23">
        <v>42095</v>
      </c>
      <c r="F37" s="106">
        <v>1348.2</v>
      </c>
      <c r="G37" s="25">
        <f t="shared" si="0"/>
        <v>0</v>
      </c>
      <c r="H37" s="19" t="s">
        <v>41</v>
      </c>
      <c r="K37" s="3"/>
    </row>
    <row r="38" spans="1:11" x14ac:dyDescent="0.25">
      <c r="A38" s="20">
        <v>42095</v>
      </c>
      <c r="B38" s="183">
        <v>16575</v>
      </c>
      <c r="C38" s="14" t="s">
        <v>571</v>
      </c>
      <c r="D38" s="105">
        <v>17961.75</v>
      </c>
      <c r="E38" s="23">
        <v>42096</v>
      </c>
      <c r="F38" s="106">
        <v>17961.75</v>
      </c>
      <c r="G38" s="25">
        <f t="shared" si="0"/>
        <v>0</v>
      </c>
      <c r="H38" s="19" t="s">
        <v>15</v>
      </c>
      <c r="J38" s="107"/>
      <c r="K38" s="3"/>
    </row>
    <row r="39" spans="1:11" x14ac:dyDescent="0.25">
      <c r="A39" s="12">
        <v>42095</v>
      </c>
      <c r="B39" s="183">
        <v>16576</v>
      </c>
      <c r="C39" s="14" t="s">
        <v>179</v>
      </c>
      <c r="D39" s="105">
        <v>670.8</v>
      </c>
      <c r="E39" s="23">
        <v>42096</v>
      </c>
      <c r="F39" s="106">
        <v>670.8</v>
      </c>
      <c r="G39" s="25">
        <f t="shared" si="0"/>
        <v>0</v>
      </c>
      <c r="H39" s="19" t="s">
        <v>15</v>
      </c>
      <c r="K39" s="3"/>
    </row>
    <row r="40" spans="1:11" x14ac:dyDescent="0.25">
      <c r="A40" s="20">
        <v>42095</v>
      </c>
      <c r="B40" s="183">
        <v>16577</v>
      </c>
      <c r="C40" s="14" t="s">
        <v>285</v>
      </c>
      <c r="D40" s="105">
        <v>415.6</v>
      </c>
      <c r="E40" s="23">
        <v>42096</v>
      </c>
      <c r="F40" s="106">
        <v>415.6</v>
      </c>
      <c r="G40" s="25">
        <f t="shared" si="0"/>
        <v>0</v>
      </c>
      <c r="H40" s="19" t="s">
        <v>15</v>
      </c>
      <c r="K40" s="3"/>
    </row>
    <row r="41" spans="1:11" x14ac:dyDescent="0.25">
      <c r="A41" s="12">
        <v>42095</v>
      </c>
      <c r="B41" s="183">
        <v>16578</v>
      </c>
      <c r="C41" s="14" t="s">
        <v>53</v>
      </c>
      <c r="D41" s="105">
        <v>576.6</v>
      </c>
      <c r="E41" s="23">
        <v>42095</v>
      </c>
      <c r="F41" s="106">
        <v>576.6</v>
      </c>
      <c r="G41" s="25">
        <f t="shared" si="0"/>
        <v>0</v>
      </c>
      <c r="H41" s="19" t="s">
        <v>41</v>
      </c>
      <c r="K41" s="3"/>
    </row>
    <row r="42" spans="1:11" x14ac:dyDescent="0.25">
      <c r="A42" s="20">
        <v>42095</v>
      </c>
      <c r="B42" s="183">
        <v>16579</v>
      </c>
      <c r="C42" s="14" t="s">
        <v>34</v>
      </c>
      <c r="D42" s="105">
        <v>2720</v>
      </c>
      <c r="E42" s="23">
        <v>42095</v>
      </c>
      <c r="F42" s="106">
        <v>2720</v>
      </c>
      <c r="G42" s="25">
        <f t="shared" si="0"/>
        <v>0</v>
      </c>
      <c r="H42" s="19" t="s">
        <v>9</v>
      </c>
      <c r="K42" s="3"/>
    </row>
    <row r="43" spans="1:11" x14ac:dyDescent="0.25">
      <c r="A43" s="12">
        <v>42095</v>
      </c>
      <c r="B43" s="183">
        <v>16580</v>
      </c>
      <c r="C43" s="14" t="s">
        <v>1014</v>
      </c>
      <c r="D43" s="105">
        <v>6044.4</v>
      </c>
      <c r="E43" s="23">
        <v>42095</v>
      </c>
      <c r="F43" s="106">
        <v>6044.4</v>
      </c>
      <c r="G43" s="25">
        <f t="shared" si="0"/>
        <v>0</v>
      </c>
      <c r="H43" s="19" t="s">
        <v>17</v>
      </c>
      <c r="K43" s="3"/>
    </row>
    <row r="44" spans="1:11" x14ac:dyDescent="0.25">
      <c r="A44" s="20">
        <v>42095</v>
      </c>
      <c r="B44" s="183">
        <v>16581</v>
      </c>
      <c r="C44" s="14" t="s">
        <v>367</v>
      </c>
      <c r="D44" s="105">
        <v>2763.5</v>
      </c>
      <c r="E44" s="23">
        <v>42109</v>
      </c>
      <c r="F44" s="106">
        <v>2763.5</v>
      </c>
      <c r="G44" s="25">
        <f t="shared" si="0"/>
        <v>0</v>
      </c>
      <c r="H44" s="19" t="s">
        <v>9</v>
      </c>
      <c r="K44" s="3"/>
    </row>
    <row r="45" spans="1:11" x14ac:dyDescent="0.25">
      <c r="A45" s="12">
        <v>42095</v>
      </c>
      <c r="B45" s="183">
        <v>16582</v>
      </c>
      <c r="C45" s="14" t="s">
        <v>78</v>
      </c>
      <c r="D45" s="105">
        <v>6766.2</v>
      </c>
      <c r="E45" s="23">
        <v>42096</v>
      </c>
      <c r="F45" s="106">
        <v>6766.2</v>
      </c>
      <c r="G45" s="25">
        <f t="shared" si="0"/>
        <v>0</v>
      </c>
      <c r="H45" s="19" t="s">
        <v>62</v>
      </c>
      <c r="K45" s="3"/>
    </row>
    <row r="46" spans="1:11" x14ac:dyDescent="0.25">
      <c r="A46" s="20">
        <v>42095</v>
      </c>
      <c r="B46" s="183">
        <v>16583</v>
      </c>
      <c r="C46" s="14" t="s">
        <v>170</v>
      </c>
      <c r="D46" s="105">
        <v>1598</v>
      </c>
      <c r="E46" s="23">
        <v>42096</v>
      </c>
      <c r="F46" s="106">
        <v>1598</v>
      </c>
      <c r="G46" s="25">
        <f t="shared" si="0"/>
        <v>0</v>
      </c>
      <c r="H46" s="19" t="s">
        <v>62</v>
      </c>
      <c r="K46" s="3"/>
    </row>
    <row r="47" spans="1:11" x14ac:dyDescent="0.25">
      <c r="A47" s="12">
        <v>42095</v>
      </c>
      <c r="B47" s="183">
        <v>16584</v>
      </c>
      <c r="C47" s="14" t="s">
        <v>133</v>
      </c>
      <c r="D47" s="105">
        <v>1132.8</v>
      </c>
      <c r="E47" s="23">
        <v>42095</v>
      </c>
      <c r="F47" s="106">
        <v>1132.8</v>
      </c>
      <c r="G47" s="25">
        <f t="shared" si="0"/>
        <v>0</v>
      </c>
      <c r="H47" s="19" t="s">
        <v>9</v>
      </c>
      <c r="K47" s="3"/>
    </row>
    <row r="48" spans="1:11" x14ac:dyDescent="0.25">
      <c r="A48" s="20">
        <v>42095</v>
      </c>
      <c r="B48" s="183">
        <v>16585</v>
      </c>
      <c r="C48" s="14" t="s">
        <v>75</v>
      </c>
      <c r="D48" s="105">
        <v>18557.8</v>
      </c>
      <c r="E48" s="23">
        <v>42096</v>
      </c>
      <c r="F48" s="106">
        <v>18557.8</v>
      </c>
      <c r="G48" s="25">
        <f t="shared" si="0"/>
        <v>0</v>
      </c>
      <c r="H48" s="19" t="s">
        <v>62</v>
      </c>
      <c r="K48" s="3"/>
    </row>
    <row r="49" spans="1:11" x14ac:dyDescent="0.25">
      <c r="A49" s="12">
        <v>42095</v>
      </c>
      <c r="B49" s="183">
        <v>16586</v>
      </c>
      <c r="C49" s="14" t="s">
        <v>130</v>
      </c>
      <c r="D49" s="105">
        <v>2321</v>
      </c>
      <c r="E49" s="23">
        <v>42095</v>
      </c>
      <c r="F49" s="106">
        <v>2321</v>
      </c>
      <c r="G49" s="25">
        <f t="shared" si="0"/>
        <v>0</v>
      </c>
      <c r="H49" s="19" t="s">
        <v>17</v>
      </c>
      <c r="I49" s="3"/>
      <c r="J49" s="42"/>
      <c r="K49" s="3"/>
    </row>
    <row r="50" spans="1:11" x14ac:dyDescent="0.25">
      <c r="A50" s="20">
        <v>42095</v>
      </c>
      <c r="B50" s="183">
        <v>16587</v>
      </c>
      <c r="C50" s="14" t="s">
        <v>83</v>
      </c>
      <c r="D50" s="105">
        <v>4811.2</v>
      </c>
      <c r="E50" s="23">
        <v>42095</v>
      </c>
      <c r="F50" s="106">
        <v>4811.2</v>
      </c>
      <c r="G50" s="25">
        <f t="shared" si="0"/>
        <v>0</v>
      </c>
      <c r="H50" s="19" t="s">
        <v>41</v>
      </c>
      <c r="I50" s="3"/>
      <c r="J50" s="42"/>
      <c r="K50" s="3"/>
    </row>
    <row r="51" spans="1:11" x14ac:dyDescent="0.25">
      <c r="A51" s="12">
        <v>42095</v>
      </c>
      <c r="B51" s="183">
        <v>16588</v>
      </c>
      <c r="C51" s="14" t="s">
        <v>131</v>
      </c>
      <c r="D51" s="105">
        <v>8463.9</v>
      </c>
      <c r="E51" s="23">
        <v>42039</v>
      </c>
      <c r="F51" s="106">
        <v>8463.9</v>
      </c>
      <c r="G51" s="25">
        <f t="shared" si="0"/>
        <v>0</v>
      </c>
      <c r="H51" s="19" t="s">
        <v>17</v>
      </c>
      <c r="I51" s="3"/>
      <c r="J51" s="42"/>
      <c r="K51" s="3"/>
    </row>
    <row r="52" spans="1:11" x14ac:dyDescent="0.25">
      <c r="A52" s="20">
        <v>42095</v>
      </c>
      <c r="B52" s="183">
        <v>16589</v>
      </c>
      <c r="C52" s="14" t="s">
        <v>173</v>
      </c>
      <c r="D52" s="105">
        <v>31442.400000000001</v>
      </c>
      <c r="E52" s="30" t="s">
        <v>1015</v>
      </c>
      <c r="F52" s="106">
        <v>31442.400000000001</v>
      </c>
      <c r="G52" s="25">
        <f t="shared" si="0"/>
        <v>0</v>
      </c>
      <c r="H52" s="19" t="s">
        <v>62</v>
      </c>
      <c r="I52" s="3"/>
      <c r="J52" s="42"/>
      <c r="K52" s="3"/>
    </row>
    <row r="53" spans="1:11" x14ac:dyDescent="0.25">
      <c r="A53" s="12">
        <v>42095</v>
      </c>
      <c r="B53" s="183">
        <v>16590</v>
      </c>
      <c r="C53" s="14" t="s">
        <v>133</v>
      </c>
      <c r="D53" s="105">
        <v>1357.2</v>
      </c>
      <c r="E53" s="23">
        <v>42095</v>
      </c>
      <c r="F53" s="106">
        <v>1357.2</v>
      </c>
      <c r="G53" s="25">
        <f t="shared" si="0"/>
        <v>0</v>
      </c>
      <c r="H53" s="19" t="s">
        <v>9</v>
      </c>
      <c r="I53" s="3"/>
      <c r="J53" s="42"/>
      <c r="K53" s="3"/>
    </row>
    <row r="54" spans="1:11" x14ac:dyDescent="0.25">
      <c r="A54" s="20">
        <v>42095</v>
      </c>
      <c r="B54" s="183">
        <v>16591</v>
      </c>
      <c r="C54" s="14" t="s">
        <v>72</v>
      </c>
      <c r="D54" s="105">
        <v>18112.5</v>
      </c>
      <c r="E54" s="52"/>
      <c r="F54" s="111"/>
      <c r="G54" s="25">
        <f t="shared" si="0"/>
        <v>18112.5</v>
      </c>
      <c r="H54" s="19" t="s">
        <v>62</v>
      </c>
      <c r="I54" s="3"/>
      <c r="J54" s="42"/>
      <c r="K54" s="3"/>
    </row>
    <row r="55" spans="1:11" x14ac:dyDescent="0.25">
      <c r="A55" s="12">
        <v>42095</v>
      </c>
      <c r="B55" s="183">
        <v>16592</v>
      </c>
      <c r="C55" s="14" t="s">
        <v>135</v>
      </c>
      <c r="D55" s="105">
        <v>3456.6</v>
      </c>
      <c r="E55" s="23">
        <v>42095</v>
      </c>
      <c r="F55" s="106">
        <v>3456.6</v>
      </c>
      <c r="G55" s="25">
        <f t="shared" si="0"/>
        <v>0</v>
      </c>
      <c r="H55" s="19" t="s">
        <v>9</v>
      </c>
      <c r="I55" s="3"/>
      <c r="J55" s="42"/>
      <c r="K55" s="3"/>
    </row>
    <row r="56" spans="1:11" x14ac:dyDescent="0.25">
      <c r="A56" s="20">
        <v>42095</v>
      </c>
      <c r="B56" s="183">
        <v>16593</v>
      </c>
      <c r="C56" s="14" t="s">
        <v>912</v>
      </c>
      <c r="D56" s="105">
        <v>3400</v>
      </c>
      <c r="E56" s="23">
        <v>42096</v>
      </c>
      <c r="F56" s="106">
        <v>3400</v>
      </c>
      <c r="G56" s="25">
        <f t="shared" si="0"/>
        <v>0</v>
      </c>
      <c r="H56" s="19" t="s">
        <v>187</v>
      </c>
      <c r="I56" s="3"/>
      <c r="J56" s="42"/>
      <c r="K56" s="3"/>
    </row>
    <row r="57" spans="1:11" x14ac:dyDescent="0.25">
      <c r="A57" s="12">
        <v>42095</v>
      </c>
      <c r="B57" s="183">
        <v>16594</v>
      </c>
      <c r="C57" s="14" t="s">
        <v>84</v>
      </c>
      <c r="D57" s="105">
        <v>46062</v>
      </c>
      <c r="E57" s="30" t="s">
        <v>1016</v>
      </c>
      <c r="F57" s="106">
        <v>46062</v>
      </c>
      <c r="G57" s="25">
        <f t="shared" si="0"/>
        <v>0</v>
      </c>
      <c r="H57" s="19" t="s">
        <v>62</v>
      </c>
      <c r="I57" s="3"/>
      <c r="J57" s="42"/>
      <c r="K57" s="3"/>
    </row>
    <row r="58" spans="1:11" x14ac:dyDescent="0.25">
      <c r="A58" s="20">
        <v>42095</v>
      </c>
      <c r="B58" s="183">
        <v>16595</v>
      </c>
      <c r="C58" s="14" t="s">
        <v>49</v>
      </c>
      <c r="D58" s="105">
        <v>1276.8</v>
      </c>
      <c r="E58" s="23">
        <v>42095</v>
      </c>
      <c r="F58" s="106">
        <v>1276.8</v>
      </c>
      <c r="G58" s="25">
        <f t="shared" si="0"/>
        <v>0</v>
      </c>
      <c r="H58" s="19" t="s">
        <v>17</v>
      </c>
      <c r="I58" s="3"/>
      <c r="J58" s="42"/>
      <c r="K58" s="3"/>
    </row>
    <row r="59" spans="1:11" x14ac:dyDescent="0.25">
      <c r="A59" s="12">
        <v>42095</v>
      </c>
      <c r="B59" s="183">
        <v>16596</v>
      </c>
      <c r="C59" s="14" t="s">
        <v>65</v>
      </c>
      <c r="D59" s="105">
        <v>22170.53</v>
      </c>
      <c r="E59" s="23">
        <v>42096</v>
      </c>
      <c r="F59" s="106">
        <v>22170.53</v>
      </c>
      <c r="G59" s="25">
        <f t="shared" si="0"/>
        <v>0</v>
      </c>
      <c r="H59" s="19" t="s">
        <v>62</v>
      </c>
      <c r="I59" s="3"/>
      <c r="J59" s="42"/>
      <c r="K59" s="3"/>
    </row>
    <row r="60" spans="1:11" x14ac:dyDescent="0.25">
      <c r="A60" s="20">
        <v>42095</v>
      </c>
      <c r="B60" s="183">
        <v>16597</v>
      </c>
      <c r="C60" s="14" t="s">
        <v>332</v>
      </c>
      <c r="D60" s="105">
        <v>3132.7</v>
      </c>
      <c r="E60" s="23">
        <v>42095</v>
      </c>
      <c r="F60" s="106">
        <v>3132.7</v>
      </c>
      <c r="G60" s="25">
        <f t="shared" si="0"/>
        <v>0</v>
      </c>
      <c r="H60" s="19" t="s">
        <v>9</v>
      </c>
      <c r="I60" s="3"/>
      <c r="J60" s="42"/>
      <c r="K60" s="3"/>
    </row>
    <row r="61" spans="1:11" x14ac:dyDescent="0.25">
      <c r="A61" s="12">
        <v>42095</v>
      </c>
      <c r="B61" s="183">
        <v>16598</v>
      </c>
      <c r="C61" s="14" t="s">
        <v>89</v>
      </c>
      <c r="D61" s="105">
        <v>1834</v>
      </c>
      <c r="E61" s="23">
        <v>42095</v>
      </c>
      <c r="F61" s="106">
        <v>1834</v>
      </c>
      <c r="G61" s="25">
        <f t="shared" si="0"/>
        <v>0</v>
      </c>
      <c r="H61" s="19" t="s">
        <v>9</v>
      </c>
      <c r="I61" s="3"/>
      <c r="J61" s="42"/>
      <c r="K61" s="3"/>
    </row>
    <row r="62" spans="1:11" x14ac:dyDescent="0.25">
      <c r="A62" s="20">
        <v>42095</v>
      </c>
      <c r="B62" s="183">
        <v>16599</v>
      </c>
      <c r="C62" s="14" t="s">
        <v>67</v>
      </c>
      <c r="D62" s="105">
        <v>4344.2</v>
      </c>
      <c r="E62" s="23">
        <v>42096</v>
      </c>
      <c r="F62" s="106">
        <v>4344.2</v>
      </c>
      <c r="G62" s="25">
        <f t="shared" si="0"/>
        <v>0</v>
      </c>
      <c r="H62" s="19" t="s">
        <v>62</v>
      </c>
      <c r="I62" s="3"/>
      <c r="J62" s="42"/>
      <c r="K62" s="3"/>
    </row>
    <row r="63" spans="1:11" x14ac:dyDescent="0.25">
      <c r="A63" s="12">
        <v>42095</v>
      </c>
      <c r="B63" s="183">
        <v>16600</v>
      </c>
      <c r="C63" s="14" t="s">
        <v>331</v>
      </c>
      <c r="D63" s="105">
        <v>1824</v>
      </c>
      <c r="E63" s="23">
        <v>42096</v>
      </c>
      <c r="F63" s="106">
        <v>1824</v>
      </c>
      <c r="G63" s="25">
        <f t="shared" si="0"/>
        <v>0</v>
      </c>
      <c r="H63" s="19" t="s">
        <v>62</v>
      </c>
      <c r="I63" s="3"/>
      <c r="J63" s="42"/>
      <c r="K63" s="3"/>
    </row>
    <row r="64" spans="1:11" x14ac:dyDescent="0.25">
      <c r="A64" s="20">
        <v>42095</v>
      </c>
      <c r="B64" s="183">
        <v>16601</v>
      </c>
      <c r="C64" s="14" t="s">
        <v>172</v>
      </c>
      <c r="D64" s="105">
        <v>2097.6</v>
      </c>
      <c r="E64" s="23">
        <v>42096</v>
      </c>
      <c r="F64" s="106">
        <v>2097.6</v>
      </c>
      <c r="G64" s="25">
        <f t="shared" si="0"/>
        <v>0</v>
      </c>
      <c r="H64" s="19" t="s">
        <v>62</v>
      </c>
      <c r="I64" s="3"/>
      <c r="J64" s="42"/>
      <c r="K64" s="3"/>
    </row>
    <row r="65" spans="1:11" x14ac:dyDescent="0.25">
      <c r="A65" s="12">
        <v>42095</v>
      </c>
      <c r="B65" s="183">
        <v>16602</v>
      </c>
      <c r="C65" s="14" t="s">
        <v>161</v>
      </c>
      <c r="D65" s="105">
        <v>935.3</v>
      </c>
      <c r="E65" s="23">
        <v>42095</v>
      </c>
      <c r="F65" s="106">
        <v>935.3</v>
      </c>
      <c r="G65" s="25">
        <f t="shared" si="0"/>
        <v>0</v>
      </c>
      <c r="H65" s="19" t="s">
        <v>9</v>
      </c>
      <c r="K65" s="3"/>
    </row>
    <row r="66" spans="1:11" x14ac:dyDescent="0.25">
      <c r="A66" s="20">
        <v>42095</v>
      </c>
      <c r="B66" s="183">
        <v>16603</v>
      </c>
      <c r="C66" s="14" t="s">
        <v>127</v>
      </c>
      <c r="D66" s="105">
        <v>10007.6</v>
      </c>
      <c r="E66" s="23">
        <v>42095</v>
      </c>
      <c r="F66" s="106">
        <v>10007.6</v>
      </c>
      <c r="G66" s="25">
        <f t="shared" si="0"/>
        <v>0</v>
      </c>
      <c r="H66" s="19" t="s">
        <v>9</v>
      </c>
      <c r="J66" s="107"/>
      <c r="K66" s="3"/>
    </row>
    <row r="67" spans="1:11" x14ac:dyDescent="0.25">
      <c r="A67" s="12">
        <v>42095</v>
      </c>
      <c r="B67" s="183">
        <v>16604</v>
      </c>
      <c r="C67" s="14" t="s">
        <v>61</v>
      </c>
      <c r="D67" s="105">
        <v>8276.4</v>
      </c>
      <c r="E67" s="23">
        <v>42096</v>
      </c>
      <c r="F67" s="106">
        <v>8276.4</v>
      </c>
      <c r="G67" s="31">
        <f t="shared" ref="G67:G130" si="1">D67-F67</f>
        <v>0</v>
      </c>
      <c r="H67" s="19" t="s">
        <v>62</v>
      </c>
      <c r="K67" s="3"/>
    </row>
    <row r="68" spans="1:11" x14ac:dyDescent="0.25">
      <c r="A68" s="20">
        <v>42095</v>
      </c>
      <c r="B68" s="183">
        <v>16605</v>
      </c>
      <c r="C68" s="14" t="s">
        <v>78</v>
      </c>
      <c r="D68" s="105">
        <v>1067.5999999999999</v>
      </c>
      <c r="E68" s="23">
        <v>42096</v>
      </c>
      <c r="F68" s="106">
        <v>1067.5999999999999</v>
      </c>
      <c r="G68" s="25">
        <f t="shared" si="1"/>
        <v>0</v>
      </c>
      <c r="H68" s="19" t="s">
        <v>62</v>
      </c>
      <c r="K68" s="3"/>
    </row>
    <row r="69" spans="1:11" x14ac:dyDescent="0.25">
      <c r="A69" s="12">
        <v>42095</v>
      </c>
      <c r="B69" s="183">
        <v>16606</v>
      </c>
      <c r="C69" s="14" t="s">
        <v>249</v>
      </c>
      <c r="D69" s="105">
        <v>2380.8000000000002</v>
      </c>
      <c r="E69" s="23">
        <v>42095</v>
      </c>
      <c r="F69" s="106">
        <v>2380.8000000000002</v>
      </c>
      <c r="G69" s="32">
        <f t="shared" si="1"/>
        <v>0</v>
      </c>
      <c r="H69" s="19" t="s">
        <v>94</v>
      </c>
      <c r="K69" s="3"/>
    </row>
    <row r="70" spans="1:11" x14ac:dyDescent="0.25">
      <c r="A70" s="20">
        <v>42095</v>
      </c>
      <c r="B70" s="183">
        <v>16607</v>
      </c>
      <c r="C70" s="14" t="s">
        <v>127</v>
      </c>
      <c r="D70" s="105">
        <v>6003</v>
      </c>
      <c r="E70" s="23">
        <v>42095</v>
      </c>
      <c r="F70" s="106">
        <v>6003</v>
      </c>
      <c r="G70" s="25">
        <f t="shared" si="1"/>
        <v>0</v>
      </c>
      <c r="H70" s="19" t="s">
        <v>9</v>
      </c>
      <c r="K70" s="3"/>
    </row>
    <row r="71" spans="1:11" x14ac:dyDescent="0.25">
      <c r="A71" s="12">
        <v>42095</v>
      </c>
      <c r="B71" s="183">
        <v>16608</v>
      </c>
      <c r="C71" s="14" t="s">
        <v>127</v>
      </c>
      <c r="D71" s="105">
        <v>312</v>
      </c>
      <c r="E71" s="23">
        <v>42095</v>
      </c>
      <c r="F71" s="106">
        <v>312</v>
      </c>
      <c r="G71" s="25">
        <f t="shared" si="1"/>
        <v>0</v>
      </c>
      <c r="H71" s="19" t="s">
        <v>9</v>
      </c>
      <c r="K71" s="3"/>
    </row>
    <row r="72" spans="1:11" x14ac:dyDescent="0.25">
      <c r="A72" s="20">
        <v>42095</v>
      </c>
      <c r="B72" s="183">
        <v>16609</v>
      </c>
      <c r="C72" s="26" t="s">
        <v>218</v>
      </c>
      <c r="D72" s="108">
        <v>0</v>
      </c>
      <c r="E72" s="23"/>
      <c r="F72" s="106"/>
      <c r="G72" s="25">
        <f t="shared" si="1"/>
        <v>0</v>
      </c>
      <c r="H72" s="19" t="s">
        <v>13</v>
      </c>
      <c r="K72" s="3"/>
    </row>
    <row r="73" spans="1:11" x14ac:dyDescent="0.25">
      <c r="A73" s="12">
        <v>42095</v>
      </c>
      <c r="B73" s="183">
        <v>16610</v>
      </c>
      <c r="C73" s="14" t="s">
        <v>176</v>
      </c>
      <c r="D73" s="105">
        <v>10236.799999999999</v>
      </c>
      <c r="E73" s="30" t="s">
        <v>1017</v>
      </c>
      <c r="F73" s="106">
        <v>10236.799999999999</v>
      </c>
      <c r="G73" s="25">
        <f t="shared" si="1"/>
        <v>0</v>
      </c>
      <c r="H73" s="19" t="s">
        <v>9</v>
      </c>
      <c r="K73" s="3"/>
    </row>
    <row r="74" spans="1:11" x14ac:dyDescent="0.25">
      <c r="A74" s="20">
        <v>42095</v>
      </c>
      <c r="B74" s="183">
        <v>16611</v>
      </c>
      <c r="C74" s="14" t="s">
        <v>97</v>
      </c>
      <c r="D74" s="105">
        <v>4297.25</v>
      </c>
      <c r="E74" s="23">
        <v>42095</v>
      </c>
      <c r="F74" s="106">
        <v>4297.25</v>
      </c>
      <c r="G74" s="25">
        <f t="shared" si="1"/>
        <v>0</v>
      </c>
      <c r="H74" s="19" t="s">
        <v>9</v>
      </c>
      <c r="K74" s="3"/>
    </row>
    <row r="75" spans="1:11" x14ac:dyDescent="0.25">
      <c r="A75" s="12">
        <v>42095</v>
      </c>
      <c r="B75" s="183">
        <v>16612</v>
      </c>
      <c r="C75" s="14" t="s">
        <v>97</v>
      </c>
      <c r="D75" s="105">
        <v>1289.2</v>
      </c>
      <c r="E75" s="23">
        <v>42095</v>
      </c>
      <c r="F75" s="106">
        <v>1289.2</v>
      </c>
      <c r="G75" s="25">
        <f t="shared" si="1"/>
        <v>0</v>
      </c>
      <c r="H75" s="19" t="s">
        <v>9</v>
      </c>
      <c r="K75" s="3"/>
    </row>
    <row r="76" spans="1:11" x14ac:dyDescent="0.25">
      <c r="A76" s="20">
        <v>42095</v>
      </c>
      <c r="B76" s="183">
        <v>16613</v>
      </c>
      <c r="C76" s="14" t="s">
        <v>158</v>
      </c>
      <c r="D76" s="105">
        <v>3628</v>
      </c>
      <c r="E76" s="23">
        <v>42095</v>
      </c>
      <c r="F76" s="106">
        <v>3628</v>
      </c>
      <c r="G76" s="25">
        <f t="shared" si="1"/>
        <v>0</v>
      </c>
      <c r="H76" s="19" t="s">
        <v>9</v>
      </c>
      <c r="K76" s="3"/>
    </row>
    <row r="77" spans="1:11" x14ac:dyDescent="0.25">
      <c r="A77" s="12">
        <v>42095</v>
      </c>
      <c r="B77" s="183">
        <v>16614</v>
      </c>
      <c r="C77" s="14" t="s">
        <v>254</v>
      </c>
      <c r="D77" s="105">
        <v>5846.9</v>
      </c>
      <c r="E77" s="23">
        <v>42095</v>
      </c>
      <c r="F77" s="106">
        <v>5846.9</v>
      </c>
      <c r="G77" s="25">
        <f t="shared" si="1"/>
        <v>0</v>
      </c>
      <c r="H77" s="19" t="s">
        <v>9</v>
      </c>
      <c r="K77" s="3"/>
    </row>
    <row r="78" spans="1:11" x14ac:dyDescent="0.25">
      <c r="A78" s="20">
        <v>42095</v>
      </c>
      <c r="B78" s="183">
        <v>16615</v>
      </c>
      <c r="C78" s="26" t="s">
        <v>218</v>
      </c>
      <c r="D78" s="108">
        <v>0</v>
      </c>
      <c r="E78" s="23"/>
      <c r="F78" s="106"/>
      <c r="G78" s="25">
        <f t="shared" si="1"/>
        <v>0</v>
      </c>
      <c r="H78" s="19" t="s">
        <v>13</v>
      </c>
      <c r="K78" s="3"/>
    </row>
    <row r="79" spans="1:11" x14ac:dyDescent="0.25">
      <c r="A79" s="12">
        <v>42095</v>
      </c>
      <c r="B79" s="183">
        <v>16616</v>
      </c>
      <c r="C79" s="14" t="s">
        <v>651</v>
      </c>
      <c r="D79" s="105">
        <v>27986</v>
      </c>
      <c r="E79" s="23">
        <v>42096</v>
      </c>
      <c r="F79" s="106">
        <v>27986</v>
      </c>
      <c r="G79" s="25">
        <f t="shared" si="1"/>
        <v>0</v>
      </c>
      <c r="H79" s="19" t="s">
        <v>187</v>
      </c>
      <c r="K79" s="3"/>
    </row>
    <row r="80" spans="1:11" x14ac:dyDescent="0.25">
      <c r="A80" s="20">
        <v>42095</v>
      </c>
      <c r="B80" s="183">
        <v>16617</v>
      </c>
      <c r="C80" s="14" t="s">
        <v>701</v>
      </c>
      <c r="D80" s="105">
        <v>637.79999999999995</v>
      </c>
      <c r="E80" s="23">
        <v>42095</v>
      </c>
      <c r="F80" s="106">
        <v>637.79999999999995</v>
      </c>
      <c r="G80" s="25">
        <f t="shared" si="1"/>
        <v>0</v>
      </c>
      <c r="H80" s="19" t="s">
        <v>9</v>
      </c>
      <c r="K80" s="3"/>
    </row>
    <row r="81" spans="1:11" x14ac:dyDescent="0.25">
      <c r="A81" s="12">
        <v>42095</v>
      </c>
      <c r="B81" s="183">
        <v>16618</v>
      </c>
      <c r="C81" s="14" t="s">
        <v>336</v>
      </c>
      <c r="D81" s="105">
        <v>11166.9</v>
      </c>
      <c r="E81" s="23">
        <v>42095</v>
      </c>
      <c r="F81" s="106">
        <v>11166.9</v>
      </c>
      <c r="G81" s="25">
        <f t="shared" si="1"/>
        <v>0</v>
      </c>
      <c r="H81" s="19" t="s">
        <v>9</v>
      </c>
      <c r="K81" s="3"/>
    </row>
    <row r="82" spans="1:11" x14ac:dyDescent="0.25">
      <c r="A82" s="20">
        <v>42095</v>
      </c>
      <c r="B82" s="183">
        <v>16619</v>
      </c>
      <c r="C82" s="34" t="s">
        <v>564</v>
      </c>
      <c r="D82" s="37">
        <v>3753.64</v>
      </c>
      <c r="E82" s="30" t="s">
        <v>1018</v>
      </c>
      <c r="F82" s="109">
        <v>3753.64</v>
      </c>
      <c r="G82" s="25">
        <f t="shared" si="1"/>
        <v>0</v>
      </c>
      <c r="H82" s="19" t="s">
        <v>9</v>
      </c>
      <c r="K82" s="3"/>
    </row>
    <row r="83" spans="1:11" x14ac:dyDescent="0.25">
      <c r="A83" s="12">
        <v>42095</v>
      </c>
      <c r="B83" s="183">
        <v>16620</v>
      </c>
      <c r="C83" s="34" t="s">
        <v>251</v>
      </c>
      <c r="D83" s="37">
        <v>23659.95</v>
      </c>
      <c r="E83" s="23">
        <v>42095</v>
      </c>
      <c r="F83" s="109">
        <v>23659.95</v>
      </c>
      <c r="G83" s="25">
        <f t="shared" si="1"/>
        <v>0</v>
      </c>
      <c r="H83" s="19" t="s">
        <v>94</v>
      </c>
      <c r="K83" s="3"/>
    </row>
    <row r="84" spans="1:11" x14ac:dyDescent="0.25">
      <c r="A84" s="20">
        <v>42095</v>
      </c>
      <c r="B84" s="183">
        <v>16621</v>
      </c>
      <c r="C84" s="14" t="s">
        <v>444</v>
      </c>
      <c r="D84" s="105">
        <v>15675.8</v>
      </c>
      <c r="E84" s="23">
        <v>42095</v>
      </c>
      <c r="F84" s="106">
        <v>15675.8</v>
      </c>
      <c r="G84" s="25">
        <f t="shared" si="1"/>
        <v>0</v>
      </c>
      <c r="H84" s="39" t="s">
        <v>9</v>
      </c>
      <c r="K84" s="3"/>
    </row>
    <row r="85" spans="1:11" x14ac:dyDescent="0.25">
      <c r="A85" s="12">
        <v>42095</v>
      </c>
      <c r="B85" s="183">
        <v>16622</v>
      </c>
      <c r="C85" s="14" t="s">
        <v>1019</v>
      </c>
      <c r="D85" s="105">
        <v>9536</v>
      </c>
      <c r="E85" s="23">
        <v>42095</v>
      </c>
      <c r="F85" s="106">
        <v>9536</v>
      </c>
      <c r="G85" s="25">
        <f t="shared" si="1"/>
        <v>0</v>
      </c>
      <c r="H85" s="39" t="s">
        <v>9</v>
      </c>
      <c r="K85" s="3"/>
    </row>
    <row r="86" spans="1:11" x14ac:dyDescent="0.25">
      <c r="A86" s="20">
        <v>42095</v>
      </c>
      <c r="B86" s="183">
        <v>16623</v>
      </c>
      <c r="C86" s="14" t="s">
        <v>484</v>
      </c>
      <c r="D86" s="105">
        <v>9292</v>
      </c>
      <c r="E86" s="23">
        <v>42039</v>
      </c>
      <c r="F86" s="106">
        <v>9292</v>
      </c>
      <c r="G86" s="25">
        <f t="shared" si="1"/>
        <v>0</v>
      </c>
      <c r="H86" s="39" t="s">
        <v>9</v>
      </c>
      <c r="K86" s="3"/>
    </row>
    <row r="87" spans="1:11" x14ac:dyDescent="0.25">
      <c r="A87" s="12">
        <v>42095</v>
      </c>
      <c r="B87" s="183">
        <v>16624</v>
      </c>
      <c r="C87" s="14" t="s">
        <v>42</v>
      </c>
      <c r="D87" s="105">
        <v>4052</v>
      </c>
      <c r="E87" s="23">
        <v>42095</v>
      </c>
      <c r="F87" s="106">
        <v>4052</v>
      </c>
      <c r="G87" s="25">
        <f t="shared" si="1"/>
        <v>0</v>
      </c>
      <c r="H87" s="39" t="s">
        <v>9</v>
      </c>
      <c r="K87" s="3"/>
    </row>
    <row r="88" spans="1:11" x14ac:dyDescent="0.25">
      <c r="A88" s="20">
        <v>42095</v>
      </c>
      <c r="B88" s="183">
        <v>16625</v>
      </c>
      <c r="C88" s="14" t="s">
        <v>161</v>
      </c>
      <c r="D88" s="105">
        <v>599.25</v>
      </c>
      <c r="E88" s="23">
        <v>42095</v>
      </c>
      <c r="F88" s="106">
        <v>599.25</v>
      </c>
      <c r="G88" s="25">
        <f t="shared" si="1"/>
        <v>0</v>
      </c>
      <c r="H88" s="39" t="s">
        <v>9</v>
      </c>
      <c r="K88" s="3"/>
    </row>
    <row r="89" spans="1:11" x14ac:dyDescent="0.25">
      <c r="A89" s="12">
        <v>42095</v>
      </c>
      <c r="B89" s="183">
        <v>16626</v>
      </c>
      <c r="C89" s="14" t="s">
        <v>111</v>
      </c>
      <c r="D89" s="105">
        <v>260000</v>
      </c>
      <c r="E89" s="23">
        <v>42039</v>
      </c>
      <c r="F89" s="106">
        <v>260000</v>
      </c>
      <c r="G89" s="25">
        <f t="shared" si="1"/>
        <v>0</v>
      </c>
      <c r="H89" s="39" t="s">
        <v>9</v>
      </c>
      <c r="J89" s="107"/>
      <c r="K89" s="3"/>
    </row>
    <row r="90" spans="1:11" x14ac:dyDescent="0.25">
      <c r="A90" s="20">
        <v>42095</v>
      </c>
      <c r="B90" s="183">
        <v>16627</v>
      </c>
      <c r="C90" s="14" t="s">
        <v>136</v>
      </c>
      <c r="D90" s="105">
        <v>19368</v>
      </c>
      <c r="E90" s="23">
        <v>42096</v>
      </c>
      <c r="F90" s="106">
        <v>19368</v>
      </c>
      <c r="G90" s="25">
        <f t="shared" si="1"/>
        <v>0</v>
      </c>
      <c r="H90" s="39" t="s">
        <v>9</v>
      </c>
      <c r="K90" s="3"/>
    </row>
    <row r="91" spans="1:11" x14ac:dyDescent="0.25">
      <c r="A91" s="12">
        <v>42095</v>
      </c>
      <c r="B91" s="183">
        <v>16628</v>
      </c>
      <c r="C91" s="14" t="s">
        <v>473</v>
      </c>
      <c r="D91" s="105">
        <v>167.4</v>
      </c>
      <c r="E91" s="23">
        <v>42095</v>
      </c>
      <c r="F91" s="106">
        <v>167.4</v>
      </c>
      <c r="G91" s="25">
        <f t="shared" si="1"/>
        <v>0</v>
      </c>
      <c r="H91" s="39" t="s">
        <v>9</v>
      </c>
      <c r="K91" s="3"/>
    </row>
    <row r="92" spans="1:11" x14ac:dyDescent="0.25">
      <c r="A92" s="20">
        <v>42095</v>
      </c>
      <c r="B92" s="183">
        <v>16629</v>
      </c>
      <c r="C92" s="14" t="s">
        <v>24</v>
      </c>
      <c r="D92" s="105">
        <v>81397.710000000006</v>
      </c>
      <c r="E92" s="23">
        <v>42115</v>
      </c>
      <c r="F92" s="106">
        <v>81397.710000000006</v>
      </c>
      <c r="G92" s="25">
        <f t="shared" si="1"/>
        <v>0</v>
      </c>
      <c r="H92" s="39" t="s">
        <v>1013</v>
      </c>
      <c r="K92" s="3"/>
    </row>
    <row r="93" spans="1:11" x14ac:dyDescent="0.25">
      <c r="A93" s="12">
        <v>42095</v>
      </c>
      <c r="B93" s="183">
        <v>16630</v>
      </c>
      <c r="C93" s="14" t="s">
        <v>24</v>
      </c>
      <c r="D93" s="105">
        <v>185799.2</v>
      </c>
      <c r="E93" s="23">
        <v>42115</v>
      </c>
      <c r="F93" s="106">
        <v>185799.2</v>
      </c>
      <c r="G93" s="25">
        <f t="shared" si="1"/>
        <v>0</v>
      </c>
      <c r="H93" s="39" t="s">
        <v>9</v>
      </c>
      <c r="K93" s="3"/>
    </row>
    <row r="94" spans="1:11" x14ac:dyDescent="0.25">
      <c r="A94" s="20">
        <v>42095</v>
      </c>
      <c r="B94" s="183">
        <v>16631</v>
      </c>
      <c r="C94" s="14" t="s">
        <v>21</v>
      </c>
      <c r="D94" s="105">
        <v>2083.8000000000002</v>
      </c>
      <c r="E94" s="23">
        <v>42095</v>
      </c>
      <c r="F94" s="106">
        <v>2083.8000000000002</v>
      </c>
      <c r="G94" s="25">
        <f t="shared" si="1"/>
        <v>0</v>
      </c>
      <c r="H94" s="39" t="s">
        <v>9</v>
      </c>
      <c r="K94" s="3"/>
    </row>
    <row r="95" spans="1:11" x14ac:dyDescent="0.25">
      <c r="A95" s="12">
        <v>42095</v>
      </c>
      <c r="B95" s="183">
        <v>16632</v>
      </c>
      <c r="C95" s="26" t="s">
        <v>218</v>
      </c>
      <c r="D95" s="108">
        <v>0</v>
      </c>
      <c r="E95" s="23"/>
      <c r="F95" s="106"/>
      <c r="G95" s="25">
        <f t="shared" si="1"/>
        <v>0</v>
      </c>
      <c r="H95" s="39" t="s">
        <v>13</v>
      </c>
      <c r="K95" s="3"/>
    </row>
    <row r="96" spans="1:11" x14ac:dyDescent="0.25">
      <c r="A96" s="20">
        <v>42095</v>
      </c>
      <c r="B96" s="183">
        <v>16633</v>
      </c>
      <c r="C96" s="14" t="s">
        <v>106</v>
      </c>
      <c r="D96" s="105">
        <v>26230.94</v>
      </c>
      <c r="E96" s="23">
        <v>42101</v>
      </c>
      <c r="F96" s="106">
        <v>26230.94</v>
      </c>
      <c r="G96" s="25">
        <f t="shared" si="1"/>
        <v>0</v>
      </c>
      <c r="H96" s="39" t="s">
        <v>46</v>
      </c>
      <c r="K96" s="3"/>
    </row>
    <row r="97" spans="1:11" x14ac:dyDescent="0.25">
      <c r="A97" s="12">
        <v>42095</v>
      </c>
      <c r="B97" s="183">
        <v>16634</v>
      </c>
      <c r="C97" s="14" t="s">
        <v>18</v>
      </c>
      <c r="D97" s="105">
        <v>36407.14</v>
      </c>
      <c r="E97" s="23">
        <v>42101</v>
      </c>
      <c r="F97" s="106">
        <v>36407.14</v>
      </c>
      <c r="G97" s="25">
        <f t="shared" si="1"/>
        <v>0</v>
      </c>
      <c r="H97" s="39" t="s">
        <v>17</v>
      </c>
      <c r="K97" s="3"/>
    </row>
    <row r="98" spans="1:11" x14ac:dyDescent="0.25">
      <c r="A98" s="20">
        <v>42095</v>
      </c>
      <c r="B98" s="183">
        <v>16635</v>
      </c>
      <c r="C98" s="14" t="s">
        <v>1020</v>
      </c>
      <c r="D98" s="105">
        <v>5512.04</v>
      </c>
      <c r="E98" s="23">
        <v>42095</v>
      </c>
      <c r="F98" s="106">
        <v>5512.04</v>
      </c>
      <c r="G98" s="25">
        <f t="shared" si="1"/>
        <v>0</v>
      </c>
      <c r="H98" s="39" t="s">
        <v>9</v>
      </c>
      <c r="I98" s="3"/>
      <c r="J98" s="42"/>
      <c r="K98" s="3"/>
    </row>
    <row r="99" spans="1:11" x14ac:dyDescent="0.25">
      <c r="A99" s="12">
        <v>42095</v>
      </c>
      <c r="B99" s="183">
        <v>16636</v>
      </c>
      <c r="C99" s="14" t="s">
        <v>111</v>
      </c>
      <c r="D99" s="105">
        <v>3800</v>
      </c>
      <c r="E99" s="23">
        <v>42039</v>
      </c>
      <c r="F99" s="106">
        <v>3800</v>
      </c>
      <c r="G99" s="25">
        <f t="shared" si="1"/>
        <v>0</v>
      </c>
      <c r="H99" s="39" t="s">
        <v>9</v>
      </c>
      <c r="I99" s="3"/>
      <c r="J99" s="42"/>
      <c r="K99" s="3"/>
    </row>
    <row r="100" spans="1:11" x14ac:dyDescent="0.25">
      <c r="A100" s="20">
        <v>42095</v>
      </c>
      <c r="B100" s="183">
        <v>16637</v>
      </c>
      <c r="C100" s="14" t="s">
        <v>122</v>
      </c>
      <c r="D100" s="105">
        <v>6084</v>
      </c>
      <c r="E100" s="23">
        <v>42095</v>
      </c>
      <c r="F100" s="106">
        <v>6084</v>
      </c>
      <c r="G100" s="25">
        <f t="shared" si="1"/>
        <v>0</v>
      </c>
      <c r="H100" s="39" t="s">
        <v>9</v>
      </c>
      <c r="I100" s="3"/>
      <c r="J100" s="42"/>
      <c r="K100" s="3"/>
    </row>
    <row r="101" spans="1:11" x14ac:dyDescent="0.25">
      <c r="A101" s="12">
        <v>42095</v>
      </c>
      <c r="B101" s="183">
        <v>16638</v>
      </c>
      <c r="C101" s="14" t="s">
        <v>104</v>
      </c>
      <c r="D101" s="105">
        <v>12499</v>
      </c>
      <c r="E101" s="23">
        <v>42096</v>
      </c>
      <c r="F101" s="106">
        <v>12499</v>
      </c>
      <c r="G101" s="25">
        <f t="shared" si="1"/>
        <v>0</v>
      </c>
      <c r="H101" s="39" t="s">
        <v>9</v>
      </c>
      <c r="I101" s="3"/>
      <c r="J101" s="42"/>
      <c r="K101" s="3"/>
    </row>
    <row r="102" spans="1:11" x14ac:dyDescent="0.25">
      <c r="A102" s="20">
        <v>42095</v>
      </c>
      <c r="B102" s="183">
        <v>16639</v>
      </c>
      <c r="C102" s="14" t="s">
        <v>821</v>
      </c>
      <c r="D102" s="105">
        <v>4455.6000000000004</v>
      </c>
      <c r="E102" s="23">
        <v>42095</v>
      </c>
      <c r="F102" s="106">
        <v>4455.6000000000004</v>
      </c>
      <c r="G102" s="25">
        <f t="shared" si="1"/>
        <v>0</v>
      </c>
      <c r="H102" s="39" t="s">
        <v>9</v>
      </c>
      <c r="I102" s="3"/>
      <c r="J102" s="42"/>
      <c r="K102" s="3"/>
    </row>
    <row r="103" spans="1:11" x14ac:dyDescent="0.25">
      <c r="A103" s="12">
        <v>42095</v>
      </c>
      <c r="B103" s="183">
        <v>16640</v>
      </c>
      <c r="C103" s="14" t="s">
        <v>93</v>
      </c>
      <c r="D103" s="105">
        <v>1540.7</v>
      </c>
      <c r="E103" s="23">
        <v>42096</v>
      </c>
      <c r="F103" s="106">
        <v>1540.7</v>
      </c>
      <c r="G103" s="25">
        <f t="shared" si="1"/>
        <v>0</v>
      </c>
      <c r="H103" s="39" t="s">
        <v>94</v>
      </c>
      <c r="I103" s="3"/>
      <c r="J103" s="42"/>
      <c r="K103" s="3"/>
    </row>
    <row r="104" spans="1:11" x14ac:dyDescent="0.25">
      <c r="A104" s="20">
        <v>42095</v>
      </c>
      <c r="B104" s="183">
        <v>16641</v>
      </c>
      <c r="C104" s="14" t="s">
        <v>104</v>
      </c>
      <c r="D104" s="105">
        <v>1427</v>
      </c>
      <c r="E104" s="23">
        <v>42096</v>
      </c>
      <c r="F104" s="106">
        <v>1427</v>
      </c>
      <c r="G104" s="25">
        <f t="shared" si="1"/>
        <v>0</v>
      </c>
      <c r="H104" s="39" t="s">
        <v>94</v>
      </c>
      <c r="I104" s="3"/>
      <c r="J104" s="42"/>
      <c r="K104" s="3"/>
    </row>
    <row r="105" spans="1:11" x14ac:dyDescent="0.25">
      <c r="A105" s="12">
        <v>42095</v>
      </c>
      <c r="B105" s="183">
        <v>16642</v>
      </c>
      <c r="C105" s="14" t="s">
        <v>95</v>
      </c>
      <c r="D105" s="105">
        <v>1497.3</v>
      </c>
      <c r="E105" s="23">
        <v>42096</v>
      </c>
      <c r="F105" s="106">
        <v>1497.3</v>
      </c>
      <c r="G105" s="25">
        <f t="shared" si="1"/>
        <v>0</v>
      </c>
      <c r="H105" s="39" t="s">
        <v>94</v>
      </c>
      <c r="I105" s="3"/>
      <c r="J105" s="42"/>
      <c r="K105" s="3"/>
    </row>
    <row r="106" spans="1:11" x14ac:dyDescent="0.25">
      <c r="A106" s="20">
        <v>42095</v>
      </c>
      <c r="B106" s="183">
        <v>16643</v>
      </c>
      <c r="C106" s="14" t="s">
        <v>334</v>
      </c>
      <c r="D106" s="105">
        <v>3036</v>
      </c>
      <c r="E106" s="23">
        <v>42096</v>
      </c>
      <c r="F106" s="106">
        <v>3036</v>
      </c>
      <c r="G106" s="25">
        <f t="shared" si="1"/>
        <v>0</v>
      </c>
      <c r="H106" s="39" t="s">
        <v>773</v>
      </c>
      <c r="I106" s="3"/>
      <c r="J106" s="42"/>
      <c r="K106" s="3"/>
    </row>
    <row r="107" spans="1:11" x14ac:dyDescent="0.25">
      <c r="A107" s="12">
        <v>42095</v>
      </c>
      <c r="B107" s="183">
        <v>16644</v>
      </c>
      <c r="C107" s="14" t="s">
        <v>1021</v>
      </c>
      <c r="D107" s="105">
        <v>270</v>
      </c>
      <c r="E107" s="23">
        <v>42095</v>
      </c>
      <c r="F107" s="106">
        <v>270</v>
      </c>
      <c r="G107" s="25">
        <f t="shared" si="1"/>
        <v>0</v>
      </c>
      <c r="H107" s="39" t="s">
        <v>9</v>
      </c>
      <c r="I107" s="3"/>
      <c r="J107" s="42"/>
      <c r="K107" s="3"/>
    </row>
    <row r="108" spans="1:11" x14ac:dyDescent="0.25">
      <c r="A108" s="20">
        <v>42095</v>
      </c>
      <c r="B108" s="183">
        <v>16645</v>
      </c>
      <c r="C108" s="14" t="s">
        <v>74</v>
      </c>
      <c r="D108" s="105">
        <v>2070</v>
      </c>
      <c r="E108" s="23">
        <v>42095</v>
      </c>
      <c r="F108" s="106">
        <v>2070</v>
      </c>
      <c r="G108" s="25">
        <f t="shared" si="1"/>
        <v>0</v>
      </c>
      <c r="H108" s="39" t="s">
        <v>9</v>
      </c>
      <c r="I108" s="3"/>
      <c r="J108" s="42"/>
      <c r="K108" s="3"/>
    </row>
    <row r="109" spans="1:11" x14ac:dyDescent="0.25">
      <c r="A109" s="12">
        <v>42095</v>
      </c>
      <c r="B109" s="183">
        <v>16646</v>
      </c>
      <c r="C109" s="14" t="s">
        <v>902</v>
      </c>
      <c r="D109" s="105">
        <v>6015.84</v>
      </c>
      <c r="E109" s="23">
        <v>42096</v>
      </c>
      <c r="F109" s="106">
        <v>6015.84</v>
      </c>
      <c r="G109" s="25">
        <f t="shared" si="1"/>
        <v>0</v>
      </c>
      <c r="H109" s="39" t="s">
        <v>17</v>
      </c>
      <c r="I109" s="3"/>
      <c r="J109" s="42"/>
      <c r="K109" s="3"/>
    </row>
    <row r="110" spans="1:11" x14ac:dyDescent="0.25">
      <c r="A110" s="20">
        <v>42095</v>
      </c>
      <c r="B110" s="183">
        <v>16647</v>
      </c>
      <c r="C110" s="14" t="s">
        <v>35</v>
      </c>
      <c r="D110" s="105">
        <v>19402.2</v>
      </c>
      <c r="E110" s="23">
        <v>42096</v>
      </c>
      <c r="F110" s="106">
        <v>19402.2</v>
      </c>
      <c r="G110" s="25">
        <f t="shared" si="1"/>
        <v>0</v>
      </c>
      <c r="H110" s="39" t="s">
        <v>773</v>
      </c>
      <c r="I110" s="3"/>
      <c r="J110" s="42"/>
      <c r="K110" s="3"/>
    </row>
    <row r="111" spans="1:11" x14ac:dyDescent="0.25">
      <c r="A111" s="12">
        <v>42095</v>
      </c>
      <c r="B111" s="183">
        <v>16648</v>
      </c>
      <c r="C111" s="14" t="s">
        <v>406</v>
      </c>
      <c r="D111" s="105">
        <v>14938.74</v>
      </c>
      <c r="E111" s="23">
        <v>42096</v>
      </c>
      <c r="F111" s="106">
        <v>14938.74</v>
      </c>
      <c r="G111" s="25">
        <f t="shared" si="1"/>
        <v>0</v>
      </c>
      <c r="H111" s="39" t="s">
        <v>773</v>
      </c>
      <c r="I111" s="3"/>
      <c r="J111" s="42"/>
      <c r="K111" s="3"/>
    </row>
    <row r="112" spans="1:11" x14ac:dyDescent="0.25">
      <c r="A112" s="20">
        <v>42095</v>
      </c>
      <c r="B112" s="183">
        <v>16649</v>
      </c>
      <c r="C112" s="14" t="s">
        <v>14</v>
      </c>
      <c r="D112" s="105">
        <v>99257.46</v>
      </c>
      <c r="E112" s="23">
        <v>42104</v>
      </c>
      <c r="F112" s="106">
        <v>99257.46</v>
      </c>
      <c r="G112" s="25">
        <f t="shared" si="1"/>
        <v>0</v>
      </c>
      <c r="H112" s="39" t="s">
        <v>187</v>
      </c>
      <c r="I112" s="3"/>
      <c r="J112" s="42"/>
      <c r="K112" s="3"/>
    </row>
    <row r="113" spans="1:11" x14ac:dyDescent="0.25">
      <c r="A113" s="12">
        <v>42095</v>
      </c>
      <c r="B113" s="183">
        <v>16650</v>
      </c>
      <c r="C113" s="14" t="s">
        <v>14</v>
      </c>
      <c r="D113" s="105">
        <v>140201.06</v>
      </c>
      <c r="E113" s="23">
        <v>42104</v>
      </c>
      <c r="F113" s="106">
        <v>140201.06</v>
      </c>
      <c r="G113" s="25">
        <f t="shared" si="1"/>
        <v>0</v>
      </c>
      <c r="H113" s="39" t="s">
        <v>187</v>
      </c>
      <c r="I113" s="3"/>
      <c r="J113" s="42"/>
      <c r="K113" s="3"/>
    </row>
    <row r="114" spans="1:11" x14ac:dyDescent="0.25">
      <c r="A114" s="20">
        <v>42095</v>
      </c>
      <c r="B114" s="183">
        <v>16651</v>
      </c>
      <c r="C114" s="14" t="s">
        <v>24</v>
      </c>
      <c r="D114" s="105">
        <v>77804.100000000006</v>
      </c>
      <c r="E114" s="23">
        <v>42115</v>
      </c>
      <c r="F114" s="106">
        <v>77804.100000000006</v>
      </c>
      <c r="G114" s="25">
        <f t="shared" si="1"/>
        <v>0</v>
      </c>
      <c r="H114" s="39" t="s">
        <v>9</v>
      </c>
      <c r="I114" s="3"/>
      <c r="J114" s="42"/>
      <c r="K114" s="3"/>
    </row>
    <row r="115" spans="1:11" x14ac:dyDescent="0.25">
      <c r="A115" s="12">
        <v>42096</v>
      </c>
      <c r="B115" s="183">
        <v>16652</v>
      </c>
      <c r="C115" s="14" t="s">
        <v>16</v>
      </c>
      <c r="D115" s="105">
        <v>6660</v>
      </c>
      <c r="E115" s="23">
        <v>42098</v>
      </c>
      <c r="F115" s="106">
        <v>6660</v>
      </c>
      <c r="G115" s="25">
        <f t="shared" si="1"/>
        <v>0</v>
      </c>
      <c r="H115" s="39" t="s">
        <v>17</v>
      </c>
      <c r="I115" s="3"/>
      <c r="J115" s="42"/>
      <c r="K115" s="3"/>
    </row>
    <row r="116" spans="1:11" x14ac:dyDescent="0.25">
      <c r="A116" s="20">
        <v>42096</v>
      </c>
      <c r="B116" s="183">
        <v>16653</v>
      </c>
      <c r="C116" s="14" t="s">
        <v>213</v>
      </c>
      <c r="D116" s="105">
        <v>9157.2000000000007</v>
      </c>
      <c r="E116" s="23">
        <v>42098</v>
      </c>
      <c r="F116" s="106">
        <v>9157.2000000000007</v>
      </c>
      <c r="G116" s="25">
        <f t="shared" si="1"/>
        <v>0</v>
      </c>
      <c r="H116" s="39" t="s">
        <v>17</v>
      </c>
      <c r="I116" s="3"/>
      <c r="J116" s="42"/>
      <c r="K116" s="3"/>
    </row>
    <row r="117" spans="1:11" x14ac:dyDescent="0.25">
      <c r="A117" s="12">
        <v>42096</v>
      </c>
      <c r="B117" s="183">
        <v>16654</v>
      </c>
      <c r="C117" s="14" t="s">
        <v>21</v>
      </c>
      <c r="D117" s="105">
        <v>4736.1000000000004</v>
      </c>
      <c r="E117" s="23">
        <v>42096</v>
      </c>
      <c r="F117" s="106">
        <v>4736.1000000000004</v>
      </c>
      <c r="G117" s="25">
        <f t="shared" si="1"/>
        <v>0</v>
      </c>
      <c r="H117" s="39" t="s">
        <v>9</v>
      </c>
      <c r="I117" s="3"/>
      <c r="J117" s="42"/>
      <c r="K117" s="3"/>
    </row>
    <row r="118" spans="1:11" x14ac:dyDescent="0.25">
      <c r="A118" s="20">
        <v>42096</v>
      </c>
      <c r="B118" s="183">
        <v>16655</v>
      </c>
      <c r="C118" s="150" t="s">
        <v>111</v>
      </c>
      <c r="D118" s="105">
        <v>19775.7</v>
      </c>
      <c r="E118" s="23">
        <v>42102</v>
      </c>
      <c r="F118" s="106">
        <v>19775.7</v>
      </c>
      <c r="G118" s="25">
        <f t="shared" si="1"/>
        <v>0</v>
      </c>
      <c r="H118" s="39" t="s">
        <v>15</v>
      </c>
      <c r="I118" s="3"/>
      <c r="J118" s="42"/>
      <c r="K118" s="3"/>
    </row>
    <row r="119" spans="1:11" x14ac:dyDescent="0.25">
      <c r="A119" s="12">
        <v>42096</v>
      </c>
      <c r="B119" s="183">
        <v>16656</v>
      </c>
      <c r="C119" s="14" t="s">
        <v>20</v>
      </c>
      <c r="D119" s="105">
        <v>8573.7999999999993</v>
      </c>
      <c r="E119" s="23">
        <v>42096</v>
      </c>
      <c r="F119" s="106">
        <v>8573.7999999999993</v>
      </c>
      <c r="G119" s="25">
        <f t="shared" si="1"/>
        <v>0</v>
      </c>
      <c r="H119" s="39" t="s">
        <v>94</v>
      </c>
      <c r="I119" s="3"/>
      <c r="J119" s="42"/>
      <c r="K119" s="3"/>
    </row>
    <row r="120" spans="1:11" x14ac:dyDescent="0.25">
      <c r="A120" s="20">
        <v>42096</v>
      </c>
      <c r="B120" s="183">
        <v>16657</v>
      </c>
      <c r="C120" s="14" t="s">
        <v>333</v>
      </c>
      <c r="D120" s="105">
        <v>15704.6</v>
      </c>
      <c r="E120" s="23">
        <v>42096</v>
      </c>
      <c r="F120" s="106">
        <v>15704.6</v>
      </c>
      <c r="G120" s="25">
        <f t="shared" si="1"/>
        <v>0</v>
      </c>
      <c r="H120" s="39" t="s">
        <v>94</v>
      </c>
      <c r="I120" s="3"/>
      <c r="J120" s="42"/>
      <c r="K120" s="3"/>
    </row>
    <row r="121" spans="1:11" x14ac:dyDescent="0.25">
      <c r="A121" s="12">
        <v>42096</v>
      </c>
      <c r="B121" s="183">
        <v>16658</v>
      </c>
      <c r="C121" s="14" t="s">
        <v>88</v>
      </c>
      <c r="D121" s="105">
        <v>1174.2</v>
      </c>
      <c r="E121" s="23">
        <v>42096</v>
      </c>
      <c r="F121" s="106">
        <v>1174.2</v>
      </c>
      <c r="G121" s="25">
        <f t="shared" si="1"/>
        <v>0</v>
      </c>
      <c r="H121" s="39" t="s">
        <v>9</v>
      </c>
      <c r="I121" s="3"/>
      <c r="J121" s="42"/>
      <c r="K121" s="3"/>
    </row>
    <row r="122" spans="1:11" x14ac:dyDescent="0.25">
      <c r="A122" s="20">
        <v>42096</v>
      </c>
      <c r="B122" s="183">
        <v>16659</v>
      </c>
      <c r="C122" s="14" t="s">
        <v>571</v>
      </c>
      <c r="D122" s="105">
        <v>9946.2000000000007</v>
      </c>
      <c r="E122" s="23">
        <v>42096</v>
      </c>
      <c r="F122" s="106">
        <v>9946.2000000000007</v>
      </c>
      <c r="G122" s="25">
        <f t="shared" si="1"/>
        <v>0</v>
      </c>
      <c r="H122" s="39" t="s">
        <v>15</v>
      </c>
      <c r="I122" s="3"/>
      <c r="J122" s="42"/>
      <c r="K122" s="3"/>
    </row>
    <row r="123" spans="1:11" x14ac:dyDescent="0.25">
      <c r="A123" s="12">
        <v>42096</v>
      </c>
      <c r="B123" s="183">
        <v>16660</v>
      </c>
      <c r="C123" s="14" t="s">
        <v>285</v>
      </c>
      <c r="D123" s="105">
        <v>1306.3499999999999</v>
      </c>
      <c r="E123" s="23">
        <v>42096</v>
      </c>
      <c r="F123" s="106">
        <v>1306.3499999999999</v>
      </c>
      <c r="G123" s="25">
        <f t="shared" si="1"/>
        <v>0</v>
      </c>
      <c r="H123" s="39" t="s">
        <v>15</v>
      </c>
      <c r="I123" s="3"/>
      <c r="J123" s="42"/>
      <c r="K123" s="3"/>
    </row>
    <row r="124" spans="1:11" x14ac:dyDescent="0.25">
      <c r="A124" s="20">
        <v>42096</v>
      </c>
      <c r="B124" s="183">
        <v>16661</v>
      </c>
      <c r="C124" s="14" t="s">
        <v>120</v>
      </c>
      <c r="D124" s="105">
        <v>2111.4</v>
      </c>
      <c r="E124" s="23">
        <v>42096</v>
      </c>
      <c r="F124" s="106">
        <v>2111.4</v>
      </c>
      <c r="G124" s="25">
        <f t="shared" si="1"/>
        <v>0</v>
      </c>
      <c r="H124" s="39" t="s">
        <v>59</v>
      </c>
      <c r="I124" s="3"/>
      <c r="J124" s="42"/>
      <c r="K124" s="3"/>
    </row>
    <row r="125" spans="1:11" x14ac:dyDescent="0.25">
      <c r="A125" s="12">
        <v>42096</v>
      </c>
      <c r="B125" s="183">
        <v>16662</v>
      </c>
      <c r="C125" s="40" t="s">
        <v>53</v>
      </c>
      <c r="D125" s="105">
        <v>1125.3</v>
      </c>
      <c r="E125" s="23">
        <v>42096</v>
      </c>
      <c r="F125" s="106">
        <v>1125.3</v>
      </c>
      <c r="G125" s="25">
        <f t="shared" si="1"/>
        <v>0</v>
      </c>
      <c r="H125" s="41" t="s">
        <v>59</v>
      </c>
      <c r="I125" s="3"/>
      <c r="J125" s="42"/>
      <c r="K125" s="3"/>
    </row>
    <row r="126" spans="1:11" x14ac:dyDescent="0.25">
      <c r="A126" s="20">
        <v>42096</v>
      </c>
      <c r="B126" s="183">
        <v>16663</v>
      </c>
      <c r="C126" s="40" t="s">
        <v>214</v>
      </c>
      <c r="D126" s="105">
        <v>1020</v>
      </c>
      <c r="E126" s="23">
        <v>42096</v>
      </c>
      <c r="F126" s="106">
        <v>1020</v>
      </c>
      <c r="G126" s="25">
        <f t="shared" si="1"/>
        <v>0</v>
      </c>
      <c r="H126" s="41" t="s">
        <v>59</v>
      </c>
      <c r="I126" s="3"/>
      <c r="J126" s="42"/>
      <c r="K126" s="3"/>
    </row>
    <row r="127" spans="1:11" x14ac:dyDescent="0.25">
      <c r="A127" s="12">
        <v>42096</v>
      </c>
      <c r="B127" s="183">
        <v>16664</v>
      </c>
      <c r="C127" s="40" t="s">
        <v>57</v>
      </c>
      <c r="D127" s="105">
        <v>340</v>
      </c>
      <c r="E127" s="23">
        <v>42096</v>
      </c>
      <c r="F127" s="106">
        <v>340</v>
      </c>
      <c r="G127" s="25">
        <f t="shared" si="1"/>
        <v>0</v>
      </c>
      <c r="H127" s="41" t="s">
        <v>59</v>
      </c>
      <c r="I127" s="3"/>
      <c r="J127" s="42"/>
      <c r="K127" s="3"/>
    </row>
    <row r="128" spans="1:11" x14ac:dyDescent="0.25">
      <c r="A128" s="20">
        <v>42096</v>
      </c>
      <c r="B128" s="183">
        <v>16665</v>
      </c>
      <c r="C128" s="40" t="s">
        <v>45</v>
      </c>
      <c r="D128" s="105">
        <v>873.6</v>
      </c>
      <c r="E128" s="23">
        <v>42104</v>
      </c>
      <c r="F128" s="106">
        <v>873.6</v>
      </c>
      <c r="G128" s="25">
        <f t="shared" si="1"/>
        <v>0</v>
      </c>
      <c r="H128" s="41" t="s">
        <v>59</v>
      </c>
      <c r="I128" s="3"/>
      <c r="J128" s="42"/>
      <c r="K128" s="3"/>
    </row>
    <row r="129" spans="1:11" x14ac:dyDescent="0.25">
      <c r="A129" s="12">
        <v>42096</v>
      </c>
      <c r="B129" s="183">
        <v>16666</v>
      </c>
      <c r="C129" s="40" t="s">
        <v>38</v>
      </c>
      <c r="D129" s="105">
        <v>30120</v>
      </c>
      <c r="E129" s="23" t="s">
        <v>1022</v>
      </c>
      <c r="F129" s="106">
        <f>90+30030</f>
        <v>30120</v>
      </c>
      <c r="G129" s="25">
        <f t="shared" si="1"/>
        <v>0</v>
      </c>
      <c r="H129" s="41" t="s">
        <v>59</v>
      </c>
      <c r="I129" s="3"/>
      <c r="J129" s="42"/>
      <c r="K129" s="3"/>
    </row>
    <row r="130" spans="1:11" x14ac:dyDescent="0.25">
      <c r="A130" s="20">
        <v>42096</v>
      </c>
      <c r="B130" s="183">
        <v>16667</v>
      </c>
      <c r="C130" s="40" t="s">
        <v>161</v>
      </c>
      <c r="D130" s="105">
        <v>20517.2</v>
      </c>
      <c r="E130" s="23">
        <v>42096</v>
      </c>
      <c r="F130" s="106">
        <v>20517.2</v>
      </c>
      <c r="G130" s="25">
        <f t="shared" si="1"/>
        <v>0</v>
      </c>
      <c r="H130" s="41" t="s">
        <v>9</v>
      </c>
      <c r="K130" s="3"/>
    </row>
    <row r="131" spans="1:11" x14ac:dyDescent="0.25">
      <c r="A131" s="12">
        <v>42096</v>
      </c>
      <c r="B131" s="183">
        <v>16668</v>
      </c>
      <c r="C131" s="40" t="s">
        <v>110</v>
      </c>
      <c r="D131" s="105">
        <v>87045.74</v>
      </c>
      <c r="E131" s="23">
        <v>42104</v>
      </c>
      <c r="F131" s="106">
        <v>87045.74</v>
      </c>
      <c r="G131" s="25">
        <f t="shared" ref="G131:G194" si="2">D131-F131</f>
        <v>0</v>
      </c>
      <c r="H131" s="41" t="s">
        <v>1013</v>
      </c>
      <c r="J131" s="107"/>
      <c r="K131" s="3"/>
    </row>
    <row r="132" spans="1:11" x14ac:dyDescent="0.25">
      <c r="A132" s="20">
        <v>42096</v>
      </c>
      <c r="B132" s="183">
        <v>16669</v>
      </c>
      <c r="C132" s="40" t="s">
        <v>155</v>
      </c>
      <c r="D132" s="105">
        <v>1694</v>
      </c>
      <c r="E132" s="23">
        <v>42096</v>
      </c>
      <c r="F132" s="106">
        <v>1694</v>
      </c>
      <c r="G132" s="25">
        <f t="shared" si="2"/>
        <v>0</v>
      </c>
      <c r="H132" s="41" t="s">
        <v>59</v>
      </c>
      <c r="J132" s="107"/>
      <c r="K132" s="3"/>
    </row>
    <row r="133" spans="1:11" x14ac:dyDescent="0.25">
      <c r="A133" s="12">
        <v>42096</v>
      </c>
      <c r="B133" s="183">
        <v>16670</v>
      </c>
      <c r="C133" s="40" t="s">
        <v>133</v>
      </c>
      <c r="D133" s="105">
        <v>21400.2</v>
      </c>
      <c r="E133" s="23">
        <v>42096</v>
      </c>
      <c r="F133" s="106">
        <v>21400.2</v>
      </c>
      <c r="G133" s="25">
        <f t="shared" si="2"/>
        <v>0</v>
      </c>
      <c r="H133" s="41" t="s">
        <v>9</v>
      </c>
      <c r="K133" s="3"/>
    </row>
    <row r="134" spans="1:11" x14ac:dyDescent="0.25">
      <c r="A134" s="20">
        <v>42096</v>
      </c>
      <c r="B134" s="183">
        <v>16671</v>
      </c>
      <c r="C134" s="40" t="s">
        <v>900</v>
      </c>
      <c r="D134" s="105">
        <v>2540.6</v>
      </c>
      <c r="E134" s="23">
        <v>42096</v>
      </c>
      <c r="F134" s="106">
        <v>2540.6</v>
      </c>
      <c r="G134" s="25">
        <f t="shared" si="2"/>
        <v>0</v>
      </c>
      <c r="H134" s="41" t="s">
        <v>9</v>
      </c>
      <c r="K134" s="3"/>
    </row>
    <row r="135" spans="1:11" x14ac:dyDescent="0.25">
      <c r="A135" s="12">
        <v>42096</v>
      </c>
      <c r="B135" s="183">
        <v>16672</v>
      </c>
      <c r="C135" s="40" t="s">
        <v>106</v>
      </c>
      <c r="D135" s="105">
        <v>21820.799999999999</v>
      </c>
      <c r="E135" s="23">
        <v>42101</v>
      </c>
      <c r="F135" s="106">
        <v>21820.799999999999</v>
      </c>
      <c r="G135" s="32">
        <f t="shared" si="2"/>
        <v>0</v>
      </c>
      <c r="H135" s="41" t="s">
        <v>62</v>
      </c>
      <c r="K135" s="3"/>
    </row>
    <row r="136" spans="1:11" x14ac:dyDescent="0.25">
      <c r="A136" s="20">
        <v>42096</v>
      </c>
      <c r="B136" s="183">
        <v>16673</v>
      </c>
      <c r="C136" s="40" t="s">
        <v>50</v>
      </c>
      <c r="D136" s="105">
        <v>4153.1499999999996</v>
      </c>
      <c r="E136" s="23">
        <v>42096</v>
      </c>
      <c r="F136" s="106">
        <v>4153.1499999999996</v>
      </c>
      <c r="G136" s="25">
        <f t="shared" si="2"/>
        <v>0</v>
      </c>
      <c r="H136" s="41" t="s">
        <v>27</v>
      </c>
      <c r="K136" s="3"/>
    </row>
    <row r="137" spans="1:11" x14ac:dyDescent="0.25">
      <c r="A137" s="12">
        <v>42096</v>
      </c>
      <c r="B137" s="183">
        <v>16674</v>
      </c>
      <c r="C137" s="40" t="s">
        <v>604</v>
      </c>
      <c r="D137" s="105">
        <v>3023.2</v>
      </c>
      <c r="E137" s="23">
        <v>42096</v>
      </c>
      <c r="F137" s="106">
        <v>3023.2</v>
      </c>
      <c r="G137" s="25">
        <f t="shared" si="2"/>
        <v>0</v>
      </c>
      <c r="H137" s="41" t="s">
        <v>9</v>
      </c>
      <c r="K137" s="3"/>
    </row>
    <row r="138" spans="1:11" x14ac:dyDescent="0.25">
      <c r="A138" s="20">
        <v>42096</v>
      </c>
      <c r="B138" s="183">
        <v>16675</v>
      </c>
      <c r="C138" s="40" t="s">
        <v>256</v>
      </c>
      <c r="D138" s="105">
        <v>7614</v>
      </c>
      <c r="E138" s="23">
        <v>42096</v>
      </c>
      <c r="F138" s="106">
        <v>7614</v>
      </c>
      <c r="G138" s="25">
        <f t="shared" si="2"/>
        <v>0</v>
      </c>
      <c r="H138" s="41" t="s">
        <v>773</v>
      </c>
      <c r="K138" s="3"/>
    </row>
    <row r="139" spans="1:11" x14ac:dyDescent="0.25">
      <c r="A139" s="12">
        <v>42096</v>
      </c>
      <c r="B139" s="183">
        <v>16676</v>
      </c>
      <c r="C139" s="40" t="s">
        <v>55</v>
      </c>
      <c r="D139" s="105">
        <v>1253.04</v>
      </c>
      <c r="E139" s="23">
        <v>42096</v>
      </c>
      <c r="F139" s="106">
        <v>1253.04</v>
      </c>
      <c r="G139" s="25">
        <f t="shared" si="2"/>
        <v>0</v>
      </c>
      <c r="H139" s="41" t="s">
        <v>773</v>
      </c>
      <c r="K139" s="3"/>
    </row>
    <row r="140" spans="1:11" x14ac:dyDescent="0.25">
      <c r="A140" s="20">
        <v>42096</v>
      </c>
      <c r="B140" s="183">
        <v>16677</v>
      </c>
      <c r="C140" s="40" t="s">
        <v>233</v>
      </c>
      <c r="D140" s="105">
        <v>15258.4</v>
      </c>
      <c r="E140" s="23">
        <v>42096</v>
      </c>
      <c r="F140" s="106">
        <v>15258.4</v>
      </c>
      <c r="G140" s="25">
        <f t="shared" si="2"/>
        <v>0</v>
      </c>
      <c r="H140" s="41" t="s">
        <v>773</v>
      </c>
      <c r="K140" s="3"/>
    </row>
    <row r="141" spans="1:11" x14ac:dyDescent="0.25">
      <c r="A141" s="12">
        <v>42096</v>
      </c>
      <c r="B141" s="183">
        <v>16678</v>
      </c>
      <c r="C141" s="40" t="s">
        <v>158</v>
      </c>
      <c r="D141" s="105">
        <v>1508</v>
      </c>
      <c r="E141" s="23">
        <v>42096</v>
      </c>
      <c r="F141" s="106">
        <v>1508</v>
      </c>
      <c r="G141" s="25">
        <f t="shared" si="2"/>
        <v>0</v>
      </c>
      <c r="H141" s="41" t="s">
        <v>9</v>
      </c>
      <c r="K141" s="3"/>
    </row>
    <row r="142" spans="1:11" x14ac:dyDescent="0.25">
      <c r="A142" s="20">
        <v>42096</v>
      </c>
      <c r="B142" s="183">
        <v>16679</v>
      </c>
      <c r="C142" s="40" t="s">
        <v>591</v>
      </c>
      <c r="D142" s="105">
        <v>9278.2000000000007</v>
      </c>
      <c r="E142" s="23">
        <v>42096</v>
      </c>
      <c r="F142" s="106">
        <v>9278.2000000000007</v>
      </c>
      <c r="G142" s="25">
        <f t="shared" si="2"/>
        <v>0</v>
      </c>
      <c r="H142" s="41" t="s">
        <v>773</v>
      </c>
      <c r="K142" s="3"/>
    </row>
    <row r="143" spans="1:11" x14ac:dyDescent="0.25">
      <c r="A143" s="12">
        <v>42096</v>
      </c>
      <c r="B143" s="183">
        <v>16680</v>
      </c>
      <c r="C143" s="40" t="s">
        <v>37</v>
      </c>
      <c r="D143" s="105">
        <v>2277</v>
      </c>
      <c r="E143" s="23">
        <v>42102</v>
      </c>
      <c r="F143" s="106">
        <v>2277</v>
      </c>
      <c r="G143" s="25">
        <f t="shared" si="2"/>
        <v>0</v>
      </c>
      <c r="H143" s="41" t="s">
        <v>773</v>
      </c>
      <c r="K143" s="3"/>
    </row>
    <row r="144" spans="1:11" x14ac:dyDescent="0.25">
      <c r="A144" s="20">
        <v>42096</v>
      </c>
      <c r="B144" s="183">
        <v>16681</v>
      </c>
      <c r="C144" s="40" t="s">
        <v>43</v>
      </c>
      <c r="D144" s="105">
        <v>9196.32</v>
      </c>
      <c r="E144" s="23">
        <v>42096</v>
      </c>
      <c r="F144" s="106">
        <v>9196.32</v>
      </c>
      <c r="G144" s="25">
        <f t="shared" si="2"/>
        <v>0</v>
      </c>
      <c r="H144" s="41" t="s">
        <v>9</v>
      </c>
      <c r="K144" s="3"/>
    </row>
    <row r="145" spans="1:16" x14ac:dyDescent="0.25">
      <c r="A145" s="12">
        <v>42096</v>
      </c>
      <c r="B145" s="183">
        <v>16682</v>
      </c>
      <c r="C145" s="40" t="s">
        <v>48</v>
      </c>
      <c r="D145" s="105">
        <v>2505.6</v>
      </c>
      <c r="E145" s="23">
        <v>42096</v>
      </c>
      <c r="F145" s="106">
        <v>2505.6</v>
      </c>
      <c r="G145" s="25">
        <f t="shared" si="2"/>
        <v>0</v>
      </c>
      <c r="H145" s="41" t="s">
        <v>41</v>
      </c>
    </row>
    <row r="146" spans="1:16" x14ac:dyDescent="0.25">
      <c r="A146" s="20">
        <v>42096</v>
      </c>
      <c r="B146" s="183">
        <v>16683</v>
      </c>
      <c r="C146" s="40" t="s">
        <v>328</v>
      </c>
      <c r="D146" s="105">
        <v>3008</v>
      </c>
      <c r="E146" s="23">
        <v>42096</v>
      </c>
      <c r="F146" s="106">
        <v>3008</v>
      </c>
      <c r="G146" s="25">
        <f t="shared" si="2"/>
        <v>0</v>
      </c>
      <c r="H146" s="41" t="s">
        <v>9</v>
      </c>
    </row>
    <row r="147" spans="1:16" x14ac:dyDescent="0.25">
      <c r="A147" s="12">
        <v>42096</v>
      </c>
      <c r="B147" s="183">
        <v>16684</v>
      </c>
      <c r="C147" s="40" t="s">
        <v>143</v>
      </c>
      <c r="D147" s="105">
        <v>19981.599999999999</v>
      </c>
      <c r="E147" s="30" t="s">
        <v>1023</v>
      </c>
      <c r="F147" s="106">
        <v>19981.599999999999</v>
      </c>
      <c r="G147" s="25">
        <f t="shared" si="2"/>
        <v>0</v>
      </c>
      <c r="H147" s="41" t="s">
        <v>41</v>
      </c>
    </row>
    <row r="148" spans="1:16" x14ac:dyDescent="0.25">
      <c r="A148" s="20">
        <v>42096</v>
      </c>
      <c r="B148" s="183">
        <v>16685</v>
      </c>
      <c r="C148" s="40" t="s">
        <v>223</v>
      </c>
      <c r="D148" s="105">
        <v>717.6</v>
      </c>
      <c r="E148" s="23">
        <v>42098</v>
      </c>
      <c r="F148" s="106">
        <v>717.6</v>
      </c>
      <c r="G148" s="25">
        <f t="shared" si="2"/>
        <v>0</v>
      </c>
      <c r="H148" s="41" t="s">
        <v>17</v>
      </c>
    </row>
    <row r="149" spans="1:16" x14ac:dyDescent="0.25">
      <c r="A149" s="12">
        <v>42096</v>
      </c>
      <c r="B149" s="183">
        <v>16686</v>
      </c>
      <c r="C149" s="40" t="s">
        <v>104</v>
      </c>
      <c r="D149" s="105">
        <v>12088.2</v>
      </c>
      <c r="E149" s="23">
        <v>42098</v>
      </c>
      <c r="F149" s="106">
        <v>12088.2</v>
      </c>
      <c r="G149" s="25">
        <f t="shared" si="2"/>
        <v>0</v>
      </c>
      <c r="H149" s="41" t="s">
        <v>17</v>
      </c>
    </row>
    <row r="150" spans="1:16" x14ac:dyDescent="0.25">
      <c r="A150" s="20">
        <v>42096</v>
      </c>
      <c r="B150" s="183">
        <v>16687</v>
      </c>
      <c r="C150" s="40" t="s">
        <v>250</v>
      </c>
      <c r="D150" s="105">
        <v>3853.8</v>
      </c>
      <c r="E150" s="23">
        <v>42098</v>
      </c>
      <c r="F150" s="106">
        <v>3853.8</v>
      </c>
      <c r="G150" s="25">
        <f t="shared" si="2"/>
        <v>0</v>
      </c>
      <c r="H150" s="41" t="s">
        <v>17</v>
      </c>
    </row>
    <row r="151" spans="1:16" x14ac:dyDescent="0.25">
      <c r="A151" s="12">
        <v>42096</v>
      </c>
      <c r="B151" s="183">
        <v>16688</v>
      </c>
      <c r="C151" s="40" t="s">
        <v>229</v>
      </c>
      <c r="D151" s="105">
        <v>4121.6000000000004</v>
      </c>
      <c r="E151" s="23">
        <v>42098</v>
      </c>
      <c r="F151" s="106">
        <v>4121.6000000000004</v>
      </c>
      <c r="G151" s="25">
        <f t="shared" si="2"/>
        <v>0</v>
      </c>
      <c r="H151" s="41" t="s">
        <v>17</v>
      </c>
    </row>
    <row r="152" spans="1:16" x14ac:dyDescent="0.25">
      <c r="A152" s="20">
        <v>42096</v>
      </c>
      <c r="B152" s="183">
        <v>16689</v>
      </c>
      <c r="C152" s="40" t="s">
        <v>101</v>
      </c>
      <c r="D152" s="105">
        <v>762</v>
      </c>
      <c r="E152" s="23">
        <v>42098</v>
      </c>
      <c r="F152" s="106">
        <v>762</v>
      </c>
      <c r="G152" s="25">
        <f t="shared" si="2"/>
        <v>0</v>
      </c>
      <c r="H152" s="41" t="s">
        <v>17</v>
      </c>
    </row>
    <row r="153" spans="1:16" x14ac:dyDescent="0.25">
      <c r="A153" s="12">
        <v>42096</v>
      </c>
      <c r="B153" s="183">
        <v>16690</v>
      </c>
      <c r="C153" s="40" t="s">
        <v>1024</v>
      </c>
      <c r="D153" s="105">
        <v>7014</v>
      </c>
      <c r="E153" s="23">
        <v>42098</v>
      </c>
      <c r="F153" s="106">
        <v>7014</v>
      </c>
      <c r="G153" s="25">
        <f t="shared" si="2"/>
        <v>0</v>
      </c>
      <c r="H153" s="41" t="s">
        <v>17</v>
      </c>
    </row>
    <row r="154" spans="1:16" x14ac:dyDescent="0.25">
      <c r="A154" s="20">
        <v>42096</v>
      </c>
      <c r="B154" s="183">
        <v>16691</v>
      </c>
      <c r="C154" s="40" t="s">
        <v>93</v>
      </c>
      <c r="D154" s="105">
        <v>3050.4</v>
      </c>
      <c r="E154" s="23">
        <v>42098</v>
      </c>
      <c r="F154" s="106">
        <v>3050.4</v>
      </c>
      <c r="G154" s="25">
        <f t="shared" si="2"/>
        <v>0</v>
      </c>
      <c r="H154" s="41" t="s">
        <v>17</v>
      </c>
    </row>
    <row r="155" spans="1:16" x14ac:dyDescent="0.25">
      <c r="A155" s="12">
        <v>42096</v>
      </c>
      <c r="B155" s="183">
        <v>16692</v>
      </c>
      <c r="C155" s="40" t="s">
        <v>95</v>
      </c>
      <c r="D155" s="105">
        <v>3093.8</v>
      </c>
      <c r="E155" s="23">
        <v>42098</v>
      </c>
      <c r="F155" s="106">
        <v>3093.8</v>
      </c>
      <c r="G155" s="25">
        <f t="shared" si="2"/>
        <v>0</v>
      </c>
      <c r="H155" s="41" t="s">
        <v>17</v>
      </c>
    </row>
    <row r="156" spans="1:16" x14ac:dyDescent="0.25">
      <c r="A156" s="20">
        <v>42096</v>
      </c>
      <c r="B156" s="183">
        <v>16693</v>
      </c>
      <c r="C156" s="40" t="s">
        <v>103</v>
      </c>
      <c r="D156" s="105">
        <v>34685.699999999997</v>
      </c>
      <c r="E156" s="23">
        <v>42102</v>
      </c>
      <c r="F156" s="106">
        <v>34685.699999999997</v>
      </c>
      <c r="G156" s="25">
        <f t="shared" si="2"/>
        <v>0</v>
      </c>
      <c r="H156" s="41" t="s">
        <v>17</v>
      </c>
    </row>
    <row r="157" spans="1:16" s="4" customFormat="1" x14ac:dyDescent="0.25">
      <c r="A157" s="12">
        <v>42096</v>
      </c>
      <c r="B157" s="183">
        <v>16694</v>
      </c>
      <c r="C157" s="40" t="s">
        <v>32</v>
      </c>
      <c r="D157" s="105">
        <v>86001</v>
      </c>
      <c r="E157" s="23">
        <v>42115</v>
      </c>
      <c r="F157" s="106">
        <v>86001</v>
      </c>
      <c r="G157" s="25">
        <f t="shared" si="2"/>
        <v>0</v>
      </c>
      <c r="H157" s="41" t="s">
        <v>1013</v>
      </c>
      <c r="J157" s="43"/>
      <c r="K157" s="43"/>
      <c r="P157" s="43"/>
    </row>
    <row r="158" spans="1:16" s="4" customFormat="1" x14ac:dyDescent="0.25">
      <c r="A158" s="20">
        <v>42096</v>
      </c>
      <c r="B158" s="183">
        <v>16695</v>
      </c>
      <c r="C158" s="40" t="s">
        <v>136</v>
      </c>
      <c r="D158" s="105">
        <v>30366</v>
      </c>
      <c r="E158" s="23" t="s">
        <v>1025</v>
      </c>
      <c r="F158" s="106">
        <f>7100+23266</f>
        <v>30366</v>
      </c>
      <c r="G158" s="25">
        <f t="shared" si="2"/>
        <v>0</v>
      </c>
      <c r="H158" s="41" t="s">
        <v>9</v>
      </c>
      <c r="J158" s="107"/>
      <c r="K158" s="43"/>
      <c r="P158" s="43"/>
    </row>
    <row r="159" spans="1:16" s="4" customFormat="1" x14ac:dyDescent="0.25">
      <c r="A159" s="12">
        <v>42096</v>
      </c>
      <c r="B159" s="183">
        <v>16696</v>
      </c>
      <c r="C159" s="40" t="s">
        <v>213</v>
      </c>
      <c r="D159" s="105">
        <v>8376</v>
      </c>
      <c r="E159" s="23">
        <v>42096</v>
      </c>
      <c r="F159" s="106">
        <v>8376</v>
      </c>
      <c r="G159" s="25">
        <f t="shared" si="2"/>
        <v>0</v>
      </c>
      <c r="H159" s="41" t="s">
        <v>187</v>
      </c>
      <c r="J159" s="43"/>
      <c r="K159" s="43"/>
      <c r="P159" s="43"/>
    </row>
    <row r="160" spans="1:16" s="4" customFormat="1" x14ac:dyDescent="0.25">
      <c r="A160" s="20">
        <v>42096</v>
      </c>
      <c r="B160" s="183">
        <v>16697</v>
      </c>
      <c r="C160" s="40" t="s">
        <v>24</v>
      </c>
      <c r="D160" s="105">
        <v>255833.72</v>
      </c>
      <c r="E160" s="30">
        <v>42125</v>
      </c>
      <c r="F160" s="144">
        <v>255833.72</v>
      </c>
      <c r="G160" s="25">
        <f t="shared" si="2"/>
        <v>0</v>
      </c>
      <c r="H160" s="41" t="s">
        <v>9</v>
      </c>
      <c r="J160" s="43"/>
      <c r="K160" s="43"/>
      <c r="P160" s="43"/>
    </row>
    <row r="161" spans="1:16" s="4" customFormat="1" x14ac:dyDescent="0.25">
      <c r="A161" s="12">
        <v>42096</v>
      </c>
      <c r="B161" s="183">
        <v>16698</v>
      </c>
      <c r="C161" s="40" t="s">
        <v>239</v>
      </c>
      <c r="D161" s="105">
        <v>2947.9</v>
      </c>
      <c r="E161" s="23">
        <v>42096</v>
      </c>
      <c r="F161" s="106">
        <v>2947.9</v>
      </c>
      <c r="G161" s="25">
        <f t="shared" si="2"/>
        <v>0</v>
      </c>
      <c r="H161" s="41" t="s">
        <v>9</v>
      </c>
      <c r="J161" s="107"/>
      <c r="K161" s="43"/>
      <c r="P161" s="43"/>
    </row>
    <row r="162" spans="1:16" s="4" customFormat="1" x14ac:dyDescent="0.25">
      <c r="A162" s="20">
        <v>42096</v>
      </c>
      <c r="B162" s="183">
        <v>16699</v>
      </c>
      <c r="C162" s="40" t="s">
        <v>1020</v>
      </c>
      <c r="D162" s="105">
        <v>8217.6</v>
      </c>
      <c r="E162" s="23">
        <v>42096</v>
      </c>
      <c r="F162" s="106">
        <v>8217.6</v>
      </c>
      <c r="G162" s="25">
        <f t="shared" si="2"/>
        <v>0</v>
      </c>
      <c r="H162" s="41" t="s">
        <v>9</v>
      </c>
      <c r="J162" s="43"/>
      <c r="K162" s="43"/>
      <c r="P162" s="43"/>
    </row>
    <row r="163" spans="1:16" s="4" customFormat="1" x14ac:dyDescent="0.25">
      <c r="A163" s="12">
        <v>42096</v>
      </c>
      <c r="B163" s="183">
        <v>16700</v>
      </c>
      <c r="C163" s="40" t="s">
        <v>122</v>
      </c>
      <c r="D163" s="105">
        <v>22880</v>
      </c>
      <c r="E163" s="23">
        <v>42096</v>
      </c>
      <c r="F163" s="106">
        <v>22880</v>
      </c>
      <c r="G163" s="25">
        <f t="shared" si="2"/>
        <v>0</v>
      </c>
      <c r="H163" s="41" t="s">
        <v>9</v>
      </c>
      <c r="J163" s="43"/>
      <c r="K163" s="43"/>
      <c r="P163" s="43"/>
    </row>
    <row r="164" spans="1:16" s="4" customFormat="1" x14ac:dyDescent="0.25">
      <c r="A164" s="20">
        <v>42096</v>
      </c>
      <c r="B164" s="183">
        <v>16701</v>
      </c>
      <c r="C164" s="40" t="s">
        <v>1020</v>
      </c>
      <c r="D164" s="105">
        <v>5568</v>
      </c>
      <c r="E164" s="23">
        <v>42096</v>
      </c>
      <c r="F164" s="106">
        <v>5568</v>
      </c>
      <c r="G164" s="25">
        <f t="shared" si="2"/>
        <v>0</v>
      </c>
      <c r="H164" s="41" t="s">
        <v>9</v>
      </c>
      <c r="J164" s="43"/>
      <c r="K164" s="43"/>
      <c r="P164" s="43"/>
    </row>
    <row r="165" spans="1:16" s="4" customFormat="1" x14ac:dyDescent="0.25">
      <c r="A165" s="12">
        <v>42096</v>
      </c>
      <c r="B165" s="183">
        <v>16702</v>
      </c>
      <c r="C165" s="40" t="s">
        <v>829</v>
      </c>
      <c r="D165" s="105">
        <v>9840.4</v>
      </c>
      <c r="E165" s="23">
        <v>42096</v>
      </c>
      <c r="F165" s="106">
        <v>9840.4</v>
      </c>
      <c r="G165" s="25">
        <f t="shared" si="2"/>
        <v>0</v>
      </c>
      <c r="H165" s="41" t="s">
        <v>9</v>
      </c>
      <c r="J165" s="43"/>
      <c r="K165" s="43"/>
      <c r="P165" s="43"/>
    </row>
    <row r="166" spans="1:16" s="4" customFormat="1" x14ac:dyDescent="0.25">
      <c r="A166" s="20">
        <v>42096</v>
      </c>
      <c r="B166" s="183">
        <v>16703</v>
      </c>
      <c r="C166" s="40" t="s">
        <v>90</v>
      </c>
      <c r="D166" s="105">
        <v>915.35</v>
      </c>
      <c r="E166" s="23">
        <v>42096</v>
      </c>
      <c r="F166" s="106">
        <v>915.35</v>
      </c>
      <c r="G166" s="25">
        <f t="shared" si="2"/>
        <v>0</v>
      </c>
      <c r="H166" s="41" t="s">
        <v>9</v>
      </c>
      <c r="J166" s="43"/>
      <c r="K166" s="43"/>
      <c r="P166" s="43"/>
    </row>
    <row r="167" spans="1:16" s="4" customFormat="1" x14ac:dyDescent="0.25">
      <c r="A167" s="12">
        <v>42096</v>
      </c>
      <c r="B167" s="183">
        <v>16704</v>
      </c>
      <c r="C167" s="40" t="s">
        <v>213</v>
      </c>
      <c r="D167" s="105">
        <v>44115.5</v>
      </c>
      <c r="E167" s="30">
        <v>42153</v>
      </c>
      <c r="F167" s="144">
        <v>44115.5</v>
      </c>
      <c r="G167" s="25">
        <f t="shared" si="2"/>
        <v>0</v>
      </c>
      <c r="H167" s="41" t="s">
        <v>59</v>
      </c>
      <c r="J167" s="43"/>
      <c r="K167" s="43"/>
      <c r="P167" s="43"/>
    </row>
    <row r="168" spans="1:16" x14ac:dyDescent="0.25">
      <c r="A168" s="20">
        <v>42096</v>
      </c>
      <c r="B168" s="183">
        <v>16705</v>
      </c>
      <c r="C168" s="40" t="s">
        <v>234</v>
      </c>
      <c r="D168" s="105">
        <v>244.8</v>
      </c>
      <c r="E168" s="23">
        <v>42096</v>
      </c>
      <c r="F168" s="106">
        <v>244.8</v>
      </c>
      <c r="G168" s="25">
        <f t="shared" si="2"/>
        <v>0</v>
      </c>
      <c r="H168" s="41" t="s">
        <v>9</v>
      </c>
      <c r="I168" s="3"/>
      <c r="J168" s="42"/>
    </row>
    <row r="169" spans="1:16" x14ac:dyDescent="0.25">
      <c r="A169" s="12">
        <v>42096</v>
      </c>
      <c r="B169" s="183">
        <v>16706</v>
      </c>
      <c r="C169" s="40" t="s">
        <v>14</v>
      </c>
      <c r="D169" s="105">
        <v>148562.70000000001</v>
      </c>
      <c r="E169" s="23">
        <v>42117</v>
      </c>
      <c r="F169" s="106">
        <v>148562.70000000001</v>
      </c>
      <c r="G169" s="25">
        <f t="shared" si="2"/>
        <v>0</v>
      </c>
      <c r="H169" s="41" t="s">
        <v>1013</v>
      </c>
      <c r="I169" s="3"/>
      <c r="J169" s="42"/>
    </row>
    <row r="170" spans="1:16" x14ac:dyDescent="0.25">
      <c r="A170" s="20">
        <v>42096</v>
      </c>
      <c r="B170" s="183">
        <v>16707</v>
      </c>
      <c r="C170" s="40" t="s">
        <v>1026</v>
      </c>
      <c r="D170" s="105">
        <v>6751.8</v>
      </c>
      <c r="E170" s="23">
        <v>42098</v>
      </c>
      <c r="F170" s="106">
        <v>6751.8</v>
      </c>
      <c r="G170" s="25">
        <f t="shared" si="2"/>
        <v>0</v>
      </c>
      <c r="H170" s="41" t="s">
        <v>9</v>
      </c>
      <c r="I170" s="3"/>
      <c r="J170" s="42"/>
    </row>
    <row r="171" spans="1:16" x14ac:dyDescent="0.25">
      <c r="A171" s="12">
        <v>42096</v>
      </c>
      <c r="B171" s="183">
        <v>16708</v>
      </c>
      <c r="C171" s="40" t="s">
        <v>59</v>
      </c>
      <c r="D171" s="105">
        <v>200</v>
      </c>
      <c r="E171" s="23">
        <v>42098</v>
      </c>
      <c r="F171" s="106">
        <v>200</v>
      </c>
      <c r="G171" s="25">
        <f t="shared" si="2"/>
        <v>0</v>
      </c>
      <c r="H171" s="41" t="s">
        <v>9</v>
      </c>
      <c r="I171" s="3"/>
      <c r="J171" s="42"/>
    </row>
    <row r="172" spans="1:16" x14ac:dyDescent="0.25">
      <c r="A172" s="20">
        <v>42096</v>
      </c>
      <c r="B172" s="183">
        <v>16709</v>
      </c>
      <c r="C172" s="40" t="s">
        <v>617</v>
      </c>
      <c r="D172" s="105">
        <v>18493.2</v>
      </c>
      <c r="E172" s="30" t="s">
        <v>1027</v>
      </c>
      <c r="F172" s="106">
        <v>18493.2</v>
      </c>
      <c r="G172" s="25">
        <f t="shared" si="2"/>
        <v>0</v>
      </c>
      <c r="H172" s="41" t="s">
        <v>149</v>
      </c>
      <c r="I172" s="3"/>
      <c r="J172" s="42"/>
    </row>
    <row r="173" spans="1:16" x14ac:dyDescent="0.25">
      <c r="A173" s="12">
        <v>42096</v>
      </c>
      <c r="B173" s="183">
        <v>16710</v>
      </c>
      <c r="C173" s="40" t="s">
        <v>207</v>
      </c>
      <c r="D173" s="105">
        <v>39867.449999999997</v>
      </c>
      <c r="E173" s="23">
        <v>42102</v>
      </c>
      <c r="F173" s="106">
        <v>39867.449999999997</v>
      </c>
      <c r="G173" s="25">
        <f t="shared" si="2"/>
        <v>0</v>
      </c>
      <c r="H173" s="41" t="s">
        <v>149</v>
      </c>
      <c r="I173" s="3"/>
      <c r="J173" s="42"/>
    </row>
    <row r="174" spans="1:16" x14ac:dyDescent="0.25">
      <c r="A174" s="20">
        <v>42096</v>
      </c>
      <c r="B174" s="183">
        <v>16711</v>
      </c>
      <c r="C174" s="44" t="s">
        <v>218</v>
      </c>
      <c r="D174" s="108">
        <v>0</v>
      </c>
      <c r="E174" s="23"/>
      <c r="F174" s="106"/>
      <c r="G174" s="25">
        <f t="shared" si="2"/>
        <v>0</v>
      </c>
      <c r="H174" s="41" t="s">
        <v>13</v>
      </c>
      <c r="I174" s="3"/>
      <c r="J174" s="42"/>
    </row>
    <row r="175" spans="1:16" x14ac:dyDescent="0.25">
      <c r="A175" s="12">
        <v>42096</v>
      </c>
      <c r="B175" s="183">
        <v>16712</v>
      </c>
      <c r="C175" s="40" t="s">
        <v>733</v>
      </c>
      <c r="D175" s="105">
        <v>3756.8</v>
      </c>
      <c r="E175" s="23">
        <v>42099</v>
      </c>
      <c r="F175" s="106">
        <v>3756.8</v>
      </c>
      <c r="G175" s="25">
        <f t="shared" si="2"/>
        <v>0</v>
      </c>
      <c r="H175" s="41" t="s">
        <v>149</v>
      </c>
      <c r="I175" s="3"/>
      <c r="J175" s="42"/>
    </row>
    <row r="176" spans="1:16" x14ac:dyDescent="0.25">
      <c r="A176" s="20">
        <v>42096</v>
      </c>
      <c r="B176" s="183">
        <v>16713</v>
      </c>
      <c r="C176" s="40" t="s">
        <v>196</v>
      </c>
      <c r="D176" s="105">
        <v>16812</v>
      </c>
      <c r="E176" s="23">
        <v>42099</v>
      </c>
      <c r="F176" s="106">
        <v>16812</v>
      </c>
      <c r="G176" s="25">
        <f t="shared" si="2"/>
        <v>0</v>
      </c>
      <c r="H176" s="41" t="s">
        <v>149</v>
      </c>
      <c r="I176" s="3"/>
      <c r="J176" s="42"/>
    </row>
    <row r="177" spans="1:11" x14ac:dyDescent="0.25">
      <c r="A177" s="12">
        <v>42096</v>
      </c>
      <c r="B177" s="183">
        <v>16714</v>
      </c>
      <c r="C177" s="40" t="s">
        <v>203</v>
      </c>
      <c r="D177" s="105">
        <v>8484.7000000000007</v>
      </c>
      <c r="E177" s="23">
        <v>42099</v>
      </c>
      <c r="F177" s="106">
        <v>8484.7000000000007</v>
      </c>
      <c r="G177" s="25">
        <f t="shared" si="2"/>
        <v>0</v>
      </c>
      <c r="H177" s="41" t="s">
        <v>149</v>
      </c>
      <c r="I177" s="3"/>
      <c r="J177" s="42"/>
      <c r="K177" s="3"/>
    </row>
    <row r="178" spans="1:11" x14ac:dyDescent="0.25">
      <c r="A178" s="20">
        <v>42096</v>
      </c>
      <c r="B178" s="183">
        <v>16715</v>
      </c>
      <c r="C178" s="40" t="s">
        <v>732</v>
      </c>
      <c r="D178" s="105">
        <v>4579.2</v>
      </c>
      <c r="E178" s="23">
        <v>42099</v>
      </c>
      <c r="F178" s="106">
        <v>4579.2</v>
      </c>
      <c r="G178" s="25">
        <f t="shared" si="2"/>
        <v>0</v>
      </c>
      <c r="H178" s="41" t="s">
        <v>149</v>
      </c>
      <c r="I178" s="3"/>
      <c r="J178" s="42"/>
      <c r="K178" s="3"/>
    </row>
    <row r="179" spans="1:11" x14ac:dyDescent="0.25">
      <c r="A179" s="12">
        <v>42096</v>
      </c>
      <c r="B179" s="183">
        <v>16716</v>
      </c>
      <c r="C179" s="40" t="s">
        <v>200</v>
      </c>
      <c r="D179" s="105">
        <v>1469.6</v>
      </c>
      <c r="E179" s="23">
        <v>42099</v>
      </c>
      <c r="F179" s="106">
        <v>1469.6</v>
      </c>
      <c r="G179" s="25">
        <f t="shared" si="2"/>
        <v>0</v>
      </c>
      <c r="H179" s="41" t="s">
        <v>149</v>
      </c>
      <c r="I179" s="3"/>
      <c r="J179" s="42"/>
      <c r="K179" s="3"/>
    </row>
    <row r="180" spans="1:11" x14ac:dyDescent="0.25">
      <c r="A180" s="20">
        <v>42096</v>
      </c>
      <c r="B180" s="183">
        <v>16717</v>
      </c>
      <c r="C180" s="40" t="s">
        <v>195</v>
      </c>
      <c r="D180" s="105">
        <v>42868.6</v>
      </c>
      <c r="E180" s="30" t="s">
        <v>1028</v>
      </c>
      <c r="F180" s="106">
        <v>42868.6</v>
      </c>
      <c r="G180" s="25">
        <f t="shared" si="2"/>
        <v>0</v>
      </c>
      <c r="H180" s="41" t="s">
        <v>149</v>
      </c>
      <c r="I180" s="3"/>
      <c r="J180" s="42"/>
      <c r="K180" s="3"/>
    </row>
    <row r="181" spans="1:11" x14ac:dyDescent="0.25">
      <c r="A181" s="12">
        <v>42096</v>
      </c>
      <c r="B181" s="183">
        <v>16718</v>
      </c>
      <c r="C181" s="40" t="s">
        <v>18</v>
      </c>
      <c r="D181" s="105">
        <v>27307</v>
      </c>
      <c r="E181" s="23">
        <v>42101</v>
      </c>
      <c r="F181" s="106">
        <v>27307</v>
      </c>
      <c r="G181" s="25">
        <f t="shared" si="2"/>
        <v>0</v>
      </c>
      <c r="H181" s="41" t="s">
        <v>9</v>
      </c>
      <c r="I181" s="3"/>
      <c r="J181" s="42"/>
      <c r="K181" s="3"/>
    </row>
    <row r="182" spans="1:11" x14ac:dyDescent="0.25">
      <c r="A182" s="20">
        <v>42098</v>
      </c>
      <c r="B182" s="183">
        <v>16719</v>
      </c>
      <c r="C182" s="40" t="s">
        <v>121</v>
      </c>
      <c r="D182" s="105">
        <v>2016.9</v>
      </c>
      <c r="E182" s="23">
        <v>42098</v>
      </c>
      <c r="F182" s="106">
        <v>2016.9</v>
      </c>
      <c r="G182" s="25">
        <f t="shared" si="2"/>
        <v>0</v>
      </c>
      <c r="H182" s="41" t="s">
        <v>9</v>
      </c>
      <c r="I182" s="3"/>
      <c r="J182" s="42"/>
      <c r="K182" s="3"/>
    </row>
    <row r="183" spans="1:11" x14ac:dyDescent="0.25">
      <c r="A183" s="12">
        <v>42098</v>
      </c>
      <c r="B183" s="183">
        <v>16720</v>
      </c>
      <c r="C183" s="40" t="s">
        <v>151</v>
      </c>
      <c r="D183" s="105">
        <v>1122.4000000000001</v>
      </c>
      <c r="E183" s="23">
        <v>42098</v>
      </c>
      <c r="F183" s="106">
        <v>1122.4000000000001</v>
      </c>
      <c r="G183" s="25">
        <f t="shared" si="2"/>
        <v>0</v>
      </c>
      <c r="H183" s="41" t="s">
        <v>9</v>
      </c>
      <c r="I183" s="3"/>
      <c r="J183" s="42"/>
      <c r="K183" s="3"/>
    </row>
    <row r="184" spans="1:11" x14ac:dyDescent="0.25">
      <c r="A184" s="20">
        <v>42098</v>
      </c>
      <c r="B184" s="183">
        <v>16721</v>
      </c>
      <c r="C184" s="26" t="s">
        <v>218</v>
      </c>
      <c r="D184" s="108">
        <v>0</v>
      </c>
      <c r="E184" s="23"/>
      <c r="F184" s="106"/>
      <c r="G184" s="25">
        <f t="shared" si="2"/>
        <v>0</v>
      </c>
      <c r="H184" s="19" t="s">
        <v>13</v>
      </c>
      <c r="I184" s="3"/>
      <c r="J184" s="42"/>
      <c r="K184" s="3"/>
    </row>
    <row r="185" spans="1:11" x14ac:dyDescent="0.25">
      <c r="A185" s="12">
        <v>42098</v>
      </c>
      <c r="B185" s="183">
        <v>16722</v>
      </c>
      <c r="C185" s="40" t="s">
        <v>1029</v>
      </c>
      <c r="D185" s="105">
        <v>45721.599999999999</v>
      </c>
      <c r="E185" s="23">
        <v>42101</v>
      </c>
      <c r="F185" s="106">
        <v>45721.599999999999</v>
      </c>
      <c r="G185" s="25">
        <f t="shared" si="2"/>
        <v>0</v>
      </c>
      <c r="H185" s="41" t="s">
        <v>9</v>
      </c>
      <c r="I185" s="3"/>
      <c r="J185" s="42"/>
      <c r="K185" s="3"/>
    </row>
    <row r="186" spans="1:11" x14ac:dyDescent="0.25">
      <c r="A186" s="20">
        <v>42098</v>
      </c>
      <c r="B186" s="183">
        <v>16723</v>
      </c>
      <c r="C186" s="40" t="s">
        <v>720</v>
      </c>
      <c r="D186" s="105">
        <v>8743.5</v>
      </c>
      <c r="E186" s="23">
        <v>42098</v>
      </c>
      <c r="F186" s="106">
        <v>8743.5</v>
      </c>
      <c r="G186" s="25">
        <f t="shared" si="2"/>
        <v>0</v>
      </c>
      <c r="H186" s="41" t="s">
        <v>9</v>
      </c>
      <c r="I186" s="3"/>
      <c r="J186" s="42"/>
      <c r="K186" s="3"/>
    </row>
    <row r="187" spans="1:11" x14ac:dyDescent="0.25">
      <c r="A187" s="12">
        <v>42098</v>
      </c>
      <c r="B187" s="183">
        <v>16724</v>
      </c>
      <c r="C187" s="40" t="s">
        <v>18</v>
      </c>
      <c r="D187" s="105">
        <v>2153.5</v>
      </c>
      <c r="E187" s="23">
        <v>42098</v>
      </c>
      <c r="F187" s="106">
        <v>2153.5</v>
      </c>
      <c r="G187" s="25">
        <f t="shared" si="2"/>
        <v>0</v>
      </c>
      <c r="H187" s="41" t="s">
        <v>9</v>
      </c>
      <c r="I187" s="3"/>
      <c r="J187" s="42"/>
      <c r="K187" s="3"/>
    </row>
    <row r="188" spans="1:11" x14ac:dyDescent="0.25">
      <c r="A188" s="20">
        <v>42098</v>
      </c>
      <c r="B188" s="183">
        <v>16725</v>
      </c>
      <c r="C188" s="40" t="s">
        <v>21</v>
      </c>
      <c r="D188" s="105">
        <v>18015</v>
      </c>
      <c r="E188" s="23">
        <v>42039</v>
      </c>
      <c r="F188" s="106">
        <v>18015</v>
      </c>
      <c r="G188" s="25">
        <f t="shared" si="2"/>
        <v>0</v>
      </c>
      <c r="H188" s="41" t="s">
        <v>9</v>
      </c>
      <c r="I188" s="3"/>
      <c r="J188" s="42"/>
      <c r="K188" s="3"/>
    </row>
    <row r="189" spans="1:11" x14ac:dyDescent="0.25">
      <c r="A189" s="12">
        <v>42098</v>
      </c>
      <c r="B189" s="183">
        <v>16726</v>
      </c>
      <c r="C189" s="40" t="s">
        <v>658</v>
      </c>
      <c r="D189" s="105">
        <v>9300.2999999999993</v>
      </c>
      <c r="E189" s="23">
        <v>42098</v>
      </c>
      <c r="F189" s="106">
        <v>9300.2999999999993</v>
      </c>
      <c r="G189" s="25">
        <f t="shared" si="2"/>
        <v>0</v>
      </c>
      <c r="H189" s="41" t="s">
        <v>9</v>
      </c>
      <c r="I189" s="3"/>
      <c r="J189" s="42"/>
      <c r="K189" s="3"/>
    </row>
    <row r="190" spans="1:11" x14ac:dyDescent="0.25">
      <c r="A190" s="20">
        <v>42098</v>
      </c>
      <c r="B190" s="183">
        <v>16727</v>
      </c>
      <c r="C190" s="40" t="s">
        <v>269</v>
      </c>
      <c r="D190" s="105">
        <v>1708.6</v>
      </c>
      <c r="E190" s="23">
        <v>42098</v>
      </c>
      <c r="F190" s="106">
        <v>1708.6</v>
      </c>
      <c r="G190" s="25">
        <f t="shared" si="2"/>
        <v>0</v>
      </c>
      <c r="H190" s="41" t="s">
        <v>9</v>
      </c>
      <c r="I190" s="3"/>
      <c r="J190" s="42"/>
      <c r="K190" s="3"/>
    </row>
    <row r="191" spans="1:11" x14ac:dyDescent="0.25">
      <c r="A191" s="12">
        <v>42098</v>
      </c>
      <c r="B191" s="183">
        <v>16728</v>
      </c>
      <c r="C191" s="40" t="s">
        <v>863</v>
      </c>
      <c r="D191" s="105">
        <v>9475.7999999999993</v>
      </c>
      <c r="E191" s="23">
        <v>42098</v>
      </c>
      <c r="F191" s="106">
        <v>9475.7999999999993</v>
      </c>
      <c r="G191" s="25">
        <f t="shared" si="2"/>
        <v>0</v>
      </c>
      <c r="H191" s="41" t="s">
        <v>9</v>
      </c>
      <c r="I191" s="3"/>
      <c r="J191" s="42"/>
      <c r="K191" s="3"/>
    </row>
    <row r="192" spans="1:11" x14ac:dyDescent="0.25">
      <c r="A192" s="20">
        <v>42098</v>
      </c>
      <c r="B192" s="183">
        <v>16729</v>
      </c>
      <c r="C192" s="40" t="s">
        <v>116</v>
      </c>
      <c r="D192" s="105">
        <v>4081.2</v>
      </c>
      <c r="E192" s="23">
        <v>42098</v>
      </c>
      <c r="F192" s="106">
        <v>4081.2</v>
      </c>
      <c r="G192" s="25">
        <f t="shared" si="2"/>
        <v>0</v>
      </c>
      <c r="H192" s="41" t="s">
        <v>59</v>
      </c>
      <c r="I192" s="3"/>
      <c r="J192" s="42"/>
      <c r="K192" s="3"/>
    </row>
    <row r="193" spans="1:11" x14ac:dyDescent="0.25">
      <c r="A193" s="12">
        <v>42098</v>
      </c>
      <c r="B193" s="183">
        <v>16730</v>
      </c>
      <c r="C193" s="40" t="s">
        <v>133</v>
      </c>
      <c r="D193" s="105">
        <v>14565</v>
      </c>
      <c r="E193" s="23">
        <v>42098</v>
      </c>
      <c r="F193" s="106">
        <v>14565</v>
      </c>
      <c r="G193" s="25">
        <f t="shared" si="2"/>
        <v>0</v>
      </c>
      <c r="H193" s="41" t="s">
        <v>9</v>
      </c>
      <c r="I193" s="3"/>
      <c r="J193" s="42"/>
      <c r="K193" s="3"/>
    </row>
    <row r="194" spans="1:11" x14ac:dyDescent="0.25">
      <c r="A194" s="20">
        <v>42098</v>
      </c>
      <c r="B194" s="183">
        <v>16731</v>
      </c>
      <c r="C194" s="40" t="s">
        <v>91</v>
      </c>
      <c r="D194" s="105">
        <v>33287.339999999997</v>
      </c>
      <c r="E194" s="23">
        <v>42098</v>
      </c>
      <c r="F194" s="106">
        <v>33287.339999999997</v>
      </c>
      <c r="G194" s="25">
        <f t="shared" si="2"/>
        <v>0</v>
      </c>
      <c r="H194" s="41" t="s">
        <v>59</v>
      </c>
      <c r="I194" s="3"/>
      <c r="J194" s="42"/>
      <c r="K194" s="3"/>
    </row>
    <row r="195" spans="1:11" x14ac:dyDescent="0.25">
      <c r="A195" s="12">
        <v>42098</v>
      </c>
      <c r="B195" s="183">
        <v>16732</v>
      </c>
      <c r="C195" s="40" t="s">
        <v>16</v>
      </c>
      <c r="D195" s="105">
        <v>4410</v>
      </c>
      <c r="E195" s="23">
        <v>42098</v>
      </c>
      <c r="F195" s="106">
        <v>4410</v>
      </c>
      <c r="G195" s="25">
        <f t="shared" ref="G195:G258" si="3">D195-F195</f>
        <v>0</v>
      </c>
      <c r="H195" s="41" t="s">
        <v>59</v>
      </c>
      <c r="I195" s="3"/>
      <c r="J195" s="42"/>
      <c r="K195" s="3"/>
    </row>
    <row r="196" spans="1:11" x14ac:dyDescent="0.25">
      <c r="A196" s="20">
        <v>42098</v>
      </c>
      <c r="B196" s="183">
        <v>16733</v>
      </c>
      <c r="C196" s="40" t="s">
        <v>112</v>
      </c>
      <c r="D196" s="105">
        <v>7778.6</v>
      </c>
      <c r="E196" s="23" t="s">
        <v>1030</v>
      </c>
      <c r="F196" s="106">
        <f>4500+3000+278.6</f>
        <v>7778.6</v>
      </c>
      <c r="G196" s="25">
        <f t="shared" si="3"/>
        <v>0</v>
      </c>
      <c r="H196" s="41" t="s">
        <v>9</v>
      </c>
      <c r="I196" s="3"/>
      <c r="J196" s="42"/>
      <c r="K196" s="3"/>
    </row>
    <row r="197" spans="1:11" x14ac:dyDescent="0.25">
      <c r="A197" s="12">
        <v>42098</v>
      </c>
      <c r="B197" s="183">
        <v>16734</v>
      </c>
      <c r="C197" s="40" t="s">
        <v>864</v>
      </c>
      <c r="D197" s="105">
        <v>3557.4</v>
      </c>
      <c r="E197" s="23">
        <v>42098</v>
      </c>
      <c r="F197" s="106">
        <v>3557.4</v>
      </c>
      <c r="G197" s="25">
        <f t="shared" si="3"/>
        <v>0</v>
      </c>
      <c r="H197" s="41" t="s">
        <v>9</v>
      </c>
      <c r="I197" s="3"/>
      <c r="J197" s="42"/>
      <c r="K197" s="3"/>
    </row>
    <row r="198" spans="1:11" x14ac:dyDescent="0.25">
      <c r="A198" s="20">
        <v>42098</v>
      </c>
      <c r="B198" s="183">
        <v>16735</v>
      </c>
      <c r="C198" s="40" t="s">
        <v>14</v>
      </c>
      <c r="D198" s="105">
        <v>13369.6</v>
      </c>
      <c r="E198" s="23">
        <v>42104</v>
      </c>
      <c r="F198" s="106">
        <v>13369.6</v>
      </c>
      <c r="G198" s="25">
        <f t="shared" si="3"/>
        <v>0</v>
      </c>
      <c r="H198" s="41" t="s">
        <v>9</v>
      </c>
      <c r="I198" s="3"/>
      <c r="J198" s="42"/>
      <c r="K198" s="3"/>
    </row>
    <row r="199" spans="1:11" x14ac:dyDescent="0.25">
      <c r="A199" s="12">
        <v>42098</v>
      </c>
      <c r="B199" s="183">
        <v>16736</v>
      </c>
      <c r="C199" s="40" t="s">
        <v>1031</v>
      </c>
      <c r="D199" s="105">
        <v>6686</v>
      </c>
      <c r="E199" s="23">
        <v>42098</v>
      </c>
      <c r="F199" s="106">
        <v>6686</v>
      </c>
      <c r="G199" s="25">
        <f t="shared" si="3"/>
        <v>0</v>
      </c>
      <c r="H199" s="41" t="s">
        <v>9</v>
      </c>
      <c r="I199" s="3"/>
      <c r="J199" s="42"/>
      <c r="K199" s="3"/>
    </row>
    <row r="200" spans="1:11" x14ac:dyDescent="0.25">
      <c r="A200" s="20">
        <v>42098</v>
      </c>
      <c r="B200" s="183">
        <v>16737</v>
      </c>
      <c r="C200" s="40" t="s">
        <v>14</v>
      </c>
      <c r="D200" s="105">
        <v>7636.8</v>
      </c>
      <c r="E200" s="23">
        <v>42104</v>
      </c>
      <c r="F200" s="106">
        <v>7636.8</v>
      </c>
      <c r="G200" s="25">
        <f t="shared" si="3"/>
        <v>0</v>
      </c>
      <c r="H200" s="41" t="s">
        <v>9</v>
      </c>
      <c r="I200" s="3"/>
      <c r="J200" s="42"/>
      <c r="K200" s="3"/>
    </row>
    <row r="201" spans="1:11" x14ac:dyDescent="0.25">
      <c r="A201" s="12">
        <v>42098</v>
      </c>
      <c r="B201" s="183">
        <v>16738</v>
      </c>
      <c r="C201" s="40" t="s">
        <v>255</v>
      </c>
      <c r="D201" s="105">
        <v>5468.3</v>
      </c>
      <c r="E201" s="23">
        <v>42098</v>
      </c>
      <c r="F201" s="106">
        <v>5468.3</v>
      </c>
      <c r="G201" s="25">
        <f t="shared" si="3"/>
        <v>0</v>
      </c>
      <c r="H201" s="41" t="s">
        <v>9</v>
      </c>
      <c r="I201" s="3"/>
      <c r="J201" s="42"/>
      <c r="K201" s="3"/>
    </row>
    <row r="202" spans="1:11" x14ac:dyDescent="0.25">
      <c r="A202" s="20">
        <v>42098</v>
      </c>
      <c r="B202" s="183">
        <v>16739</v>
      </c>
      <c r="C202" s="40" t="s">
        <v>291</v>
      </c>
      <c r="D202" s="105">
        <v>13182.08</v>
      </c>
      <c r="E202" s="23">
        <v>42098</v>
      </c>
      <c r="F202" s="106">
        <v>13182.08</v>
      </c>
      <c r="G202" s="25">
        <f t="shared" si="3"/>
        <v>0</v>
      </c>
      <c r="H202" s="41" t="s">
        <v>9</v>
      </c>
      <c r="I202" s="3"/>
      <c r="J202" s="42"/>
      <c r="K202" s="3"/>
    </row>
    <row r="203" spans="1:11" x14ac:dyDescent="0.25">
      <c r="A203" s="12">
        <v>42098</v>
      </c>
      <c r="B203" s="183">
        <v>16740</v>
      </c>
      <c r="C203" s="40" t="s">
        <v>239</v>
      </c>
      <c r="D203" s="105">
        <v>4383.6000000000004</v>
      </c>
      <c r="E203" s="23">
        <v>42098</v>
      </c>
      <c r="F203" s="106">
        <v>4383.6000000000004</v>
      </c>
      <c r="G203" s="25">
        <f t="shared" si="3"/>
        <v>0</v>
      </c>
      <c r="H203" s="41" t="s">
        <v>9</v>
      </c>
      <c r="I203" s="3"/>
      <c r="J203" s="42"/>
      <c r="K203" s="3"/>
    </row>
    <row r="204" spans="1:11" x14ac:dyDescent="0.25">
      <c r="A204" s="20">
        <v>42098</v>
      </c>
      <c r="B204" s="183">
        <v>16741</v>
      </c>
      <c r="C204" s="40" t="s">
        <v>165</v>
      </c>
      <c r="D204" s="105">
        <v>5624.2</v>
      </c>
      <c r="E204" s="23">
        <v>42098</v>
      </c>
      <c r="F204" s="106">
        <v>5624.2</v>
      </c>
      <c r="G204" s="25">
        <f t="shared" si="3"/>
        <v>0</v>
      </c>
      <c r="H204" s="41" t="s">
        <v>9</v>
      </c>
      <c r="I204" s="3"/>
      <c r="J204" s="42"/>
      <c r="K204" s="3"/>
    </row>
    <row r="205" spans="1:11" x14ac:dyDescent="0.25">
      <c r="A205" s="12">
        <v>42098</v>
      </c>
      <c r="B205" s="183">
        <v>16742</v>
      </c>
      <c r="C205" s="40" t="s">
        <v>604</v>
      </c>
      <c r="D205" s="105">
        <v>6292.8</v>
      </c>
      <c r="E205" s="23">
        <v>42098</v>
      </c>
      <c r="F205" s="106">
        <v>6292.8</v>
      </c>
      <c r="G205" s="25">
        <f t="shared" si="3"/>
        <v>0</v>
      </c>
      <c r="H205" s="41" t="s">
        <v>9</v>
      </c>
      <c r="I205" s="3"/>
      <c r="J205" s="42"/>
      <c r="K205" s="3"/>
    </row>
    <row r="206" spans="1:11" x14ac:dyDescent="0.25">
      <c r="A206" s="20">
        <v>42098</v>
      </c>
      <c r="B206" s="183">
        <v>16743</v>
      </c>
      <c r="C206" s="40" t="s">
        <v>1026</v>
      </c>
      <c r="D206" s="105">
        <v>5214.2</v>
      </c>
      <c r="E206" s="23">
        <v>42098</v>
      </c>
      <c r="F206" s="106">
        <v>5214.2</v>
      </c>
      <c r="G206" s="31">
        <f t="shared" si="3"/>
        <v>0</v>
      </c>
      <c r="H206" s="41" t="s">
        <v>62</v>
      </c>
      <c r="I206" s="3"/>
      <c r="J206" s="42"/>
      <c r="K206" s="3"/>
    </row>
    <row r="207" spans="1:11" x14ac:dyDescent="0.25">
      <c r="A207" s="12">
        <v>42098</v>
      </c>
      <c r="B207" s="183">
        <v>16744</v>
      </c>
      <c r="C207" s="40" t="s">
        <v>56</v>
      </c>
      <c r="D207" s="105">
        <v>5264</v>
      </c>
      <c r="E207" s="23">
        <v>42098</v>
      </c>
      <c r="F207" s="106">
        <v>5264</v>
      </c>
      <c r="G207" s="31">
        <f t="shared" si="3"/>
        <v>0</v>
      </c>
      <c r="H207" s="41" t="s">
        <v>9</v>
      </c>
      <c r="I207" s="3"/>
      <c r="J207" s="42"/>
      <c r="K207" s="3"/>
    </row>
    <row r="208" spans="1:11" x14ac:dyDescent="0.25">
      <c r="A208" s="20">
        <v>42098</v>
      </c>
      <c r="B208" s="183">
        <v>16745</v>
      </c>
      <c r="C208" s="40" t="s">
        <v>854</v>
      </c>
      <c r="D208" s="105">
        <v>3976.5</v>
      </c>
      <c r="E208" s="23">
        <v>42098</v>
      </c>
      <c r="F208" s="106">
        <v>3976.5</v>
      </c>
      <c r="G208" s="31">
        <f t="shared" si="3"/>
        <v>0</v>
      </c>
      <c r="H208" s="41" t="s">
        <v>9</v>
      </c>
      <c r="I208" s="3"/>
      <c r="J208" s="42"/>
      <c r="K208" s="3"/>
    </row>
    <row r="209" spans="1:11" x14ac:dyDescent="0.25">
      <c r="A209" s="12">
        <v>42098</v>
      </c>
      <c r="B209" s="183">
        <v>16746</v>
      </c>
      <c r="C209" s="40" t="s">
        <v>55</v>
      </c>
      <c r="D209" s="105">
        <v>20537</v>
      </c>
      <c r="E209" s="23">
        <v>42098</v>
      </c>
      <c r="F209" s="106">
        <v>20537</v>
      </c>
      <c r="G209" s="31">
        <f t="shared" si="3"/>
        <v>0</v>
      </c>
      <c r="H209" s="41" t="s">
        <v>773</v>
      </c>
      <c r="I209" s="3"/>
      <c r="J209" s="42"/>
      <c r="K209" s="3"/>
    </row>
    <row r="210" spans="1:11" x14ac:dyDescent="0.25">
      <c r="A210" s="20">
        <v>42098</v>
      </c>
      <c r="B210" s="183">
        <v>16747</v>
      </c>
      <c r="C210" s="40" t="s">
        <v>35</v>
      </c>
      <c r="D210" s="105">
        <v>20336.8</v>
      </c>
      <c r="E210" s="23">
        <v>42098</v>
      </c>
      <c r="F210" s="106">
        <v>20336.8</v>
      </c>
      <c r="G210" s="31">
        <f t="shared" si="3"/>
        <v>0</v>
      </c>
      <c r="H210" s="41" t="s">
        <v>773</v>
      </c>
      <c r="I210" s="3"/>
      <c r="J210" s="42"/>
      <c r="K210" s="3"/>
    </row>
    <row r="211" spans="1:11" x14ac:dyDescent="0.25">
      <c r="A211" s="12">
        <v>42098</v>
      </c>
      <c r="B211" s="183">
        <v>16748</v>
      </c>
      <c r="C211" s="40" t="s">
        <v>571</v>
      </c>
      <c r="D211" s="105">
        <v>21202.400000000001</v>
      </c>
      <c r="E211" s="23">
        <v>42098</v>
      </c>
      <c r="F211" s="106">
        <v>21202.400000000001</v>
      </c>
      <c r="G211" s="31">
        <f t="shared" si="3"/>
        <v>0</v>
      </c>
      <c r="H211" s="41" t="s">
        <v>773</v>
      </c>
      <c r="I211" s="3"/>
      <c r="J211" s="42"/>
      <c r="K211" s="3"/>
    </row>
    <row r="212" spans="1:11" x14ac:dyDescent="0.25">
      <c r="A212" s="20">
        <v>42098</v>
      </c>
      <c r="B212" s="183">
        <v>16749</v>
      </c>
      <c r="C212" s="40" t="s">
        <v>16</v>
      </c>
      <c r="D212" s="105">
        <v>5088</v>
      </c>
      <c r="E212" s="23">
        <v>42098</v>
      </c>
      <c r="F212" s="106">
        <v>5088</v>
      </c>
      <c r="G212" s="31">
        <f t="shared" si="3"/>
        <v>0</v>
      </c>
      <c r="H212" s="41" t="s">
        <v>62</v>
      </c>
      <c r="I212" s="3"/>
      <c r="J212" s="42"/>
      <c r="K212" s="3"/>
    </row>
    <row r="213" spans="1:11" x14ac:dyDescent="0.25">
      <c r="A213" s="12">
        <v>42098</v>
      </c>
      <c r="B213" s="183">
        <v>16750</v>
      </c>
      <c r="C213" s="40" t="s">
        <v>103</v>
      </c>
      <c r="D213" s="105">
        <v>48583.4</v>
      </c>
      <c r="E213" s="23">
        <v>42102</v>
      </c>
      <c r="F213" s="106">
        <v>48583.4</v>
      </c>
      <c r="G213" s="31">
        <f t="shared" si="3"/>
        <v>0</v>
      </c>
      <c r="H213" s="41" t="s">
        <v>773</v>
      </c>
      <c r="I213" s="3"/>
      <c r="J213" s="42"/>
      <c r="K213" s="3"/>
    </row>
    <row r="214" spans="1:11" x14ac:dyDescent="0.25">
      <c r="A214" s="20">
        <v>42098</v>
      </c>
      <c r="B214" s="183">
        <v>16751</v>
      </c>
      <c r="C214" s="40" t="s">
        <v>114</v>
      </c>
      <c r="D214" s="105">
        <v>4847.2</v>
      </c>
      <c r="E214" s="23">
        <v>42098</v>
      </c>
      <c r="F214" s="106">
        <v>4847.2</v>
      </c>
      <c r="G214" s="31">
        <f t="shared" si="3"/>
        <v>0</v>
      </c>
      <c r="H214" s="41" t="s">
        <v>9</v>
      </c>
      <c r="I214" s="3"/>
      <c r="J214" s="42"/>
      <c r="K214" s="3"/>
    </row>
    <row r="215" spans="1:11" x14ac:dyDescent="0.25">
      <c r="A215" s="12">
        <v>42098</v>
      </c>
      <c r="B215" s="183">
        <v>16752</v>
      </c>
      <c r="C215" s="40" t="s">
        <v>333</v>
      </c>
      <c r="D215" s="105">
        <v>6615.4</v>
      </c>
      <c r="E215" s="23">
        <v>42098</v>
      </c>
      <c r="F215" s="106">
        <v>6615.4</v>
      </c>
      <c r="G215" s="31">
        <f t="shared" si="3"/>
        <v>0</v>
      </c>
      <c r="H215" s="41" t="s">
        <v>41</v>
      </c>
      <c r="I215" s="3"/>
      <c r="J215" s="42"/>
      <c r="K215" s="3"/>
    </row>
    <row r="216" spans="1:11" x14ac:dyDescent="0.25">
      <c r="A216" s="20">
        <v>42098</v>
      </c>
      <c r="B216" s="183">
        <v>16753</v>
      </c>
      <c r="C216" s="40" t="s">
        <v>30</v>
      </c>
      <c r="D216" s="105">
        <v>2181.6</v>
      </c>
      <c r="E216" s="23">
        <v>42098</v>
      </c>
      <c r="F216" s="106">
        <v>2181.6</v>
      </c>
      <c r="G216" s="31">
        <f t="shared" si="3"/>
        <v>0</v>
      </c>
      <c r="H216" s="41" t="s">
        <v>9</v>
      </c>
      <c r="I216" s="3"/>
      <c r="J216" s="42"/>
      <c r="K216" s="3"/>
    </row>
    <row r="217" spans="1:11" x14ac:dyDescent="0.25">
      <c r="A217" s="12">
        <v>42098</v>
      </c>
      <c r="B217" s="183">
        <v>16754</v>
      </c>
      <c r="C217" s="40" t="s">
        <v>33</v>
      </c>
      <c r="D217" s="105">
        <v>8438</v>
      </c>
      <c r="E217" s="23">
        <v>42098</v>
      </c>
      <c r="F217" s="106">
        <v>8438</v>
      </c>
      <c r="G217" s="31">
        <f t="shared" si="3"/>
        <v>0</v>
      </c>
      <c r="H217" s="41" t="s">
        <v>9</v>
      </c>
      <c r="I217" s="3"/>
      <c r="J217" s="42"/>
      <c r="K217" s="3"/>
    </row>
    <row r="218" spans="1:11" x14ac:dyDescent="0.25">
      <c r="A218" s="20">
        <v>42098</v>
      </c>
      <c r="B218" s="183">
        <v>16755</v>
      </c>
      <c r="C218" s="40" t="s">
        <v>256</v>
      </c>
      <c r="D218" s="105">
        <v>7632</v>
      </c>
      <c r="E218" s="23">
        <v>42098</v>
      </c>
      <c r="F218" s="106">
        <v>7632</v>
      </c>
      <c r="G218" s="31">
        <f t="shared" si="3"/>
        <v>0</v>
      </c>
      <c r="H218" s="41" t="s">
        <v>773</v>
      </c>
      <c r="I218" s="3"/>
      <c r="J218" s="42"/>
      <c r="K218" s="3"/>
    </row>
    <row r="219" spans="1:11" x14ac:dyDescent="0.25">
      <c r="A219" s="12">
        <v>42098</v>
      </c>
      <c r="B219" s="183">
        <v>16756</v>
      </c>
      <c r="C219" s="40" t="s">
        <v>56</v>
      </c>
      <c r="D219" s="105">
        <v>5201</v>
      </c>
      <c r="E219" s="23">
        <v>42098</v>
      </c>
      <c r="F219" s="106">
        <v>5201</v>
      </c>
      <c r="G219" s="31">
        <f t="shared" si="3"/>
        <v>0</v>
      </c>
      <c r="H219" s="41" t="s">
        <v>773</v>
      </c>
      <c r="I219" s="3"/>
      <c r="J219" s="42"/>
      <c r="K219" s="3"/>
    </row>
    <row r="220" spans="1:11" x14ac:dyDescent="0.25">
      <c r="A220" s="20">
        <v>42098</v>
      </c>
      <c r="B220" s="183">
        <v>16757</v>
      </c>
      <c r="C220" s="40" t="s">
        <v>256</v>
      </c>
      <c r="D220" s="105">
        <v>328</v>
      </c>
      <c r="E220" s="23">
        <v>42098</v>
      </c>
      <c r="F220" s="106">
        <v>328</v>
      </c>
      <c r="G220" s="31">
        <f t="shared" si="3"/>
        <v>0</v>
      </c>
      <c r="H220" s="41" t="s">
        <v>773</v>
      </c>
      <c r="I220" s="3"/>
      <c r="J220" s="42"/>
      <c r="K220" s="3"/>
    </row>
    <row r="221" spans="1:11" x14ac:dyDescent="0.25">
      <c r="A221" s="12">
        <v>42098</v>
      </c>
      <c r="B221" s="183">
        <v>16758</v>
      </c>
      <c r="C221" s="40" t="s">
        <v>20</v>
      </c>
      <c r="D221" s="105">
        <v>15324.6</v>
      </c>
      <c r="E221" s="23">
        <v>42098</v>
      </c>
      <c r="F221" s="106">
        <v>15324.6</v>
      </c>
      <c r="G221" s="31">
        <f t="shared" si="3"/>
        <v>0</v>
      </c>
      <c r="H221" s="41" t="s">
        <v>94</v>
      </c>
      <c r="I221" s="3"/>
      <c r="J221" s="42"/>
      <c r="K221" s="3"/>
    </row>
    <row r="222" spans="1:11" x14ac:dyDescent="0.25">
      <c r="A222" s="20">
        <v>42098</v>
      </c>
      <c r="B222" s="183">
        <v>16759</v>
      </c>
      <c r="C222" s="40" t="s">
        <v>590</v>
      </c>
      <c r="D222" s="105">
        <v>9081.5499999999993</v>
      </c>
      <c r="E222" s="23">
        <v>42098</v>
      </c>
      <c r="F222" s="106">
        <v>9081.5499999999993</v>
      </c>
      <c r="G222" s="31">
        <f t="shared" si="3"/>
        <v>0</v>
      </c>
      <c r="H222" s="41" t="s">
        <v>94</v>
      </c>
      <c r="I222" s="3"/>
      <c r="J222" s="42"/>
      <c r="K222" s="3"/>
    </row>
    <row r="223" spans="1:11" x14ac:dyDescent="0.25">
      <c r="A223" s="12">
        <v>42098</v>
      </c>
      <c r="B223" s="183">
        <v>16760</v>
      </c>
      <c r="C223" s="40" t="s">
        <v>590</v>
      </c>
      <c r="D223" s="105">
        <v>11424.15</v>
      </c>
      <c r="E223" s="23">
        <v>42098</v>
      </c>
      <c r="F223" s="106">
        <v>11424.15</v>
      </c>
      <c r="G223" s="31">
        <f t="shared" si="3"/>
        <v>0</v>
      </c>
      <c r="H223" s="41" t="s">
        <v>94</v>
      </c>
      <c r="I223" s="3"/>
      <c r="J223" s="42"/>
      <c r="K223" s="3"/>
    </row>
    <row r="224" spans="1:11" x14ac:dyDescent="0.25">
      <c r="A224" s="20">
        <v>42098</v>
      </c>
      <c r="B224" s="183">
        <v>16761</v>
      </c>
      <c r="C224" s="113" t="s">
        <v>1032</v>
      </c>
      <c r="D224" s="105">
        <v>20396.2</v>
      </c>
      <c r="E224" s="23">
        <v>42098</v>
      </c>
      <c r="F224" s="106">
        <v>20396.2</v>
      </c>
      <c r="G224" s="31">
        <f t="shared" si="3"/>
        <v>0</v>
      </c>
      <c r="H224" s="41" t="s">
        <v>17</v>
      </c>
      <c r="I224" s="3"/>
      <c r="J224" s="42"/>
      <c r="K224" s="3"/>
    </row>
    <row r="225" spans="1:11" x14ac:dyDescent="0.25">
      <c r="A225" s="12">
        <v>42098</v>
      </c>
      <c r="B225" s="183">
        <v>16762</v>
      </c>
      <c r="C225" s="40" t="s">
        <v>296</v>
      </c>
      <c r="D225" s="105">
        <v>1399.1</v>
      </c>
      <c r="E225" s="23">
        <v>42098</v>
      </c>
      <c r="F225" s="106">
        <v>1399.1</v>
      </c>
      <c r="G225" s="31">
        <f t="shared" si="3"/>
        <v>0</v>
      </c>
      <c r="H225" s="41" t="s">
        <v>9</v>
      </c>
      <c r="I225" s="3"/>
      <c r="J225" s="42"/>
      <c r="K225" s="3"/>
    </row>
    <row r="226" spans="1:11" x14ac:dyDescent="0.25">
      <c r="A226" s="20">
        <v>42098</v>
      </c>
      <c r="B226" s="183">
        <v>16763</v>
      </c>
      <c r="C226" s="40" t="s">
        <v>422</v>
      </c>
      <c r="D226" s="105">
        <v>495.6</v>
      </c>
      <c r="E226" s="23">
        <v>42098</v>
      </c>
      <c r="F226" s="106">
        <v>495.6</v>
      </c>
      <c r="G226" s="31">
        <f t="shared" si="3"/>
        <v>0</v>
      </c>
      <c r="H226" s="41" t="s">
        <v>9</v>
      </c>
      <c r="K226" s="3"/>
    </row>
    <row r="227" spans="1:11" x14ac:dyDescent="0.25">
      <c r="A227" s="12">
        <v>42098</v>
      </c>
      <c r="B227" s="183">
        <v>16764</v>
      </c>
      <c r="C227" s="40" t="s">
        <v>100</v>
      </c>
      <c r="D227" s="105">
        <v>6459.2</v>
      </c>
      <c r="E227" s="23" t="s">
        <v>1033</v>
      </c>
      <c r="F227" s="106">
        <f>4500+1959.2</f>
        <v>6459.2</v>
      </c>
      <c r="G227" s="31">
        <f t="shared" si="3"/>
        <v>0</v>
      </c>
      <c r="H227" s="41" t="s">
        <v>9</v>
      </c>
      <c r="K227" s="3"/>
    </row>
    <row r="228" spans="1:11" x14ac:dyDescent="0.25">
      <c r="A228" s="20">
        <v>42098</v>
      </c>
      <c r="B228" s="183">
        <v>16765</v>
      </c>
      <c r="C228" s="40" t="s">
        <v>158</v>
      </c>
      <c r="D228" s="105">
        <v>3836</v>
      </c>
      <c r="E228" s="23">
        <v>42098</v>
      </c>
      <c r="F228" s="106">
        <v>3836</v>
      </c>
      <c r="G228" s="31">
        <f t="shared" si="3"/>
        <v>0</v>
      </c>
      <c r="H228" s="41" t="s">
        <v>9</v>
      </c>
      <c r="K228" s="3"/>
    </row>
    <row r="229" spans="1:11" x14ac:dyDescent="0.25">
      <c r="A229" s="12">
        <v>42098</v>
      </c>
      <c r="B229" s="183">
        <v>16766</v>
      </c>
      <c r="C229" s="40" t="s">
        <v>86</v>
      </c>
      <c r="D229" s="105">
        <v>376.3</v>
      </c>
      <c r="E229" s="23">
        <v>42098</v>
      </c>
      <c r="F229" s="106">
        <v>376.3</v>
      </c>
      <c r="G229" s="31">
        <f t="shared" si="3"/>
        <v>0</v>
      </c>
      <c r="H229" s="41" t="s">
        <v>9</v>
      </c>
      <c r="K229" s="3"/>
    </row>
    <row r="230" spans="1:11" x14ac:dyDescent="0.25">
      <c r="A230" s="20">
        <v>42098</v>
      </c>
      <c r="B230" s="183">
        <v>16767</v>
      </c>
      <c r="C230" s="40" t="s">
        <v>125</v>
      </c>
      <c r="D230" s="105">
        <v>47068.800000000003</v>
      </c>
      <c r="E230" s="23" t="s">
        <v>1034</v>
      </c>
      <c r="F230" s="106">
        <f>30000+17068.8</f>
        <v>47068.800000000003</v>
      </c>
      <c r="G230" s="31">
        <f t="shared" si="3"/>
        <v>0</v>
      </c>
      <c r="H230" s="41" t="s">
        <v>9</v>
      </c>
      <c r="J230" s="107"/>
      <c r="K230" s="3"/>
    </row>
    <row r="231" spans="1:11" x14ac:dyDescent="0.25">
      <c r="A231" s="12">
        <v>42098</v>
      </c>
      <c r="B231" s="183">
        <v>16768</v>
      </c>
      <c r="C231" s="40" t="s">
        <v>130</v>
      </c>
      <c r="D231" s="105">
        <v>21637.599999999999</v>
      </c>
      <c r="E231" s="23">
        <v>42101</v>
      </c>
      <c r="F231" s="106">
        <v>21637.599999999999</v>
      </c>
      <c r="G231" s="31">
        <f t="shared" si="3"/>
        <v>0</v>
      </c>
      <c r="H231" s="41" t="s">
        <v>17</v>
      </c>
      <c r="K231" s="3"/>
    </row>
    <row r="232" spans="1:11" x14ac:dyDescent="0.25">
      <c r="A232" s="20">
        <v>42098</v>
      </c>
      <c r="B232" s="183">
        <v>16769</v>
      </c>
      <c r="C232" s="40" t="s">
        <v>131</v>
      </c>
      <c r="D232" s="105">
        <v>18107.099999999999</v>
      </c>
      <c r="E232" s="23">
        <v>42101</v>
      </c>
      <c r="F232" s="106">
        <v>18107.099999999999</v>
      </c>
      <c r="G232" s="31">
        <f t="shared" si="3"/>
        <v>0</v>
      </c>
      <c r="H232" s="41" t="s">
        <v>17</v>
      </c>
      <c r="K232" s="3"/>
    </row>
    <row r="233" spans="1:11" x14ac:dyDescent="0.25">
      <c r="A233" s="12">
        <v>42098</v>
      </c>
      <c r="B233" s="183">
        <v>16770</v>
      </c>
      <c r="C233" s="40" t="s">
        <v>270</v>
      </c>
      <c r="D233" s="105">
        <v>664</v>
      </c>
      <c r="E233" s="23">
        <v>42098</v>
      </c>
      <c r="F233" s="106">
        <v>664</v>
      </c>
      <c r="G233" s="31">
        <f t="shared" si="3"/>
        <v>0</v>
      </c>
      <c r="H233" s="41" t="s">
        <v>9</v>
      </c>
      <c r="K233" s="3"/>
    </row>
    <row r="234" spans="1:11" x14ac:dyDescent="0.25">
      <c r="A234" s="20">
        <v>42098</v>
      </c>
      <c r="B234" s="183">
        <v>16771</v>
      </c>
      <c r="C234" s="40" t="s">
        <v>852</v>
      </c>
      <c r="D234" s="105">
        <v>19291.900000000001</v>
      </c>
      <c r="E234" s="23" t="s">
        <v>1035</v>
      </c>
      <c r="F234" s="106">
        <f>12000+5000+2291.9</f>
        <v>19291.900000000001</v>
      </c>
      <c r="G234" s="31">
        <f t="shared" si="3"/>
        <v>0</v>
      </c>
      <c r="H234" s="41" t="s">
        <v>9</v>
      </c>
      <c r="K234" s="3"/>
    </row>
    <row r="235" spans="1:11" x14ac:dyDescent="0.25">
      <c r="A235" s="12">
        <v>42098</v>
      </c>
      <c r="B235" s="183">
        <v>16772</v>
      </c>
      <c r="C235" s="40" t="s">
        <v>130</v>
      </c>
      <c r="D235" s="105">
        <v>11073.7</v>
      </c>
      <c r="E235" s="23">
        <v>42101</v>
      </c>
      <c r="F235" s="106">
        <v>11073.7</v>
      </c>
      <c r="G235" s="31">
        <f t="shared" si="3"/>
        <v>0</v>
      </c>
      <c r="H235" s="41" t="s">
        <v>17</v>
      </c>
      <c r="K235" s="3"/>
    </row>
    <row r="236" spans="1:11" x14ac:dyDescent="0.25">
      <c r="A236" s="20">
        <v>42098</v>
      </c>
      <c r="B236" s="183">
        <v>16773</v>
      </c>
      <c r="C236" s="40" t="s">
        <v>694</v>
      </c>
      <c r="D236" s="105">
        <v>1177.4000000000001</v>
      </c>
      <c r="E236" s="23">
        <v>42098</v>
      </c>
      <c r="F236" s="106">
        <v>1177.4000000000001</v>
      </c>
      <c r="G236" s="31">
        <f t="shared" si="3"/>
        <v>0</v>
      </c>
      <c r="H236" s="41" t="s">
        <v>9</v>
      </c>
      <c r="K236" s="3"/>
    </row>
    <row r="237" spans="1:11" x14ac:dyDescent="0.25">
      <c r="A237" s="12">
        <v>42098</v>
      </c>
      <c r="B237" s="183">
        <v>16774</v>
      </c>
      <c r="C237" s="40" t="s">
        <v>105</v>
      </c>
      <c r="D237" s="105">
        <v>509.95</v>
      </c>
      <c r="E237" s="23">
        <v>42098</v>
      </c>
      <c r="F237" s="106">
        <v>509.95</v>
      </c>
      <c r="G237" s="31">
        <f t="shared" si="3"/>
        <v>0</v>
      </c>
      <c r="H237" s="41" t="s">
        <v>9</v>
      </c>
      <c r="K237" s="3"/>
    </row>
    <row r="238" spans="1:11" x14ac:dyDescent="0.25">
      <c r="A238" s="20">
        <v>42098</v>
      </c>
      <c r="B238" s="183">
        <v>16775</v>
      </c>
      <c r="C238" s="40" t="s">
        <v>136</v>
      </c>
      <c r="D238" s="105">
        <v>2748</v>
      </c>
      <c r="E238" s="23">
        <v>42098</v>
      </c>
      <c r="F238" s="106">
        <v>2748</v>
      </c>
      <c r="G238" s="31">
        <f t="shared" si="3"/>
        <v>0</v>
      </c>
      <c r="H238" s="41" t="s">
        <v>9</v>
      </c>
      <c r="K238" s="3"/>
    </row>
    <row r="239" spans="1:11" x14ac:dyDescent="0.25">
      <c r="A239" s="12">
        <v>42098</v>
      </c>
      <c r="B239" s="183">
        <v>16776</v>
      </c>
      <c r="C239" s="40" t="s">
        <v>215</v>
      </c>
      <c r="D239" s="105">
        <v>32810.699999999997</v>
      </c>
      <c r="E239" s="23">
        <v>42098</v>
      </c>
      <c r="F239" s="106">
        <v>32810.699999999997</v>
      </c>
      <c r="G239" s="31">
        <f t="shared" si="3"/>
        <v>0</v>
      </c>
      <c r="H239" s="41" t="s">
        <v>187</v>
      </c>
      <c r="K239" s="3"/>
    </row>
    <row r="240" spans="1:11" x14ac:dyDescent="0.25">
      <c r="A240" s="20">
        <v>42098</v>
      </c>
      <c r="B240" s="183">
        <v>16777</v>
      </c>
      <c r="C240" s="40" t="s">
        <v>137</v>
      </c>
      <c r="D240" s="105">
        <v>848.35</v>
      </c>
      <c r="E240" s="23">
        <v>42098</v>
      </c>
      <c r="F240" s="106">
        <v>848.35</v>
      </c>
      <c r="G240" s="31">
        <f t="shared" si="3"/>
        <v>0</v>
      </c>
      <c r="H240" s="41" t="s">
        <v>9</v>
      </c>
      <c r="K240" s="3"/>
    </row>
    <row r="241" spans="1:11" x14ac:dyDescent="0.25">
      <c r="A241" s="12">
        <v>42098</v>
      </c>
      <c r="B241" s="183">
        <v>16778</v>
      </c>
      <c r="C241" s="40" t="s">
        <v>137</v>
      </c>
      <c r="D241" s="105">
        <v>272.60000000000002</v>
      </c>
      <c r="E241" s="23">
        <v>42098</v>
      </c>
      <c r="F241" s="106">
        <v>272.60000000000002</v>
      </c>
      <c r="G241" s="31">
        <f t="shared" si="3"/>
        <v>0</v>
      </c>
      <c r="H241" s="41" t="s">
        <v>9</v>
      </c>
      <c r="K241" s="3"/>
    </row>
    <row r="242" spans="1:11" x14ac:dyDescent="0.25">
      <c r="A242" s="20">
        <v>42098</v>
      </c>
      <c r="B242" s="183">
        <v>16779</v>
      </c>
      <c r="C242" s="40" t="s">
        <v>102</v>
      </c>
      <c r="D242" s="105">
        <v>2156</v>
      </c>
      <c r="E242" s="23">
        <v>42098</v>
      </c>
      <c r="F242" s="106">
        <v>2156</v>
      </c>
      <c r="G242" s="31">
        <f t="shared" si="3"/>
        <v>0</v>
      </c>
      <c r="H242" s="41" t="s">
        <v>9</v>
      </c>
      <c r="I242" s="3"/>
      <c r="J242" s="42"/>
      <c r="K242" s="3"/>
    </row>
    <row r="243" spans="1:11" x14ac:dyDescent="0.25">
      <c r="A243" s="12">
        <v>42098</v>
      </c>
      <c r="B243" s="183">
        <v>16780</v>
      </c>
      <c r="C243" s="40" t="s">
        <v>50</v>
      </c>
      <c r="D243" s="105">
        <v>2440</v>
      </c>
      <c r="E243" s="23">
        <v>42098</v>
      </c>
      <c r="F243" s="106">
        <v>2440</v>
      </c>
      <c r="G243" s="31">
        <f t="shared" si="3"/>
        <v>0</v>
      </c>
      <c r="H243" s="41" t="s">
        <v>27</v>
      </c>
      <c r="I243" s="3"/>
      <c r="J243" s="42"/>
      <c r="K243" s="3"/>
    </row>
    <row r="244" spans="1:11" x14ac:dyDescent="0.25">
      <c r="A244" s="20">
        <v>42098</v>
      </c>
      <c r="B244" s="183">
        <v>16781</v>
      </c>
      <c r="C244" s="40" t="s">
        <v>239</v>
      </c>
      <c r="D244" s="105">
        <v>2842.25</v>
      </c>
      <c r="E244" s="23">
        <v>42098</v>
      </c>
      <c r="F244" s="106">
        <v>2842.25</v>
      </c>
      <c r="G244" s="31">
        <f t="shared" si="3"/>
        <v>0</v>
      </c>
      <c r="H244" s="41" t="s">
        <v>9</v>
      </c>
      <c r="I244" s="3"/>
      <c r="J244" s="42"/>
      <c r="K244" s="3"/>
    </row>
    <row r="245" spans="1:11" x14ac:dyDescent="0.25">
      <c r="A245" s="12">
        <v>42098</v>
      </c>
      <c r="B245" s="183">
        <v>16782</v>
      </c>
      <c r="C245" s="40" t="s">
        <v>110</v>
      </c>
      <c r="D245" s="105">
        <v>48339.199999999997</v>
      </c>
      <c r="E245" s="23">
        <v>42104</v>
      </c>
      <c r="F245" s="106">
        <v>48339.199999999997</v>
      </c>
      <c r="G245" s="31">
        <f t="shared" si="3"/>
        <v>0</v>
      </c>
      <c r="H245" s="41" t="s">
        <v>46</v>
      </c>
      <c r="I245" s="3"/>
      <c r="J245" s="42"/>
      <c r="K245" s="3"/>
    </row>
    <row r="246" spans="1:11" x14ac:dyDescent="0.25">
      <c r="A246" s="20">
        <v>42098</v>
      </c>
      <c r="B246" s="183">
        <v>16783</v>
      </c>
      <c r="C246" s="40" t="s">
        <v>25</v>
      </c>
      <c r="D246" s="105">
        <v>299.2</v>
      </c>
      <c r="E246" s="23">
        <v>42098</v>
      </c>
      <c r="F246" s="106">
        <v>299.2</v>
      </c>
      <c r="G246" s="31">
        <f t="shared" si="3"/>
        <v>0</v>
      </c>
      <c r="H246" s="41" t="s">
        <v>9</v>
      </c>
      <c r="I246" s="3"/>
      <c r="J246" s="42"/>
      <c r="K246" s="3"/>
    </row>
    <row r="247" spans="1:11" x14ac:dyDescent="0.25">
      <c r="A247" s="12">
        <v>42098</v>
      </c>
      <c r="B247" s="183">
        <v>16784</v>
      </c>
      <c r="C247" s="40" t="s">
        <v>66</v>
      </c>
      <c r="D247" s="105">
        <v>4325</v>
      </c>
      <c r="E247" s="23">
        <v>42098</v>
      </c>
      <c r="F247" s="106">
        <v>4325</v>
      </c>
      <c r="G247" s="31">
        <f t="shared" si="3"/>
        <v>0</v>
      </c>
      <c r="H247" s="41" t="s">
        <v>9</v>
      </c>
      <c r="I247" s="3"/>
      <c r="J247" s="42"/>
      <c r="K247" s="3"/>
    </row>
    <row r="248" spans="1:11" x14ac:dyDescent="0.25">
      <c r="A248" s="20">
        <v>42098</v>
      </c>
      <c r="B248" s="183">
        <v>16785</v>
      </c>
      <c r="C248" s="40" t="s">
        <v>135</v>
      </c>
      <c r="D248" s="105">
        <v>21894.9</v>
      </c>
      <c r="E248" s="23">
        <v>42098</v>
      </c>
      <c r="F248" s="106">
        <v>21894.9</v>
      </c>
      <c r="G248" s="31">
        <f t="shared" si="3"/>
        <v>0</v>
      </c>
      <c r="H248" s="41" t="s">
        <v>9</v>
      </c>
      <c r="I248" s="3"/>
      <c r="J248" s="42"/>
      <c r="K248" s="3"/>
    </row>
    <row r="249" spans="1:11" x14ac:dyDescent="0.25">
      <c r="A249" s="12">
        <v>42098</v>
      </c>
      <c r="B249" s="183">
        <v>16786</v>
      </c>
      <c r="C249" s="40" t="s">
        <v>332</v>
      </c>
      <c r="D249" s="105">
        <v>2879.05</v>
      </c>
      <c r="E249" s="23">
        <v>42098</v>
      </c>
      <c r="F249" s="106">
        <v>2879.05</v>
      </c>
      <c r="G249" s="31">
        <f t="shared" si="3"/>
        <v>0</v>
      </c>
      <c r="H249" s="41" t="s">
        <v>9</v>
      </c>
      <c r="I249" s="3"/>
      <c r="J249" s="42"/>
      <c r="K249" s="3"/>
    </row>
    <row r="250" spans="1:11" x14ac:dyDescent="0.25">
      <c r="A250" s="20">
        <v>42098</v>
      </c>
      <c r="B250" s="183">
        <v>16787</v>
      </c>
      <c r="C250" s="40" t="s">
        <v>136</v>
      </c>
      <c r="D250" s="105">
        <v>22002</v>
      </c>
      <c r="E250" s="23">
        <v>42098</v>
      </c>
      <c r="F250" s="106">
        <v>22002</v>
      </c>
      <c r="G250" s="31">
        <f t="shared" si="3"/>
        <v>0</v>
      </c>
      <c r="H250" s="41" t="s">
        <v>9</v>
      </c>
      <c r="I250" s="3"/>
      <c r="J250" s="42"/>
      <c r="K250" s="3"/>
    </row>
    <row r="251" spans="1:11" x14ac:dyDescent="0.25">
      <c r="A251" s="12">
        <v>42098</v>
      </c>
      <c r="B251" s="183">
        <v>16788</v>
      </c>
      <c r="C251" s="40" t="s">
        <v>89</v>
      </c>
      <c r="D251" s="105">
        <v>3551.4</v>
      </c>
      <c r="E251" s="23">
        <v>42098</v>
      </c>
      <c r="F251" s="106">
        <v>3551.4</v>
      </c>
      <c r="G251" s="31">
        <f t="shared" si="3"/>
        <v>0</v>
      </c>
      <c r="H251" s="41" t="s">
        <v>9</v>
      </c>
      <c r="I251" s="3"/>
      <c r="J251" s="42"/>
      <c r="K251" s="3"/>
    </row>
    <row r="252" spans="1:11" x14ac:dyDescent="0.25">
      <c r="A252" s="20">
        <v>42098</v>
      </c>
      <c r="B252" s="183">
        <v>16789</v>
      </c>
      <c r="C252" s="40" t="s">
        <v>213</v>
      </c>
      <c r="D252" s="105">
        <v>608225.65</v>
      </c>
      <c r="E252" s="23">
        <v>42098</v>
      </c>
      <c r="F252" s="106">
        <v>608225.44999999995</v>
      </c>
      <c r="G252" s="31">
        <f t="shared" si="3"/>
        <v>0.20000000006984919</v>
      </c>
      <c r="H252" s="41" t="s">
        <v>9</v>
      </c>
      <c r="I252" s="3"/>
      <c r="J252" s="42"/>
      <c r="K252" s="3"/>
    </row>
    <row r="253" spans="1:11" x14ac:dyDescent="0.25">
      <c r="A253" s="12">
        <v>42098</v>
      </c>
      <c r="B253" s="183">
        <v>16790</v>
      </c>
      <c r="C253" s="113">
        <v>105</v>
      </c>
      <c r="D253" s="105">
        <v>2380</v>
      </c>
      <c r="E253" s="23">
        <v>42098</v>
      </c>
      <c r="F253" s="106">
        <v>2380</v>
      </c>
      <c r="G253" s="31">
        <f t="shared" si="3"/>
        <v>0</v>
      </c>
      <c r="H253" s="41" t="s">
        <v>59</v>
      </c>
      <c r="I253" s="3"/>
      <c r="J253" s="42"/>
      <c r="K253" s="3"/>
    </row>
    <row r="254" spans="1:11" x14ac:dyDescent="0.25">
      <c r="A254" s="20">
        <v>42098</v>
      </c>
      <c r="B254" s="183">
        <v>16791</v>
      </c>
      <c r="C254" s="40" t="s">
        <v>57</v>
      </c>
      <c r="D254" s="105">
        <v>1020</v>
      </c>
      <c r="E254" s="23">
        <v>42098</v>
      </c>
      <c r="F254" s="106">
        <v>1020</v>
      </c>
      <c r="G254" s="31">
        <f t="shared" si="3"/>
        <v>0</v>
      </c>
      <c r="H254" s="41" t="s">
        <v>59</v>
      </c>
      <c r="I254" s="3"/>
      <c r="J254" s="42"/>
      <c r="K254" s="3"/>
    </row>
    <row r="255" spans="1:11" x14ac:dyDescent="0.25">
      <c r="A255" s="12">
        <v>42098</v>
      </c>
      <c r="B255" s="183">
        <v>16792</v>
      </c>
      <c r="C255" s="40" t="s">
        <v>83</v>
      </c>
      <c r="D255" s="105">
        <v>5648.2</v>
      </c>
      <c r="E255" s="23">
        <v>42098</v>
      </c>
      <c r="F255" s="106">
        <v>5648.2</v>
      </c>
      <c r="G255" s="31">
        <f t="shared" si="3"/>
        <v>0</v>
      </c>
      <c r="H255" s="41" t="s">
        <v>59</v>
      </c>
      <c r="I255" s="3"/>
      <c r="J255" s="42"/>
      <c r="K255" s="3"/>
    </row>
    <row r="256" spans="1:11" x14ac:dyDescent="0.25">
      <c r="A256" s="20">
        <v>42098</v>
      </c>
      <c r="B256" s="183">
        <v>16793</v>
      </c>
      <c r="C256" s="40" t="s">
        <v>120</v>
      </c>
      <c r="D256" s="105">
        <v>1976.4</v>
      </c>
      <c r="E256" s="23">
        <v>42098</v>
      </c>
      <c r="F256" s="106">
        <v>1976.4</v>
      </c>
      <c r="G256" s="31">
        <f t="shared" si="3"/>
        <v>0</v>
      </c>
      <c r="H256" s="41" t="s">
        <v>59</v>
      </c>
      <c r="I256" s="3"/>
      <c r="J256" s="42"/>
      <c r="K256" s="3"/>
    </row>
    <row r="257" spans="1:11" x14ac:dyDescent="0.25">
      <c r="A257" s="12">
        <v>42098</v>
      </c>
      <c r="B257" s="183">
        <v>16794</v>
      </c>
      <c r="C257" s="40" t="s">
        <v>136</v>
      </c>
      <c r="D257" s="105">
        <v>540</v>
      </c>
      <c r="E257" s="23">
        <v>42098</v>
      </c>
      <c r="F257" s="106">
        <v>540</v>
      </c>
      <c r="G257" s="31">
        <f t="shared" si="3"/>
        <v>0</v>
      </c>
      <c r="H257" s="41" t="s">
        <v>9</v>
      </c>
      <c r="I257" s="3"/>
      <c r="J257" s="42"/>
      <c r="K257" s="3"/>
    </row>
    <row r="258" spans="1:11" x14ac:dyDescent="0.25">
      <c r="A258" s="20">
        <v>42098</v>
      </c>
      <c r="B258" s="183">
        <v>16795</v>
      </c>
      <c r="C258" s="40" t="s">
        <v>14</v>
      </c>
      <c r="D258" s="105">
        <v>159485.4</v>
      </c>
      <c r="E258" s="23">
        <v>42104</v>
      </c>
      <c r="F258" s="106">
        <v>159485.4</v>
      </c>
      <c r="G258" s="31">
        <f t="shared" si="3"/>
        <v>0</v>
      </c>
      <c r="H258" s="41" t="s">
        <v>1013</v>
      </c>
      <c r="I258" s="3"/>
      <c r="J258" s="42"/>
      <c r="K258" s="3"/>
    </row>
    <row r="259" spans="1:11" x14ac:dyDescent="0.25">
      <c r="A259" s="12">
        <v>42098</v>
      </c>
      <c r="B259" s="183">
        <v>16796</v>
      </c>
      <c r="C259" s="40" t="s">
        <v>292</v>
      </c>
      <c r="D259" s="105">
        <v>3866.4</v>
      </c>
      <c r="E259" s="23">
        <v>42098</v>
      </c>
      <c r="F259" s="106">
        <v>3866.4</v>
      </c>
      <c r="G259" s="31">
        <f t="shared" ref="G259:G322" si="4">D259-F259</f>
        <v>0</v>
      </c>
      <c r="H259" s="41" t="s">
        <v>59</v>
      </c>
      <c r="I259" s="3"/>
      <c r="J259" s="42"/>
      <c r="K259" s="3"/>
    </row>
    <row r="260" spans="1:11" x14ac:dyDescent="0.25">
      <c r="A260" s="20">
        <v>42098</v>
      </c>
      <c r="B260" s="183">
        <v>16797</v>
      </c>
      <c r="C260" s="146" t="s">
        <v>95</v>
      </c>
      <c r="D260" s="105">
        <v>4150.8999999999996</v>
      </c>
      <c r="E260" s="23">
        <v>42099</v>
      </c>
      <c r="F260" s="106">
        <v>4150.8999999999996</v>
      </c>
      <c r="G260" s="31">
        <f t="shared" si="4"/>
        <v>0</v>
      </c>
      <c r="H260" s="41" t="s">
        <v>41</v>
      </c>
      <c r="I260" s="3"/>
      <c r="J260" s="42"/>
      <c r="K260" s="3"/>
    </row>
    <row r="261" spans="1:11" x14ac:dyDescent="0.25">
      <c r="A261" s="12">
        <v>42098</v>
      </c>
      <c r="B261" s="183">
        <v>16798</v>
      </c>
      <c r="C261" s="40" t="s">
        <v>168</v>
      </c>
      <c r="D261" s="105">
        <v>1137.5999999999999</v>
      </c>
      <c r="E261" s="23">
        <v>42098</v>
      </c>
      <c r="F261" s="106">
        <v>1137.5999999999999</v>
      </c>
      <c r="G261" s="31">
        <f t="shared" si="4"/>
        <v>0</v>
      </c>
      <c r="H261" s="41" t="s">
        <v>59</v>
      </c>
      <c r="I261" s="3"/>
      <c r="J261" s="42"/>
      <c r="K261" s="3"/>
    </row>
    <row r="262" spans="1:11" x14ac:dyDescent="0.25">
      <c r="A262" s="20">
        <v>42098</v>
      </c>
      <c r="B262" s="183">
        <v>16799</v>
      </c>
      <c r="C262" s="40" t="s">
        <v>31</v>
      </c>
      <c r="D262" s="105">
        <v>2318</v>
      </c>
      <c r="E262" s="23">
        <v>42098</v>
      </c>
      <c r="F262" s="106">
        <v>2318</v>
      </c>
      <c r="G262" s="31">
        <f t="shared" si="4"/>
        <v>0</v>
      </c>
      <c r="H262" s="41" t="s">
        <v>59</v>
      </c>
      <c r="I262" s="3"/>
      <c r="J262" s="42"/>
      <c r="K262" s="3"/>
    </row>
    <row r="263" spans="1:11" x14ac:dyDescent="0.25">
      <c r="A263" s="12">
        <v>42098</v>
      </c>
      <c r="B263" s="183">
        <v>16800</v>
      </c>
      <c r="C263" s="40" t="s">
        <v>151</v>
      </c>
      <c r="D263" s="105">
        <v>21591.5</v>
      </c>
      <c r="E263" s="23" t="s">
        <v>1036</v>
      </c>
      <c r="F263" s="106">
        <f>12000+9591.5</f>
        <v>21591.5</v>
      </c>
      <c r="G263" s="31">
        <f t="shared" si="4"/>
        <v>0</v>
      </c>
      <c r="H263" s="41" t="s">
        <v>9</v>
      </c>
      <c r="I263" s="3"/>
      <c r="J263" s="42"/>
      <c r="K263" s="3"/>
    </row>
    <row r="264" spans="1:11" x14ac:dyDescent="0.25">
      <c r="A264" s="20">
        <v>42098</v>
      </c>
      <c r="B264" s="183">
        <v>16801</v>
      </c>
      <c r="C264" s="40" t="s">
        <v>855</v>
      </c>
      <c r="D264" s="105">
        <v>2858.8</v>
      </c>
      <c r="E264" s="23">
        <v>42098</v>
      </c>
      <c r="F264" s="106">
        <v>2858.8</v>
      </c>
      <c r="G264" s="31">
        <f t="shared" si="4"/>
        <v>0</v>
      </c>
      <c r="H264" s="41" t="s">
        <v>9</v>
      </c>
      <c r="I264" s="3"/>
      <c r="J264" s="42"/>
      <c r="K264" s="3"/>
    </row>
    <row r="265" spans="1:11" x14ac:dyDescent="0.25">
      <c r="A265" s="12">
        <v>42098</v>
      </c>
      <c r="B265" s="183">
        <v>16802</v>
      </c>
      <c r="C265" s="40" t="s">
        <v>151</v>
      </c>
      <c r="D265" s="105">
        <v>994.4</v>
      </c>
      <c r="E265" s="23">
        <v>42098</v>
      </c>
      <c r="F265" s="106">
        <v>994.4</v>
      </c>
      <c r="G265" s="31">
        <f t="shared" si="4"/>
        <v>0</v>
      </c>
      <c r="H265" s="41" t="s">
        <v>9</v>
      </c>
      <c r="I265" s="3"/>
      <c r="J265" s="42"/>
      <c r="K265" s="3"/>
    </row>
    <row r="266" spans="1:11" x14ac:dyDescent="0.25">
      <c r="A266" s="20">
        <v>42098</v>
      </c>
      <c r="B266" s="183">
        <v>16803</v>
      </c>
      <c r="C266" s="40" t="s">
        <v>697</v>
      </c>
      <c r="D266" s="105">
        <v>37778</v>
      </c>
      <c r="E266" s="30" t="s">
        <v>1037</v>
      </c>
      <c r="F266" s="106">
        <v>37778</v>
      </c>
      <c r="G266" s="31">
        <f t="shared" si="4"/>
        <v>0</v>
      </c>
      <c r="H266" s="41" t="s">
        <v>9</v>
      </c>
      <c r="I266" s="3"/>
      <c r="J266" s="42"/>
      <c r="K266" s="3"/>
    </row>
    <row r="267" spans="1:11" x14ac:dyDescent="0.25">
      <c r="A267" s="12">
        <v>42098</v>
      </c>
      <c r="B267" s="183">
        <v>16804</v>
      </c>
      <c r="C267" s="40" t="s">
        <v>406</v>
      </c>
      <c r="D267" s="105">
        <v>20382</v>
      </c>
      <c r="E267" s="23">
        <v>42098</v>
      </c>
      <c r="F267" s="106">
        <v>20382</v>
      </c>
      <c r="G267" s="31">
        <f t="shared" si="4"/>
        <v>0</v>
      </c>
      <c r="H267" s="41" t="s">
        <v>94</v>
      </c>
      <c r="I267" s="3"/>
      <c r="J267" s="42"/>
      <c r="K267" s="3"/>
    </row>
    <row r="268" spans="1:11" x14ac:dyDescent="0.25">
      <c r="A268" s="20">
        <v>42098</v>
      </c>
      <c r="B268" s="183">
        <v>16805</v>
      </c>
      <c r="C268" s="40" t="s">
        <v>102</v>
      </c>
      <c r="D268" s="105">
        <v>2344.8000000000002</v>
      </c>
      <c r="E268" s="23">
        <v>42098</v>
      </c>
      <c r="F268" s="106">
        <v>2344.8000000000002</v>
      </c>
      <c r="G268" s="31">
        <f t="shared" si="4"/>
        <v>0</v>
      </c>
      <c r="H268" s="41" t="s">
        <v>9</v>
      </c>
      <c r="I268" s="3"/>
      <c r="J268" s="42"/>
      <c r="K268" s="3"/>
    </row>
    <row r="269" spans="1:11" x14ac:dyDescent="0.25">
      <c r="A269" s="12">
        <v>42098</v>
      </c>
      <c r="B269" s="183">
        <v>16806</v>
      </c>
      <c r="C269" s="40" t="s">
        <v>93</v>
      </c>
      <c r="D269" s="105">
        <v>1590.3</v>
      </c>
      <c r="E269" s="23">
        <v>42099</v>
      </c>
      <c r="F269" s="106">
        <v>1590.3</v>
      </c>
      <c r="G269" s="31">
        <f t="shared" si="4"/>
        <v>0</v>
      </c>
      <c r="H269" s="41" t="s">
        <v>41</v>
      </c>
      <c r="I269" s="3"/>
      <c r="J269" s="42"/>
      <c r="K269" s="3"/>
    </row>
    <row r="270" spans="1:11" x14ac:dyDescent="0.25">
      <c r="A270" s="20">
        <v>42098</v>
      </c>
      <c r="B270" s="183">
        <v>16807</v>
      </c>
      <c r="C270" s="40" t="s">
        <v>105</v>
      </c>
      <c r="D270" s="105">
        <v>2921.9</v>
      </c>
      <c r="E270" s="23">
        <v>42098</v>
      </c>
      <c r="F270" s="106">
        <v>2921.9</v>
      </c>
      <c r="G270" s="31">
        <f t="shared" si="4"/>
        <v>0</v>
      </c>
      <c r="H270" s="41" t="s">
        <v>9</v>
      </c>
      <c r="I270" s="3"/>
      <c r="J270" s="42"/>
      <c r="K270" s="3"/>
    </row>
    <row r="271" spans="1:11" x14ac:dyDescent="0.25">
      <c r="A271" s="12">
        <v>42098</v>
      </c>
      <c r="B271" s="183">
        <v>16808</v>
      </c>
      <c r="C271" s="40" t="s">
        <v>45</v>
      </c>
      <c r="D271" s="105">
        <v>70116.899999999994</v>
      </c>
      <c r="E271" s="23">
        <v>42104</v>
      </c>
      <c r="F271" s="106">
        <v>70116.899999999994</v>
      </c>
      <c r="G271" s="31">
        <f t="shared" si="4"/>
        <v>0</v>
      </c>
      <c r="H271" s="41" t="s">
        <v>46</v>
      </c>
      <c r="I271" s="3"/>
      <c r="J271" s="42"/>
      <c r="K271" s="3"/>
    </row>
    <row r="272" spans="1:11" x14ac:dyDescent="0.25">
      <c r="A272" s="20">
        <v>42098</v>
      </c>
      <c r="B272" s="183">
        <v>16809</v>
      </c>
      <c r="C272" s="40" t="s">
        <v>250</v>
      </c>
      <c r="D272" s="105">
        <v>2573.15</v>
      </c>
      <c r="E272" s="23">
        <v>42099</v>
      </c>
      <c r="F272" s="106">
        <v>2573.15</v>
      </c>
      <c r="G272" s="31">
        <f t="shared" si="4"/>
        <v>0</v>
      </c>
      <c r="H272" s="41" t="s">
        <v>41</v>
      </c>
      <c r="I272" s="3"/>
      <c r="J272" s="42"/>
      <c r="K272" s="3"/>
    </row>
    <row r="273" spans="1:11" x14ac:dyDescent="0.25">
      <c r="A273" s="12">
        <v>42098</v>
      </c>
      <c r="B273" s="183">
        <v>16810</v>
      </c>
      <c r="C273" s="40" t="s">
        <v>98</v>
      </c>
      <c r="D273" s="105">
        <v>1686.45</v>
      </c>
      <c r="E273" s="23">
        <v>42099</v>
      </c>
      <c r="F273" s="106">
        <v>1686.45</v>
      </c>
      <c r="G273" s="31">
        <f t="shared" si="4"/>
        <v>0</v>
      </c>
      <c r="H273" s="41" t="s">
        <v>41</v>
      </c>
      <c r="I273" s="3"/>
      <c r="J273" s="42"/>
      <c r="K273" s="3"/>
    </row>
    <row r="274" spans="1:11" x14ac:dyDescent="0.25">
      <c r="A274" s="20">
        <v>42098</v>
      </c>
      <c r="B274" s="183">
        <v>16811</v>
      </c>
      <c r="C274" s="40" t="s">
        <v>1038</v>
      </c>
      <c r="D274" s="105">
        <v>1628.4</v>
      </c>
      <c r="E274" s="23">
        <v>42099</v>
      </c>
      <c r="F274" s="106">
        <v>1628.4</v>
      </c>
      <c r="G274" s="31">
        <f t="shared" si="4"/>
        <v>0</v>
      </c>
      <c r="H274" s="41" t="s">
        <v>41</v>
      </c>
      <c r="I274" s="3"/>
      <c r="J274" s="42"/>
      <c r="K274" s="3"/>
    </row>
    <row r="275" spans="1:11" x14ac:dyDescent="0.25">
      <c r="A275" s="12">
        <v>42098</v>
      </c>
      <c r="B275" s="183">
        <v>16812</v>
      </c>
      <c r="C275" s="40" t="s">
        <v>689</v>
      </c>
      <c r="D275" s="105">
        <v>5091.3999999999996</v>
      </c>
      <c r="E275" s="23">
        <v>42099</v>
      </c>
      <c r="F275" s="106">
        <v>5091.3999999999996</v>
      </c>
      <c r="G275" s="31">
        <f t="shared" si="4"/>
        <v>0</v>
      </c>
      <c r="H275" s="41" t="s">
        <v>41</v>
      </c>
      <c r="I275" s="3"/>
      <c r="J275" s="42"/>
      <c r="K275" s="3"/>
    </row>
    <row r="276" spans="1:11" x14ac:dyDescent="0.25">
      <c r="A276" s="20">
        <v>42098</v>
      </c>
      <c r="B276" s="183">
        <v>16813</v>
      </c>
      <c r="C276" s="40" t="s">
        <v>155</v>
      </c>
      <c r="D276" s="105">
        <v>4638</v>
      </c>
      <c r="E276" s="23">
        <v>42098</v>
      </c>
      <c r="F276" s="106">
        <v>4638</v>
      </c>
      <c r="G276" s="31">
        <f t="shared" si="4"/>
        <v>0</v>
      </c>
      <c r="H276" s="41" t="s">
        <v>46</v>
      </c>
      <c r="I276" s="3"/>
      <c r="J276" s="42"/>
      <c r="K276" s="3"/>
    </row>
    <row r="277" spans="1:11" x14ac:dyDescent="0.25">
      <c r="A277" s="12">
        <v>42098</v>
      </c>
      <c r="B277" s="183">
        <v>16814</v>
      </c>
      <c r="C277" s="44" t="s">
        <v>218</v>
      </c>
      <c r="D277" s="108">
        <v>0</v>
      </c>
      <c r="E277" s="23"/>
      <c r="F277" s="106"/>
      <c r="G277" s="31">
        <f t="shared" si="4"/>
        <v>0</v>
      </c>
      <c r="H277" s="41" t="s">
        <v>13</v>
      </c>
      <c r="I277" s="3"/>
      <c r="J277" s="42"/>
      <c r="K277" s="3"/>
    </row>
    <row r="278" spans="1:11" x14ac:dyDescent="0.25">
      <c r="A278" s="20">
        <v>42098</v>
      </c>
      <c r="B278" s="183">
        <v>16815</v>
      </c>
      <c r="C278" s="40" t="s">
        <v>104</v>
      </c>
      <c r="D278" s="105">
        <v>2148</v>
      </c>
      <c r="E278" s="23">
        <v>42099</v>
      </c>
      <c r="F278" s="106">
        <v>2148</v>
      </c>
      <c r="G278" s="31">
        <f t="shared" si="4"/>
        <v>0</v>
      </c>
      <c r="H278" s="41" t="s">
        <v>41</v>
      </c>
      <c r="I278" s="3"/>
      <c r="J278" s="42"/>
      <c r="K278" s="3"/>
    </row>
    <row r="279" spans="1:11" x14ac:dyDescent="0.25">
      <c r="A279" s="12">
        <v>42098</v>
      </c>
      <c r="B279" s="183">
        <v>16816</v>
      </c>
      <c r="C279" s="40" t="s">
        <v>65</v>
      </c>
      <c r="D279" s="105">
        <v>12963.6</v>
      </c>
      <c r="E279" s="23">
        <v>42099</v>
      </c>
      <c r="F279" s="106">
        <v>12963.6</v>
      </c>
      <c r="G279" s="31">
        <f t="shared" si="4"/>
        <v>0</v>
      </c>
      <c r="H279" s="41" t="s">
        <v>9</v>
      </c>
      <c r="I279" s="3"/>
      <c r="J279" s="42"/>
      <c r="K279" s="3"/>
    </row>
    <row r="280" spans="1:11" x14ac:dyDescent="0.25">
      <c r="A280" s="20">
        <v>42098</v>
      </c>
      <c r="B280" s="183">
        <v>16817</v>
      </c>
      <c r="C280" s="40" t="s">
        <v>484</v>
      </c>
      <c r="D280" s="105">
        <v>17922.2</v>
      </c>
      <c r="E280" s="23">
        <v>42102</v>
      </c>
      <c r="F280" s="106">
        <v>17922.2</v>
      </c>
      <c r="G280" s="31">
        <f t="shared" si="4"/>
        <v>0</v>
      </c>
      <c r="H280" s="41" t="s">
        <v>9</v>
      </c>
      <c r="I280" s="3"/>
      <c r="J280" s="42"/>
      <c r="K280" s="3"/>
    </row>
    <row r="281" spans="1:11" x14ac:dyDescent="0.25">
      <c r="A281" s="12">
        <v>42098</v>
      </c>
      <c r="B281" s="183">
        <v>16818</v>
      </c>
      <c r="C281" s="40" t="s">
        <v>32</v>
      </c>
      <c r="D281" s="105">
        <v>31515.279999999999</v>
      </c>
      <c r="E281" s="23">
        <v>42115</v>
      </c>
      <c r="F281" s="106">
        <v>31515.279999999999</v>
      </c>
      <c r="G281" s="31">
        <f t="shared" si="4"/>
        <v>0</v>
      </c>
      <c r="H281" s="41" t="s">
        <v>9</v>
      </c>
      <c r="I281" s="3"/>
      <c r="J281" s="42"/>
      <c r="K281" s="3"/>
    </row>
    <row r="282" spans="1:11" x14ac:dyDescent="0.25">
      <c r="A282" s="20">
        <v>42098</v>
      </c>
      <c r="B282" s="183">
        <v>16819</v>
      </c>
      <c r="C282" s="40" t="s">
        <v>411</v>
      </c>
      <c r="D282" s="105">
        <v>1929.7</v>
      </c>
      <c r="E282" s="23">
        <v>42098</v>
      </c>
      <c r="F282" s="106">
        <v>1929.7</v>
      </c>
      <c r="G282" s="31">
        <f t="shared" si="4"/>
        <v>0</v>
      </c>
      <c r="H282" s="41" t="s">
        <v>9</v>
      </c>
      <c r="I282" s="3"/>
      <c r="J282" s="42"/>
      <c r="K282" s="3"/>
    </row>
    <row r="283" spans="1:11" x14ac:dyDescent="0.25">
      <c r="A283" s="12">
        <v>42098</v>
      </c>
      <c r="B283" s="183">
        <v>16820</v>
      </c>
      <c r="C283" s="40" t="s">
        <v>78</v>
      </c>
      <c r="D283" s="105">
        <v>4237.8</v>
      </c>
      <c r="E283" s="23">
        <v>42099</v>
      </c>
      <c r="F283" s="106">
        <v>4237.8</v>
      </c>
      <c r="G283" s="31">
        <f t="shared" si="4"/>
        <v>0</v>
      </c>
      <c r="H283" s="41" t="s">
        <v>62</v>
      </c>
      <c r="I283" s="3"/>
      <c r="J283" s="42"/>
      <c r="K283" s="3"/>
    </row>
    <row r="284" spans="1:11" x14ac:dyDescent="0.25">
      <c r="A284" s="20">
        <v>42098</v>
      </c>
      <c r="B284" s="183">
        <v>16821</v>
      </c>
      <c r="C284" s="40" t="s">
        <v>102</v>
      </c>
      <c r="D284" s="105">
        <v>528</v>
      </c>
      <c r="E284" s="23">
        <v>42098</v>
      </c>
      <c r="F284" s="106">
        <v>528</v>
      </c>
      <c r="G284" s="31">
        <f t="shared" si="4"/>
        <v>0</v>
      </c>
      <c r="H284" s="41" t="s">
        <v>9</v>
      </c>
      <c r="I284" s="3"/>
      <c r="J284" s="42"/>
      <c r="K284" s="3"/>
    </row>
    <row r="285" spans="1:11" x14ac:dyDescent="0.25">
      <c r="A285" s="12">
        <v>42098</v>
      </c>
      <c r="B285" s="183">
        <v>16822</v>
      </c>
      <c r="C285" s="40" t="s">
        <v>24</v>
      </c>
      <c r="D285" s="105">
        <v>6255</v>
      </c>
      <c r="E285" s="30">
        <v>42125</v>
      </c>
      <c r="F285" s="144">
        <v>6255</v>
      </c>
      <c r="G285" s="31">
        <f t="shared" si="4"/>
        <v>0</v>
      </c>
      <c r="H285" s="41" t="s">
        <v>9</v>
      </c>
      <c r="I285" s="3"/>
      <c r="J285" s="42"/>
      <c r="K285" s="3"/>
    </row>
    <row r="286" spans="1:11" x14ac:dyDescent="0.25">
      <c r="A286" s="20">
        <v>42098</v>
      </c>
      <c r="B286" s="183">
        <v>16823</v>
      </c>
      <c r="C286" s="40" t="s">
        <v>75</v>
      </c>
      <c r="D286" s="105">
        <v>9510</v>
      </c>
      <c r="E286" s="23">
        <v>42099</v>
      </c>
      <c r="F286" s="106">
        <v>9510</v>
      </c>
      <c r="G286" s="31">
        <f t="shared" si="4"/>
        <v>0</v>
      </c>
      <c r="H286" s="41" t="s">
        <v>62</v>
      </c>
      <c r="I286" s="3"/>
      <c r="J286" s="42"/>
      <c r="K286" s="3"/>
    </row>
    <row r="287" spans="1:11" x14ac:dyDescent="0.25">
      <c r="A287" s="12">
        <v>42098</v>
      </c>
      <c r="B287" s="183">
        <v>16824</v>
      </c>
      <c r="C287" s="40" t="s">
        <v>571</v>
      </c>
      <c r="D287" s="105">
        <v>28868.400000000001</v>
      </c>
      <c r="E287" s="23">
        <v>42098</v>
      </c>
      <c r="F287" s="106">
        <v>28868.400000000001</v>
      </c>
      <c r="G287" s="31">
        <f t="shared" si="4"/>
        <v>0</v>
      </c>
      <c r="H287" s="41" t="s">
        <v>17</v>
      </c>
      <c r="I287" s="3"/>
      <c r="J287" s="42"/>
      <c r="K287" s="3"/>
    </row>
    <row r="288" spans="1:11" x14ac:dyDescent="0.25">
      <c r="A288" s="20">
        <v>42098</v>
      </c>
      <c r="B288" s="183">
        <v>16825</v>
      </c>
      <c r="C288" s="40" t="s">
        <v>32</v>
      </c>
      <c r="D288" s="105">
        <v>32598.85</v>
      </c>
      <c r="E288" s="23">
        <v>42115</v>
      </c>
      <c r="F288" s="106">
        <v>32598.85</v>
      </c>
      <c r="G288" s="31">
        <f t="shared" si="4"/>
        <v>0</v>
      </c>
      <c r="H288" s="41" t="s">
        <v>9</v>
      </c>
      <c r="I288" s="3"/>
      <c r="J288" s="42"/>
      <c r="K288" s="3"/>
    </row>
    <row r="289" spans="1:11" x14ac:dyDescent="0.25">
      <c r="A289" s="12">
        <v>42098</v>
      </c>
      <c r="B289" s="183">
        <v>16826</v>
      </c>
      <c r="C289" s="40" t="s">
        <v>106</v>
      </c>
      <c r="D289" s="105">
        <v>14131.2</v>
      </c>
      <c r="E289" s="23">
        <v>42101</v>
      </c>
      <c r="F289" s="106">
        <v>14131.2</v>
      </c>
      <c r="G289" s="31">
        <f t="shared" si="4"/>
        <v>0</v>
      </c>
      <c r="H289" s="41" t="s">
        <v>59</v>
      </c>
      <c r="I289" s="3"/>
      <c r="J289" s="42"/>
      <c r="K289" s="3"/>
    </row>
    <row r="290" spans="1:11" x14ac:dyDescent="0.25">
      <c r="A290" s="20">
        <v>42098</v>
      </c>
      <c r="B290" s="183">
        <v>16827</v>
      </c>
      <c r="C290" s="40" t="s">
        <v>32</v>
      </c>
      <c r="D290" s="105">
        <v>32651.45</v>
      </c>
      <c r="E290" s="23">
        <v>42115</v>
      </c>
      <c r="F290" s="106">
        <v>32651.45</v>
      </c>
      <c r="G290" s="31">
        <f t="shared" si="4"/>
        <v>0</v>
      </c>
      <c r="H290" s="41" t="s">
        <v>59</v>
      </c>
      <c r="I290" s="3"/>
      <c r="J290" s="42"/>
      <c r="K290" s="3"/>
    </row>
    <row r="291" spans="1:11" x14ac:dyDescent="0.25">
      <c r="A291" s="12">
        <v>42098</v>
      </c>
      <c r="B291" s="183">
        <v>16828</v>
      </c>
      <c r="C291" s="40" t="s">
        <v>74</v>
      </c>
      <c r="D291" s="105">
        <v>2088.4</v>
      </c>
      <c r="E291" s="23">
        <v>42098</v>
      </c>
      <c r="F291" s="106">
        <v>2088.4</v>
      </c>
      <c r="G291" s="31">
        <f t="shared" si="4"/>
        <v>0</v>
      </c>
      <c r="H291" s="41" t="s">
        <v>9</v>
      </c>
      <c r="I291" s="3"/>
      <c r="J291" s="42"/>
      <c r="K291" s="3"/>
    </row>
    <row r="292" spans="1:11" x14ac:dyDescent="0.25">
      <c r="A292" s="20">
        <v>42098</v>
      </c>
      <c r="B292" s="183">
        <v>16829</v>
      </c>
      <c r="C292" s="40" t="s">
        <v>59</v>
      </c>
      <c r="D292" s="105">
        <v>163.19999999999999</v>
      </c>
      <c r="E292" s="23">
        <v>42098</v>
      </c>
      <c r="F292" s="106">
        <v>163.19999999999999</v>
      </c>
      <c r="G292" s="31">
        <f t="shared" si="4"/>
        <v>0</v>
      </c>
      <c r="H292" s="41" t="s">
        <v>9</v>
      </c>
      <c r="I292" s="3"/>
      <c r="J292" s="42"/>
      <c r="K292" s="3"/>
    </row>
    <row r="293" spans="1:11" x14ac:dyDescent="0.25">
      <c r="A293" s="12">
        <v>42098</v>
      </c>
      <c r="B293" s="183">
        <v>16830</v>
      </c>
      <c r="C293" s="40" t="s">
        <v>697</v>
      </c>
      <c r="D293" s="105">
        <v>16538.400000000001</v>
      </c>
      <c r="E293" s="30" t="s">
        <v>1039</v>
      </c>
      <c r="F293" s="106">
        <v>16538.400000000001</v>
      </c>
      <c r="G293" s="31">
        <f t="shared" si="4"/>
        <v>0</v>
      </c>
      <c r="H293" s="41" t="s">
        <v>9</v>
      </c>
      <c r="I293" s="3"/>
      <c r="J293" s="42"/>
      <c r="K293" s="3"/>
    </row>
    <row r="294" spans="1:11" x14ac:dyDescent="0.25">
      <c r="A294" s="20">
        <v>42098</v>
      </c>
      <c r="B294" s="183">
        <v>16831</v>
      </c>
      <c r="C294" s="40" t="s">
        <v>1040</v>
      </c>
      <c r="D294" s="105">
        <v>4947.6000000000004</v>
      </c>
      <c r="E294" s="23">
        <v>42099</v>
      </c>
      <c r="F294" s="106">
        <v>4947.6000000000004</v>
      </c>
      <c r="G294" s="31">
        <f t="shared" si="4"/>
        <v>0</v>
      </c>
      <c r="H294" s="41" t="s">
        <v>94</v>
      </c>
      <c r="I294" s="3"/>
      <c r="J294" s="42"/>
      <c r="K294" s="3"/>
    </row>
    <row r="295" spans="1:11" x14ac:dyDescent="0.25">
      <c r="A295" s="12">
        <v>42098</v>
      </c>
      <c r="B295" s="183">
        <v>16832</v>
      </c>
      <c r="C295" s="14" t="s">
        <v>128</v>
      </c>
      <c r="D295" s="105">
        <v>3247.6</v>
      </c>
      <c r="E295" s="23">
        <v>42099</v>
      </c>
      <c r="F295" s="106">
        <v>3247.6</v>
      </c>
      <c r="G295" s="31">
        <f t="shared" si="4"/>
        <v>0</v>
      </c>
      <c r="H295" s="19" t="s">
        <v>94</v>
      </c>
      <c r="I295" s="3"/>
      <c r="J295" s="42"/>
      <c r="K295" s="3"/>
    </row>
    <row r="296" spans="1:11" x14ac:dyDescent="0.25">
      <c r="A296" s="20">
        <v>42098</v>
      </c>
      <c r="B296" s="183">
        <v>16833</v>
      </c>
      <c r="C296" s="14" t="s">
        <v>234</v>
      </c>
      <c r="D296" s="105">
        <v>317.3</v>
      </c>
      <c r="E296" s="23">
        <v>42098</v>
      </c>
      <c r="F296" s="106">
        <v>317.3</v>
      </c>
      <c r="G296" s="31">
        <f t="shared" si="4"/>
        <v>0</v>
      </c>
      <c r="H296" s="19" t="s">
        <v>9</v>
      </c>
      <c r="I296" s="3"/>
      <c r="J296" s="42"/>
      <c r="K296" s="3"/>
    </row>
    <row r="297" spans="1:11" x14ac:dyDescent="0.25">
      <c r="A297" s="12">
        <v>42098</v>
      </c>
      <c r="B297" s="183">
        <v>16834</v>
      </c>
      <c r="C297" s="14" t="s">
        <v>86</v>
      </c>
      <c r="D297" s="105">
        <v>103.7</v>
      </c>
      <c r="E297" s="23">
        <v>42098</v>
      </c>
      <c r="F297" s="106">
        <v>103.7</v>
      </c>
      <c r="G297" s="31">
        <f t="shared" si="4"/>
        <v>0</v>
      </c>
      <c r="H297" s="19" t="s">
        <v>9</v>
      </c>
      <c r="I297" s="3"/>
      <c r="J297" s="42"/>
      <c r="K297" s="3"/>
    </row>
    <row r="298" spans="1:11" x14ac:dyDescent="0.25">
      <c r="A298" s="20">
        <v>42098</v>
      </c>
      <c r="B298" s="183">
        <v>16835</v>
      </c>
      <c r="C298" s="14" t="s">
        <v>24</v>
      </c>
      <c r="D298" s="105">
        <v>184631.54</v>
      </c>
      <c r="E298" s="23" t="s">
        <v>1199</v>
      </c>
      <c r="F298" s="144">
        <f>184246.3+385.24</f>
        <v>184631.53999999998</v>
      </c>
      <c r="G298" s="190">
        <f t="shared" si="4"/>
        <v>0</v>
      </c>
      <c r="H298" s="19" t="s">
        <v>9</v>
      </c>
      <c r="I298" s="3"/>
      <c r="J298" s="42"/>
      <c r="K298" s="3"/>
    </row>
    <row r="299" spans="1:11" x14ac:dyDescent="0.25">
      <c r="A299" s="12">
        <v>42098</v>
      </c>
      <c r="B299" s="183">
        <v>16836</v>
      </c>
      <c r="C299" s="14" t="s">
        <v>571</v>
      </c>
      <c r="D299" s="105">
        <v>53075.1</v>
      </c>
      <c r="E299" s="23">
        <v>42101</v>
      </c>
      <c r="F299" s="106">
        <v>53075.1</v>
      </c>
      <c r="G299" s="31">
        <f t="shared" si="4"/>
        <v>0</v>
      </c>
      <c r="H299" s="19" t="s">
        <v>17</v>
      </c>
      <c r="I299" s="3"/>
      <c r="J299" s="42"/>
      <c r="K299" s="3"/>
    </row>
    <row r="300" spans="1:11" x14ac:dyDescent="0.25">
      <c r="A300" s="20">
        <v>42098</v>
      </c>
      <c r="B300" s="183">
        <v>16837</v>
      </c>
      <c r="C300" s="14" t="s">
        <v>111</v>
      </c>
      <c r="D300" s="105">
        <v>250728</v>
      </c>
      <c r="E300" s="23">
        <v>42102</v>
      </c>
      <c r="F300" s="106">
        <v>250728</v>
      </c>
      <c r="G300" s="31">
        <f t="shared" si="4"/>
        <v>0</v>
      </c>
      <c r="H300" s="19" t="s">
        <v>9</v>
      </c>
      <c r="I300" s="3"/>
      <c r="J300" s="42"/>
      <c r="K300" s="3"/>
    </row>
    <row r="301" spans="1:11" x14ac:dyDescent="0.25">
      <c r="A301" s="20">
        <v>42099</v>
      </c>
      <c r="B301" s="183">
        <v>16838</v>
      </c>
      <c r="C301" s="14" t="s">
        <v>24</v>
      </c>
      <c r="D301" s="105">
        <v>58688.7</v>
      </c>
      <c r="E301" s="30">
        <v>42125</v>
      </c>
      <c r="F301" s="144">
        <v>58688.7</v>
      </c>
      <c r="G301" s="31">
        <f t="shared" si="4"/>
        <v>0</v>
      </c>
      <c r="H301" s="19" t="s">
        <v>773</v>
      </c>
      <c r="I301" s="3"/>
      <c r="J301" s="42"/>
      <c r="K301" s="3"/>
    </row>
    <row r="302" spans="1:11" x14ac:dyDescent="0.25">
      <c r="A302" s="20">
        <v>42099</v>
      </c>
      <c r="B302" s="183">
        <v>16839</v>
      </c>
      <c r="C302" s="14" t="s">
        <v>296</v>
      </c>
      <c r="D302" s="105">
        <v>1128</v>
      </c>
      <c r="E302" s="23">
        <v>42099</v>
      </c>
      <c r="F302" s="106">
        <v>1128</v>
      </c>
      <c r="G302" s="31">
        <f t="shared" si="4"/>
        <v>0</v>
      </c>
      <c r="H302" s="19" t="s">
        <v>9</v>
      </c>
      <c r="I302" s="3"/>
      <c r="J302" s="42"/>
      <c r="K302" s="3"/>
    </row>
    <row r="303" spans="1:11" x14ac:dyDescent="0.25">
      <c r="A303" s="20">
        <v>42099</v>
      </c>
      <c r="B303" s="183">
        <v>16840</v>
      </c>
      <c r="C303" s="14" t="s">
        <v>720</v>
      </c>
      <c r="D303" s="105">
        <v>6956.4</v>
      </c>
      <c r="E303" s="23">
        <v>42099</v>
      </c>
      <c r="F303" s="106">
        <v>6956.4</v>
      </c>
      <c r="G303" s="31">
        <f t="shared" si="4"/>
        <v>0</v>
      </c>
      <c r="H303" s="19" t="s">
        <v>9</v>
      </c>
      <c r="I303" s="3"/>
      <c r="J303" s="42"/>
      <c r="K303" s="3"/>
    </row>
    <row r="304" spans="1:11" x14ac:dyDescent="0.25">
      <c r="A304" s="20">
        <v>42099</v>
      </c>
      <c r="B304" s="183">
        <v>16841</v>
      </c>
      <c r="C304" s="14" t="s">
        <v>829</v>
      </c>
      <c r="D304" s="105">
        <v>2422</v>
      </c>
      <c r="E304" s="23">
        <v>42099</v>
      </c>
      <c r="F304" s="106">
        <v>2422</v>
      </c>
      <c r="G304" s="31">
        <f t="shared" si="4"/>
        <v>0</v>
      </c>
      <c r="H304" s="19" t="s">
        <v>9</v>
      </c>
      <c r="I304" s="3"/>
      <c r="J304" s="42"/>
      <c r="K304" s="3"/>
    </row>
    <row r="305" spans="1:11" x14ac:dyDescent="0.25">
      <c r="A305" s="20">
        <v>42099</v>
      </c>
      <c r="B305" s="183">
        <v>16842</v>
      </c>
      <c r="C305" s="26" t="s">
        <v>218</v>
      </c>
      <c r="D305" s="108">
        <v>0</v>
      </c>
      <c r="E305" s="23"/>
      <c r="F305" s="106"/>
      <c r="G305" s="31">
        <f t="shared" si="4"/>
        <v>0</v>
      </c>
      <c r="H305" s="19" t="s">
        <v>13</v>
      </c>
      <c r="I305" s="3"/>
      <c r="J305" s="42"/>
      <c r="K305" s="3"/>
    </row>
    <row r="306" spans="1:11" x14ac:dyDescent="0.25">
      <c r="A306" s="20">
        <v>42099</v>
      </c>
      <c r="B306" s="183">
        <v>16843</v>
      </c>
      <c r="C306" s="14" t="s">
        <v>18</v>
      </c>
      <c r="D306" s="105">
        <v>2007.5</v>
      </c>
      <c r="E306" s="23">
        <v>42099</v>
      </c>
      <c r="F306" s="106">
        <v>2007.5</v>
      </c>
      <c r="G306" s="31">
        <f t="shared" si="4"/>
        <v>0</v>
      </c>
      <c r="H306" s="19" t="s">
        <v>9</v>
      </c>
      <c r="I306" s="3"/>
      <c r="J306" s="42"/>
      <c r="K306" s="3"/>
    </row>
    <row r="307" spans="1:11" x14ac:dyDescent="0.25">
      <c r="A307" s="20">
        <v>42099</v>
      </c>
      <c r="B307" s="183">
        <v>16844</v>
      </c>
      <c r="C307" s="14" t="s">
        <v>21</v>
      </c>
      <c r="D307" s="105">
        <v>9560.4</v>
      </c>
      <c r="E307" s="23">
        <v>42099</v>
      </c>
      <c r="F307" s="106">
        <v>9560.4</v>
      </c>
      <c r="G307" s="31">
        <f t="shared" si="4"/>
        <v>0</v>
      </c>
      <c r="H307" s="19" t="s">
        <v>9</v>
      </c>
      <c r="I307" s="3"/>
      <c r="J307" s="42"/>
      <c r="K307" s="3"/>
    </row>
    <row r="308" spans="1:11" x14ac:dyDescent="0.25">
      <c r="A308" s="20">
        <v>42099</v>
      </c>
      <c r="B308" s="183">
        <v>16845</v>
      </c>
      <c r="C308" s="14" t="s">
        <v>16</v>
      </c>
      <c r="D308" s="105">
        <v>9903.6</v>
      </c>
      <c r="E308" s="23">
        <v>42101</v>
      </c>
      <c r="F308" s="106">
        <v>9903.6</v>
      </c>
      <c r="G308" s="31">
        <f t="shared" si="4"/>
        <v>0</v>
      </c>
      <c r="H308" s="19" t="s">
        <v>17</v>
      </c>
      <c r="I308" s="3"/>
      <c r="J308" s="42"/>
      <c r="K308" s="3"/>
    </row>
    <row r="309" spans="1:11" x14ac:dyDescent="0.25">
      <c r="A309" s="20">
        <v>42099</v>
      </c>
      <c r="B309" s="183">
        <v>16846</v>
      </c>
      <c r="C309" s="150" t="s">
        <v>91</v>
      </c>
      <c r="D309" s="105">
        <v>19893.95</v>
      </c>
      <c r="E309" s="23">
        <v>42099</v>
      </c>
      <c r="F309" s="106">
        <v>19893.95</v>
      </c>
      <c r="G309" s="31">
        <f t="shared" si="4"/>
        <v>0</v>
      </c>
      <c r="H309" s="19" t="s">
        <v>59</v>
      </c>
      <c r="I309" s="3"/>
      <c r="J309" s="42"/>
      <c r="K309" s="3"/>
    </row>
    <row r="310" spans="1:11" x14ac:dyDescent="0.25">
      <c r="A310" s="20">
        <v>42099</v>
      </c>
      <c r="B310" s="183">
        <v>16847</v>
      </c>
      <c r="C310" s="14" t="s">
        <v>120</v>
      </c>
      <c r="D310" s="105">
        <v>1990.8</v>
      </c>
      <c r="E310" s="23">
        <v>42099</v>
      </c>
      <c r="F310" s="106">
        <v>1990.8</v>
      </c>
      <c r="G310" s="31">
        <f t="shared" si="4"/>
        <v>0</v>
      </c>
      <c r="H310" s="19" t="s">
        <v>59</v>
      </c>
      <c r="I310" s="3"/>
      <c r="J310" s="42"/>
      <c r="K310" s="3"/>
    </row>
    <row r="311" spans="1:11" x14ac:dyDescent="0.25">
      <c r="A311" s="20">
        <v>42099</v>
      </c>
      <c r="B311" s="183">
        <v>16848</v>
      </c>
      <c r="C311" s="110">
        <v>105</v>
      </c>
      <c r="D311" s="105">
        <v>2176</v>
      </c>
      <c r="E311" s="23">
        <v>42099</v>
      </c>
      <c r="F311" s="106">
        <v>2176</v>
      </c>
      <c r="G311" s="31">
        <f t="shared" si="4"/>
        <v>0</v>
      </c>
      <c r="H311" s="19" t="s">
        <v>59</v>
      </c>
      <c r="I311" s="3"/>
      <c r="J311" s="42"/>
      <c r="K311" s="3"/>
    </row>
    <row r="312" spans="1:11" x14ac:dyDescent="0.25">
      <c r="A312" s="20">
        <v>42099</v>
      </c>
      <c r="B312" s="183">
        <v>16849</v>
      </c>
      <c r="C312" s="14" t="s">
        <v>114</v>
      </c>
      <c r="D312" s="105">
        <v>2852</v>
      </c>
      <c r="E312" s="23">
        <v>42099</v>
      </c>
      <c r="F312" s="106">
        <v>2852</v>
      </c>
      <c r="G312" s="31">
        <f t="shared" si="4"/>
        <v>0</v>
      </c>
      <c r="H312" s="19" t="s">
        <v>9</v>
      </c>
      <c r="I312" s="3"/>
      <c r="J312" s="42"/>
      <c r="K312" s="3"/>
    </row>
    <row r="313" spans="1:11" x14ac:dyDescent="0.25">
      <c r="A313" s="20">
        <v>42099</v>
      </c>
      <c r="B313" s="183">
        <v>16850</v>
      </c>
      <c r="C313" s="26" t="s">
        <v>218</v>
      </c>
      <c r="D313" s="108">
        <v>0</v>
      </c>
      <c r="E313" s="23"/>
      <c r="F313" s="106"/>
      <c r="G313" s="31">
        <f t="shared" si="4"/>
        <v>0</v>
      </c>
      <c r="H313" s="19" t="s">
        <v>13</v>
      </c>
      <c r="I313" s="3"/>
      <c r="J313" s="42"/>
      <c r="K313" s="3"/>
    </row>
    <row r="314" spans="1:11" x14ac:dyDescent="0.25">
      <c r="A314" s="20">
        <v>42099</v>
      </c>
      <c r="B314" s="183">
        <v>16851</v>
      </c>
      <c r="C314" s="14" t="s">
        <v>20</v>
      </c>
      <c r="D314" s="105">
        <v>11294.75</v>
      </c>
      <c r="E314" s="23">
        <v>42099</v>
      </c>
      <c r="F314" s="106">
        <v>11294.75</v>
      </c>
      <c r="G314" s="31">
        <f t="shared" si="4"/>
        <v>0</v>
      </c>
      <c r="H314" s="19" t="s">
        <v>62</v>
      </c>
      <c r="I314" s="3"/>
      <c r="J314" s="42"/>
      <c r="K314" s="3"/>
    </row>
    <row r="315" spans="1:11" x14ac:dyDescent="0.25">
      <c r="A315" s="20">
        <v>42099</v>
      </c>
      <c r="B315" s="183">
        <v>16852</v>
      </c>
      <c r="C315" s="14" t="s">
        <v>256</v>
      </c>
      <c r="D315" s="105">
        <v>6474</v>
      </c>
      <c r="E315" s="23">
        <v>42099</v>
      </c>
      <c r="F315" s="106">
        <v>6474</v>
      </c>
      <c r="G315" s="31">
        <f t="shared" si="4"/>
        <v>0</v>
      </c>
      <c r="H315" s="19" t="s">
        <v>773</v>
      </c>
      <c r="I315" s="3"/>
      <c r="J315" s="42"/>
      <c r="K315" s="3"/>
    </row>
    <row r="316" spans="1:11" x14ac:dyDescent="0.25">
      <c r="A316" s="20">
        <v>42099</v>
      </c>
      <c r="B316" s="183">
        <v>16853</v>
      </c>
      <c r="C316" s="14" t="s">
        <v>239</v>
      </c>
      <c r="D316" s="105">
        <v>1184.4000000000001</v>
      </c>
      <c r="E316" s="23">
        <v>42099</v>
      </c>
      <c r="F316" s="106">
        <v>1184.4000000000001</v>
      </c>
      <c r="G316" s="31">
        <f t="shared" si="4"/>
        <v>0</v>
      </c>
      <c r="H316" s="19" t="s">
        <v>9</v>
      </c>
      <c r="I316" s="3"/>
      <c r="J316" s="42"/>
      <c r="K316" s="3"/>
    </row>
    <row r="317" spans="1:11" x14ac:dyDescent="0.25">
      <c r="A317" s="20">
        <v>42099</v>
      </c>
      <c r="B317" s="183">
        <v>16854</v>
      </c>
      <c r="C317" s="14" t="s">
        <v>37</v>
      </c>
      <c r="D317" s="105">
        <v>20205.7</v>
      </c>
      <c r="E317" s="23">
        <v>42102</v>
      </c>
      <c r="F317" s="106">
        <v>20205.7</v>
      </c>
      <c r="G317" s="31">
        <f t="shared" si="4"/>
        <v>0</v>
      </c>
      <c r="H317" s="19" t="s">
        <v>773</v>
      </c>
      <c r="I317" s="3"/>
      <c r="J317" s="42"/>
      <c r="K317" s="3"/>
    </row>
    <row r="318" spans="1:11" x14ac:dyDescent="0.25">
      <c r="A318" s="20">
        <v>42099</v>
      </c>
      <c r="B318" s="183">
        <v>16855</v>
      </c>
      <c r="C318" s="14" t="s">
        <v>56</v>
      </c>
      <c r="D318" s="105">
        <v>12777</v>
      </c>
      <c r="E318" s="23">
        <v>42099</v>
      </c>
      <c r="F318" s="106">
        <v>12777</v>
      </c>
      <c r="G318" s="31">
        <f t="shared" si="4"/>
        <v>0</v>
      </c>
      <c r="H318" s="19" t="s">
        <v>773</v>
      </c>
      <c r="I318" s="3"/>
      <c r="J318" s="42"/>
      <c r="K318" s="3"/>
    </row>
    <row r="319" spans="1:11" x14ac:dyDescent="0.25">
      <c r="A319" s="20">
        <v>42099</v>
      </c>
      <c r="B319" s="183">
        <v>16856</v>
      </c>
      <c r="C319" s="14" t="s">
        <v>55</v>
      </c>
      <c r="D319" s="105">
        <v>2149.15</v>
      </c>
      <c r="E319" s="23">
        <v>42099</v>
      </c>
      <c r="F319" s="106">
        <v>2149.15</v>
      </c>
      <c r="G319" s="31">
        <f t="shared" si="4"/>
        <v>0</v>
      </c>
      <c r="H319" s="19" t="s">
        <v>773</v>
      </c>
      <c r="I319" s="3"/>
      <c r="J319" s="42"/>
      <c r="K319" s="3"/>
    </row>
    <row r="320" spans="1:11" x14ac:dyDescent="0.25">
      <c r="A320" s="20">
        <v>42099</v>
      </c>
      <c r="B320" s="183">
        <v>16857</v>
      </c>
      <c r="C320" s="14" t="s">
        <v>152</v>
      </c>
      <c r="D320" s="105">
        <v>2315.1999999999998</v>
      </c>
      <c r="E320" s="23">
        <v>42099</v>
      </c>
      <c r="F320" s="106">
        <v>2315.1999999999998</v>
      </c>
      <c r="G320" s="31">
        <f t="shared" si="4"/>
        <v>0</v>
      </c>
      <c r="H320" s="19" t="s">
        <v>59</v>
      </c>
      <c r="I320" s="3"/>
      <c r="J320" s="42"/>
      <c r="K320" s="3"/>
    </row>
    <row r="321" spans="1:11" x14ac:dyDescent="0.25">
      <c r="A321" s="20">
        <v>42099</v>
      </c>
      <c r="B321" s="183">
        <v>16858</v>
      </c>
      <c r="C321" s="14" t="s">
        <v>33</v>
      </c>
      <c r="D321" s="105">
        <v>17055.5</v>
      </c>
      <c r="E321" s="23">
        <v>42099</v>
      </c>
      <c r="F321" s="106">
        <v>17055.5</v>
      </c>
      <c r="G321" s="31">
        <f t="shared" si="4"/>
        <v>0</v>
      </c>
      <c r="H321" s="19" t="s">
        <v>9</v>
      </c>
      <c r="I321" s="3"/>
      <c r="J321" s="42"/>
      <c r="K321" s="3"/>
    </row>
    <row r="322" spans="1:11" x14ac:dyDescent="0.25">
      <c r="A322" s="20">
        <v>42099</v>
      </c>
      <c r="B322" s="183">
        <v>16859</v>
      </c>
      <c r="C322" s="14" t="s">
        <v>162</v>
      </c>
      <c r="D322" s="105">
        <v>1036.8</v>
      </c>
      <c r="E322" s="23">
        <v>42099</v>
      </c>
      <c r="F322" s="106">
        <v>1036.8</v>
      </c>
      <c r="G322" s="31">
        <f t="shared" si="4"/>
        <v>0</v>
      </c>
      <c r="H322" s="19" t="s">
        <v>773</v>
      </c>
      <c r="I322" s="3"/>
      <c r="J322" s="42"/>
      <c r="K322" s="3"/>
    </row>
    <row r="323" spans="1:11" x14ac:dyDescent="0.25">
      <c r="A323" s="20">
        <v>42099</v>
      </c>
      <c r="B323" s="183">
        <v>16860</v>
      </c>
      <c r="C323" s="14" t="s">
        <v>161</v>
      </c>
      <c r="D323" s="105">
        <v>2286.9</v>
      </c>
      <c r="E323" s="23">
        <v>42099</v>
      </c>
      <c r="F323" s="106">
        <v>2286.9</v>
      </c>
      <c r="G323" s="31">
        <f t="shared" ref="G323:G386" si="5">D323-F323</f>
        <v>0</v>
      </c>
      <c r="H323" s="19" t="s">
        <v>9</v>
      </c>
      <c r="I323" s="3"/>
      <c r="J323" s="42"/>
      <c r="K323" s="3"/>
    </row>
    <row r="324" spans="1:11" x14ac:dyDescent="0.25">
      <c r="A324" s="20">
        <v>42099</v>
      </c>
      <c r="B324" s="183">
        <v>16861</v>
      </c>
      <c r="C324" s="14" t="s">
        <v>57</v>
      </c>
      <c r="D324" s="105">
        <v>516.79999999999995</v>
      </c>
      <c r="E324" s="23">
        <v>42099</v>
      </c>
      <c r="F324" s="106">
        <v>516.79999999999995</v>
      </c>
      <c r="G324" s="31">
        <f t="shared" si="5"/>
        <v>0</v>
      </c>
      <c r="H324" s="19" t="s">
        <v>59</v>
      </c>
      <c r="I324" s="3"/>
      <c r="J324" s="42"/>
      <c r="K324" s="3"/>
    </row>
    <row r="325" spans="1:11" x14ac:dyDescent="0.25">
      <c r="A325" s="20">
        <v>42099</v>
      </c>
      <c r="B325" s="183">
        <v>16862</v>
      </c>
      <c r="C325" s="14" t="s">
        <v>31</v>
      </c>
      <c r="D325" s="105">
        <v>3952</v>
      </c>
      <c r="E325" s="23">
        <v>42099</v>
      </c>
      <c r="F325" s="106">
        <v>3952</v>
      </c>
      <c r="G325" s="31">
        <f t="shared" si="5"/>
        <v>0</v>
      </c>
      <c r="H325" s="19" t="s">
        <v>59</v>
      </c>
      <c r="I325" s="3"/>
      <c r="J325" s="42"/>
      <c r="K325" s="3"/>
    </row>
    <row r="326" spans="1:11" x14ac:dyDescent="0.25">
      <c r="A326" s="20">
        <v>42099</v>
      </c>
      <c r="B326" s="183">
        <v>16863</v>
      </c>
      <c r="C326" s="14" t="s">
        <v>118</v>
      </c>
      <c r="D326" s="105">
        <v>1064.8</v>
      </c>
      <c r="E326" s="23">
        <v>42099</v>
      </c>
      <c r="F326" s="106">
        <v>1064.8</v>
      </c>
      <c r="G326" s="31">
        <f t="shared" si="5"/>
        <v>0</v>
      </c>
      <c r="H326" s="19" t="s">
        <v>9</v>
      </c>
      <c r="I326" s="3"/>
      <c r="J326" s="42"/>
      <c r="K326" s="3"/>
    </row>
    <row r="327" spans="1:11" x14ac:dyDescent="0.25">
      <c r="A327" s="20">
        <v>42099</v>
      </c>
      <c r="B327" s="183">
        <v>16864</v>
      </c>
      <c r="C327" s="14" t="s">
        <v>854</v>
      </c>
      <c r="D327" s="105">
        <v>6338.75</v>
      </c>
      <c r="E327" s="23">
        <v>42099</v>
      </c>
      <c r="F327" s="106">
        <v>6338.75</v>
      </c>
      <c r="G327" s="31">
        <f t="shared" si="5"/>
        <v>0</v>
      </c>
      <c r="H327" s="19" t="s">
        <v>9</v>
      </c>
      <c r="I327" s="3"/>
      <c r="J327" s="42"/>
      <c r="K327" s="3"/>
    </row>
    <row r="328" spans="1:11" x14ac:dyDescent="0.25">
      <c r="A328" s="20">
        <v>42099</v>
      </c>
      <c r="B328" s="183">
        <v>16865</v>
      </c>
      <c r="C328" s="14" t="s">
        <v>45</v>
      </c>
      <c r="D328" s="105">
        <v>26590.400000000001</v>
      </c>
      <c r="E328" s="23">
        <v>42104</v>
      </c>
      <c r="F328" s="106">
        <v>26590.400000000001</v>
      </c>
      <c r="G328" s="31">
        <f t="shared" si="5"/>
        <v>0</v>
      </c>
      <c r="H328" s="19" t="s">
        <v>59</v>
      </c>
      <c r="I328" s="3"/>
      <c r="J328" s="42"/>
      <c r="K328" s="3"/>
    </row>
    <row r="329" spans="1:11" x14ac:dyDescent="0.25">
      <c r="A329" s="20">
        <v>42099</v>
      </c>
      <c r="B329" s="183">
        <v>16866</v>
      </c>
      <c r="C329" s="14" t="s">
        <v>83</v>
      </c>
      <c r="D329" s="105">
        <v>1540</v>
      </c>
      <c r="E329" s="23">
        <v>42099</v>
      </c>
      <c r="F329" s="106">
        <v>1540</v>
      </c>
      <c r="G329" s="31">
        <f t="shared" si="5"/>
        <v>0</v>
      </c>
      <c r="H329" s="19" t="s">
        <v>59</v>
      </c>
      <c r="I329" s="3"/>
      <c r="J329" s="42"/>
      <c r="K329" s="3"/>
    </row>
    <row r="330" spans="1:11" x14ac:dyDescent="0.25">
      <c r="A330" s="20">
        <v>42099</v>
      </c>
      <c r="B330" s="183">
        <v>16867</v>
      </c>
      <c r="C330" s="14" t="s">
        <v>71</v>
      </c>
      <c r="D330" s="105">
        <v>7423.8</v>
      </c>
      <c r="E330" s="23">
        <v>42099</v>
      </c>
      <c r="F330" s="106">
        <v>7423.8</v>
      </c>
      <c r="G330" s="31">
        <f t="shared" si="5"/>
        <v>0</v>
      </c>
      <c r="H330" s="19" t="s">
        <v>9</v>
      </c>
      <c r="I330" s="3"/>
      <c r="J330" s="42"/>
      <c r="K330" s="3"/>
    </row>
    <row r="331" spans="1:11" x14ac:dyDescent="0.25">
      <c r="A331" s="20">
        <v>42099</v>
      </c>
      <c r="B331" s="183">
        <v>16868</v>
      </c>
      <c r="C331" s="14" t="s">
        <v>229</v>
      </c>
      <c r="D331" s="105">
        <v>4168.04</v>
      </c>
      <c r="E331" s="23">
        <v>42099</v>
      </c>
      <c r="F331" s="106">
        <v>4168.04</v>
      </c>
      <c r="G331" s="31">
        <f t="shared" si="5"/>
        <v>0</v>
      </c>
      <c r="H331" s="19" t="s">
        <v>9</v>
      </c>
      <c r="I331" s="3"/>
      <c r="J331" s="42"/>
      <c r="K331" s="3"/>
    </row>
    <row r="332" spans="1:11" x14ac:dyDescent="0.25">
      <c r="A332" s="20">
        <v>42099</v>
      </c>
      <c r="B332" s="183">
        <v>16869</v>
      </c>
      <c r="C332" s="14" t="s">
        <v>34</v>
      </c>
      <c r="D332" s="105">
        <v>4185.2</v>
      </c>
      <c r="E332" s="23">
        <v>42099</v>
      </c>
      <c r="F332" s="106">
        <v>4185.2</v>
      </c>
      <c r="G332" s="31">
        <f t="shared" si="5"/>
        <v>0</v>
      </c>
      <c r="H332" s="19" t="s">
        <v>9</v>
      </c>
      <c r="I332" s="3"/>
      <c r="J332" s="42"/>
      <c r="K332" s="3"/>
    </row>
    <row r="333" spans="1:11" x14ac:dyDescent="0.25">
      <c r="A333" s="20">
        <v>42099</v>
      </c>
      <c r="B333" s="183">
        <v>16870</v>
      </c>
      <c r="C333" s="14" t="s">
        <v>383</v>
      </c>
      <c r="D333" s="105">
        <v>1656</v>
      </c>
      <c r="E333" s="23">
        <v>42099</v>
      </c>
      <c r="F333" s="106">
        <v>1656</v>
      </c>
      <c r="G333" s="31">
        <f t="shared" si="5"/>
        <v>0</v>
      </c>
      <c r="H333" s="19" t="s">
        <v>9</v>
      </c>
      <c r="I333" s="3"/>
      <c r="J333" s="42"/>
      <c r="K333" s="3"/>
    </row>
    <row r="334" spans="1:11" x14ac:dyDescent="0.25">
      <c r="A334" s="20">
        <v>42099</v>
      </c>
      <c r="B334" s="183">
        <v>16871</v>
      </c>
      <c r="C334" s="14" t="s">
        <v>26</v>
      </c>
      <c r="D334" s="105">
        <v>1632</v>
      </c>
      <c r="E334" s="23">
        <v>42099</v>
      </c>
      <c r="F334" s="106">
        <v>1632</v>
      </c>
      <c r="G334" s="31">
        <f t="shared" si="5"/>
        <v>0</v>
      </c>
      <c r="H334" s="19" t="s">
        <v>62</v>
      </c>
      <c r="I334" s="3"/>
      <c r="J334" s="42"/>
      <c r="K334" s="3"/>
    </row>
    <row r="335" spans="1:11" x14ac:dyDescent="0.25">
      <c r="A335" s="20">
        <v>42099</v>
      </c>
      <c r="B335" s="183">
        <v>16872</v>
      </c>
      <c r="C335" s="14" t="s">
        <v>87</v>
      </c>
      <c r="D335" s="105">
        <v>8147.4</v>
      </c>
      <c r="E335" s="23">
        <v>42099</v>
      </c>
      <c r="F335" s="106">
        <v>8147.4</v>
      </c>
      <c r="G335" s="31">
        <f t="shared" si="5"/>
        <v>0</v>
      </c>
      <c r="H335" s="19" t="s">
        <v>9</v>
      </c>
      <c r="I335" s="3"/>
      <c r="J335" s="42"/>
      <c r="K335" s="3"/>
    </row>
    <row r="336" spans="1:11" x14ac:dyDescent="0.25">
      <c r="A336" s="20">
        <v>42099</v>
      </c>
      <c r="B336" s="183">
        <v>16873</v>
      </c>
      <c r="C336" s="14" t="s">
        <v>130</v>
      </c>
      <c r="D336" s="105">
        <v>10131.299999999999</v>
      </c>
      <c r="E336" s="23">
        <v>42102</v>
      </c>
      <c r="F336" s="106">
        <v>10131.299999999999</v>
      </c>
      <c r="G336" s="31">
        <f t="shared" si="5"/>
        <v>0</v>
      </c>
      <c r="H336" s="19" t="s">
        <v>17</v>
      </c>
      <c r="I336" s="3"/>
      <c r="J336" s="42"/>
      <c r="K336" s="3"/>
    </row>
    <row r="337" spans="1:11" x14ac:dyDescent="0.25">
      <c r="A337" s="20">
        <v>42099</v>
      </c>
      <c r="B337" s="183">
        <v>16874</v>
      </c>
      <c r="C337" s="14" t="s">
        <v>130</v>
      </c>
      <c r="D337" s="105">
        <v>4387.3999999999996</v>
      </c>
      <c r="E337" s="23">
        <v>42101</v>
      </c>
      <c r="F337" s="106">
        <v>4387.3999999999996</v>
      </c>
      <c r="G337" s="31">
        <f t="shared" si="5"/>
        <v>0</v>
      </c>
      <c r="H337" s="19" t="s">
        <v>17</v>
      </c>
      <c r="I337" s="3"/>
      <c r="J337" s="42"/>
      <c r="K337" s="3"/>
    </row>
    <row r="338" spans="1:11" x14ac:dyDescent="0.25">
      <c r="A338" s="20">
        <v>42099</v>
      </c>
      <c r="B338" s="183">
        <v>16875</v>
      </c>
      <c r="C338" s="14" t="s">
        <v>131</v>
      </c>
      <c r="D338" s="105">
        <v>9358.2999999999993</v>
      </c>
      <c r="E338" s="23">
        <v>42101</v>
      </c>
      <c r="F338" s="106">
        <v>9358.2999999999993</v>
      </c>
      <c r="G338" s="31">
        <f t="shared" si="5"/>
        <v>0</v>
      </c>
      <c r="H338" s="19" t="s">
        <v>17</v>
      </c>
      <c r="K338" s="3"/>
    </row>
    <row r="339" spans="1:11" x14ac:dyDescent="0.25">
      <c r="A339" s="20">
        <v>42099</v>
      </c>
      <c r="B339" s="183">
        <v>16876</v>
      </c>
      <c r="C339" s="14" t="s">
        <v>165</v>
      </c>
      <c r="D339" s="105">
        <v>763.6</v>
      </c>
      <c r="E339" s="23">
        <v>42101</v>
      </c>
      <c r="F339" s="106">
        <v>763.6</v>
      </c>
      <c r="G339" s="31">
        <f t="shared" si="5"/>
        <v>0</v>
      </c>
      <c r="H339" s="19" t="s">
        <v>17</v>
      </c>
      <c r="K339" s="3"/>
    </row>
    <row r="340" spans="1:11" x14ac:dyDescent="0.25">
      <c r="A340" s="20">
        <v>42099</v>
      </c>
      <c r="B340" s="183">
        <v>16877</v>
      </c>
      <c r="C340" s="14" t="s">
        <v>137</v>
      </c>
      <c r="D340" s="105">
        <v>370.2</v>
      </c>
      <c r="E340" s="23">
        <v>42099</v>
      </c>
      <c r="F340" s="106">
        <v>370.2</v>
      </c>
      <c r="G340" s="31">
        <f t="shared" si="5"/>
        <v>0</v>
      </c>
      <c r="H340" s="19" t="s">
        <v>9</v>
      </c>
      <c r="K340" s="3"/>
    </row>
    <row r="341" spans="1:11" x14ac:dyDescent="0.25">
      <c r="A341" s="20">
        <v>42099</v>
      </c>
      <c r="B341" s="183">
        <v>16878</v>
      </c>
      <c r="C341" s="14" t="s">
        <v>143</v>
      </c>
      <c r="D341" s="105">
        <v>4228</v>
      </c>
      <c r="E341" s="23">
        <v>42101</v>
      </c>
      <c r="F341" s="106">
        <v>4228</v>
      </c>
      <c r="G341" s="31">
        <f t="shared" si="5"/>
        <v>0</v>
      </c>
      <c r="H341" s="19" t="s">
        <v>9</v>
      </c>
      <c r="K341" s="3"/>
    </row>
    <row r="342" spans="1:11" x14ac:dyDescent="0.25">
      <c r="A342" s="20">
        <v>42099</v>
      </c>
      <c r="B342" s="183">
        <v>16879</v>
      </c>
      <c r="C342" s="14" t="s">
        <v>50</v>
      </c>
      <c r="D342" s="105">
        <v>1795.2</v>
      </c>
      <c r="E342" s="23">
        <v>42099</v>
      </c>
      <c r="F342" s="106">
        <v>1795.2</v>
      </c>
      <c r="G342" s="31">
        <f t="shared" si="5"/>
        <v>0</v>
      </c>
      <c r="H342" s="19" t="s">
        <v>62</v>
      </c>
      <c r="K342" s="3"/>
    </row>
    <row r="343" spans="1:11" x14ac:dyDescent="0.25">
      <c r="A343" s="20">
        <v>42099</v>
      </c>
      <c r="B343" s="183">
        <v>16880</v>
      </c>
      <c r="C343" s="14" t="s">
        <v>571</v>
      </c>
      <c r="D343" s="105">
        <v>53075.1</v>
      </c>
      <c r="E343" s="23">
        <v>42099</v>
      </c>
      <c r="F343" s="106">
        <v>53075.1</v>
      </c>
      <c r="G343" s="31">
        <f t="shared" si="5"/>
        <v>0</v>
      </c>
      <c r="H343" s="19" t="s">
        <v>62</v>
      </c>
      <c r="K343" s="3"/>
    </row>
    <row r="344" spans="1:11" x14ac:dyDescent="0.25">
      <c r="A344" s="20">
        <v>42099</v>
      </c>
      <c r="B344" s="183">
        <v>16881</v>
      </c>
      <c r="C344" s="14" t="s">
        <v>1041</v>
      </c>
      <c r="D344" s="105">
        <v>17131.84</v>
      </c>
      <c r="E344" s="23">
        <v>42099</v>
      </c>
      <c r="F344" s="106">
        <v>17131.84</v>
      </c>
      <c r="G344" s="31">
        <f t="shared" si="5"/>
        <v>0</v>
      </c>
      <c r="H344" s="19" t="s">
        <v>9</v>
      </c>
      <c r="K344" s="3"/>
    </row>
    <row r="345" spans="1:11" x14ac:dyDescent="0.25">
      <c r="A345" s="20">
        <v>42099</v>
      </c>
      <c r="B345" s="183">
        <v>16882</v>
      </c>
      <c r="C345" s="14" t="s">
        <v>136</v>
      </c>
      <c r="D345" s="105">
        <v>22044</v>
      </c>
      <c r="E345" s="23" t="s">
        <v>1042</v>
      </c>
      <c r="F345" s="106">
        <f>4000+18044</f>
        <v>22044</v>
      </c>
      <c r="G345" s="31">
        <f t="shared" si="5"/>
        <v>0</v>
      </c>
      <c r="H345" s="19" t="s">
        <v>9</v>
      </c>
      <c r="J345" s="107"/>
      <c r="K345" s="3"/>
    </row>
    <row r="346" spans="1:11" x14ac:dyDescent="0.25">
      <c r="A346" s="20">
        <v>42099</v>
      </c>
      <c r="B346" s="183">
        <v>16883</v>
      </c>
      <c r="C346" s="14" t="s">
        <v>89</v>
      </c>
      <c r="D346" s="105">
        <v>3763.9</v>
      </c>
      <c r="E346" s="23">
        <v>42099</v>
      </c>
      <c r="F346" s="106">
        <v>3763.9</v>
      </c>
      <c r="G346" s="31">
        <f t="shared" si="5"/>
        <v>0</v>
      </c>
      <c r="H346" s="19" t="s">
        <v>9</v>
      </c>
      <c r="J346" s="107"/>
      <c r="K346" s="3"/>
    </row>
    <row r="347" spans="1:11" x14ac:dyDescent="0.25">
      <c r="A347" s="20">
        <v>42099</v>
      </c>
      <c r="B347" s="183">
        <v>16884</v>
      </c>
      <c r="C347" s="14" t="s">
        <v>135</v>
      </c>
      <c r="D347" s="105">
        <v>822.8</v>
      </c>
      <c r="E347" s="23">
        <v>42099</v>
      </c>
      <c r="F347" s="106">
        <v>822.8</v>
      </c>
      <c r="G347" s="31">
        <f t="shared" si="5"/>
        <v>0</v>
      </c>
      <c r="H347" s="19" t="s">
        <v>9</v>
      </c>
      <c r="J347" s="107"/>
      <c r="K347" s="3"/>
    </row>
    <row r="348" spans="1:11" x14ac:dyDescent="0.25">
      <c r="A348" s="20">
        <v>42099</v>
      </c>
      <c r="B348" s="183">
        <v>16885</v>
      </c>
      <c r="C348" s="14" t="s">
        <v>102</v>
      </c>
      <c r="D348" s="105">
        <v>1782</v>
      </c>
      <c r="E348" s="23">
        <v>42099</v>
      </c>
      <c r="F348" s="106">
        <v>1782</v>
      </c>
      <c r="G348" s="31">
        <f t="shared" si="5"/>
        <v>0</v>
      </c>
      <c r="H348" s="19" t="s">
        <v>9</v>
      </c>
      <c r="J348" s="107"/>
      <c r="K348" s="3"/>
    </row>
    <row r="349" spans="1:11" x14ac:dyDescent="0.25">
      <c r="A349" s="20">
        <v>42099</v>
      </c>
      <c r="B349" s="183">
        <v>16886</v>
      </c>
      <c r="C349" s="14" t="s">
        <v>159</v>
      </c>
      <c r="D349" s="105">
        <v>13042</v>
      </c>
      <c r="E349" s="23">
        <v>42099</v>
      </c>
      <c r="F349" s="106">
        <v>13042</v>
      </c>
      <c r="G349" s="31">
        <f t="shared" si="5"/>
        <v>0</v>
      </c>
      <c r="H349" s="19" t="s">
        <v>9</v>
      </c>
      <c r="J349" s="107"/>
      <c r="K349" s="3"/>
    </row>
    <row r="350" spans="1:11" x14ac:dyDescent="0.25">
      <c r="A350" s="20">
        <v>42099</v>
      </c>
      <c r="B350" s="183">
        <v>16887</v>
      </c>
      <c r="C350" s="14" t="s">
        <v>882</v>
      </c>
      <c r="D350" s="105">
        <v>17829.46</v>
      </c>
      <c r="E350" s="23">
        <v>42099</v>
      </c>
      <c r="F350" s="106">
        <v>17829.46</v>
      </c>
      <c r="G350" s="31">
        <f t="shared" si="5"/>
        <v>0</v>
      </c>
      <c r="H350" s="19" t="s">
        <v>62</v>
      </c>
      <c r="K350" s="3"/>
    </row>
    <row r="351" spans="1:11" x14ac:dyDescent="0.25">
      <c r="A351" s="20">
        <v>42099</v>
      </c>
      <c r="B351" s="183">
        <v>16888</v>
      </c>
      <c r="C351" s="14" t="s">
        <v>80</v>
      </c>
      <c r="D351" s="105">
        <v>7732.8</v>
      </c>
      <c r="E351" s="23">
        <v>42099</v>
      </c>
      <c r="F351" s="106">
        <v>7732.8</v>
      </c>
      <c r="G351" s="31">
        <f t="shared" si="5"/>
        <v>0</v>
      </c>
      <c r="H351" s="19" t="s">
        <v>9</v>
      </c>
      <c r="K351" s="3"/>
    </row>
    <row r="352" spans="1:11" x14ac:dyDescent="0.25">
      <c r="A352" s="20">
        <v>42099</v>
      </c>
      <c r="B352" s="183">
        <v>16889</v>
      </c>
      <c r="C352" s="14" t="s">
        <v>305</v>
      </c>
      <c r="D352" s="105">
        <v>658</v>
      </c>
      <c r="E352" s="23">
        <v>42099</v>
      </c>
      <c r="F352" s="106">
        <v>658</v>
      </c>
      <c r="G352" s="31">
        <f t="shared" si="5"/>
        <v>0</v>
      </c>
      <c r="H352" s="19" t="s">
        <v>9</v>
      </c>
      <c r="K352" s="3"/>
    </row>
    <row r="353" spans="1:11" x14ac:dyDescent="0.25">
      <c r="A353" s="20">
        <v>42099</v>
      </c>
      <c r="B353" s="183">
        <v>16890</v>
      </c>
      <c r="C353" s="14" t="s">
        <v>296</v>
      </c>
      <c r="D353" s="105">
        <v>477.05</v>
      </c>
      <c r="E353" s="23">
        <v>42099</v>
      </c>
      <c r="F353" s="106">
        <v>477.05</v>
      </c>
      <c r="G353" s="31">
        <f t="shared" si="5"/>
        <v>0</v>
      </c>
      <c r="H353" s="19" t="s">
        <v>9</v>
      </c>
      <c r="K353" s="3"/>
    </row>
    <row r="354" spans="1:11" x14ac:dyDescent="0.25">
      <c r="A354" s="20">
        <v>42099</v>
      </c>
      <c r="B354" s="183">
        <v>16891</v>
      </c>
      <c r="C354" s="14" t="s">
        <v>86</v>
      </c>
      <c r="D354" s="105">
        <v>239.7</v>
      </c>
      <c r="E354" s="23">
        <v>42099</v>
      </c>
      <c r="F354" s="106">
        <v>239.7</v>
      </c>
      <c r="G354" s="31">
        <f t="shared" si="5"/>
        <v>0</v>
      </c>
      <c r="H354" s="19" t="s">
        <v>9</v>
      </c>
      <c r="K354" s="3"/>
    </row>
    <row r="355" spans="1:11" x14ac:dyDescent="0.25">
      <c r="A355" s="20">
        <v>42099</v>
      </c>
      <c r="B355" s="183">
        <v>16892</v>
      </c>
      <c r="C355" s="14" t="s">
        <v>232</v>
      </c>
      <c r="D355" s="105">
        <v>3011.4</v>
      </c>
      <c r="E355" s="23">
        <v>42101</v>
      </c>
      <c r="F355" s="106">
        <v>3011.4</v>
      </c>
      <c r="G355" s="31">
        <f t="shared" si="5"/>
        <v>0</v>
      </c>
      <c r="H355" s="19" t="s">
        <v>17</v>
      </c>
      <c r="K355" s="3"/>
    </row>
    <row r="356" spans="1:11" x14ac:dyDescent="0.25">
      <c r="A356" s="20">
        <v>42099</v>
      </c>
      <c r="B356" s="183">
        <v>16893</v>
      </c>
      <c r="C356" s="14" t="s">
        <v>834</v>
      </c>
      <c r="D356" s="105">
        <v>9544.7000000000007</v>
      </c>
      <c r="E356" s="23">
        <v>42099</v>
      </c>
      <c r="F356" s="106">
        <v>9544.7000000000007</v>
      </c>
      <c r="G356" s="31">
        <f t="shared" si="5"/>
        <v>0</v>
      </c>
      <c r="H356" s="19" t="s">
        <v>9</v>
      </c>
      <c r="K356" s="3"/>
    </row>
    <row r="357" spans="1:11" x14ac:dyDescent="0.25">
      <c r="A357" s="20">
        <v>42099</v>
      </c>
      <c r="B357" s="183">
        <v>16894</v>
      </c>
      <c r="C357" s="14" t="s">
        <v>105</v>
      </c>
      <c r="D357" s="105">
        <v>279.64999999999998</v>
      </c>
      <c r="E357" s="23">
        <v>42099</v>
      </c>
      <c r="F357" s="106">
        <v>279.64999999999998</v>
      </c>
      <c r="G357" s="31">
        <f t="shared" si="5"/>
        <v>0</v>
      </c>
      <c r="H357" s="19" t="s">
        <v>9</v>
      </c>
      <c r="K357" s="3"/>
    </row>
    <row r="358" spans="1:11" x14ac:dyDescent="0.25">
      <c r="A358" s="20">
        <v>42100</v>
      </c>
      <c r="B358" s="183">
        <v>16895</v>
      </c>
      <c r="C358" s="14" t="s">
        <v>14</v>
      </c>
      <c r="D358" s="105">
        <v>19793.099999999999</v>
      </c>
      <c r="E358" s="23">
        <v>42104</v>
      </c>
      <c r="F358" s="106">
        <v>19793.099999999999</v>
      </c>
      <c r="G358" s="31">
        <f t="shared" si="5"/>
        <v>0</v>
      </c>
      <c r="H358" s="19" t="s">
        <v>15</v>
      </c>
      <c r="K358" s="3"/>
    </row>
    <row r="359" spans="1:11" x14ac:dyDescent="0.25">
      <c r="A359" s="20">
        <v>42100</v>
      </c>
      <c r="B359" s="183">
        <v>16896</v>
      </c>
      <c r="C359" s="14" t="s">
        <v>16</v>
      </c>
      <c r="D359" s="105">
        <v>3287.2</v>
      </c>
      <c r="E359" s="23">
        <v>42100</v>
      </c>
      <c r="F359" s="106">
        <v>3287.2</v>
      </c>
      <c r="G359" s="31">
        <f t="shared" si="5"/>
        <v>0</v>
      </c>
      <c r="H359" s="19" t="s">
        <v>17</v>
      </c>
      <c r="K359" s="3"/>
    </row>
    <row r="360" spans="1:11" x14ac:dyDescent="0.25">
      <c r="A360" s="20">
        <v>42100</v>
      </c>
      <c r="B360" s="183">
        <v>16897</v>
      </c>
      <c r="C360" s="14" t="s">
        <v>14</v>
      </c>
      <c r="D360" s="105">
        <v>2343.6</v>
      </c>
      <c r="E360" s="23">
        <v>42104</v>
      </c>
      <c r="F360" s="106">
        <v>2343.6</v>
      </c>
      <c r="G360" s="31">
        <f t="shared" si="5"/>
        <v>0</v>
      </c>
      <c r="H360" s="19" t="s">
        <v>15</v>
      </c>
      <c r="K360" s="3"/>
    </row>
    <row r="361" spans="1:11" x14ac:dyDescent="0.25">
      <c r="A361" s="20">
        <v>42100</v>
      </c>
      <c r="B361" s="183">
        <v>16898</v>
      </c>
      <c r="C361" s="14" t="s">
        <v>383</v>
      </c>
      <c r="D361" s="105">
        <v>5037.2</v>
      </c>
      <c r="E361" s="23">
        <v>42100</v>
      </c>
      <c r="F361" s="106">
        <v>5037.2</v>
      </c>
      <c r="G361" s="31">
        <f t="shared" si="5"/>
        <v>0</v>
      </c>
      <c r="H361" s="19" t="s">
        <v>9</v>
      </c>
      <c r="K361" s="3"/>
    </row>
    <row r="362" spans="1:11" x14ac:dyDescent="0.25">
      <c r="A362" s="20">
        <v>42100</v>
      </c>
      <c r="B362" s="183">
        <v>16899</v>
      </c>
      <c r="C362" s="14" t="s">
        <v>720</v>
      </c>
      <c r="D362" s="105">
        <v>17756</v>
      </c>
      <c r="E362" s="23">
        <v>42100</v>
      </c>
      <c r="F362" s="106">
        <v>17756</v>
      </c>
      <c r="G362" s="31">
        <f t="shared" si="5"/>
        <v>0</v>
      </c>
      <c r="H362" s="19" t="s">
        <v>9</v>
      </c>
      <c r="K362" s="3"/>
    </row>
    <row r="363" spans="1:11" x14ac:dyDescent="0.25">
      <c r="A363" s="20">
        <v>42100</v>
      </c>
      <c r="B363" s="183">
        <v>16900</v>
      </c>
      <c r="C363" s="26" t="s">
        <v>218</v>
      </c>
      <c r="D363" s="108">
        <v>0</v>
      </c>
      <c r="E363" s="23"/>
      <c r="F363" s="106"/>
      <c r="G363" s="31">
        <f t="shared" si="5"/>
        <v>0</v>
      </c>
      <c r="H363" s="19" t="s">
        <v>13</v>
      </c>
      <c r="K363" s="3"/>
    </row>
    <row r="364" spans="1:11" x14ac:dyDescent="0.25">
      <c r="A364" s="20">
        <v>42100</v>
      </c>
      <c r="B364" s="183">
        <v>16901</v>
      </c>
      <c r="C364" s="14" t="s">
        <v>20</v>
      </c>
      <c r="D364" s="105">
        <v>11413.8</v>
      </c>
      <c r="E364" s="23">
        <v>42100</v>
      </c>
      <c r="F364" s="106">
        <v>11413.8</v>
      </c>
      <c r="G364" s="31">
        <f t="shared" si="5"/>
        <v>0</v>
      </c>
      <c r="H364" s="19" t="s">
        <v>94</v>
      </c>
      <c r="K364" s="3"/>
    </row>
    <row r="365" spans="1:11" x14ac:dyDescent="0.25">
      <c r="A365" s="20">
        <v>42100</v>
      </c>
      <c r="B365" s="183">
        <v>16902</v>
      </c>
      <c r="C365" s="14" t="s">
        <v>863</v>
      </c>
      <c r="D365" s="105">
        <v>9936.9</v>
      </c>
      <c r="E365" s="23">
        <v>42100</v>
      </c>
      <c r="F365" s="106">
        <v>9936.9</v>
      </c>
      <c r="G365" s="31">
        <f t="shared" si="5"/>
        <v>0</v>
      </c>
      <c r="H365" s="19" t="s">
        <v>9</v>
      </c>
      <c r="K365" s="3"/>
    </row>
    <row r="366" spans="1:11" x14ac:dyDescent="0.25">
      <c r="A366" s="20">
        <v>42100</v>
      </c>
      <c r="B366" s="183">
        <v>16903</v>
      </c>
      <c r="C366" s="14" t="s">
        <v>56</v>
      </c>
      <c r="D366" s="105">
        <v>39150.300000000003</v>
      </c>
      <c r="E366" s="23">
        <v>42102</v>
      </c>
      <c r="F366" s="106">
        <v>39150.300000000003</v>
      </c>
      <c r="G366" s="31">
        <f t="shared" si="5"/>
        <v>0</v>
      </c>
      <c r="H366" s="19" t="s">
        <v>149</v>
      </c>
      <c r="K366" s="3"/>
    </row>
    <row r="367" spans="1:11" x14ac:dyDescent="0.25">
      <c r="A367" s="20">
        <v>42100</v>
      </c>
      <c r="B367" s="183">
        <v>16904</v>
      </c>
      <c r="C367" s="14" t="s">
        <v>121</v>
      </c>
      <c r="D367" s="105">
        <v>2725.85</v>
      </c>
      <c r="E367" s="23">
        <v>42100</v>
      </c>
      <c r="F367" s="106">
        <v>2725.85</v>
      </c>
      <c r="G367" s="31">
        <f t="shared" si="5"/>
        <v>0</v>
      </c>
      <c r="H367" s="19" t="s">
        <v>9</v>
      </c>
      <c r="K367" s="3"/>
    </row>
    <row r="368" spans="1:11" x14ac:dyDescent="0.25">
      <c r="A368" s="20">
        <v>42100</v>
      </c>
      <c r="B368" s="183">
        <v>16905</v>
      </c>
      <c r="C368" s="14" t="s">
        <v>922</v>
      </c>
      <c r="D368" s="105">
        <v>1721.8</v>
      </c>
      <c r="E368" s="23">
        <v>42100</v>
      </c>
      <c r="F368" s="106">
        <v>1721.8</v>
      </c>
      <c r="G368" s="31">
        <f t="shared" si="5"/>
        <v>0</v>
      </c>
      <c r="H368" s="19" t="s">
        <v>9</v>
      </c>
      <c r="J368" s="107"/>
      <c r="K368" s="3"/>
    </row>
    <row r="369" spans="1:11" x14ac:dyDescent="0.25">
      <c r="A369" s="20">
        <v>42100</v>
      </c>
      <c r="B369" s="183">
        <v>16906</v>
      </c>
      <c r="C369" s="14" t="s">
        <v>215</v>
      </c>
      <c r="D369" s="105">
        <v>14242</v>
      </c>
      <c r="E369" s="23">
        <v>42100</v>
      </c>
      <c r="F369" s="106">
        <v>14242</v>
      </c>
      <c r="G369" s="31">
        <f t="shared" si="5"/>
        <v>0</v>
      </c>
      <c r="H369" s="19" t="s">
        <v>9</v>
      </c>
      <c r="K369" s="3"/>
    </row>
    <row r="370" spans="1:11" x14ac:dyDescent="0.25">
      <c r="A370" s="20">
        <v>42100</v>
      </c>
      <c r="B370" s="183">
        <v>16907</v>
      </c>
      <c r="C370" s="14" t="s">
        <v>854</v>
      </c>
      <c r="D370" s="105">
        <v>4921.8999999999996</v>
      </c>
      <c r="E370" s="23">
        <v>42100</v>
      </c>
      <c r="F370" s="106">
        <v>4921.8999999999996</v>
      </c>
      <c r="G370" s="31">
        <f t="shared" si="5"/>
        <v>0</v>
      </c>
      <c r="H370" s="19" t="s">
        <v>9</v>
      </c>
      <c r="K370" s="3"/>
    </row>
    <row r="371" spans="1:11" x14ac:dyDescent="0.25">
      <c r="A371" s="20">
        <v>42100</v>
      </c>
      <c r="B371" s="183">
        <v>16908</v>
      </c>
      <c r="C371" s="14" t="s">
        <v>136</v>
      </c>
      <c r="D371" s="105">
        <v>540</v>
      </c>
      <c r="E371" s="23">
        <v>42102</v>
      </c>
      <c r="F371" s="106">
        <v>540</v>
      </c>
      <c r="G371" s="31">
        <f t="shared" si="5"/>
        <v>0</v>
      </c>
      <c r="H371" s="19" t="s">
        <v>9</v>
      </c>
      <c r="K371" s="3"/>
    </row>
    <row r="372" spans="1:11" x14ac:dyDescent="0.25">
      <c r="A372" s="20">
        <v>42100</v>
      </c>
      <c r="B372" s="183">
        <v>16909</v>
      </c>
      <c r="C372" s="14" t="s">
        <v>55</v>
      </c>
      <c r="D372" s="105">
        <v>20031.55</v>
      </c>
      <c r="E372" s="23">
        <v>42100</v>
      </c>
      <c r="F372" s="106">
        <v>20031.55</v>
      </c>
      <c r="G372" s="31">
        <f t="shared" si="5"/>
        <v>0</v>
      </c>
      <c r="H372" s="19" t="s">
        <v>773</v>
      </c>
      <c r="J372" s="107"/>
      <c r="K372" s="3"/>
    </row>
    <row r="373" spans="1:11" x14ac:dyDescent="0.25">
      <c r="A373" s="20">
        <v>42100</v>
      </c>
      <c r="B373" s="183">
        <v>16910</v>
      </c>
      <c r="C373" s="14" t="s">
        <v>37</v>
      </c>
      <c r="D373" s="105">
        <v>19546.8</v>
      </c>
      <c r="E373" s="23">
        <v>42102</v>
      </c>
      <c r="F373" s="106">
        <v>19546.8</v>
      </c>
      <c r="G373" s="31">
        <f t="shared" si="5"/>
        <v>0</v>
      </c>
      <c r="H373" s="19" t="s">
        <v>773</v>
      </c>
      <c r="K373" s="3"/>
    </row>
    <row r="374" spans="1:11" x14ac:dyDescent="0.25">
      <c r="A374" s="20">
        <v>42100</v>
      </c>
      <c r="B374" s="183">
        <v>16911</v>
      </c>
      <c r="C374" s="14" t="s">
        <v>23</v>
      </c>
      <c r="D374" s="105">
        <v>4128</v>
      </c>
      <c r="E374" s="23">
        <v>42100</v>
      </c>
      <c r="F374" s="106">
        <v>4128</v>
      </c>
      <c r="G374" s="31">
        <f t="shared" si="5"/>
        <v>0</v>
      </c>
      <c r="H374" s="19" t="s">
        <v>9</v>
      </c>
      <c r="K374" s="3"/>
    </row>
    <row r="375" spans="1:11" x14ac:dyDescent="0.25">
      <c r="A375" s="20">
        <v>42100</v>
      </c>
      <c r="B375" s="183">
        <v>16912</v>
      </c>
      <c r="C375" s="14" t="s">
        <v>21</v>
      </c>
      <c r="D375" s="105">
        <v>5774</v>
      </c>
      <c r="E375" s="23">
        <v>42100</v>
      </c>
      <c r="F375" s="106">
        <v>5774</v>
      </c>
      <c r="G375" s="31">
        <f t="shared" si="5"/>
        <v>0</v>
      </c>
      <c r="H375" s="19" t="s">
        <v>9</v>
      </c>
      <c r="K375" s="3"/>
    </row>
    <row r="376" spans="1:11" x14ac:dyDescent="0.25">
      <c r="A376" s="20">
        <v>42100</v>
      </c>
      <c r="B376" s="183">
        <v>16913</v>
      </c>
      <c r="C376" s="14" t="s">
        <v>35</v>
      </c>
      <c r="D376" s="105">
        <v>19698</v>
      </c>
      <c r="E376" s="23">
        <v>42100</v>
      </c>
      <c r="F376" s="106">
        <v>19698</v>
      </c>
      <c r="G376" s="31">
        <f t="shared" si="5"/>
        <v>0</v>
      </c>
      <c r="H376" s="19" t="s">
        <v>773</v>
      </c>
      <c r="K376" s="3"/>
    </row>
    <row r="377" spans="1:11" x14ac:dyDescent="0.25">
      <c r="A377" s="20">
        <v>42100</v>
      </c>
      <c r="B377" s="183">
        <v>16914</v>
      </c>
      <c r="C377" s="14" t="s">
        <v>118</v>
      </c>
      <c r="D377" s="105">
        <v>8925.6</v>
      </c>
      <c r="E377" s="30" t="s">
        <v>1043</v>
      </c>
      <c r="F377" s="106">
        <v>8925.6</v>
      </c>
      <c r="G377" s="31">
        <f t="shared" si="5"/>
        <v>0</v>
      </c>
      <c r="H377" s="19" t="s">
        <v>59</v>
      </c>
      <c r="K377" s="3"/>
    </row>
    <row r="378" spans="1:11" x14ac:dyDescent="0.25">
      <c r="A378" s="20">
        <v>42100</v>
      </c>
      <c r="B378" s="183">
        <v>16915</v>
      </c>
      <c r="C378" s="14" t="s">
        <v>256</v>
      </c>
      <c r="D378" s="105">
        <v>4558</v>
      </c>
      <c r="E378" s="23">
        <v>42100</v>
      </c>
      <c r="F378" s="106">
        <v>4558</v>
      </c>
      <c r="G378" s="31">
        <f t="shared" si="5"/>
        <v>0</v>
      </c>
      <c r="H378" s="19" t="s">
        <v>773</v>
      </c>
      <c r="K378" s="3"/>
    </row>
    <row r="379" spans="1:11" x14ac:dyDescent="0.25">
      <c r="A379" s="20">
        <v>42100</v>
      </c>
      <c r="B379" s="183">
        <v>16916</v>
      </c>
      <c r="C379" s="14" t="s">
        <v>155</v>
      </c>
      <c r="D379" s="105">
        <v>3360.4</v>
      </c>
      <c r="E379" s="23">
        <v>42100</v>
      </c>
      <c r="F379" s="106">
        <v>3360.4</v>
      </c>
      <c r="G379" s="31">
        <f t="shared" si="5"/>
        <v>0</v>
      </c>
      <c r="H379" s="19" t="s">
        <v>59</v>
      </c>
      <c r="K379" s="3"/>
    </row>
    <row r="380" spans="1:11" x14ac:dyDescent="0.25">
      <c r="A380" s="20">
        <v>42100</v>
      </c>
      <c r="B380" s="183">
        <v>16917</v>
      </c>
      <c r="C380" s="14" t="s">
        <v>135</v>
      </c>
      <c r="D380" s="105">
        <v>17612.400000000001</v>
      </c>
      <c r="E380" s="23">
        <v>42100</v>
      </c>
      <c r="F380" s="106">
        <v>17612.400000000001</v>
      </c>
      <c r="G380" s="31">
        <f t="shared" si="5"/>
        <v>0</v>
      </c>
      <c r="H380" s="19" t="s">
        <v>9</v>
      </c>
      <c r="K380" s="3"/>
    </row>
    <row r="381" spans="1:11" x14ac:dyDescent="0.25">
      <c r="A381" s="20">
        <v>42100</v>
      </c>
      <c r="B381" s="183">
        <v>16918</v>
      </c>
      <c r="C381" s="14" t="s">
        <v>82</v>
      </c>
      <c r="D381" s="105">
        <v>5062.6000000000004</v>
      </c>
      <c r="E381" s="23">
        <v>42100</v>
      </c>
      <c r="F381" s="106">
        <v>5062.6000000000004</v>
      </c>
      <c r="G381" s="31">
        <f t="shared" si="5"/>
        <v>0</v>
      </c>
      <c r="H381" s="19" t="s">
        <v>59</v>
      </c>
      <c r="K381" s="3"/>
    </row>
    <row r="382" spans="1:11" x14ac:dyDescent="0.25">
      <c r="A382" s="20">
        <v>42100</v>
      </c>
      <c r="B382" s="183">
        <v>16919</v>
      </c>
      <c r="C382" s="14" t="s">
        <v>120</v>
      </c>
      <c r="D382" s="105">
        <v>1904.4</v>
      </c>
      <c r="E382" s="23">
        <v>42100</v>
      </c>
      <c r="F382" s="106">
        <v>1904.4</v>
      </c>
      <c r="G382" s="31">
        <f t="shared" si="5"/>
        <v>0</v>
      </c>
      <c r="H382" s="19" t="s">
        <v>59</v>
      </c>
      <c r="K382" s="3"/>
    </row>
    <row r="383" spans="1:11" x14ac:dyDescent="0.25">
      <c r="A383" s="20">
        <v>42100</v>
      </c>
      <c r="B383" s="183">
        <v>16920</v>
      </c>
      <c r="C383" s="14" t="s">
        <v>167</v>
      </c>
      <c r="D383" s="105">
        <v>328.8</v>
      </c>
      <c r="E383" s="23">
        <v>42100</v>
      </c>
      <c r="F383" s="106">
        <v>328.8</v>
      </c>
      <c r="G383" s="31">
        <f t="shared" si="5"/>
        <v>0</v>
      </c>
      <c r="H383" s="19" t="s">
        <v>59</v>
      </c>
      <c r="K383" s="3"/>
    </row>
    <row r="384" spans="1:11" x14ac:dyDescent="0.25">
      <c r="A384" s="20">
        <v>42100</v>
      </c>
      <c r="B384" s="183">
        <v>16921</v>
      </c>
      <c r="C384" s="110">
        <v>105</v>
      </c>
      <c r="D384" s="105">
        <v>1292</v>
      </c>
      <c r="E384" s="23">
        <v>42100</v>
      </c>
      <c r="F384" s="106">
        <v>1292</v>
      </c>
      <c r="G384" s="31">
        <f t="shared" si="5"/>
        <v>0</v>
      </c>
      <c r="H384" s="19" t="s">
        <v>59</v>
      </c>
      <c r="K384" s="3"/>
    </row>
    <row r="385" spans="1:11" x14ac:dyDescent="0.25">
      <c r="A385" s="20">
        <v>42100</v>
      </c>
      <c r="B385" s="183">
        <v>16922</v>
      </c>
      <c r="C385" s="14" t="s">
        <v>57</v>
      </c>
      <c r="D385" s="105">
        <v>1700</v>
      </c>
      <c r="E385" s="23">
        <v>42100</v>
      </c>
      <c r="F385" s="106">
        <v>1700</v>
      </c>
      <c r="G385" s="31">
        <f t="shared" si="5"/>
        <v>0</v>
      </c>
      <c r="H385" s="19" t="s">
        <v>773</v>
      </c>
      <c r="K385" s="3"/>
    </row>
    <row r="386" spans="1:11" x14ac:dyDescent="0.25">
      <c r="A386" s="20">
        <v>42100</v>
      </c>
      <c r="B386" s="183">
        <v>16923</v>
      </c>
      <c r="C386" s="14" t="s">
        <v>26</v>
      </c>
      <c r="D386" s="105">
        <v>1632</v>
      </c>
      <c r="E386" s="23">
        <v>42100</v>
      </c>
      <c r="F386" s="106">
        <v>1632</v>
      </c>
      <c r="G386" s="31">
        <f t="shared" si="5"/>
        <v>0</v>
      </c>
      <c r="H386" s="19" t="s">
        <v>27</v>
      </c>
      <c r="K386" s="3"/>
    </row>
    <row r="387" spans="1:11" x14ac:dyDescent="0.25">
      <c r="A387" s="20">
        <v>42100</v>
      </c>
      <c r="B387" s="183">
        <v>16924</v>
      </c>
      <c r="C387" s="150" t="s">
        <v>474</v>
      </c>
      <c r="D387" s="105">
        <v>5968</v>
      </c>
      <c r="E387" s="23">
        <v>42100</v>
      </c>
      <c r="F387" s="106">
        <v>5968</v>
      </c>
      <c r="G387" s="31">
        <f t="shared" ref="G387:G450" si="6">D387-F387</f>
        <v>0</v>
      </c>
      <c r="H387" s="19" t="s">
        <v>9</v>
      </c>
      <c r="K387" s="3"/>
    </row>
    <row r="388" spans="1:11" x14ac:dyDescent="0.25">
      <c r="A388" s="20">
        <v>42100</v>
      </c>
      <c r="B388" s="183">
        <v>16925</v>
      </c>
      <c r="C388" s="14" t="s">
        <v>226</v>
      </c>
      <c r="D388" s="105">
        <v>2118.6</v>
      </c>
      <c r="E388" s="23">
        <v>42101</v>
      </c>
      <c r="F388" s="106">
        <v>2118.6</v>
      </c>
      <c r="G388" s="31">
        <f t="shared" si="6"/>
        <v>0</v>
      </c>
      <c r="H388" s="19" t="s">
        <v>59</v>
      </c>
      <c r="K388" s="3"/>
    </row>
    <row r="389" spans="1:11" x14ac:dyDescent="0.25">
      <c r="A389" s="20">
        <v>42100</v>
      </c>
      <c r="B389" s="183">
        <v>16926</v>
      </c>
      <c r="C389" s="14" t="s">
        <v>604</v>
      </c>
      <c r="D389" s="105">
        <v>2165.4</v>
      </c>
      <c r="E389" s="23">
        <v>42100</v>
      </c>
      <c r="F389" s="106">
        <v>2165.4</v>
      </c>
      <c r="G389" s="31">
        <f t="shared" si="6"/>
        <v>0</v>
      </c>
      <c r="H389" s="19" t="s">
        <v>9</v>
      </c>
      <c r="K389" s="3"/>
    </row>
    <row r="390" spans="1:11" x14ac:dyDescent="0.25">
      <c r="A390" s="20">
        <v>42100</v>
      </c>
      <c r="B390" s="183">
        <v>16927</v>
      </c>
      <c r="C390" s="14" t="s">
        <v>56</v>
      </c>
      <c r="D390" s="105">
        <v>5481.2</v>
      </c>
      <c r="E390" s="23">
        <v>42100</v>
      </c>
      <c r="F390" s="106">
        <v>5481.2</v>
      </c>
      <c r="G390" s="31">
        <f t="shared" si="6"/>
        <v>0</v>
      </c>
      <c r="H390" s="19" t="s">
        <v>773</v>
      </c>
      <c r="K390" s="3"/>
    </row>
    <row r="391" spans="1:11" x14ac:dyDescent="0.25">
      <c r="A391" s="20">
        <v>42100</v>
      </c>
      <c r="B391" s="183">
        <v>16928</v>
      </c>
      <c r="C391" s="14" t="s">
        <v>906</v>
      </c>
      <c r="D391" s="105">
        <v>908.2</v>
      </c>
      <c r="E391" s="23">
        <v>42101</v>
      </c>
      <c r="F391" s="106">
        <v>908.2</v>
      </c>
      <c r="G391" s="31">
        <f t="shared" si="6"/>
        <v>0</v>
      </c>
      <c r="H391" s="19" t="s">
        <v>17</v>
      </c>
      <c r="J391" s="107"/>
      <c r="K391" s="3"/>
    </row>
    <row r="392" spans="1:11" x14ac:dyDescent="0.25">
      <c r="A392" s="20">
        <v>42100</v>
      </c>
      <c r="B392" s="183">
        <v>16929</v>
      </c>
      <c r="C392" s="14" t="s">
        <v>239</v>
      </c>
      <c r="D392" s="105">
        <v>756.9</v>
      </c>
      <c r="E392" s="23">
        <v>42100</v>
      </c>
      <c r="F392" s="106">
        <v>756.9</v>
      </c>
      <c r="G392" s="31">
        <f t="shared" si="6"/>
        <v>0</v>
      </c>
      <c r="H392" s="19" t="s">
        <v>9</v>
      </c>
      <c r="K392" s="3"/>
    </row>
    <row r="393" spans="1:11" x14ac:dyDescent="0.25">
      <c r="A393" s="20">
        <v>42100</v>
      </c>
      <c r="B393" s="183">
        <v>16930</v>
      </c>
      <c r="C393" s="14" t="s">
        <v>24</v>
      </c>
      <c r="D393" s="105">
        <v>40138.75</v>
      </c>
      <c r="E393" s="30">
        <v>42125</v>
      </c>
      <c r="F393" s="144">
        <v>40138.75</v>
      </c>
      <c r="G393" s="31">
        <f t="shared" si="6"/>
        <v>0</v>
      </c>
      <c r="H393" s="19" t="s">
        <v>773</v>
      </c>
      <c r="K393" s="3"/>
    </row>
    <row r="394" spans="1:11" x14ac:dyDescent="0.25">
      <c r="A394" s="20">
        <v>42100</v>
      </c>
      <c r="B394" s="183">
        <v>16931</v>
      </c>
      <c r="C394" s="14" t="s">
        <v>47</v>
      </c>
      <c r="D394" s="105">
        <v>654.79999999999995</v>
      </c>
      <c r="E394" s="23">
        <v>42100</v>
      </c>
      <c r="F394" s="106">
        <v>654.79999999999995</v>
      </c>
      <c r="G394" s="31">
        <f t="shared" si="6"/>
        <v>0</v>
      </c>
      <c r="H394" s="19" t="s">
        <v>9</v>
      </c>
      <c r="K394" s="3"/>
    </row>
    <row r="395" spans="1:11" x14ac:dyDescent="0.25">
      <c r="A395" s="20">
        <v>42100</v>
      </c>
      <c r="B395" s="183">
        <v>16932</v>
      </c>
      <c r="C395" s="14" t="s">
        <v>43</v>
      </c>
      <c r="D395" s="105">
        <v>9186.2000000000007</v>
      </c>
      <c r="E395" s="23">
        <v>42100</v>
      </c>
      <c r="F395" s="106">
        <v>9186.2000000000007</v>
      </c>
      <c r="G395" s="31">
        <f t="shared" si="6"/>
        <v>0</v>
      </c>
      <c r="H395" s="19" t="s">
        <v>9</v>
      </c>
      <c r="K395" s="3"/>
    </row>
    <row r="396" spans="1:11" x14ac:dyDescent="0.25">
      <c r="A396" s="20">
        <v>42100</v>
      </c>
      <c r="B396" s="183">
        <v>16933</v>
      </c>
      <c r="C396" s="14" t="s">
        <v>169</v>
      </c>
      <c r="D396" s="105">
        <v>2359.5</v>
      </c>
      <c r="E396" s="23">
        <v>42100</v>
      </c>
      <c r="F396" s="106">
        <v>2359.5</v>
      </c>
      <c r="G396" s="31">
        <f t="shared" si="6"/>
        <v>0</v>
      </c>
      <c r="H396" s="19" t="s">
        <v>59</v>
      </c>
      <c r="J396" s="107"/>
      <c r="K396" s="3"/>
    </row>
    <row r="397" spans="1:11" x14ac:dyDescent="0.25">
      <c r="A397" s="20">
        <v>42100</v>
      </c>
      <c r="B397" s="183">
        <v>16934</v>
      </c>
      <c r="C397" s="14" t="s">
        <v>664</v>
      </c>
      <c r="D397" s="105">
        <v>1246.4000000000001</v>
      </c>
      <c r="E397" s="23">
        <v>42100</v>
      </c>
      <c r="F397" s="106">
        <v>1246.4000000000001</v>
      </c>
      <c r="G397" s="31">
        <f t="shared" si="6"/>
        <v>0</v>
      </c>
      <c r="H397" s="19" t="s">
        <v>59</v>
      </c>
      <c r="K397" s="3"/>
    </row>
    <row r="398" spans="1:11" x14ac:dyDescent="0.25">
      <c r="A398" s="20">
        <v>42100</v>
      </c>
      <c r="B398" s="183">
        <v>16935</v>
      </c>
      <c r="C398" s="14" t="s">
        <v>169</v>
      </c>
      <c r="D398" s="105">
        <v>2488.1999999999998</v>
      </c>
      <c r="E398" s="23">
        <v>42100</v>
      </c>
      <c r="F398" s="106">
        <v>2488.1999999999998</v>
      </c>
      <c r="G398" s="31">
        <f t="shared" si="6"/>
        <v>0</v>
      </c>
      <c r="H398" s="19" t="s">
        <v>59</v>
      </c>
      <c r="K398" s="3"/>
    </row>
    <row r="399" spans="1:11" x14ac:dyDescent="0.25">
      <c r="A399" s="20">
        <v>42100</v>
      </c>
      <c r="B399" s="183">
        <v>16936</v>
      </c>
      <c r="C399" s="14" t="s">
        <v>78</v>
      </c>
      <c r="D399" s="105">
        <v>6856.2</v>
      </c>
      <c r="E399" s="23">
        <v>42101</v>
      </c>
      <c r="F399" s="106">
        <v>6856.2</v>
      </c>
      <c r="G399" s="31">
        <f t="shared" si="6"/>
        <v>0</v>
      </c>
      <c r="H399" s="19" t="s">
        <v>62</v>
      </c>
      <c r="K399" s="3"/>
    </row>
    <row r="400" spans="1:11" x14ac:dyDescent="0.25">
      <c r="A400" s="20">
        <v>42100</v>
      </c>
      <c r="B400" s="183">
        <v>16937</v>
      </c>
      <c r="C400" s="14" t="s">
        <v>125</v>
      </c>
      <c r="D400" s="105">
        <v>13150.7</v>
      </c>
      <c r="E400" s="23">
        <v>42100</v>
      </c>
      <c r="F400" s="106">
        <v>13150.7</v>
      </c>
      <c r="G400" s="31">
        <f t="shared" si="6"/>
        <v>0</v>
      </c>
      <c r="H400" s="19" t="s">
        <v>9</v>
      </c>
      <c r="K400" s="3"/>
    </row>
    <row r="401" spans="1:11" x14ac:dyDescent="0.25">
      <c r="A401" s="20">
        <v>42100</v>
      </c>
      <c r="B401" s="183">
        <v>16938</v>
      </c>
      <c r="C401" s="14" t="s">
        <v>67</v>
      </c>
      <c r="D401" s="105">
        <v>2497</v>
      </c>
      <c r="E401" s="23">
        <v>42101</v>
      </c>
      <c r="F401" s="106">
        <v>2497</v>
      </c>
      <c r="G401" s="31">
        <f t="shared" si="6"/>
        <v>0</v>
      </c>
      <c r="H401" s="19" t="s">
        <v>62</v>
      </c>
      <c r="K401" s="3"/>
    </row>
    <row r="402" spans="1:11" x14ac:dyDescent="0.25">
      <c r="A402" s="20">
        <v>42100</v>
      </c>
      <c r="B402" s="183">
        <v>16939</v>
      </c>
      <c r="C402" s="14" t="s">
        <v>170</v>
      </c>
      <c r="D402" s="105">
        <v>708</v>
      </c>
      <c r="E402" s="23">
        <v>42101</v>
      </c>
      <c r="F402" s="106">
        <v>708</v>
      </c>
      <c r="G402" s="31">
        <f t="shared" si="6"/>
        <v>0</v>
      </c>
      <c r="H402" s="19" t="s">
        <v>62</v>
      </c>
      <c r="I402" s="3"/>
      <c r="J402" s="42"/>
      <c r="K402" s="3"/>
    </row>
    <row r="403" spans="1:11" x14ac:dyDescent="0.25">
      <c r="A403" s="20">
        <v>42100</v>
      </c>
      <c r="B403" s="183">
        <v>16940</v>
      </c>
      <c r="C403" s="14" t="s">
        <v>81</v>
      </c>
      <c r="D403" s="105">
        <v>1470.1</v>
      </c>
      <c r="E403" s="23">
        <v>42100</v>
      </c>
      <c r="F403" s="106">
        <v>1470.1</v>
      </c>
      <c r="G403" s="31">
        <f t="shared" si="6"/>
        <v>0</v>
      </c>
      <c r="H403" s="19" t="s">
        <v>59</v>
      </c>
      <c r="I403" s="3"/>
      <c r="J403" s="42"/>
      <c r="K403" s="3"/>
    </row>
    <row r="404" spans="1:11" x14ac:dyDescent="0.25">
      <c r="A404" s="20">
        <v>42100</v>
      </c>
      <c r="B404" s="183">
        <v>16941</v>
      </c>
      <c r="C404" s="14" t="s">
        <v>173</v>
      </c>
      <c r="D404" s="105">
        <v>26947.8</v>
      </c>
      <c r="E404" s="30" t="s">
        <v>1044</v>
      </c>
      <c r="F404" s="106">
        <v>26947.8</v>
      </c>
      <c r="G404" s="31">
        <f t="shared" si="6"/>
        <v>0</v>
      </c>
      <c r="H404" s="19" t="s">
        <v>62</v>
      </c>
      <c r="I404" s="3"/>
      <c r="J404" s="42"/>
      <c r="K404" s="3"/>
    </row>
    <row r="405" spans="1:11" x14ac:dyDescent="0.25">
      <c r="A405" s="20">
        <v>42100</v>
      </c>
      <c r="B405" s="183">
        <v>16942</v>
      </c>
      <c r="C405" s="14" t="s">
        <v>84</v>
      </c>
      <c r="D405" s="105">
        <v>29724.2</v>
      </c>
      <c r="E405" s="30" t="s">
        <v>1045</v>
      </c>
      <c r="F405" s="106">
        <v>29724.2</v>
      </c>
      <c r="G405" s="31">
        <f t="shared" si="6"/>
        <v>0</v>
      </c>
      <c r="H405" s="19" t="s">
        <v>62</v>
      </c>
      <c r="I405" s="3"/>
      <c r="J405" s="42"/>
      <c r="K405" s="3"/>
    </row>
    <row r="406" spans="1:11" x14ac:dyDescent="0.25">
      <c r="A406" s="20">
        <v>42100</v>
      </c>
      <c r="B406" s="183">
        <v>16943</v>
      </c>
      <c r="C406" s="14" t="s">
        <v>45</v>
      </c>
      <c r="D406" s="105">
        <v>13959.8</v>
      </c>
      <c r="E406" s="23">
        <v>42104</v>
      </c>
      <c r="F406" s="106">
        <v>13959.8</v>
      </c>
      <c r="G406" s="31">
        <f t="shared" si="6"/>
        <v>0</v>
      </c>
      <c r="H406" s="19" t="s">
        <v>59</v>
      </c>
      <c r="I406" s="3"/>
      <c r="J406" s="42"/>
      <c r="K406" s="3"/>
    </row>
    <row r="407" spans="1:11" x14ac:dyDescent="0.25">
      <c r="A407" s="20">
        <v>42100</v>
      </c>
      <c r="B407" s="183">
        <v>16944</v>
      </c>
      <c r="C407" s="26" t="s">
        <v>218</v>
      </c>
      <c r="D407" s="108">
        <v>0</v>
      </c>
      <c r="E407" s="23"/>
      <c r="F407" s="106"/>
      <c r="G407" s="31">
        <f t="shared" si="6"/>
        <v>0</v>
      </c>
      <c r="H407" s="19" t="s">
        <v>13</v>
      </c>
      <c r="I407" s="3"/>
      <c r="J407" s="42"/>
      <c r="K407" s="3"/>
    </row>
    <row r="408" spans="1:11" x14ac:dyDescent="0.25">
      <c r="A408" s="20">
        <v>42100</v>
      </c>
      <c r="B408" s="183">
        <v>16945</v>
      </c>
      <c r="C408" s="14" t="s">
        <v>126</v>
      </c>
      <c r="D408" s="105">
        <v>5491.2</v>
      </c>
      <c r="E408" s="23">
        <v>42100</v>
      </c>
      <c r="F408" s="106">
        <v>5491.2</v>
      </c>
      <c r="G408" s="31">
        <f t="shared" si="6"/>
        <v>0</v>
      </c>
      <c r="H408" s="19" t="s">
        <v>59</v>
      </c>
      <c r="I408" s="3"/>
      <c r="J408" s="42"/>
      <c r="K408" s="3"/>
    </row>
    <row r="409" spans="1:11" x14ac:dyDescent="0.25">
      <c r="A409" s="20">
        <v>42100</v>
      </c>
      <c r="B409" s="183">
        <v>16946</v>
      </c>
      <c r="C409" s="26" t="s">
        <v>218</v>
      </c>
      <c r="D409" s="108">
        <v>0</v>
      </c>
      <c r="E409" s="23"/>
      <c r="F409" s="106"/>
      <c r="G409" s="31">
        <f t="shared" si="6"/>
        <v>0</v>
      </c>
      <c r="H409" s="19" t="s">
        <v>13</v>
      </c>
      <c r="I409" s="3"/>
      <c r="J409" s="42"/>
      <c r="K409" s="3"/>
    </row>
    <row r="410" spans="1:11" x14ac:dyDescent="0.25">
      <c r="A410" s="20">
        <v>42100</v>
      </c>
      <c r="B410" s="183">
        <v>16947</v>
      </c>
      <c r="C410" s="14" t="s">
        <v>164</v>
      </c>
      <c r="D410" s="105">
        <v>3616.8</v>
      </c>
      <c r="E410" s="23">
        <v>42100</v>
      </c>
      <c r="F410" s="106">
        <v>3616.8</v>
      </c>
      <c r="G410" s="31">
        <f t="shared" si="6"/>
        <v>0</v>
      </c>
      <c r="H410" s="19" t="s">
        <v>9</v>
      </c>
      <c r="I410" s="3"/>
      <c r="J410" s="42"/>
      <c r="K410" s="3"/>
    </row>
    <row r="411" spans="1:11" x14ac:dyDescent="0.25">
      <c r="A411" s="20">
        <v>42100</v>
      </c>
      <c r="B411" s="183">
        <v>16948</v>
      </c>
      <c r="C411" s="14" t="s">
        <v>158</v>
      </c>
      <c r="D411" s="105">
        <v>6796</v>
      </c>
      <c r="E411" s="23">
        <v>42100</v>
      </c>
      <c r="F411" s="106">
        <v>6796</v>
      </c>
      <c r="G411" s="31">
        <f t="shared" si="6"/>
        <v>0</v>
      </c>
      <c r="H411" s="19" t="s">
        <v>9</v>
      </c>
      <c r="I411" s="3"/>
      <c r="J411" s="42"/>
      <c r="K411" s="3"/>
    </row>
    <row r="412" spans="1:11" x14ac:dyDescent="0.25">
      <c r="A412" s="20">
        <v>42100</v>
      </c>
      <c r="B412" s="183">
        <v>16949</v>
      </c>
      <c r="C412" s="26" t="s">
        <v>218</v>
      </c>
      <c r="D412" s="108">
        <v>0</v>
      </c>
      <c r="E412" s="23"/>
      <c r="F412" s="106"/>
      <c r="G412" s="31">
        <f t="shared" si="6"/>
        <v>0</v>
      </c>
      <c r="H412" s="19" t="s">
        <v>13</v>
      </c>
      <c r="I412" s="3"/>
      <c r="J412" s="42"/>
      <c r="K412" s="3"/>
    </row>
    <row r="413" spans="1:11" x14ac:dyDescent="0.25">
      <c r="A413" s="20">
        <v>42100</v>
      </c>
      <c r="B413" s="183">
        <v>16950</v>
      </c>
      <c r="C413" s="14" t="s">
        <v>75</v>
      </c>
      <c r="D413" s="105">
        <v>17617</v>
      </c>
      <c r="E413" s="23">
        <v>42101</v>
      </c>
      <c r="F413" s="106">
        <v>17617</v>
      </c>
      <c r="G413" s="31">
        <f t="shared" si="6"/>
        <v>0</v>
      </c>
      <c r="H413" s="19" t="s">
        <v>62</v>
      </c>
      <c r="I413" s="3"/>
      <c r="J413" s="42"/>
      <c r="K413" s="3"/>
    </row>
    <row r="414" spans="1:11" x14ac:dyDescent="0.25">
      <c r="A414" s="20">
        <v>42100</v>
      </c>
      <c r="B414" s="183">
        <v>16951</v>
      </c>
      <c r="C414" s="14" t="s">
        <v>65</v>
      </c>
      <c r="D414" s="105">
        <v>19565.7</v>
      </c>
      <c r="E414" s="23">
        <v>42101</v>
      </c>
      <c r="F414" s="106">
        <v>19565.7</v>
      </c>
      <c r="G414" s="31">
        <f t="shared" si="6"/>
        <v>0</v>
      </c>
      <c r="H414" s="19" t="s">
        <v>62</v>
      </c>
      <c r="I414" s="3"/>
      <c r="J414" s="42"/>
      <c r="K414" s="3"/>
    </row>
    <row r="415" spans="1:11" x14ac:dyDescent="0.25">
      <c r="A415" s="20">
        <v>42100</v>
      </c>
      <c r="B415" s="183">
        <v>16952</v>
      </c>
      <c r="C415" s="14" t="s">
        <v>243</v>
      </c>
      <c r="D415" s="105">
        <v>1253.04</v>
      </c>
      <c r="E415" s="23">
        <v>42101</v>
      </c>
      <c r="F415" s="106">
        <v>1253.04</v>
      </c>
      <c r="G415" s="31">
        <f t="shared" si="6"/>
        <v>0</v>
      </c>
      <c r="H415" s="19" t="s">
        <v>62</v>
      </c>
      <c r="I415" s="3"/>
      <c r="J415" s="42"/>
      <c r="K415" s="3"/>
    </row>
    <row r="416" spans="1:11" x14ac:dyDescent="0.25">
      <c r="A416" s="20">
        <v>42100</v>
      </c>
      <c r="B416" s="183">
        <v>16953</v>
      </c>
      <c r="C416" s="14" t="s">
        <v>14</v>
      </c>
      <c r="D416" s="105">
        <v>53290.65</v>
      </c>
      <c r="E416" s="23">
        <v>42104</v>
      </c>
      <c r="F416" s="106">
        <v>53290.65</v>
      </c>
      <c r="G416" s="31">
        <f t="shared" si="6"/>
        <v>0</v>
      </c>
      <c r="H416" s="19" t="s">
        <v>15</v>
      </c>
      <c r="I416" s="3"/>
      <c r="J416" s="42"/>
      <c r="K416" s="3"/>
    </row>
    <row r="417" spans="1:11" x14ac:dyDescent="0.25">
      <c r="A417" s="20">
        <v>42100</v>
      </c>
      <c r="B417" s="183">
        <v>16954</v>
      </c>
      <c r="C417" s="14" t="s">
        <v>285</v>
      </c>
      <c r="D417" s="105">
        <v>576.79999999999995</v>
      </c>
      <c r="E417" s="23">
        <v>42101</v>
      </c>
      <c r="F417" s="106">
        <v>576.79999999999995</v>
      </c>
      <c r="G417" s="31">
        <f t="shared" si="6"/>
        <v>0</v>
      </c>
      <c r="H417" s="19" t="s">
        <v>15</v>
      </c>
      <c r="I417" s="3"/>
      <c r="J417" s="42"/>
      <c r="K417" s="3"/>
    </row>
    <row r="418" spans="1:11" x14ac:dyDescent="0.25">
      <c r="A418" s="20">
        <v>42100</v>
      </c>
      <c r="B418" s="183">
        <v>16955</v>
      </c>
      <c r="C418" s="14" t="s">
        <v>225</v>
      </c>
      <c r="D418" s="105">
        <v>2267.1</v>
      </c>
      <c r="E418" s="23">
        <v>42100</v>
      </c>
      <c r="F418" s="106">
        <v>2267.1</v>
      </c>
      <c r="G418" s="31">
        <f t="shared" si="6"/>
        <v>0</v>
      </c>
      <c r="H418" s="19" t="s">
        <v>9</v>
      </c>
      <c r="I418" s="3"/>
      <c r="J418" s="42"/>
      <c r="K418" s="3"/>
    </row>
    <row r="419" spans="1:11" x14ac:dyDescent="0.25">
      <c r="A419" s="20">
        <v>42100</v>
      </c>
      <c r="B419" s="183">
        <v>16956</v>
      </c>
      <c r="C419" s="14" t="s">
        <v>16</v>
      </c>
      <c r="D419" s="105">
        <v>4222.3999999999996</v>
      </c>
      <c r="E419" s="23">
        <v>42100</v>
      </c>
      <c r="F419" s="106">
        <v>4222.3999999999996</v>
      </c>
      <c r="G419" s="31">
        <f t="shared" si="6"/>
        <v>0</v>
      </c>
      <c r="H419" s="19" t="s">
        <v>9</v>
      </c>
      <c r="I419" s="3"/>
      <c r="J419" s="42"/>
      <c r="K419" s="3"/>
    </row>
    <row r="420" spans="1:11" x14ac:dyDescent="0.25">
      <c r="A420" s="20">
        <v>42100</v>
      </c>
      <c r="B420" s="183">
        <v>16957</v>
      </c>
      <c r="C420" s="14" t="s">
        <v>32</v>
      </c>
      <c r="D420" s="105">
        <v>34602.910000000003</v>
      </c>
      <c r="E420" s="23">
        <v>42115</v>
      </c>
      <c r="F420" s="106">
        <v>34602.910000000003</v>
      </c>
      <c r="G420" s="31">
        <f t="shared" si="6"/>
        <v>0</v>
      </c>
      <c r="H420" s="19" t="s">
        <v>9</v>
      </c>
      <c r="I420" s="3"/>
      <c r="J420" s="42"/>
      <c r="K420" s="3"/>
    </row>
    <row r="421" spans="1:11" x14ac:dyDescent="0.25">
      <c r="A421" s="20">
        <v>42100</v>
      </c>
      <c r="B421" s="183">
        <v>16958</v>
      </c>
      <c r="C421" s="14" t="s">
        <v>131</v>
      </c>
      <c r="D421" s="105">
        <v>8350.5</v>
      </c>
      <c r="E421" s="23">
        <v>42100</v>
      </c>
      <c r="F421" s="106">
        <v>8350.5</v>
      </c>
      <c r="G421" s="31">
        <f t="shared" si="6"/>
        <v>0</v>
      </c>
      <c r="H421" s="19" t="s">
        <v>9</v>
      </c>
      <c r="I421" s="3"/>
      <c r="J421" s="42"/>
      <c r="K421" s="3"/>
    </row>
    <row r="422" spans="1:11" x14ac:dyDescent="0.25">
      <c r="A422" s="20">
        <v>42100</v>
      </c>
      <c r="B422" s="183">
        <v>16959</v>
      </c>
      <c r="C422" s="14" t="s">
        <v>110</v>
      </c>
      <c r="D422" s="105">
        <v>43005.14</v>
      </c>
      <c r="E422" s="23" t="s">
        <v>1004</v>
      </c>
      <c r="F422" s="106">
        <f>42283.5+721.64</f>
        <v>43005.14</v>
      </c>
      <c r="G422" s="31">
        <f t="shared" si="6"/>
        <v>0</v>
      </c>
      <c r="H422" s="19" t="s">
        <v>9</v>
      </c>
      <c r="I422" s="3"/>
      <c r="J422" s="42"/>
      <c r="K422" s="3"/>
    </row>
    <row r="423" spans="1:11" x14ac:dyDescent="0.25">
      <c r="A423" s="20">
        <v>42100</v>
      </c>
      <c r="B423" s="183">
        <v>16960</v>
      </c>
      <c r="C423" s="14" t="s">
        <v>72</v>
      </c>
      <c r="D423" s="105">
        <v>25193.88</v>
      </c>
      <c r="E423" s="30" t="s">
        <v>1239</v>
      </c>
      <c r="F423" s="144">
        <v>25193.88</v>
      </c>
      <c r="G423" s="31">
        <f t="shared" si="6"/>
        <v>0</v>
      </c>
      <c r="H423" s="19" t="s">
        <v>62</v>
      </c>
      <c r="I423" s="3"/>
      <c r="J423" s="42"/>
      <c r="K423" s="3"/>
    </row>
    <row r="424" spans="1:11" x14ac:dyDescent="0.25">
      <c r="A424" s="20">
        <v>42100</v>
      </c>
      <c r="B424" s="183">
        <v>16961</v>
      </c>
      <c r="C424" s="14" t="s">
        <v>176</v>
      </c>
      <c r="D424" s="105">
        <v>6636.03</v>
      </c>
      <c r="E424" s="30" t="s">
        <v>1046</v>
      </c>
      <c r="F424" s="106">
        <v>6636.03</v>
      </c>
      <c r="G424" s="31">
        <f t="shared" si="6"/>
        <v>0</v>
      </c>
      <c r="H424" s="19" t="s">
        <v>62</v>
      </c>
      <c r="I424" s="3"/>
      <c r="J424" s="42"/>
      <c r="K424" s="3"/>
    </row>
    <row r="425" spans="1:11" x14ac:dyDescent="0.25">
      <c r="A425" s="20">
        <v>42100</v>
      </c>
      <c r="B425" s="183">
        <v>16962</v>
      </c>
      <c r="C425" s="14" t="s">
        <v>34</v>
      </c>
      <c r="D425" s="105">
        <v>16742.88</v>
      </c>
      <c r="E425" s="23">
        <v>42100</v>
      </c>
      <c r="F425" s="106">
        <v>16742.88</v>
      </c>
      <c r="G425" s="31">
        <f t="shared" si="6"/>
        <v>0</v>
      </c>
      <c r="H425" s="19" t="s">
        <v>9</v>
      </c>
      <c r="I425" s="3"/>
      <c r="J425" s="42"/>
      <c r="K425" s="3"/>
    </row>
    <row r="426" spans="1:11" x14ac:dyDescent="0.25">
      <c r="A426" s="20">
        <v>42100</v>
      </c>
      <c r="B426" s="183">
        <v>16963</v>
      </c>
      <c r="C426" s="14" t="s">
        <v>213</v>
      </c>
      <c r="D426" s="105">
        <v>28208.97</v>
      </c>
      <c r="E426" s="30">
        <v>42153</v>
      </c>
      <c r="F426" s="144">
        <v>28208.97</v>
      </c>
      <c r="G426" s="31">
        <f t="shared" si="6"/>
        <v>0</v>
      </c>
      <c r="H426" s="19" t="s">
        <v>9</v>
      </c>
      <c r="I426" s="3"/>
      <c r="J426" s="42"/>
      <c r="K426" s="3"/>
    </row>
    <row r="427" spans="1:11" x14ac:dyDescent="0.25">
      <c r="A427" s="20">
        <v>42100</v>
      </c>
      <c r="B427" s="183">
        <v>16964</v>
      </c>
      <c r="C427" s="14" t="s">
        <v>61</v>
      </c>
      <c r="D427" s="105">
        <v>7763.6</v>
      </c>
      <c r="E427" s="23">
        <v>42101</v>
      </c>
      <c r="F427" s="106">
        <v>7763.6</v>
      </c>
      <c r="G427" s="31">
        <f t="shared" si="6"/>
        <v>0</v>
      </c>
      <c r="H427" s="19" t="s">
        <v>62</v>
      </c>
      <c r="I427" s="3"/>
      <c r="J427" s="42"/>
      <c r="K427" s="3"/>
    </row>
    <row r="428" spans="1:11" x14ac:dyDescent="0.25">
      <c r="A428" s="20">
        <v>42100</v>
      </c>
      <c r="B428" s="183">
        <v>16965</v>
      </c>
      <c r="C428" s="14" t="s">
        <v>130</v>
      </c>
      <c r="D428" s="105">
        <v>5950.8</v>
      </c>
      <c r="E428" s="23">
        <v>42102</v>
      </c>
      <c r="F428" s="106">
        <v>5950.8</v>
      </c>
      <c r="G428" s="31">
        <f t="shared" si="6"/>
        <v>0</v>
      </c>
      <c r="H428" s="19" t="s">
        <v>17</v>
      </c>
      <c r="I428" s="3"/>
      <c r="J428" s="42"/>
      <c r="K428" s="3"/>
    </row>
    <row r="429" spans="1:11" x14ac:dyDescent="0.25">
      <c r="A429" s="20">
        <v>42100</v>
      </c>
      <c r="B429" s="183">
        <v>16966</v>
      </c>
      <c r="C429" s="14" t="s">
        <v>320</v>
      </c>
      <c r="D429" s="105">
        <v>2443.3000000000002</v>
      </c>
      <c r="E429" s="23">
        <v>42101</v>
      </c>
      <c r="F429" s="106">
        <v>2443.3000000000002</v>
      </c>
      <c r="G429" s="31">
        <f t="shared" si="6"/>
        <v>0</v>
      </c>
      <c r="H429" s="19" t="s">
        <v>17</v>
      </c>
      <c r="I429" s="3"/>
      <c r="J429" s="42"/>
      <c r="K429" s="3"/>
    </row>
    <row r="430" spans="1:11" x14ac:dyDescent="0.25">
      <c r="A430" s="20">
        <v>42100</v>
      </c>
      <c r="B430" s="183">
        <v>16967</v>
      </c>
      <c r="C430" s="14" t="s">
        <v>165</v>
      </c>
      <c r="D430" s="105">
        <v>2273.6999999999998</v>
      </c>
      <c r="E430" s="23">
        <v>42101</v>
      </c>
      <c r="F430" s="106">
        <v>2273.6999999999998</v>
      </c>
      <c r="G430" s="31">
        <f t="shared" si="6"/>
        <v>0</v>
      </c>
      <c r="H430" s="19" t="s">
        <v>17</v>
      </c>
      <c r="I430" s="3"/>
      <c r="J430" s="42"/>
      <c r="K430" s="3"/>
    </row>
    <row r="431" spans="1:11" x14ac:dyDescent="0.25">
      <c r="A431" s="20">
        <v>42100</v>
      </c>
      <c r="B431" s="183">
        <v>16968</v>
      </c>
      <c r="C431" s="14" t="s">
        <v>155</v>
      </c>
      <c r="D431" s="105">
        <v>240</v>
      </c>
      <c r="E431" s="23">
        <v>42100</v>
      </c>
      <c r="F431" s="106">
        <v>240</v>
      </c>
      <c r="G431" s="48">
        <f t="shared" si="6"/>
        <v>0</v>
      </c>
      <c r="H431" s="19" t="s">
        <v>9</v>
      </c>
      <c r="I431" s="3"/>
      <c r="J431" s="42"/>
      <c r="K431" s="3"/>
    </row>
    <row r="432" spans="1:11" x14ac:dyDescent="0.25">
      <c r="A432" s="20">
        <v>42100</v>
      </c>
      <c r="B432" s="183">
        <v>16969</v>
      </c>
      <c r="C432" s="14" t="s">
        <v>697</v>
      </c>
      <c r="D432" s="105">
        <v>16381.05</v>
      </c>
      <c r="E432" s="23">
        <v>42102</v>
      </c>
      <c r="F432" s="106">
        <v>16381.05</v>
      </c>
      <c r="G432" s="31">
        <f t="shared" si="6"/>
        <v>0</v>
      </c>
      <c r="H432" s="19" t="s">
        <v>9</v>
      </c>
      <c r="I432" s="3"/>
      <c r="J432" s="42"/>
      <c r="K432" s="3"/>
    </row>
    <row r="433" spans="1:11" x14ac:dyDescent="0.25">
      <c r="A433" s="20">
        <v>42100</v>
      </c>
      <c r="B433" s="183">
        <v>16970</v>
      </c>
      <c r="C433" s="14" t="s">
        <v>232</v>
      </c>
      <c r="D433" s="105">
        <v>9839.7000000000007</v>
      </c>
      <c r="E433" s="23">
        <v>42101</v>
      </c>
      <c r="F433" s="106">
        <v>9839.7000000000007</v>
      </c>
      <c r="G433" s="31">
        <f t="shared" si="6"/>
        <v>0</v>
      </c>
      <c r="H433" s="19" t="s">
        <v>17</v>
      </c>
      <c r="I433" s="3"/>
      <c r="J433" s="42"/>
      <c r="K433" s="3"/>
    </row>
    <row r="434" spans="1:11" x14ac:dyDescent="0.25">
      <c r="A434" s="20">
        <v>42100</v>
      </c>
      <c r="B434" s="183">
        <v>16971</v>
      </c>
      <c r="C434" s="14" t="s">
        <v>697</v>
      </c>
      <c r="D434" s="105">
        <v>4232</v>
      </c>
      <c r="E434" s="30" t="s">
        <v>1047</v>
      </c>
      <c r="F434" s="106">
        <v>4232</v>
      </c>
      <c r="G434" s="31">
        <f t="shared" si="6"/>
        <v>0</v>
      </c>
      <c r="H434" s="19" t="s">
        <v>9</v>
      </c>
      <c r="K434" s="3"/>
    </row>
    <row r="435" spans="1:11" x14ac:dyDescent="0.25">
      <c r="A435" s="20">
        <v>42100</v>
      </c>
      <c r="B435" s="183">
        <v>16972</v>
      </c>
      <c r="C435" s="14" t="s">
        <v>32</v>
      </c>
      <c r="D435" s="105">
        <v>35231.480000000003</v>
      </c>
      <c r="E435" s="23">
        <v>42115</v>
      </c>
      <c r="F435" s="106">
        <v>35231.480000000003</v>
      </c>
      <c r="G435" s="31">
        <f t="shared" si="6"/>
        <v>0</v>
      </c>
      <c r="H435" s="19" t="s">
        <v>94</v>
      </c>
      <c r="J435" s="107"/>
      <c r="K435" s="3"/>
    </row>
    <row r="436" spans="1:11" x14ac:dyDescent="0.25">
      <c r="A436" s="20">
        <v>42100</v>
      </c>
      <c r="B436" s="183">
        <v>16973</v>
      </c>
      <c r="C436" s="14" t="s">
        <v>137</v>
      </c>
      <c r="D436" s="105">
        <v>2664.75</v>
      </c>
      <c r="E436" s="23">
        <v>42100</v>
      </c>
      <c r="F436" s="106">
        <v>2664.75</v>
      </c>
      <c r="G436" s="31">
        <f t="shared" si="6"/>
        <v>0</v>
      </c>
      <c r="H436" s="19" t="s">
        <v>9</v>
      </c>
      <c r="K436" s="3"/>
    </row>
    <row r="437" spans="1:11" x14ac:dyDescent="0.25">
      <c r="A437" s="20">
        <v>42100</v>
      </c>
      <c r="B437" s="183">
        <v>16974</v>
      </c>
      <c r="C437" s="14" t="s">
        <v>179</v>
      </c>
      <c r="D437" s="105">
        <v>2792.2</v>
      </c>
      <c r="E437" s="23">
        <v>42101</v>
      </c>
      <c r="F437" s="106">
        <v>2792.2</v>
      </c>
      <c r="G437" s="31">
        <f t="shared" si="6"/>
        <v>0</v>
      </c>
      <c r="H437" s="19" t="s">
        <v>15</v>
      </c>
      <c r="K437" s="3"/>
    </row>
    <row r="438" spans="1:11" x14ac:dyDescent="0.25">
      <c r="A438" s="20">
        <v>42100</v>
      </c>
      <c r="B438" s="183">
        <v>16975</v>
      </c>
      <c r="C438" s="14" t="s">
        <v>111</v>
      </c>
      <c r="D438" s="105">
        <v>3861</v>
      </c>
      <c r="E438" s="23">
        <v>42102</v>
      </c>
      <c r="F438" s="106">
        <v>3861</v>
      </c>
      <c r="G438" s="31">
        <f t="shared" si="6"/>
        <v>0</v>
      </c>
      <c r="H438" s="19" t="s">
        <v>9</v>
      </c>
      <c r="K438" s="3"/>
    </row>
    <row r="439" spans="1:11" x14ac:dyDescent="0.25">
      <c r="A439" s="20">
        <v>42100</v>
      </c>
      <c r="B439" s="183">
        <v>16976</v>
      </c>
      <c r="C439" s="14" t="s">
        <v>104</v>
      </c>
      <c r="D439" s="105">
        <v>5382</v>
      </c>
      <c r="E439" s="23">
        <v>42101</v>
      </c>
      <c r="F439" s="106">
        <v>5382</v>
      </c>
      <c r="G439" s="31">
        <f t="shared" si="6"/>
        <v>0</v>
      </c>
      <c r="H439" s="19" t="s">
        <v>94</v>
      </c>
      <c r="K439" s="3"/>
    </row>
    <row r="440" spans="1:11" x14ac:dyDescent="0.25">
      <c r="A440" s="20">
        <v>42100</v>
      </c>
      <c r="B440" s="183">
        <v>16977</v>
      </c>
      <c r="C440" s="14" t="s">
        <v>104</v>
      </c>
      <c r="D440" s="105">
        <v>280.60000000000002</v>
      </c>
      <c r="E440" s="23">
        <v>42101</v>
      </c>
      <c r="F440" s="106">
        <v>280.60000000000002</v>
      </c>
      <c r="G440" s="31">
        <f t="shared" si="6"/>
        <v>0</v>
      </c>
      <c r="H440" s="19" t="s">
        <v>9</v>
      </c>
      <c r="K440" s="3"/>
    </row>
    <row r="441" spans="1:11" x14ac:dyDescent="0.25">
      <c r="A441" s="20">
        <v>42100</v>
      </c>
      <c r="B441" s="183">
        <v>16978</v>
      </c>
      <c r="C441" s="14" t="s">
        <v>95</v>
      </c>
      <c r="D441" s="105">
        <v>1602.7</v>
      </c>
      <c r="E441" s="23">
        <v>42101</v>
      </c>
      <c r="F441" s="106">
        <v>1602.7</v>
      </c>
      <c r="G441" s="31">
        <f t="shared" si="6"/>
        <v>0</v>
      </c>
      <c r="H441" s="19" t="s">
        <v>94</v>
      </c>
      <c r="K441" s="3"/>
    </row>
    <row r="442" spans="1:11" x14ac:dyDescent="0.25">
      <c r="A442" s="20">
        <v>42100</v>
      </c>
      <c r="B442" s="183">
        <v>16979</v>
      </c>
      <c r="C442" s="14" t="s">
        <v>301</v>
      </c>
      <c r="D442" s="105">
        <v>2151.1999999999998</v>
      </c>
      <c r="E442" s="23">
        <v>42101</v>
      </c>
      <c r="F442" s="106">
        <v>2151.1999999999998</v>
      </c>
      <c r="G442" s="31">
        <f t="shared" si="6"/>
        <v>0</v>
      </c>
      <c r="H442" s="19" t="s">
        <v>94</v>
      </c>
      <c r="K442" s="3"/>
    </row>
    <row r="443" spans="1:11" x14ac:dyDescent="0.25">
      <c r="A443" s="20">
        <v>42100</v>
      </c>
      <c r="B443" s="183">
        <v>16980</v>
      </c>
      <c r="C443" s="14" t="s">
        <v>98</v>
      </c>
      <c r="D443" s="105">
        <v>1795.8</v>
      </c>
      <c r="E443" s="23">
        <v>42101</v>
      </c>
      <c r="F443" s="106">
        <v>1795.8</v>
      </c>
      <c r="G443" s="31">
        <f t="shared" si="6"/>
        <v>0</v>
      </c>
      <c r="H443" s="19" t="s">
        <v>94</v>
      </c>
      <c r="K443" s="3"/>
    </row>
    <row r="444" spans="1:11" x14ac:dyDescent="0.25">
      <c r="A444" s="20">
        <v>42100</v>
      </c>
      <c r="B444" s="183">
        <v>16981</v>
      </c>
      <c r="C444" s="14" t="s">
        <v>250</v>
      </c>
      <c r="D444" s="105">
        <v>1508.8</v>
      </c>
      <c r="E444" s="23">
        <v>42101</v>
      </c>
      <c r="F444" s="106">
        <v>1508.8</v>
      </c>
      <c r="G444" s="31">
        <f t="shared" si="6"/>
        <v>0</v>
      </c>
      <c r="H444" s="19" t="s">
        <v>94</v>
      </c>
      <c r="K444" s="3"/>
    </row>
    <row r="445" spans="1:11" x14ac:dyDescent="0.25">
      <c r="A445" s="20">
        <v>42100</v>
      </c>
      <c r="B445" s="183">
        <v>16982</v>
      </c>
      <c r="C445" s="14" t="s">
        <v>38</v>
      </c>
      <c r="D445" s="105">
        <v>30030</v>
      </c>
      <c r="E445" s="23" t="s">
        <v>1048</v>
      </c>
      <c r="F445" s="106">
        <f>1770+28260</f>
        <v>30030</v>
      </c>
      <c r="G445" s="31">
        <f t="shared" si="6"/>
        <v>0</v>
      </c>
      <c r="H445" s="19" t="s">
        <v>9</v>
      </c>
      <c r="K445" s="3"/>
    </row>
    <row r="446" spans="1:11" x14ac:dyDescent="0.25">
      <c r="A446" s="20">
        <v>42100</v>
      </c>
      <c r="B446" s="183">
        <v>16983</v>
      </c>
      <c r="C446" s="14" t="s">
        <v>791</v>
      </c>
      <c r="D446" s="105">
        <v>2512.1999999999998</v>
      </c>
      <c r="E446" s="23">
        <v>42102</v>
      </c>
      <c r="F446" s="106">
        <v>2512.1999999999998</v>
      </c>
      <c r="G446" s="31">
        <f t="shared" si="6"/>
        <v>0</v>
      </c>
      <c r="H446" s="19" t="s">
        <v>9</v>
      </c>
      <c r="K446" s="3"/>
    </row>
    <row r="447" spans="1:11" x14ac:dyDescent="0.25">
      <c r="A447" s="20">
        <v>42100</v>
      </c>
      <c r="B447" s="183">
        <v>16984</v>
      </c>
      <c r="C447" s="14" t="s">
        <v>335</v>
      </c>
      <c r="D447" s="105">
        <v>901.2</v>
      </c>
      <c r="E447" s="23">
        <v>42100</v>
      </c>
      <c r="F447" s="106">
        <v>901.2</v>
      </c>
      <c r="G447" s="31">
        <f t="shared" si="6"/>
        <v>0</v>
      </c>
      <c r="H447" s="19" t="s">
        <v>9</v>
      </c>
      <c r="K447" s="3"/>
    </row>
    <row r="448" spans="1:11" x14ac:dyDescent="0.25">
      <c r="A448" s="20">
        <v>42100</v>
      </c>
      <c r="B448" s="183">
        <v>16985</v>
      </c>
      <c r="C448" s="150" t="s">
        <v>440</v>
      </c>
      <c r="D448" s="105">
        <v>8233.6</v>
      </c>
      <c r="E448" s="23">
        <v>42100</v>
      </c>
      <c r="F448" s="106">
        <v>8233.6</v>
      </c>
      <c r="G448" s="31">
        <f t="shared" si="6"/>
        <v>0</v>
      </c>
      <c r="H448" s="19" t="s">
        <v>9</v>
      </c>
      <c r="K448" s="3"/>
    </row>
    <row r="449" spans="1:11" x14ac:dyDescent="0.25">
      <c r="A449" s="20">
        <v>42100</v>
      </c>
      <c r="B449" s="183">
        <v>16986</v>
      </c>
      <c r="C449" s="14" t="s">
        <v>590</v>
      </c>
      <c r="D449" s="105">
        <v>7430.7</v>
      </c>
      <c r="E449" s="23">
        <v>42101</v>
      </c>
      <c r="F449" s="106">
        <v>7430.7</v>
      </c>
      <c r="G449" s="31">
        <f t="shared" si="6"/>
        <v>0</v>
      </c>
      <c r="H449" s="19" t="s">
        <v>94</v>
      </c>
      <c r="K449" s="3"/>
    </row>
    <row r="450" spans="1:11" x14ac:dyDescent="0.25">
      <c r="A450" s="20">
        <v>42100</v>
      </c>
      <c r="B450" s="183">
        <v>16987</v>
      </c>
      <c r="C450" s="14" t="s">
        <v>31</v>
      </c>
      <c r="D450" s="105">
        <v>4240.8</v>
      </c>
      <c r="E450" s="23">
        <v>42100</v>
      </c>
      <c r="F450" s="106">
        <v>4240.8</v>
      </c>
      <c r="G450" s="31">
        <f t="shared" si="6"/>
        <v>0</v>
      </c>
      <c r="H450" s="19" t="s">
        <v>9</v>
      </c>
      <c r="K450" s="3"/>
    </row>
    <row r="451" spans="1:11" x14ac:dyDescent="0.25">
      <c r="A451" s="20">
        <v>42100</v>
      </c>
      <c r="B451" s="183">
        <v>16988</v>
      </c>
      <c r="C451" s="14" t="s">
        <v>125</v>
      </c>
      <c r="D451" s="105">
        <v>18542.79</v>
      </c>
      <c r="E451" s="23">
        <v>42100</v>
      </c>
      <c r="F451" s="106">
        <v>18542.79</v>
      </c>
      <c r="G451" s="31">
        <f t="shared" ref="G451:G514" si="7">D451-F451</f>
        <v>0</v>
      </c>
      <c r="H451" s="19" t="s">
        <v>17</v>
      </c>
      <c r="K451" s="3"/>
    </row>
    <row r="452" spans="1:11" x14ac:dyDescent="0.25">
      <c r="A452" s="20">
        <v>42100</v>
      </c>
      <c r="B452" s="183">
        <v>16989</v>
      </c>
      <c r="C452" s="14" t="s">
        <v>325</v>
      </c>
      <c r="D452" s="105">
        <v>986.4</v>
      </c>
      <c r="E452" s="23">
        <v>42100</v>
      </c>
      <c r="F452" s="106">
        <v>986.4</v>
      </c>
      <c r="G452" s="31">
        <f t="shared" si="7"/>
        <v>0</v>
      </c>
      <c r="H452" s="19" t="s">
        <v>17</v>
      </c>
      <c r="K452" s="3"/>
    </row>
    <row r="453" spans="1:11" x14ac:dyDescent="0.25">
      <c r="A453" s="20">
        <v>42100</v>
      </c>
      <c r="B453" s="183">
        <v>16990</v>
      </c>
      <c r="C453" s="14" t="s">
        <v>50</v>
      </c>
      <c r="D453" s="105">
        <v>3772.45</v>
      </c>
      <c r="E453" s="23">
        <v>42100</v>
      </c>
      <c r="F453" s="106">
        <v>3772.45</v>
      </c>
      <c r="G453" s="31">
        <f t="shared" si="7"/>
        <v>0</v>
      </c>
      <c r="H453" s="19" t="s">
        <v>17</v>
      </c>
      <c r="K453" s="3"/>
    </row>
    <row r="454" spans="1:11" x14ac:dyDescent="0.25">
      <c r="A454" s="20">
        <v>42100</v>
      </c>
      <c r="B454" s="183">
        <v>16991</v>
      </c>
      <c r="C454" s="14" t="s">
        <v>87</v>
      </c>
      <c r="D454" s="105">
        <v>1725.9</v>
      </c>
      <c r="E454" s="23">
        <v>42112</v>
      </c>
      <c r="F454" s="106">
        <v>1725.9</v>
      </c>
      <c r="G454" s="31">
        <f t="shared" si="7"/>
        <v>0</v>
      </c>
      <c r="H454" s="19" t="s">
        <v>17</v>
      </c>
      <c r="K454" s="3"/>
    </row>
    <row r="455" spans="1:11" x14ac:dyDescent="0.25">
      <c r="A455" s="20">
        <v>42100</v>
      </c>
      <c r="B455" s="183">
        <v>16992</v>
      </c>
      <c r="C455" s="14" t="s">
        <v>102</v>
      </c>
      <c r="D455" s="105">
        <v>594</v>
      </c>
      <c r="E455" s="23">
        <v>42100</v>
      </c>
      <c r="F455" s="106">
        <v>594</v>
      </c>
      <c r="G455" s="31">
        <f t="shared" si="7"/>
        <v>0</v>
      </c>
      <c r="H455" s="39" t="s">
        <v>9</v>
      </c>
      <c r="K455" s="3"/>
    </row>
    <row r="456" spans="1:11" x14ac:dyDescent="0.25">
      <c r="A456" s="20">
        <v>42100</v>
      </c>
      <c r="B456" s="183">
        <v>16993</v>
      </c>
      <c r="C456" s="14" t="s">
        <v>14</v>
      </c>
      <c r="D456" s="105">
        <v>71220.45</v>
      </c>
      <c r="E456" s="23">
        <v>42104</v>
      </c>
      <c r="F456" s="106">
        <v>71220.45</v>
      </c>
      <c r="G456" s="31">
        <f t="shared" si="7"/>
        <v>0</v>
      </c>
      <c r="H456" s="39" t="s">
        <v>1013</v>
      </c>
      <c r="K456" s="3"/>
    </row>
    <row r="457" spans="1:11" x14ac:dyDescent="0.25">
      <c r="A457" s="20">
        <v>42100</v>
      </c>
      <c r="B457" s="183">
        <v>16994</v>
      </c>
      <c r="C457" s="14" t="s">
        <v>112</v>
      </c>
      <c r="D457" s="105">
        <v>42342.73</v>
      </c>
      <c r="E457" s="23">
        <v>42100</v>
      </c>
      <c r="F457" s="106">
        <v>42342.73</v>
      </c>
      <c r="G457" s="31">
        <f t="shared" si="7"/>
        <v>0</v>
      </c>
      <c r="H457" s="39" t="s">
        <v>27</v>
      </c>
      <c r="K457" s="3"/>
    </row>
    <row r="458" spans="1:11" x14ac:dyDescent="0.25">
      <c r="A458" s="20">
        <v>42100</v>
      </c>
      <c r="B458" s="183">
        <v>16995</v>
      </c>
      <c r="C458" s="14" t="s">
        <v>571</v>
      </c>
      <c r="D458" s="105">
        <v>36979.21</v>
      </c>
      <c r="E458" s="23">
        <v>42100</v>
      </c>
      <c r="F458" s="106">
        <v>36979.21</v>
      </c>
      <c r="G458" s="31">
        <f t="shared" si="7"/>
        <v>0</v>
      </c>
      <c r="H458" s="39" t="s">
        <v>9</v>
      </c>
      <c r="K458" s="3"/>
    </row>
    <row r="459" spans="1:11" x14ac:dyDescent="0.25">
      <c r="A459" s="20">
        <v>42100</v>
      </c>
      <c r="B459" s="183">
        <v>16996</v>
      </c>
      <c r="C459" s="14" t="s">
        <v>284</v>
      </c>
      <c r="D459" s="105">
        <v>2330.1</v>
      </c>
      <c r="E459" s="23">
        <v>42100</v>
      </c>
      <c r="F459" s="106">
        <v>2330.1</v>
      </c>
      <c r="G459" s="31">
        <f t="shared" si="7"/>
        <v>0</v>
      </c>
      <c r="H459" s="39" t="s">
        <v>9</v>
      </c>
      <c r="K459" s="3"/>
    </row>
    <row r="460" spans="1:11" x14ac:dyDescent="0.25">
      <c r="A460" s="20">
        <v>42100</v>
      </c>
      <c r="B460" s="183">
        <v>16997</v>
      </c>
      <c r="C460" s="14" t="s">
        <v>697</v>
      </c>
      <c r="D460" s="105">
        <v>58411.5</v>
      </c>
      <c r="E460" s="30" t="s">
        <v>1049</v>
      </c>
      <c r="F460" s="106">
        <v>58411.5</v>
      </c>
      <c r="G460" s="31">
        <f t="shared" si="7"/>
        <v>0</v>
      </c>
      <c r="H460" s="39" t="s">
        <v>9</v>
      </c>
      <c r="J460" s="107"/>
      <c r="K460" s="3"/>
    </row>
    <row r="461" spans="1:11" x14ac:dyDescent="0.25">
      <c r="A461" s="20">
        <v>42100</v>
      </c>
      <c r="B461" s="183">
        <v>16998</v>
      </c>
      <c r="C461" s="14" t="s">
        <v>141</v>
      </c>
      <c r="D461" s="105">
        <v>1948.2</v>
      </c>
      <c r="E461" s="23">
        <v>42100</v>
      </c>
      <c r="F461" s="106">
        <v>1948.2</v>
      </c>
      <c r="G461" s="31">
        <f t="shared" si="7"/>
        <v>0</v>
      </c>
      <c r="H461" s="39" t="s">
        <v>9</v>
      </c>
      <c r="K461" s="3"/>
    </row>
    <row r="462" spans="1:11" x14ac:dyDescent="0.25">
      <c r="A462" s="20">
        <v>42100</v>
      </c>
      <c r="B462" s="183">
        <v>16999</v>
      </c>
      <c r="C462" s="14" t="s">
        <v>136</v>
      </c>
      <c r="D462" s="105">
        <v>30360</v>
      </c>
      <c r="E462" s="23">
        <v>42102</v>
      </c>
      <c r="F462" s="106">
        <v>30360</v>
      </c>
      <c r="G462" s="31">
        <f t="shared" si="7"/>
        <v>0</v>
      </c>
      <c r="H462" s="39" t="s">
        <v>9</v>
      </c>
      <c r="K462" s="3"/>
    </row>
    <row r="463" spans="1:11" x14ac:dyDescent="0.25">
      <c r="A463" s="20">
        <v>42100</v>
      </c>
      <c r="B463" s="183">
        <v>17000</v>
      </c>
      <c r="C463" s="14" t="s">
        <v>1050</v>
      </c>
      <c r="D463" s="105">
        <v>5656.68</v>
      </c>
      <c r="E463" s="30" t="s">
        <v>1051</v>
      </c>
      <c r="F463" s="106">
        <v>5656.68</v>
      </c>
      <c r="G463" s="31">
        <f t="shared" si="7"/>
        <v>0</v>
      </c>
      <c r="H463" s="39" t="s">
        <v>9</v>
      </c>
      <c r="K463" s="3"/>
    </row>
    <row r="464" spans="1:11" x14ac:dyDescent="0.25">
      <c r="A464" s="20">
        <v>42100</v>
      </c>
      <c r="B464" s="183">
        <v>17001</v>
      </c>
      <c r="C464" s="14" t="s">
        <v>1052</v>
      </c>
      <c r="D464" s="105">
        <v>8180.4</v>
      </c>
      <c r="E464" s="23">
        <v>42100</v>
      </c>
      <c r="F464" s="106">
        <v>8180.4</v>
      </c>
      <c r="G464" s="31">
        <f t="shared" si="7"/>
        <v>0</v>
      </c>
      <c r="H464" s="39" t="s">
        <v>9</v>
      </c>
      <c r="K464" s="3"/>
    </row>
    <row r="465" spans="1:11" x14ac:dyDescent="0.25">
      <c r="A465" s="20">
        <v>42100</v>
      </c>
      <c r="B465" s="183">
        <v>17002</v>
      </c>
      <c r="C465" s="14" t="s">
        <v>123</v>
      </c>
      <c r="D465" s="105">
        <v>18835.2</v>
      </c>
      <c r="E465" s="23">
        <v>42101</v>
      </c>
      <c r="F465" s="106">
        <v>18835.2</v>
      </c>
      <c r="G465" s="31">
        <f t="shared" si="7"/>
        <v>0</v>
      </c>
      <c r="H465" s="39" t="s">
        <v>27</v>
      </c>
      <c r="K465" s="3"/>
    </row>
    <row r="466" spans="1:11" x14ac:dyDescent="0.25">
      <c r="A466" s="20">
        <v>42100</v>
      </c>
      <c r="B466" s="183">
        <v>17003</v>
      </c>
      <c r="C466" s="14" t="s">
        <v>158</v>
      </c>
      <c r="D466" s="105">
        <v>7218.25</v>
      </c>
      <c r="E466" s="23">
        <v>42100</v>
      </c>
      <c r="F466" s="106">
        <v>7218.25</v>
      </c>
      <c r="G466" s="31">
        <f t="shared" si="7"/>
        <v>0</v>
      </c>
      <c r="H466" s="39" t="s">
        <v>9</v>
      </c>
      <c r="K466" s="3"/>
    </row>
    <row r="467" spans="1:11" x14ac:dyDescent="0.25">
      <c r="A467" s="20">
        <v>42100</v>
      </c>
      <c r="B467" s="183">
        <v>17004</v>
      </c>
      <c r="C467" s="14" t="s">
        <v>32</v>
      </c>
      <c r="D467" s="105">
        <v>32898.67</v>
      </c>
      <c r="E467" s="23">
        <v>42115</v>
      </c>
      <c r="F467" s="106">
        <v>32898.67</v>
      </c>
      <c r="G467" s="31">
        <f t="shared" si="7"/>
        <v>0</v>
      </c>
      <c r="H467" s="39" t="s">
        <v>59</v>
      </c>
      <c r="I467" s="3"/>
      <c r="J467" s="42"/>
      <c r="K467" s="3"/>
    </row>
    <row r="468" spans="1:11" x14ac:dyDescent="0.25">
      <c r="A468" s="20">
        <v>42100</v>
      </c>
      <c r="B468" s="183">
        <v>17005</v>
      </c>
      <c r="C468" s="14" t="s">
        <v>45</v>
      </c>
      <c r="D468" s="105">
        <v>69222.210000000006</v>
      </c>
      <c r="E468" s="23">
        <v>42104</v>
      </c>
      <c r="F468" s="106">
        <v>69222.210000000006</v>
      </c>
      <c r="G468" s="31">
        <f t="shared" si="7"/>
        <v>0</v>
      </c>
      <c r="H468" s="39" t="s">
        <v>9</v>
      </c>
      <c r="I468" s="3"/>
      <c r="J468" s="42"/>
      <c r="K468" s="3"/>
    </row>
    <row r="469" spans="1:11" x14ac:dyDescent="0.25">
      <c r="A469" s="20">
        <v>42100</v>
      </c>
      <c r="B469" s="183">
        <v>17006</v>
      </c>
      <c r="C469" s="14" t="s">
        <v>294</v>
      </c>
      <c r="D469" s="105">
        <v>161.86000000000001</v>
      </c>
      <c r="E469" s="23">
        <v>42100</v>
      </c>
      <c r="F469" s="106">
        <v>161.86000000000001</v>
      </c>
      <c r="G469" s="31">
        <f t="shared" si="7"/>
        <v>0</v>
      </c>
      <c r="H469" s="39" t="s">
        <v>9</v>
      </c>
      <c r="I469" s="3"/>
      <c r="J469" s="42"/>
      <c r="K469" s="3"/>
    </row>
    <row r="470" spans="1:11" x14ac:dyDescent="0.25">
      <c r="A470" s="20">
        <v>42100</v>
      </c>
      <c r="B470" s="183">
        <v>17007</v>
      </c>
      <c r="C470" s="14" t="s">
        <v>125</v>
      </c>
      <c r="D470" s="105">
        <v>15685.9</v>
      </c>
      <c r="E470" s="23">
        <v>42118</v>
      </c>
      <c r="F470" s="106">
        <v>15685.9</v>
      </c>
      <c r="G470" s="31">
        <f t="shared" si="7"/>
        <v>0</v>
      </c>
      <c r="H470" s="39" t="s">
        <v>17</v>
      </c>
      <c r="I470" s="3"/>
      <c r="J470" s="42"/>
      <c r="K470" s="3"/>
    </row>
    <row r="471" spans="1:11" x14ac:dyDescent="0.25">
      <c r="A471" s="20">
        <v>42100</v>
      </c>
      <c r="B471" s="183">
        <v>17008</v>
      </c>
      <c r="C471" s="14" t="s">
        <v>851</v>
      </c>
      <c r="D471" s="105">
        <v>1761.2</v>
      </c>
      <c r="E471" s="23">
        <v>42101</v>
      </c>
      <c r="F471" s="106">
        <v>1761.2</v>
      </c>
      <c r="G471" s="31">
        <f t="shared" si="7"/>
        <v>0</v>
      </c>
      <c r="H471" s="39" t="s">
        <v>17</v>
      </c>
      <c r="I471" s="3"/>
      <c r="J471" s="42"/>
      <c r="K471" s="3"/>
    </row>
    <row r="472" spans="1:11" x14ac:dyDescent="0.25">
      <c r="A472" s="20">
        <v>42100</v>
      </c>
      <c r="B472" s="183">
        <v>17009</v>
      </c>
      <c r="C472" s="14" t="s">
        <v>234</v>
      </c>
      <c r="D472" s="105">
        <v>115.2</v>
      </c>
      <c r="E472" s="23">
        <v>42100</v>
      </c>
      <c r="F472" s="106">
        <v>115.2</v>
      </c>
      <c r="G472" s="31">
        <f t="shared" si="7"/>
        <v>0</v>
      </c>
      <c r="H472" s="39" t="s">
        <v>9</v>
      </c>
      <c r="I472" s="3"/>
      <c r="J472" s="42"/>
      <c r="K472" s="3"/>
    </row>
    <row r="473" spans="1:11" x14ac:dyDescent="0.25">
      <c r="A473" s="20">
        <v>42100</v>
      </c>
      <c r="B473" s="183">
        <v>17010</v>
      </c>
      <c r="C473" s="14" t="s">
        <v>1053</v>
      </c>
      <c r="D473" s="105">
        <v>55688.68</v>
      </c>
      <c r="E473" s="23">
        <v>42101</v>
      </c>
      <c r="F473" s="106">
        <v>55688.88</v>
      </c>
      <c r="G473" s="31">
        <f t="shared" si="7"/>
        <v>-0.19999999999708962</v>
      </c>
      <c r="H473" s="39" t="s">
        <v>773</v>
      </c>
      <c r="I473" s="3"/>
      <c r="J473" s="42"/>
      <c r="K473" s="3"/>
    </row>
    <row r="474" spans="1:11" x14ac:dyDescent="0.25">
      <c r="A474" s="20">
        <v>42100</v>
      </c>
      <c r="B474" s="183">
        <v>17011</v>
      </c>
      <c r="C474" s="14" t="s">
        <v>80</v>
      </c>
      <c r="D474" s="105">
        <v>7486.8</v>
      </c>
      <c r="E474" s="23">
        <v>42100</v>
      </c>
      <c r="F474" s="106">
        <v>7486.8</v>
      </c>
      <c r="G474" s="31">
        <f t="shared" si="7"/>
        <v>0</v>
      </c>
      <c r="H474" s="39" t="s">
        <v>9</v>
      </c>
      <c r="I474" s="3"/>
      <c r="J474" s="42"/>
      <c r="K474" s="3"/>
    </row>
    <row r="475" spans="1:11" x14ac:dyDescent="0.25">
      <c r="A475" s="20">
        <v>42100</v>
      </c>
      <c r="B475" s="183">
        <v>17012</v>
      </c>
      <c r="C475" s="14" t="s">
        <v>235</v>
      </c>
      <c r="D475" s="105">
        <v>1677.6</v>
      </c>
      <c r="E475" s="23">
        <v>42101</v>
      </c>
      <c r="F475" s="106">
        <v>1677.6</v>
      </c>
      <c r="G475" s="31">
        <f t="shared" si="7"/>
        <v>0</v>
      </c>
      <c r="H475" s="39" t="s">
        <v>17</v>
      </c>
      <c r="I475" s="3"/>
      <c r="J475" s="42"/>
      <c r="K475" s="3"/>
    </row>
    <row r="476" spans="1:11" x14ac:dyDescent="0.25">
      <c r="A476" s="20">
        <v>42100</v>
      </c>
      <c r="B476" s="183">
        <v>17013</v>
      </c>
      <c r="C476" s="14" t="s">
        <v>454</v>
      </c>
      <c r="D476" s="105">
        <v>1252.8</v>
      </c>
      <c r="E476" s="23">
        <v>42101</v>
      </c>
      <c r="F476" s="106">
        <v>1252.8</v>
      </c>
      <c r="G476" s="31">
        <f t="shared" si="7"/>
        <v>0</v>
      </c>
      <c r="H476" s="39" t="s">
        <v>17</v>
      </c>
      <c r="I476" s="3"/>
      <c r="J476" s="42"/>
      <c r="K476" s="3"/>
    </row>
    <row r="477" spans="1:11" x14ac:dyDescent="0.25">
      <c r="A477" s="20">
        <v>42100</v>
      </c>
      <c r="B477" s="183">
        <v>17014</v>
      </c>
      <c r="C477" s="150" t="s">
        <v>697</v>
      </c>
      <c r="D477" s="105">
        <v>17271</v>
      </c>
      <c r="E477" s="30" t="s">
        <v>1054</v>
      </c>
      <c r="F477" s="106">
        <v>17271</v>
      </c>
      <c r="G477" s="31">
        <f t="shared" si="7"/>
        <v>0</v>
      </c>
      <c r="H477" s="39" t="s">
        <v>9</v>
      </c>
      <c r="I477" s="3"/>
      <c r="J477" s="42"/>
      <c r="K477" s="3"/>
    </row>
    <row r="478" spans="1:11" x14ac:dyDescent="0.25">
      <c r="A478" s="20">
        <v>42100</v>
      </c>
      <c r="B478" s="183">
        <v>17015</v>
      </c>
      <c r="C478" s="14" t="s">
        <v>24</v>
      </c>
      <c r="D478" s="105">
        <v>64572.47</v>
      </c>
      <c r="E478" s="30">
        <v>42125</v>
      </c>
      <c r="F478" s="144">
        <v>64572.47</v>
      </c>
      <c r="G478" s="31">
        <f t="shared" si="7"/>
        <v>0</v>
      </c>
      <c r="H478" s="39" t="s">
        <v>1013</v>
      </c>
      <c r="I478" s="3"/>
      <c r="J478" s="42"/>
      <c r="K478" s="3"/>
    </row>
    <row r="479" spans="1:11" x14ac:dyDescent="0.25">
      <c r="A479" s="20">
        <v>42100</v>
      </c>
      <c r="B479" s="183">
        <v>17016</v>
      </c>
      <c r="C479" s="14" t="s">
        <v>111</v>
      </c>
      <c r="D479" s="105">
        <v>172608</v>
      </c>
      <c r="E479" s="23">
        <v>42102</v>
      </c>
      <c r="F479" s="106">
        <v>172608</v>
      </c>
      <c r="G479" s="31">
        <f t="shared" si="7"/>
        <v>0</v>
      </c>
      <c r="H479" s="39" t="s">
        <v>9</v>
      </c>
      <c r="I479" s="3"/>
      <c r="J479" s="42"/>
      <c r="K479" s="3"/>
    </row>
    <row r="480" spans="1:11" x14ac:dyDescent="0.25">
      <c r="A480" s="20">
        <v>42100</v>
      </c>
      <c r="B480" s="183">
        <v>17017</v>
      </c>
      <c r="C480" s="14" t="s">
        <v>111</v>
      </c>
      <c r="D480" s="105">
        <v>93875</v>
      </c>
      <c r="E480" s="23">
        <v>42102</v>
      </c>
      <c r="F480" s="106">
        <v>93875</v>
      </c>
      <c r="G480" s="31">
        <f t="shared" si="7"/>
        <v>0</v>
      </c>
      <c r="H480" s="39"/>
      <c r="I480" s="3"/>
      <c r="J480" s="42"/>
      <c r="K480" s="3"/>
    </row>
    <row r="481" spans="1:11" x14ac:dyDescent="0.25">
      <c r="A481" s="20">
        <v>42100</v>
      </c>
      <c r="B481" s="183">
        <v>17018</v>
      </c>
      <c r="C481" s="14" t="s">
        <v>411</v>
      </c>
      <c r="D481" s="105">
        <v>1826.2</v>
      </c>
      <c r="E481" s="23">
        <v>42100</v>
      </c>
      <c r="F481" s="106">
        <v>1826.2</v>
      </c>
      <c r="G481" s="31">
        <f t="shared" si="7"/>
        <v>0</v>
      </c>
      <c r="H481" s="39" t="s">
        <v>9</v>
      </c>
      <c r="I481" s="3"/>
      <c r="J481" s="42"/>
      <c r="K481" s="3"/>
    </row>
    <row r="482" spans="1:11" x14ac:dyDescent="0.25">
      <c r="A482" s="20">
        <v>42100</v>
      </c>
      <c r="B482" s="183">
        <v>17019</v>
      </c>
      <c r="C482" s="14" t="s">
        <v>111</v>
      </c>
      <c r="D482" s="105">
        <v>192925</v>
      </c>
      <c r="E482" s="23">
        <v>42102</v>
      </c>
      <c r="F482" s="106">
        <v>192925</v>
      </c>
      <c r="G482" s="31">
        <f t="shared" si="7"/>
        <v>0</v>
      </c>
      <c r="H482" s="39" t="s">
        <v>9</v>
      </c>
      <c r="I482" s="3"/>
      <c r="J482" s="42"/>
      <c r="K482" s="3"/>
    </row>
    <row r="483" spans="1:11" x14ac:dyDescent="0.25">
      <c r="A483" s="20">
        <v>42100</v>
      </c>
      <c r="B483" s="183">
        <v>17020</v>
      </c>
      <c r="C483" s="14" t="s">
        <v>207</v>
      </c>
      <c r="D483" s="105">
        <v>17904.77</v>
      </c>
      <c r="E483" s="23">
        <v>42105</v>
      </c>
      <c r="F483" s="106">
        <v>17904.77</v>
      </c>
      <c r="G483" s="31">
        <f t="shared" si="7"/>
        <v>0</v>
      </c>
      <c r="H483" s="39" t="s">
        <v>149</v>
      </c>
      <c r="K483" s="3"/>
    </row>
    <row r="484" spans="1:11" x14ac:dyDescent="0.25">
      <c r="A484" s="20">
        <v>42100</v>
      </c>
      <c r="B484" s="183">
        <v>17021</v>
      </c>
      <c r="C484" s="14" t="s">
        <v>195</v>
      </c>
      <c r="D484" s="105">
        <v>93774.33</v>
      </c>
      <c r="E484" s="30" t="s">
        <v>1055</v>
      </c>
      <c r="F484" s="106">
        <v>93774.33</v>
      </c>
      <c r="G484" s="31">
        <f t="shared" si="7"/>
        <v>0</v>
      </c>
      <c r="H484" s="39" t="s">
        <v>149</v>
      </c>
      <c r="K484" s="3"/>
    </row>
    <row r="485" spans="1:11" x14ac:dyDescent="0.25">
      <c r="A485" s="20">
        <v>42100</v>
      </c>
      <c r="B485" s="183">
        <v>17022</v>
      </c>
      <c r="C485" s="14" t="s">
        <v>205</v>
      </c>
      <c r="D485" s="105">
        <v>4205.8</v>
      </c>
      <c r="E485" s="23">
        <v>42104</v>
      </c>
      <c r="F485" s="106">
        <v>4205.8</v>
      </c>
      <c r="G485" s="31">
        <f t="shared" si="7"/>
        <v>0</v>
      </c>
      <c r="H485" s="39" t="s">
        <v>149</v>
      </c>
      <c r="K485" s="3"/>
    </row>
    <row r="486" spans="1:11" x14ac:dyDescent="0.25">
      <c r="A486" s="20">
        <v>42100</v>
      </c>
      <c r="B486" s="183">
        <v>17023</v>
      </c>
      <c r="C486" s="14" t="s">
        <v>1020</v>
      </c>
      <c r="D486" s="105">
        <v>1696.8</v>
      </c>
      <c r="E486" s="23">
        <v>42101</v>
      </c>
      <c r="F486" s="106">
        <v>1696.8</v>
      </c>
      <c r="G486" s="31">
        <f t="shared" si="7"/>
        <v>0</v>
      </c>
      <c r="H486" s="39" t="s">
        <v>9</v>
      </c>
      <c r="K486" s="3"/>
    </row>
    <row r="487" spans="1:11" x14ac:dyDescent="0.25">
      <c r="A487" s="20">
        <v>42100</v>
      </c>
      <c r="B487" s="183">
        <v>17024</v>
      </c>
      <c r="C487" s="14" t="s">
        <v>471</v>
      </c>
      <c r="D487" s="105">
        <v>8807.4</v>
      </c>
      <c r="E487" s="23">
        <v>42102</v>
      </c>
      <c r="F487" s="106">
        <v>8807.4</v>
      </c>
      <c r="G487" s="31">
        <f t="shared" si="7"/>
        <v>0</v>
      </c>
      <c r="H487" s="39" t="s">
        <v>149</v>
      </c>
      <c r="K487" s="3"/>
    </row>
    <row r="488" spans="1:11" x14ac:dyDescent="0.25">
      <c r="A488" s="20">
        <v>42100</v>
      </c>
      <c r="B488" s="183">
        <v>17025</v>
      </c>
      <c r="C488" s="14" t="s">
        <v>552</v>
      </c>
      <c r="D488" s="105">
        <v>4673.8</v>
      </c>
      <c r="E488" s="23">
        <v>42105</v>
      </c>
      <c r="F488" s="106">
        <v>4673.8</v>
      </c>
      <c r="G488" s="31">
        <f t="shared" si="7"/>
        <v>0</v>
      </c>
      <c r="H488" s="39" t="s">
        <v>149</v>
      </c>
      <c r="K488" s="3"/>
    </row>
    <row r="489" spans="1:11" x14ac:dyDescent="0.25">
      <c r="A489" s="20">
        <v>42100</v>
      </c>
      <c r="B489" s="183">
        <v>17026</v>
      </c>
      <c r="C489" s="14" t="s">
        <v>210</v>
      </c>
      <c r="D489" s="105">
        <v>19091.259999999998</v>
      </c>
      <c r="E489" s="23">
        <v>42102</v>
      </c>
      <c r="F489" s="106">
        <v>19091.259999999998</v>
      </c>
      <c r="G489" s="31">
        <f t="shared" si="7"/>
        <v>0</v>
      </c>
      <c r="H489" s="39" t="s">
        <v>149</v>
      </c>
      <c r="K489" s="3"/>
    </row>
    <row r="490" spans="1:11" x14ac:dyDescent="0.25">
      <c r="A490" s="20">
        <v>42100</v>
      </c>
      <c r="B490" s="183">
        <v>17027</v>
      </c>
      <c r="C490" s="14" t="s">
        <v>204</v>
      </c>
      <c r="D490" s="105">
        <v>4521.8</v>
      </c>
      <c r="E490" s="23">
        <v>42102</v>
      </c>
      <c r="F490" s="106">
        <v>4521.8</v>
      </c>
      <c r="G490" s="31">
        <f t="shared" si="7"/>
        <v>0</v>
      </c>
      <c r="H490" s="39" t="s">
        <v>149</v>
      </c>
      <c r="K490" s="3"/>
    </row>
    <row r="491" spans="1:11" x14ac:dyDescent="0.25">
      <c r="A491" s="20">
        <v>42100</v>
      </c>
      <c r="B491" s="183">
        <v>17028</v>
      </c>
      <c r="C491" s="14" t="s">
        <v>261</v>
      </c>
      <c r="D491" s="105">
        <v>8366.4</v>
      </c>
      <c r="E491" s="23">
        <v>42102</v>
      </c>
      <c r="F491" s="106">
        <v>8366.4</v>
      </c>
      <c r="G491" s="31">
        <f t="shared" si="7"/>
        <v>0</v>
      </c>
      <c r="H491" s="39" t="s">
        <v>149</v>
      </c>
      <c r="K491" s="3"/>
    </row>
    <row r="492" spans="1:11" x14ac:dyDescent="0.25">
      <c r="A492" s="20">
        <v>42100</v>
      </c>
      <c r="B492" s="183">
        <v>17029</v>
      </c>
      <c r="C492" s="14" t="s">
        <v>206</v>
      </c>
      <c r="D492" s="105">
        <v>26887.47</v>
      </c>
      <c r="E492" s="23">
        <v>42117</v>
      </c>
      <c r="F492" s="106">
        <v>26887.47</v>
      </c>
      <c r="G492" s="31">
        <f t="shared" si="7"/>
        <v>0</v>
      </c>
      <c r="H492" s="39" t="s">
        <v>149</v>
      </c>
      <c r="K492" s="3"/>
    </row>
    <row r="493" spans="1:11" x14ac:dyDescent="0.25">
      <c r="A493" s="20">
        <v>42100</v>
      </c>
      <c r="B493" s="183">
        <v>17030</v>
      </c>
      <c r="C493" s="14" t="s">
        <v>68</v>
      </c>
      <c r="D493" s="105">
        <v>6106.2</v>
      </c>
      <c r="E493" s="23">
        <v>42102</v>
      </c>
      <c r="F493" s="106">
        <v>6106.2</v>
      </c>
      <c r="G493" s="31">
        <f t="shared" si="7"/>
        <v>0</v>
      </c>
      <c r="H493" s="39" t="s">
        <v>149</v>
      </c>
      <c r="K493" s="3"/>
    </row>
    <row r="494" spans="1:11" x14ac:dyDescent="0.25">
      <c r="A494" s="20">
        <v>42100</v>
      </c>
      <c r="B494" s="183">
        <v>17031</v>
      </c>
      <c r="C494" s="14" t="s">
        <v>203</v>
      </c>
      <c r="D494" s="105">
        <v>7294.4</v>
      </c>
      <c r="E494" s="23">
        <v>42102</v>
      </c>
      <c r="F494" s="106">
        <v>7294.4</v>
      </c>
      <c r="G494" s="31">
        <f t="shared" si="7"/>
        <v>0</v>
      </c>
      <c r="H494" s="39" t="s">
        <v>149</v>
      </c>
      <c r="K494" s="3"/>
    </row>
    <row r="495" spans="1:11" x14ac:dyDescent="0.25">
      <c r="A495" s="20">
        <v>42100</v>
      </c>
      <c r="B495" s="183">
        <v>17032</v>
      </c>
      <c r="C495" s="14" t="s">
        <v>806</v>
      </c>
      <c r="D495" s="105">
        <v>20638.2</v>
      </c>
      <c r="E495" s="23">
        <v>42102</v>
      </c>
      <c r="F495" s="106">
        <v>20638.2</v>
      </c>
      <c r="G495" s="31">
        <f t="shared" si="7"/>
        <v>0</v>
      </c>
      <c r="H495" s="39" t="s">
        <v>149</v>
      </c>
      <c r="K495" s="3"/>
    </row>
    <row r="496" spans="1:11" x14ac:dyDescent="0.25">
      <c r="A496" s="20">
        <v>42100</v>
      </c>
      <c r="B496" s="183">
        <v>17033</v>
      </c>
      <c r="C496" s="14" t="s">
        <v>733</v>
      </c>
      <c r="D496" s="105">
        <v>10156</v>
      </c>
      <c r="E496" s="23">
        <v>42102</v>
      </c>
      <c r="F496" s="106">
        <v>10156</v>
      </c>
      <c r="G496" s="31">
        <f t="shared" si="7"/>
        <v>0</v>
      </c>
      <c r="H496" s="39" t="s">
        <v>149</v>
      </c>
      <c r="J496" s="107"/>
      <c r="K496" s="3"/>
    </row>
    <row r="497" spans="1:11" x14ac:dyDescent="0.25">
      <c r="A497" s="20">
        <v>42100</v>
      </c>
      <c r="B497" s="183">
        <v>17034</v>
      </c>
      <c r="C497" s="14" t="s">
        <v>199</v>
      </c>
      <c r="D497" s="105">
        <v>14699</v>
      </c>
      <c r="E497" s="23">
        <v>42102</v>
      </c>
      <c r="F497" s="106">
        <v>14699</v>
      </c>
      <c r="G497" s="31">
        <f t="shared" si="7"/>
        <v>0</v>
      </c>
      <c r="H497" s="39" t="s">
        <v>149</v>
      </c>
      <c r="J497" s="107"/>
      <c r="K497" s="3"/>
    </row>
    <row r="498" spans="1:11" x14ac:dyDescent="0.25">
      <c r="A498" s="20">
        <v>42100</v>
      </c>
      <c r="B498" s="183">
        <v>17035</v>
      </c>
      <c r="C498" s="14" t="s">
        <v>732</v>
      </c>
      <c r="D498" s="105">
        <v>29994.98</v>
      </c>
      <c r="E498" s="23">
        <v>42102</v>
      </c>
      <c r="F498" s="106">
        <v>29994.98</v>
      </c>
      <c r="G498" s="31">
        <f t="shared" si="7"/>
        <v>0</v>
      </c>
      <c r="H498" s="39" t="s">
        <v>149</v>
      </c>
      <c r="K498" s="3"/>
    </row>
    <row r="499" spans="1:11" x14ac:dyDescent="0.25">
      <c r="A499" s="20">
        <v>42100</v>
      </c>
      <c r="B499" s="183">
        <v>17036</v>
      </c>
      <c r="C499" s="14" t="s">
        <v>420</v>
      </c>
      <c r="D499" s="105">
        <v>3726.8</v>
      </c>
      <c r="E499" s="23">
        <v>42102</v>
      </c>
      <c r="F499" s="106">
        <v>3726.8</v>
      </c>
      <c r="G499" s="31">
        <f t="shared" si="7"/>
        <v>0</v>
      </c>
      <c r="H499" s="39" t="s">
        <v>149</v>
      </c>
      <c r="K499" s="3"/>
    </row>
    <row r="500" spans="1:11" x14ac:dyDescent="0.25">
      <c r="A500" s="20">
        <v>42100</v>
      </c>
      <c r="B500" s="183">
        <v>17037</v>
      </c>
      <c r="C500" s="14" t="s">
        <v>733</v>
      </c>
      <c r="D500" s="105">
        <v>12120</v>
      </c>
      <c r="E500" s="23">
        <v>42102</v>
      </c>
      <c r="F500" s="106">
        <v>12120</v>
      </c>
      <c r="G500" s="31">
        <f t="shared" si="7"/>
        <v>0</v>
      </c>
      <c r="H500" s="39" t="s">
        <v>149</v>
      </c>
      <c r="K500" s="3"/>
    </row>
    <row r="501" spans="1:11" x14ac:dyDescent="0.25">
      <c r="A501" s="20">
        <v>42100</v>
      </c>
      <c r="B501" s="183">
        <v>17038</v>
      </c>
      <c r="C501" s="14" t="s">
        <v>262</v>
      </c>
      <c r="D501" s="105">
        <v>24715</v>
      </c>
      <c r="E501" s="23">
        <v>42103</v>
      </c>
      <c r="F501" s="106">
        <v>24715</v>
      </c>
      <c r="G501" s="31">
        <f t="shared" si="7"/>
        <v>0</v>
      </c>
      <c r="H501" s="39" t="s">
        <v>149</v>
      </c>
      <c r="K501" s="3"/>
    </row>
    <row r="502" spans="1:11" x14ac:dyDescent="0.25">
      <c r="A502" s="20">
        <v>42100</v>
      </c>
      <c r="B502" s="183">
        <v>17039</v>
      </c>
      <c r="C502" s="14" t="s">
        <v>198</v>
      </c>
      <c r="D502" s="105">
        <v>12335.48</v>
      </c>
      <c r="E502" s="23">
        <v>42102</v>
      </c>
      <c r="F502" s="106">
        <v>12335.48</v>
      </c>
      <c r="G502" s="31">
        <f t="shared" si="7"/>
        <v>0</v>
      </c>
      <c r="H502" s="39" t="s">
        <v>149</v>
      </c>
      <c r="K502" s="3"/>
    </row>
    <row r="503" spans="1:11" x14ac:dyDescent="0.25">
      <c r="A503" s="20">
        <v>42101</v>
      </c>
      <c r="B503" s="183">
        <v>17040</v>
      </c>
      <c r="C503" s="14" t="s">
        <v>112</v>
      </c>
      <c r="D503" s="105">
        <v>6791.4</v>
      </c>
      <c r="E503" s="23">
        <v>42102</v>
      </c>
      <c r="F503" s="106">
        <v>6791.4</v>
      </c>
      <c r="G503" s="31">
        <f t="shared" si="7"/>
        <v>0</v>
      </c>
      <c r="H503" s="39" t="s">
        <v>9</v>
      </c>
      <c r="K503" s="3"/>
    </row>
    <row r="504" spans="1:11" x14ac:dyDescent="0.25">
      <c r="A504" s="20">
        <v>42101</v>
      </c>
      <c r="B504" s="183">
        <v>17041</v>
      </c>
      <c r="C504" s="14" t="s">
        <v>720</v>
      </c>
      <c r="D504" s="105">
        <v>1567.8</v>
      </c>
      <c r="E504" s="23">
        <v>42101</v>
      </c>
      <c r="F504" s="106">
        <v>1567.8</v>
      </c>
      <c r="G504" s="31">
        <f t="shared" si="7"/>
        <v>0</v>
      </c>
      <c r="H504" s="39" t="s">
        <v>9</v>
      </c>
      <c r="K504" s="3"/>
    </row>
    <row r="505" spans="1:11" x14ac:dyDescent="0.25">
      <c r="A505" s="20">
        <v>42101</v>
      </c>
      <c r="B505" s="183">
        <v>17042</v>
      </c>
      <c r="C505" s="14" t="s">
        <v>16</v>
      </c>
      <c r="D505" s="105">
        <v>3554.4</v>
      </c>
      <c r="E505" s="23">
        <v>42101</v>
      </c>
      <c r="F505" s="106">
        <v>3554.4</v>
      </c>
      <c r="G505" s="31">
        <f t="shared" si="7"/>
        <v>0</v>
      </c>
      <c r="H505" s="39" t="s">
        <v>17</v>
      </c>
      <c r="J505" s="107"/>
      <c r="K505" s="3"/>
    </row>
    <row r="506" spans="1:11" x14ac:dyDescent="0.25">
      <c r="A506" s="20">
        <v>42101</v>
      </c>
      <c r="B506" s="183">
        <v>17043</v>
      </c>
      <c r="C506" s="14" t="s">
        <v>1029</v>
      </c>
      <c r="D506" s="105">
        <v>67555</v>
      </c>
      <c r="E506" s="23">
        <v>42107</v>
      </c>
      <c r="F506" s="106">
        <v>67555</v>
      </c>
      <c r="G506" s="31">
        <f t="shared" si="7"/>
        <v>0</v>
      </c>
      <c r="H506" s="39" t="s">
        <v>9</v>
      </c>
      <c r="K506" s="3"/>
    </row>
    <row r="507" spans="1:11" x14ac:dyDescent="0.25">
      <c r="A507" s="20">
        <v>42101</v>
      </c>
      <c r="B507" s="183">
        <v>17044</v>
      </c>
      <c r="C507" s="14" t="s">
        <v>136</v>
      </c>
      <c r="D507" s="105">
        <v>540</v>
      </c>
      <c r="E507" s="23">
        <v>42101</v>
      </c>
      <c r="F507" s="106">
        <v>540</v>
      </c>
      <c r="G507" s="31">
        <f t="shared" si="7"/>
        <v>0</v>
      </c>
      <c r="H507" s="39" t="s">
        <v>9</v>
      </c>
      <c r="K507" s="3"/>
    </row>
    <row r="508" spans="1:11" x14ac:dyDescent="0.25">
      <c r="A508" s="20">
        <v>42101</v>
      </c>
      <c r="B508" s="183">
        <v>17045</v>
      </c>
      <c r="C508" s="14" t="s">
        <v>21</v>
      </c>
      <c r="D508" s="105">
        <v>10428</v>
      </c>
      <c r="E508" s="23">
        <v>42101</v>
      </c>
      <c r="F508" s="106">
        <v>10428</v>
      </c>
      <c r="G508" s="31">
        <f t="shared" si="7"/>
        <v>0</v>
      </c>
      <c r="H508" s="39" t="s">
        <v>9</v>
      </c>
      <c r="K508" s="3"/>
    </row>
    <row r="509" spans="1:11" x14ac:dyDescent="0.25">
      <c r="A509" s="20">
        <v>42101</v>
      </c>
      <c r="B509" s="183">
        <v>17046</v>
      </c>
      <c r="C509" s="14" t="s">
        <v>114</v>
      </c>
      <c r="D509" s="105">
        <v>20404.2</v>
      </c>
      <c r="E509" s="23">
        <v>42101</v>
      </c>
      <c r="F509" s="106">
        <v>20404.2</v>
      </c>
      <c r="G509" s="31">
        <f t="shared" si="7"/>
        <v>0</v>
      </c>
      <c r="H509" s="39" t="s">
        <v>9</v>
      </c>
      <c r="K509" s="3"/>
    </row>
    <row r="510" spans="1:11" x14ac:dyDescent="0.25">
      <c r="A510" s="20">
        <v>42101</v>
      </c>
      <c r="B510" s="183">
        <v>17047</v>
      </c>
      <c r="C510" s="14" t="s">
        <v>215</v>
      </c>
      <c r="D510" s="105">
        <v>28601.7</v>
      </c>
      <c r="E510" s="23">
        <v>42101</v>
      </c>
      <c r="F510" s="106">
        <v>28601.7</v>
      </c>
      <c r="G510" s="31">
        <f t="shared" si="7"/>
        <v>0</v>
      </c>
      <c r="H510" s="39" t="s">
        <v>187</v>
      </c>
      <c r="K510" s="3"/>
    </row>
    <row r="511" spans="1:11" x14ac:dyDescent="0.25">
      <c r="A511" s="20">
        <v>42101</v>
      </c>
      <c r="B511" s="183">
        <v>17048</v>
      </c>
      <c r="C511" s="14" t="s">
        <v>22</v>
      </c>
      <c r="D511" s="105">
        <v>1258.4000000000001</v>
      </c>
      <c r="E511" s="23">
        <v>42101</v>
      </c>
      <c r="F511" s="106">
        <v>1258.4000000000001</v>
      </c>
      <c r="G511" s="31">
        <f t="shared" si="7"/>
        <v>0</v>
      </c>
      <c r="H511" s="39" t="s">
        <v>9</v>
      </c>
      <c r="K511" s="3"/>
    </row>
    <row r="512" spans="1:11" x14ac:dyDescent="0.25">
      <c r="A512" s="20">
        <v>42101</v>
      </c>
      <c r="B512" s="183">
        <v>17049</v>
      </c>
      <c r="C512" s="14" t="s">
        <v>103</v>
      </c>
      <c r="D512" s="105">
        <v>19565.7</v>
      </c>
      <c r="E512" s="23">
        <v>42102</v>
      </c>
      <c r="F512" s="106">
        <v>19565.7</v>
      </c>
      <c r="G512" s="31">
        <f t="shared" si="7"/>
        <v>0</v>
      </c>
      <c r="H512" s="39" t="s">
        <v>1013</v>
      </c>
      <c r="K512" s="3"/>
    </row>
    <row r="513" spans="1:11" x14ac:dyDescent="0.25">
      <c r="A513" s="20">
        <v>42101</v>
      </c>
      <c r="B513" s="183">
        <v>17050</v>
      </c>
      <c r="C513" s="14" t="s">
        <v>24</v>
      </c>
      <c r="D513" s="105">
        <v>36360.15</v>
      </c>
      <c r="E513" s="30">
        <v>42125</v>
      </c>
      <c r="F513" s="144">
        <v>36360.15</v>
      </c>
      <c r="G513" s="31">
        <f t="shared" si="7"/>
        <v>0</v>
      </c>
      <c r="H513" s="39" t="s">
        <v>9</v>
      </c>
      <c r="K513" s="3"/>
    </row>
    <row r="514" spans="1:11" x14ac:dyDescent="0.25">
      <c r="A514" s="20">
        <v>42101</v>
      </c>
      <c r="B514" s="183">
        <v>17051</v>
      </c>
      <c r="C514" s="14" t="s">
        <v>912</v>
      </c>
      <c r="D514" s="105">
        <v>424.2</v>
      </c>
      <c r="E514" s="23">
        <v>42101</v>
      </c>
      <c r="F514" s="106">
        <v>424.2</v>
      </c>
      <c r="G514" s="31">
        <f t="shared" si="7"/>
        <v>0</v>
      </c>
      <c r="H514" s="39" t="s">
        <v>9</v>
      </c>
      <c r="J514" s="107"/>
      <c r="K514" s="3"/>
    </row>
    <row r="515" spans="1:11" x14ac:dyDescent="0.25">
      <c r="A515" s="20">
        <v>42101</v>
      </c>
      <c r="B515" s="183">
        <v>17052</v>
      </c>
      <c r="C515" s="14" t="s">
        <v>854</v>
      </c>
      <c r="D515" s="105">
        <v>2819.6</v>
      </c>
      <c r="E515" s="23">
        <v>42101</v>
      </c>
      <c r="F515" s="106">
        <f>2000+819.6</f>
        <v>2819.6</v>
      </c>
      <c r="G515" s="31">
        <f t="shared" ref="G515:G578" si="8">D515-F515</f>
        <v>0</v>
      </c>
      <c r="H515" s="39" t="s">
        <v>9</v>
      </c>
      <c r="K515" s="3"/>
    </row>
    <row r="516" spans="1:11" x14ac:dyDescent="0.25">
      <c r="A516" s="20">
        <v>42101</v>
      </c>
      <c r="B516" s="183">
        <v>17053</v>
      </c>
      <c r="C516" s="14" t="s">
        <v>20</v>
      </c>
      <c r="D516" s="105">
        <v>10587.6</v>
      </c>
      <c r="E516" s="23">
        <v>42101</v>
      </c>
      <c r="F516" s="106">
        <v>10587.6</v>
      </c>
      <c r="G516" s="31">
        <f t="shared" si="8"/>
        <v>0</v>
      </c>
      <c r="H516" s="39" t="s">
        <v>17</v>
      </c>
      <c r="K516" s="3"/>
    </row>
    <row r="517" spans="1:11" x14ac:dyDescent="0.25">
      <c r="A517" s="20">
        <v>42101</v>
      </c>
      <c r="B517" s="183">
        <v>17054</v>
      </c>
      <c r="C517" s="110">
        <v>105</v>
      </c>
      <c r="D517" s="105">
        <v>1224</v>
      </c>
      <c r="E517" s="23">
        <v>42101</v>
      </c>
      <c r="F517" s="106">
        <v>1224</v>
      </c>
      <c r="G517" s="31">
        <f t="shared" si="8"/>
        <v>0</v>
      </c>
      <c r="H517" s="39" t="s">
        <v>59</v>
      </c>
      <c r="K517" s="3"/>
    </row>
    <row r="518" spans="1:11" x14ac:dyDescent="0.25">
      <c r="A518" s="20">
        <v>42101</v>
      </c>
      <c r="B518" s="183">
        <v>17055</v>
      </c>
      <c r="C518" s="14" t="s">
        <v>26</v>
      </c>
      <c r="D518" s="105">
        <v>2720</v>
      </c>
      <c r="E518" s="23">
        <v>42101</v>
      </c>
      <c r="F518" s="106">
        <v>2720</v>
      </c>
      <c r="G518" s="31">
        <f t="shared" si="8"/>
        <v>0</v>
      </c>
      <c r="H518" s="39" t="s">
        <v>17</v>
      </c>
      <c r="K518" s="3"/>
    </row>
    <row r="519" spans="1:11" x14ac:dyDescent="0.25">
      <c r="A519" s="20">
        <v>42101</v>
      </c>
      <c r="B519" s="183">
        <v>17056</v>
      </c>
      <c r="C519" s="14" t="s">
        <v>81</v>
      </c>
      <c r="D519" s="105">
        <v>1823</v>
      </c>
      <c r="E519" s="23">
        <v>42101</v>
      </c>
      <c r="F519" s="106">
        <v>1823</v>
      </c>
      <c r="G519" s="31">
        <f t="shared" si="8"/>
        <v>0</v>
      </c>
      <c r="H519" s="39" t="s">
        <v>59</v>
      </c>
      <c r="K519" s="3"/>
    </row>
    <row r="520" spans="1:11" x14ac:dyDescent="0.25">
      <c r="A520" s="20">
        <v>42101</v>
      </c>
      <c r="B520" s="183">
        <v>17057</v>
      </c>
      <c r="C520" s="14" t="s">
        <v>120</v>
      </c>
      <c r="D520" s="105">
        <v>1627.2</v>
      </c>
      <c r="E520" s="23">
        <v>42101</v>
      </c>
      <c r="F520" s="106">
        <v>1627.2</v>
      </c>
      <c r="G520" s="31">
        <f t="shared" si="8"/>
        <v>0</v>
      </c>
      <c r="H520" s="39" t="s">
        <v>59</v>
      </c>
      <c r="K520" s="3"/>
    </row>
    <row r="521" spans="1:11" x14ac:dyDescent="0.25">
      <c r="A521" s="20">
        <v>42101</v>
      </c>
      <c r="B521" s="183">
        <v>17058</v>
      </c>
      <c r="C521" s="14" t="s">
        <v>31</v>
      </c>
      <c r="D521" s="105">
        <v>2091.6</v>
      </c>
      <c r="E521" s="23">
        <v>42101</v>
      </c>
      <c r="F521" s="106">
        <v>2091.6</v>
      </c>
      <c r="G521" s="31">
        <f t="shared" si="8"/>
        <v>0</v>
      </c>
      <c r="H521" s="39" t="s">
        <v>59</v>
      </c>
      <c r="K521" s="3"/>
    </row>
    <row r="522" spans="1:11" x14ac:dyDescent="0.25">
      <c r="A522" s="20">
        <v>42101</v>
      </c>
      <c r="B522" s="183">
        <v>17059</v>
      </c>
      <c r="C522" s="14" t="s">
        <v>53</v>
      </c>
      <c r="D522" s="105">
        <v>899</v>
      </c>
      <c r="E522" s="23">
        <v>42101</v>
      </c>
      <c r="F522" s="106">
        <v>899</v>
      </c>
      <c r="G522" s="31">
        <f t="shared" si="8"/>
        <v>0</v>
      </c>
      <c r="H522" s="39" t="s">
        <v>59</v>
      </c>
      <c r="K522" s="3"/>
    </row>
    <row r="523" spans="1:11" x14ac:dyDescent="0.25">
      <c r="A523" s="20">
        <v>42101</v>
      </c>
      <c r="B523" s="183">
        <v>17060</v>
      </c>
      <c r="C523" s="14" t="s">
        <v>82</v>
      </c>
      <c r="D523" s="105">
        <v>7032.8</v>
      </c>
      <c r="E523" s="23">
        <v>42101</v>
      </c>
      <c r="F523" s="106">
        <v>7032.8</v>
      </c>
      <c r="G523" s="31">
        <f t="shared" si="8"/>
        <v>0</v>
      </c>
      <c r="H523" s="39" t="s">
        <v>59</v>
      </c>
      <c r="K523" s="3"/>
    </row>
    <row r="524" spans="1:11" x14ac:dyDescent="0.25">
      <c r="A524" s="20">
        <v>42101</v>
      </c>
      <c r="B524" s="183">
        <v>17061</v>
      </c>
      <c r="C524" s="14" t="s">
        <v>126</v>
      </c>
      <c r="D524" s="105">
        <v>2764.8</v>
      </c>
      <c r="E524" s="23">
        <v>42101</v>
      </c>
      <c r="F524" s="106">
        <v>2764.8</v>
      </c>
      <c r="G524" s="31">
        <f t="shared" si="8"/>
        <v>0</v>
      </c>
      <c r="H524" s="39" t="s">
        <v>59</v>
      </c>
      <c r="K524" s="3"/>
    </row>
    <row r="525" spans="1:11" x14ac:dyDescent="0.25">
      <c r="A525" s="20">
        <v>42101</v>
      </c>
      <c r="B525" s="183">
        <v>17062</v>
      </c>
      <c r="C525" s="14" t="s">
        <v>83</v>
      </c>
      <c r="D525" s="105">
        <v>3769.6</v>
      </c>
      <c r="E525" s="23">
        <v>42101</v>
      </c>
      <c r="F525" s="106">
        <v>3769.6</v>
      </c>
      <c r="G525" s="31">
        <f t="shared" si="8"/>
        <v>0</v>
      </c>
      <c r="H525" s="39" t="s">
        <v>59</v>
      </c>
      <c r="K525" s="3"/>
    </row>
    <row r="526" spans="1:11" x14ac:dyDescent="0.25">
      <c r="A526" s="20">
        <v>42101</v>
      </c>
      <c r="B526" s="183">
        <v>17063</v>
      </c>
      <c r="C526" s="14" t="s">
        <v>169</v>
      </c>
      <c r="D526" s="105">
        <v>3195.5</v>
      </c>
      <c r="E526" s="23">
        <v>42101</v>
      </c>
      <c r="F526" s="106">
        <v>3195.5</v>
      </c>
      <c r="G526" s="31">
        <f t="shared" si="8"/>
        <v>0</v>
      </c>
      <c r="H526" s="39" t="s">
        <v>59</v>
      </c>
      <c r="K526" s="3"/>
    </row>
    <row r="527" spans="1:11" x14ac:dyDescent="0.25">
      <c r="A527" s="20">
        <v>42101</v>
      </c>
      <c r="B527" s="183">
        <v>17064</v>
      </c>
      <c r="C527" s="14" t="s">
        <v>131</v>
      </c>
      <c r="D527" s="105">
        <v>7305.55</v>
      </c>
      <c r="E527" s="23">
        <v>42105</v>
      </c>
      <c r="F527" s="106">
        <v>7305.55</v>
      </c>
      <c r="G527" s="31">
        <f t="shared" si="8"/>
        <v>0</v>
      </c>
      <c r="H527" s="39" t="s">
        <v>9</v>
      </c>
      <c r="K527" s="3"/>
    </row>
    <row r="528" spans="1:11" x14ac:dyDescent="0.25">
      <c r="A528" s="20">
        <v>42101</v>
      </c>
      <c r="B528" s="183">
        <v>17065</v>
      </c>
      <c r="C528" s="14" t="s">
        <v>20</v>
      </c>
      <c r="D528" s="105">
        <v>10982</v>
      </c>
      <c r="E528" s="23">
        <v>42102</v>
      </c>
      <c r="F528" s="106">
        <v>10982</v>
      </c>
      <c r="G528" s="31">
        <f t="shared" si="8"/>
        <v>0</v>
      </c>
      <c r="H528" s="39" t="s">
        <v>94</v>
      </c>
      <c r="K528" s="3"/>
    </row>
    <row r="529" spans="1:11" x14ac:dyDescent="0.25">
      <c r="A529" s="20">
        <v>42101</v>
      </c>
      <c r="B529" s="183">
        <v>17066</v>
      </c>
      <c r="C529" s="14" t="s">
        <v>57</v>
      </c>
      <c r="D529" s="105">
        <v>1020</v>
      </c>
      <c r="E529" s="23">
        <v>42101</v>
      </c>
      <c r="F529" s="106">
        <v>1020</v>
      </c>
      <c r="G529" s="31">
        <f t="shared" si="8"/>
        <v>0</v>
      </c>
      <c r="H529" s="39" t="s">
        <v>59</v>
      </c>
      <c r="K529" s="3"/>
    </row>
    <row r="530" spans="1:11" x14ac:dyDescent="0.25">
      <c r="A530" s="20">
        <v>42101</v>
      </c>
      <c r="B530" s="183">
        <v>17067</v>
      </c>
      <c r="C530" s="14" t="s">
        <v>214</v>
      </c>
      <c r="D530" s="105">
        <v>1020</v>
      </c>
      <c r="E530" s="23">
        <v>42101</v>
      </c>
      <c r="F530" s="106">
        <v>1020</v>
      </c>
      <c r="G530" s="31">
        <f t="shared" si="8"/>
        <v>0</v>
      </c>
      <c r="H530" s="39" t="s">
        <v>59</v>
      </c>
      <c r="K530" s="3"/>
    </row>
    <row r="531" spans="1:11" x14ac:dyDescent="0.25">
      <c r="A531" s="20">
        <v>42101</v>
      </c>
      <c r="B531" s="183">
        <v>17068</v>
      </c>
      <c r="C531" s="14" t="s">
        <v>1056</v>
      </c>
      <c r="D531" s="105">
        <v>418</v>
      </c>
      <c r="E531" s="23">
        <v>42101</v>
      </c>
      <c r="F531" s="106">
        <v>418</v>
      </c>
      <c r="G531" s="31">
        <f t="shared" si="8"/>
        <v>0</v>
      </c>
      <c r="H531" s="39" t="s">
        <v>9</v>
      </c>
      <c r="I531" s="3"/>
      <c r="J531" s="42"/>
      <c r="K531" s="3"/>
    </row>
    <row r="532" spans="1:11" x14ac:dyDescent="0.25">
      <c r="A532" s="20">
        <v>42101</v>
      </c>
      <c r="B532" s="183">
        <v>17069</v>
      </c>
      <c r="C532" s="14" t="s">
        <v>694</v>
      </c>
      <c r="D532" s="105">
        <v>1019.2</v>
      </c>
      <c r="E532" s="23">
        <v>42101</v>
      </c>
      <c r="F532" s="106">
        <v>1019.2</v>
      </c>
      <c r="G532" s="31">
        <f t="shared" si="8"/>
        <v>0</v>
      </c>
      <c r="H532" s="39" t="s">
        <v>9</v>
      </c>
      <c r="I532" s="3"/>
      <c r="J532" s="42"/>
      <c r="K532" s="3"/>
    </row>
    <row r="533" spans="1:11" x14ac:dyDescent="0.25">
      <c r="A533" s="20">
        <v>42101</v>
      </c>
      <c r="B533" s="183">
        <v>17070</v>
      </c>
      <c r="C533" s="14" t="s">
        <v>881</v>
      </c>
      <c r="D533" s="105">
        <v>1644</v>
      </c>
      <c r="E533" s="23">
        <v>42101</v>
      </c>
      <c r="F533" s="106">
        <v>1644</v>
      </c>
      <c r="G533" s="31">
        <f t="shared" si="8"/>
        <v>0</v>
      </c>
      <c r="H533" s="39" t="s">
        <v>9</v>
      </c>
      <c r="I533" s="3"/>
      <c r="J533" s="42"/>
      <c r="K533" s="3"/>
    </row>
    <row r="534" spans="1:11" x14ac:dyDescent="0.25">
      <c r="A534" s="20">
        <v>42101</v>
      </c>
      <c r="B534" s="183">
        <v>17071</v>
      </c>
      <c r="C534" s="50" t="s">
        <v>99</v>
      </c>
      <c r="D534" s="105">
        <v>2557.5</v>
      </c>
      <c r="E534" s="23">
        <v>42101</v>
      </c>
      <c r="F534" s="106">
        <v>2557.5</v>
      </c>
      <c r="G534" s="31">
        <f t="shared" si="8"/>
        <v>0</v>
      </c>
      <c r="H534" s="39" t="s">
        <v>41</v>
      </c>
      <c r="I534" s="3"/>
      <c r="J534" s="42"/>
      <c r="K534" s="3"/>
    </row>
    <row r="535" spans="1:11" x14ac:dyDescent="0.25">
      <c r="A535" s="20">
        <v>42101</v>
      </c>
      <c r="B535" s="183">
        <v>17072</v>
      </c>
      <c r="C535" s="14" t="s">
        <v>151</v>
      </c>
      <c r="D535" s="105">
        <v>6631.8</v>
      </c>
      <c r="E535" s="23">
        <v>42102</v>
      </c>
      <c r="F535" s="106">
        <v>6631.8</v>
      </c>
      <c r="G535" s="31">
        <f t="shared" si="8"/>
        <v>0</v>
      </c>
      <c r="H535" s="39" t="s">
        <v>9</v>
      </c>
      <c r="I535" s="3"/>
      <c r="J535" s="42"/>
      <c r="K535" s="3"/>
    </row>
    <row r="536" spans="1:11" x14ac:dyDescent="0.25">
      <c r="A536" s="20">
        <v>42101</v>
      </c>
      <c r="B536" s="183">
        <v>17073</v>
      </c>
      <c r="C536" s="14" t="s">
        <v>604</v>
      </c>
      <c r="D536" s="105">
        <v>2317.1999999999998</v>
      </c>
      <c r="E536" s="23">
        <v>42101</v>
      </c>
      <c r="F536" s="106">
        <v>2317.1999999999998</v>
      </c>
      <c r="G536" s="31">
        <f t="shared" si="8"/>
        <v>0</v>
      </c>
      <c r="H536" s="39" t="s">
        <v>9</v>
      </c>
      <c r="I536" s="3"/>
      <c r="J536" s="42"/>
      <c r="K536" s="3"/>
    </row>
    <row r="537" spans="1:11" x14ac:dyDescent="0.25">
      <c r="A537" s="20">
        <v>42101</v>
      </c>
      <c r="B537" s="183">
        <v>17074</v>
      </c>
      <c r="C537" s="14" t="s">
        <v>125</v>
      </c>
      <c r="D537" s="105">
        <v>10225.5</v>
      </c>
      <c r="E537" s="23">
        <v>42101</v>
      </c>
      <c r="F537" s="106">
        <v>10225.5</v>
      </c>
      <c r="G537" s="31">
        <f t="shared" si="8"/>
        <v>0</v>
      </c>
      <c r="H537" s="39" t="s">
        <v>94</v>
      </c>
      <c r="I537" s="3"/>
      <c r="J537" s="42"/>
      <c r="K537" s="3"/>
    </row>
    <row r="538" spans="1:11" x14ac:dyDescent="0.25">
      <c r="A538" s="20">
        <v>42101</v>
      </c>
      <c r="B538" s="183">
        <v>17075</v>
      </c>
      <c r="C538" s="14" t="s">
        <v>226</v>
      </c>
      <c r="D538" s="105">
        <v>1554.2</v>
      </c>
      <c r="E538" s="23">
        <v>42101</v>
      </c>
      <c r="F538" s="106">
        <v>1554.2</v>
      </c>
      <c r="G538" s="31">
        <f t="shared" si="8"/>
        <v>0</v>
      </c>
      <c r="H538" s="39" t="s">
        <v>41</v>
      </c>
      <c r="I538" s="3"/>
      <c r="J538" s="42"/>
      <c r="K538" s="3"/>
    </row>
    <row r="539" spans="1:11" x14ac:dyDescent="0.25">
      <c r="A539" s="20">
        <v>42101</v>
      </c>
      <c r="B539" s="183">
        <v>17076</v>
      </c>
      <c r="C539" s="14" t="s">
        <v>138</v>
      </c>
      <c r="D539" s="105">
        <v>4416.2</v>
      </c>
      <c r="E539" s="23">
        <v>42101</v>
      </c>
      <c r="F539" s="106">
        <v>4416.2</v>
      </c>
      <c r="G539" s="31">
        <f t="shared" si="8"/>
        <v>0</v>
      </c>
      <c r="H539" s="39" t="s">
        <v>94</v>
      </c>
      <c r="I539" s="3"/>
      <c r="J539" s="42"/>
      <c r="K539" s="3"/>
    </row>
    <row r="540" spans="1:11" x14ac:dyDescent="0.25">
      <c r="A540" s="20">
        <v>42101</v>
      </c>
      <c r="B540" s="183">
        <v>17077</v>
      </c>
      <c r="C540" s="14" t="s">
        <v>43</v>
      </c>
      <c r="D540" s="105">
        <v>4218</v>
      </c>
      <c r="E540" s="23">
        <v>42101</v>
      </c>
      <c r="F540" s="106">
        <v>4218</v>
      </c>
      <c r="G540" s="31">
        <f t="shared" si="8"/>
        <v>0</v>
      </c>
      <c r="H540" s="39" t="s">
        <v>9</v>
      </c>
      <c r="I540" s="3"/>
      <c r="J540" s="42"/>
      <c r="K540" s="3"/>
    </row>
    <row r="541" spans="1:11" x14ac:dyDescent="0.25">
      <c r="A541" s="20">
        <v>42101</v>
      </c>
      <c r="B541" s="183">
        <v>17078</v>
      </c>
      <c r="C541" s="14" t="s">
        <v>32</v>
      </c>
      <c r="D541" s="105">
        <v>47774.1</v>
      </c>
      <c r="E541" s="23">
        <v>42115</v>
      </c>
      <c r="F541" s="106">
        <v>47774.1</v>
      </c>
      <c r="G541" s="31">
        <f t="shared" si="8"/>
        <v>0</v>
      </c>
      <c r="H541" s="39" t="s">
        <v>46</v>
      </c>
      <c r="I541" s="3"/>
      <c r="J541" s="42"/>
      <c r="K541" s="3"/>
    </row>
    <row r="542" spans="1:11" x14ac:dyDescent="0.25">
      <c r="A542" s="20">
        <v>42101</v>
      </c>
      <c r="B542" s="183">
        <v>17079</v>
      </c>
      <c r="C542" s="14" t="s">
        <v>239</v>
      </c>
      <c r="D542" s="105">
        <v>2375.9</v>
      </c>
      <c r="E542" s="23">
        <v>42104</v>
      </c>
      <c r="F542" s="106">
        <v>2375.9</v>
      </c>
      <c r="G542" s="31">
        <f t="shared" si="8"/>
        <v>0</v>
      </c>
      <c r="H542" s="39" t="s">
        <v>9</v>
      </c>
      <c r="I542" s="3"/>
      <c r="J542" s="42"/>
      <c r="K542" s="3"/>
    </row>
    <row r="543" spans="1:11" x14ac:dyDescent="0.25">
      <c r="A543" s="20">
        <v>42101</v>
      </c>
      <c r="B543" s="183">
        <v>17080</v>
      </c>
      <c r="C543" s="14" t="s">
        <v>89</v>
      </c>
      <c r="D543" s="105">
        <v>4098.8</v>
      </c>
      <c r="E543" s="23">
        <v>42101</v>
      </c>
      <c r="F543" s="106">
        <v>4098.8</v>
      </c>
      <c r="G543" s="31">
        <f t="shared" si="8"/>
        <v>0</v>
      </c>
      <c r="H543" s="39" t="s">
        <v>9</v>
      </c>
      <c r="I543" s="3"/>
      <c r="J543" s="42"/>
      <c r="K543" s="3"/>
    </row>
    <row r="544" spans="1:11" x14ac:dyDescent="0.25">
      <c r="A544" s="20">
        <v>42101</v>
      </c>
      <c r="B544" s="183">
        <v>17081</v>
      </c>
      <c r="C544" s="14" t="s">
        <v>881</v>
      </c>
      <c r="D544" s="105">
        <v>171.6</v>
      </c>
      <c r="E544" s="23">
        <v>42101</v>
      </c>
      <c r="F544" s="106">
        <v>171.6</v>
      </c>
      <c r="G544" s="31">
        <f t="shared" si="8"/>
        <v>0</v>
      </c>
      <c r="H544" s="39" t="s">
        <v>9</v>
      </c>
      <c r="I544" s="3"/>
      <c r="J544" s="42"/>
      <c r="K544" s="3"/>
    </row>
    <row r="545" spans="1:11" x14ac:dyDescent="0.25">
      <c r="A545" s="20">
        <v>42101</v>
      </c>
      <c r="B545" s="183">
        <v>17082</v>
      </c>
      <c r="C545" s="14" t="s">
        <v>137</v>
      </c>
      <c r="D545" s="105">
        <v>128</v>
      </c>
      <c r="E545" s="51">
        <v>42101</v>
      </c>
      <c r="F545" s="106">
        <v>128</v>
      </c>
      <c r="G545" s="31">
        <f t="shared" si="8"/>
        <v>0</v>
      </c>
      <c r="H545" s="39" t="s">
        <v>9</v>
      </c>
      <c r="I545" s="3"/>
      <c r="J545" s="42"/>
      <c r="K545" s="3"/>
    </row>
    <row r="546" spans="1:11" x14ac:dyDescent="0.25">
      <c r="A546" s="20">
        <v>42101</v>
      </c>
      <c r="B546" s="183">
        <v>17083</v>
      </c>
      <c r="C546" s="14" t="s">
        <v>45</v>
      </c>
      <c r="D546" s="105">
        <v>20005.599999999999</v>
      </c>
      <c r="E546" s="23">
        <v>42104</v>
      </c>
      <c r="F546" s="106">
        <v>20005.599999999999</v>
      </c>
      <c r="G546" s="31">
        <f t="shared" si="8"/>
        <v>0</v>
      </c>
      <c r="H546" s="39" t="s">
        <v>59</v>
      </c>
      <c r="I546" s="3"/>
      <c r="J546" s="42"/>
      <c r="K546" s="3"/>
    </row>
    <row r="547" spans="1:11" x14ac:dyDescent="0.25">
      <c r="A547" s="20">
        <v>42101</v>
      </c>
      <c r="B547" s="183">
        <v>17084</v>
      </c>
      <c r="C547" s="14" t="s">
        <v>185</v>
      </c>
      <c r="D547" s="105">
        <v>32255.599999999999</v>
      </c>
      <c r="E547" s="23">
        <v>42101</v>
      </c>
      <c r="F547" s="106">
        <v>32255.599999999999</v>
      </c>
      <c r="G547" s="31">
        <f t="shared" si="8"/>
        <v>0</v>
      </c>
      <c r="H547" s="39" t="s">
        <v>773</v>
      </c>
      <c r="I547" s="3"/>
      <c r="J547" s="42"/>
      <c r="K547" s="3"/>
    </row>
    <row r="548" spans="1:11" x14ac:dyDescent="0.25">
      <c r="A548" s="20">
        <v>42101</v>
      </c>
      <c r="B548" s="183">
        <v>17085</v>
      </c>
      <c r="C548" s="14" t="s">
        <v>252</v>
      </c>
      <c r="D548" s="105">
        <v>9856.7999999999993</v>
      </c>
      <c r="E548" s="23">
        <v>42101</v>
      </c>
      <c r="F548" s="106">
        <v>9856.7999999999993</v>
      </c>
      <c r="G548" s="31">
        <f t="shared" si="8"/>
        <v>0</v>
      </c>
      <c r="H548" s="39" t="s">
        <v>9</v>
      </c>
      <c r="I548" s="3"/>
      <c r="J548" s="42"/>
      <c r="K548" s="3"/>
    </row>
    <row r="549" spans="1:11" x14ac:dyDescent="0.25">
      <c r="A549" s="20">
        <v>42101</v>
      </c>
      <c r="B549" s="183">
        <v>17086</v>
      </c>
      <c r="C549" s="14" t="s">
        <v>252</v>
      </c>
      <c r="D549" s="105">
        <v>200</v>
      </c>
      <c r="E549" s="23">
        <v>42101</v>
      </c>
      <c r="F549" s="106">
        <v>200</v>
      </c>
      <c r="G549" s="31">
        <f t="shared" si="8"/>
        <v>0</v>
      </c>
      <c r="H549" s="39" t="s">
        <v>9</v>
      </c>
      <c r="I549" s="3"/>
      <c r="J549" s="42"/>
      <c r="K549" s="3"/>
    </row>
    <row r="550" spans="1:11" x14ac:dyDescent="0.25">
      <c r="A550" s="20">
        <v>42101</v>
      </c>
      <c r="B550" s="183">
        <v>17087</v>
      </c>
      <c r="C550" s="14" t="s">
        <v>834</v>
      </c>
      <c r="D550" s="105">
        <v>2512.5</v>
      </c>
      <c r="E550" s="23">
        <v>42101</v>
      </c>
      <c r="F550" s="106">
        <v>2512.5</v>
      </c>
      <c r="G550" s="31">
        <f t="shared" si="8"/>
        <v>0</v>
      </c>
      <c r="H550" s="39" t="s">
        <v>9</v>
      </c>
      <c r="I550" s="3"/>
      <c r="J550" s="42"/>
      <c r="K550" s="3"/>
    </row>
    <row r="551" spans="1:11" x14ac:dyDescent="0.25">
      <c r="A551" s="20">
        <v>42101</v>
      </c>
      <c r="B551" s="183">
        <v>17088</v>
      </c>
      <c r="C551" s="14" t="s">
        <v>110</v>
      </c>
      <c r="D551" s="105">
        <v>18142.400000000001</v>
      </c>
      <c r="E551" s="23">
        <v>42104</v>
      </c>
      <c r="F551" s="106">
        <v>18142.400000000001</v>
      </c>
      <c r="G551" s="31">
        <f t="shared" si="8"/>
        <v>0</v>
      </c>
      <c r="H551" s="39" t="s">
        <v>15</v>
      </c>
      <c r="I551" s="3"/>
      <c r="J551" s="42"/>
      <c r="K551" s="3"/>
    </row>
    <row r="552" spans="1:11" x14ac:dyDescent="0.25">
      <c r="A552" s="20">
        <v>42101</v>
      </c>
      <c r="B552" s="183">
        <v>17089</v>
      </c>
      <c r="C552" s="14" t="s">
        <v>90</v>
      </c>
      <c r="D552" s="105">
        <v>1095.4000000000001</v>
      </c>
      <c r="E552" s="23">
        <v>42101</v>
      </c>
      <c r="F552" s="106">
        <v>1095.4000000000001</v>
      </c>
      <c r="G552" s="31">
        <f t="shared" si="8"/>
        <v>0</v>
      </c>
      <c r="H552" s="39" t="s">
        <v>9</v>
      </c>
      <c r="I552" s="3"/>
      <c r="J552" s="42"/>
      <c r="K552" s="3"/>
    </row>
    <row r="553" spans="1:11" x14ac:dyDescent="0.25">
      <c r="A553" s="20">
        <v>42101</v>
      </c>
      <c r="B553" s="183">
        <v>17090</v>
      </c>
      <c r="C553" s="14" t="s">
        <v>128</v>
      </c>
      <c r="D553" s="105">
        <v>4057.2</v>
      </c>
      <c r="E553" s="23">
        <v>42101</v>
      </c>
      <c r="F553" s="106">
        <v>4057.2</v>
      </c>
      <c r="G553" s="31">
        <f t="shared" si="8"/>
        <v>0</v>
      </c>
      <c r="H553" s="39" t="s">
        <v>17</v>
      </c>
      <c r="I553" s="3"/>
      <c r="J553" s="42"/>
      <c r="K553" s="3"/>
    </row>
    <row r="554" spans="1:11" x14ac:dyDescent="0.25">
      <c r="A554" s="20">
        <v>42101</v>
      </c>
      <c r="B554" s="183">
        <v>17091</v>
      </c>
      <c r="C554" s="14" t="s">
        <v>130</v>
      </c>
      <c r="D554" s="105">
        <v>2305.4</v>
      </c>
      <c r="E554" s="23">
        <v>42101</v>
      </c>
      <c r="F554" s="106">
        <v>2305.4</v>
      </c>
      <c r="G554" s="31">
        <f t="shared" si="8"/>
        <v>0</v>
      </c>
      <c r="H554" s="39" t="s">
        <v>17</v>
      </c>
      <c r="I554" s="3"/>
      <c r="J554" s="42"/>
      <c r="K554" s="3"/>
    </row>
    <row r="555" spans="1:11" x14ac:dyDescent="0.25">
      <c r="A555" s="20">
        <v>42101</v>
      </c>
      <c r="B555" s="183">
        <v>17092</v>
      </c>
      <c r="C555" s="14" t="s">
        <v>131</v>
      </c>
      <c r="D555" s="105">
        <v>11111.2</v>
      </c>
      <c r="E555" s="23">
        <v>42104</v>
      </c>
      <c r="F555" s="106">
        <v>11111.2</v>
      </c>
      <c r="G555" s="31">
        <f t="shared" si="8"/>
        <v>0</v>
      </c>
      <c r="H555" s="39" t="s">
        <v>17</v>
      </c>
      <c r="I555" s="3"/>
      <c r="J555" s="42"/>
      <c r="K555" s="3"/>
    </row>
    <row r="556" spans="1:11" x14ac:dyDescent="0.25">
      <c r="A556" s="20">
        <v>42101</v>
      </c>
      <c r="B556" s="183">
        <v>17093</v>
      </c>
      <c r="C556" s="14" t="s">
        <v>93</v>
      </c>
      <c r="D556" s="105">
        <v>1506.6</v>
      </c>
      <c r="E556" s="23">
        <v>42102</v>
      </c>
      <c r="F556" s="106">
        <v>1506.6</v>
      </c>
      <c r="G556" s="31">
        <f t="shared" si="8"/>
        <v>0</v>
      </c>
      <c r="H556" s="39" t="s">
        <v>94</v>
      </c>
      <c r="I556" s="3"/>
      <c r="J556" s="42"/>
      <c r="K556" s="3"/>
    </row>
    <row r="557" spans="1:11" x14ac:dyDescent="0.25">
      <c r="A557" s="20">
        <v>42101</v>
      </c>
      <c r="B557" s="183">
        <v>17094</v>
      </c>
      <c r="C557" s="14" t="s">
        <v>95</v>
      </c>
      <c r="D557" s="105">
        <v>1748.4</v>
      </c>
      <c r="E557" s="23">
        <v>42102</v>
      </c>
      <c r="F557" s="106">
        <v>1748.4</v>
      </c>
      <c r="G557" s="31">
        <f t="shared" si="8"/>
        <v>0</v>
      </c>
      <c r="H557" s="39" t="s">
        <v>94</v>
      </c>
      <c r="I557" s="3"/>
      <c r="J557" s="42"/>
      <c r="K557" s="3"/>
    </row>
    <row r="558" spans="1:11" x14ac:dyDescent="0.25">
      <c r="A558" s="20">
        <v>42101</v>
      </c>
      <c r="B558" s="183">
        <v>17095</v>
      </c>
      <c r="C558" s="14" t="s">
        <v>229</v>
      </c>
      <c r="D558" s="105">
        <v>4561.8599999999997</v>
      </c>
      <c r="E558" s="23">
        <v>42102</v>
      </c>
      <c r="F558" s="106">
        <v>4561.8599999999997</v>
      </c>
      <c r="G558" s="31">
        <f t="shared" si="8"/>
        <v>0</v>
      </c>
      <c r="H558" s="39" t="s">
        <v>94</v>
      </c>
      <c r="I558" s="3"/>
      <c r="J558" s="42"/>
      <c r="K558" s="3"/>
    </row>
    <row r="559" spans="1:11" x14ac:dyDescent="0.25">
      <c r="A559" s="20">
        <v>42101</v>
      </c>
      <c r="B559" s="183">
        <v>17096</v>
      </c>
      <c r="C559" s="14" t="s">
        <v>190</v>
      </c>
      <c r="D559" s="105">
        <v>3010.4</v>
      </c>
      <c r="E559" s="23">
        <v>42102</v>
      </c>
      <c r="F559" s="106">
        <v>3010.4</v>
      </c>
      <c r="G559" s="31">
        <f t="shared" si="8"/>
        <v>0</v>
      </c>
      <c r="H559" s="39" t="s">
        <v>9</v>
      </c>
      <c r="I559" s="3"/>
      <c r="J559" s="42"/>
      <c r="K559" s="3"/>
    </row>
    <row r="560" spans="1:11" x14ac:dyDescent="0.25">
      <c r="A560" s="20">
        <v>42101</v>
      </c>
      <c r="B560" s="183">
        <v>17097</v>
      </c>
      <c r="C560" s="14" t="s">
        <v>98</v>
      </c>
      <c r="D560" s="105">
        <v>1377.4</v>
      </c>
      <c r="E560" s="23">
        <v>42102</v>
      </c>
      <c r="F560" s="106">
        <v>1377.4</v>
      </c>
      <c r="G560" s="31">
        <f t="shared" si="8"/>
        <v>0</v>
      </c>
      <c r="H560" s="39" t="s">
        <v>94</v>
      </c>
      <c r="I560" s="3"/>
      <c r="J560" s="42"/>
      <c r="K560" s="3"/>
    </row>
    <row r="561" spans="1:11" x14ac:dyDescent="0.25">
      <c r="A561" s="20">
        <v>42101</v>
      </c>
      <c r="B561" s="183">
        <v>17098</v>
      </c>
      <c r="C561" s="14" t="s">
        <v>285</v>
      </c>
      <c r="D561" s="105">
        <v>1024.8499999999999</v>
      </c>
      <c r="E561" s="23">
        <v>42102</v>
      </c>
      <c r="F561" s="106">
        <v>1024.8499999999999</v>
      </c>
      <c r="G561" s="31">
        <f t="shared" si="8"/>
        <v>0</v>
      </c>
      <c r="H561" s="39" t="s">
        <v>94</v>
      </c>
      <c r="I561" s="3"/>
      <c r="J561" s="42"/>
      <c r="K561" s="3"/>
    </row>
    <row r="562" spans="1:11" x14ac:dyDescent="0.25">
      <c r="A562" s="20">
        <v>42101</v>
      </c>
      <c r="B562" s="183">
        <v>17099</v>
      </c>
      <c r="C562" s="14" t="s">
        <v>106</v>
      </c>
      <c r="D562" s="105">
        <v>2244</v>
      </c>
      <c r="E562" s="23">
        <v>42101</v>
      </c>
      <c r="F562" s="106">
        <v>2244</v>
      </c>
      <c r="G562" s="31">
        <f t="shared" si="8"/>
        <v>0</v>
      </c>
      <c r="H562" s="39" t="s">
        <v>9</v>
      </c>
      <c r="I562" s="3"/>
      <c r="J562" s="42"/>
      <c r="K562" s="3"/>
    </row>
    <row r="563" spans="1:11" x14ac:dyDescent="0.25">
      <c r="A563" s="20">
        <v>42101</v>
      </c>
      <c r="B563" s="183">
        <v>17100</v>
      </c>
      <c r="C563" s="14" t="s">
        <v>1057</v>
      </c>
      <c r="D563" s="105">
        <v>150</v>
      </c>
      <c r="E563" s="23">
        <v>42101</v>
      </c>
      <c r="F563" s="106">
        <v>150</v>
      </c>
      <c r="G563" s="31">
        <f t="shared" si="8"/>
        <v>0</v>
      </c>
      <c r="H563" s="39" t="s">
        <v>9</v>
      </c>
      <c r="K563" s="3"/>
    </row>
    <row r="564" spans="1:11" x14ac:dyDescent="0.25">
      <c r="A564" s="20">
        <v>42101</v>
      </c>
      <c r="B564" s="183">
        <v>17101</v>
      </c>
      <c r="C564" s="14" t="s">
        <v>305</v>
      </c>
      <c r="D564" s="105">
        <v>3760</v>
      </c>
      <c r="E564" s="23">
        <v>42101</v>
      </c>
      <c r="F564" s="106">
        <v>3760</v>
      </c>
      <c r="G564" s="31">
        <f t="shared" si="8"/>
        <v>0</v>
      </c>
      <c r="H564" s="39" t="s">
        <v>9</v>
      </c>
      <c r="K564" s="3"/>
    </row>
    <row r="565" spans="1:11" x14ac:dyDescent="0.25">
      <c r="A565" s="20">
        <v>42101</v>
      </c>
      <c r="B565" s="183">
        <v>17102</v>
      </c>
      <c r="C565" s="14" t="s">
        <v>256</v>
      </c>
      <c r="D565" s="105">
        <v>3384</v>
      </c>
      <c r="E565" s="23">
        <v>42101</v>
      </c>
      <c r="F565" s="106">
        <v>3384</v>
      </c>
      <c r="G565" s="31">
        <f t="shared" si="8"/>
        <v>0</v>
      </c>
      <c r="H565" s="39" t="s">
        <v>773</v>
      </c>
      <c r="K565" s="3"/>
    </row>
    <row r="566" spans="1:11" x14ac:dyDescent="0.25">
      <c r="A566" s="20">
        <v>42101</v>
      </c>
      <c r="B566" s="183">
        <v>17103</v>
      </c>
      <c r="C566" s="14" t="s">
        <v>56</v>
      </c>
      <c r="D566" s="105">
        <v>3472</v>
      </c>
      <c r="E566" s="23">
        <v>42101</v>
      </c>
      <c r="F566" s="106">
        <v>3472</v>
      </c>
      <c r="G566" s="31">
        <f t="shared" si="8"/>
        <v>0</v>
      </c>
      <c r="H566" s="39" t="s">
        <v>773</v>
      </c>
      <c r="K566" s="3"/>
    </row>
    <row r="567" spans="1:11" x14ac:dyDescent="0.25">
      <c r="A567" s="20">
        <v>42101</v>
      </c>
      <c r="B567" s="183">
        <v>17104</v>
      </c>
      <c r="C567" s="14" t="s">
        <v>591</v>
      </c>
      <c r="D567" s="105">
        <v>525</v>
      </c>
      <c r="E567" s="23">
        <v>42101</v>
      </c>
      <c r="F567" s="106">
        <v>525</v>
      </c>
      <c r="G567" s="31">
        <f t="shared" si="8"/>
        <v>0</v>
      </c>
      <c r="H567" s="39" t="s">
        <v>773</v>
      </c>
      <c r="K567" s="3"/>
    </row>
    <row r="568" spans="1:11" x14ac:dyDescent="0.25">
      <c r="A568" s="20">
        <v>42101</v>
      </c>
      <c r="B568" s="183">
        <v>17105</v>
      </c>
      <c r="C568" s="14" t="s">
        <v>162</v>
      </c>
      <c r="D568" s="105">
        <v>1558.8</v>
      </c>
      <c r="E568" s="23">
        <v>42101</v>
      </c>
      <c r="F568" s="106">
        <v>1558.8</v>
      </c>
      <c r="G568" s="31">
        <f t="shared" si="8"/>
        <v>0</v>
      </c>
      <c r="H568" s="39" t="s">
        <v>773</v>
      </c>
      <c r="K568" s="3"/>
    </row>
    <row r="569" spans="1:11" x14ac:dyDescent="0.25">
      <c r="A569" s="20">
        <v>42101</v>
      </c>
      <c r="B569" s="183">
        <v>17106</v>
      </c>
      <c r="C569" s="14" t="s">
        <v>789</v>
      </c>
      <c r="D569" s="105">
        <v>3126.4</v>
      </c>
      <c r="E569" s="23">
        <v>42101</v>
      </c>
      <c r="F569" s="106">
        <v>3126.4</v>
      </c>
      <c r="G569" s="31">
        <f t="shared" si="8"/>
        <v>0</v>
      </c>
      <c r="H569" s="39" t="s">
        <v>9</v>
      </c>
      <c r="K569" s="3"/>
    </row>
    <row r="570" spans="1:11" x14ac:dyDescent="0.25">
      <c r="A570" s="20">
        <v>42101</v>
      </c>
      <c r="B570" s="183">
        <v>17107</v>
      </c>
      <c r="C570" s="14" t="s">
        <v>141</v>
      </c>
      <c r="D570" s="105">
        <v>262.8</v>
      </c>
      <c r="E570" s="23">
        <v>42101</v>
      </c>
      <c r="F570" s="106">
        <v>262.8</v>
      </c>
      <c r="G570" s="31">
        <f t="shared" si="8"/>
        <v>0</v>
      </c>
      <c r="H570" s="39" t="s">
        <v>9</v>
      </c>
      <c r="K570" s="3"/>
    </row>
    <row r="571" spans="1:11" x14ac:dyDescent="0.25">
      <c r="A571" s="20">
        <v>42101</v>
      </c>
      <c r="B571" s="183">
        <v>17108</v>
      </c>
      <c r="C571" s="14" t="s">
        <v>1058</v>
      </c>
      <c r="D571" s="105">
        <v>2189.6999999999998</v>
      </c>
      <c r="E571" s="23">
        <v>42101</v>
      </c>
      <c r="F571" s="106">
        <v>2189.6999999999998</v>
      </c>
      <c r="G571" s="31">
        <f t="shared" si="8"/>
        <v>0</v>
      </c>
      <c r="H571" s="39" t="s">
        <v>9</v>
      </c>
      <c r="K571" s="3"/>
    </row>
    <row r="572" spans="1:11" x14ac:dyDescent="0.25">
      <c r="A572" s="20">
        <v>42101</v>
      </c>
      <c r="B572" s="183">
        <v>17109</v>
      </c>
      <c r="C572" s="14" t="s">
        <v>232</v>
      </c>
      <c r="D572" s="105">
        <v>2771.6</v>
      </c>
      <c r="E572" s="23">
        <v>42104</v>
      </c>
      <c r="F572" s="106">
        <v>2771.6</v>
      </c>
      <c r="G572" s="31">
        <f t="shared" si="8"/>
        <v>0</v>
      </c>
      <c r="H572" s="39" t="s">
        <v>9</v>
      </c>
      <c r="K572" s="3"/>
    </row>
    <row r="573" spans="1:11" x14ac:dyDescent="0.25">
      <c r="A573" s="20">
        <v>42101</v>
      </c>
      <c r="B573" s="183">
        <v>17110</v>
      </c>
      <c r="C573" s="14" t="s">
        <v>158</v>
      </c>
      <c r="D573" s="105">
        <v>2296</v>
      </c>
      <c r="E573" s="23">
        <v>42101</v>
      </c>
      <c r="F573" s="106">
        <v>2296</v>
      </c>
      <c r="G573" s="31">
        <f t="shared" si="8"/>
        <v>0</v>
      </c>
      <c r="H573" s="39" t="s">
        <v>9</v>
      </c>
      <c r="K573" s="3"/>
    </row>
    <row r="574" spans="1:11" x14ac:dyDescent="0.25">
      <c r="A574" s="20">
        <v>42101</v>
      </c>
      <c r="B574" s="183">
        <v>17111</v>
      </c>
      <c r="C574" s="14" t="s">
        <v>829</v>
      </c>
      <c r="D574" s="105">
        <v>5185.1000000000004</v>
      </c>
      <c r="E574" s="23">
        <v>42101</v>
      </c>
      <c r="F574" s="106">
        <v>5185.1000000000004</v>
      </c>
      <c r="G574" s="31">
        <f t="shared" si="8"/>
        <v>0</v>
      </c>
      <c r="H574" s="39" t="s">
        <v>9</v>
      </c>
      <c r="J574" s="107"/>
      <c r="K574" s="3"/>
    </row>
    <row r="575" spans="1:11" x14ac:dyDescent="0.25">
      <c r="A575" s="20">
        <v>42101</v>
      </c>
      <c r="B575" s="183">
        <v>17112</v>
      </c>
      <c r="C575" s="14" t="s">
        <v>855</v>
      </c>
      <c r="D575" s="105">
        <v>3774.3</v>
      </c>
      <c r="E575" s="23">
        <v>42101</v>
      </c>
      <c r="F575" s="106">
        <v>3774.3</v>
      </c>
      <c r="G575" s="31">
        <f t="shared" si="8"/>
        <v>0</v>
      </c>
      <c r="H575" s="39" t="s">
        <v>9</v>
      </c>
      <c r="K575" s="3"/>
    </row>
    <row r="576" spans="1:11" x14ac:dyDescent="0.25">
      <c r="A576" s="20">
        <v>42101</v>
      </c>
      <c r="B576" s="183">
        <v>17113</v>
      </c>
      <c r="C576" s="14" t="s">
        <v>855</v>
      </c>
      <c r="D576" s="105">
        <v>40</v>
      </c>
      <c r="E576" s="23">
        <v>42101</v>
      </c>
      <c r="F576" s="106">
        <v>40</v>
      </c>
      <c r="G576" s="31">
        <f t="shared" si="8"/>
        <v>0</v>
      </c>
      <c r="H576" s="39" t="s">
        <v>9</v>
      </c>
      <c r="K576" s="3"/>
    </row>
    <row r="577" spans="1:16" x14ac:dyDescent="0.25">
      <c r="A577" s="20">
        <v>42101</v>
      </c>
      <c r="B577" s="183">
        <v>17114</v>
      </c>
      <c r="C577" s="14" t="s">
        <v>1059</v>
      </c>
      <c r="D577" s="105">
        <v>7383.6</v>
      </c>
      <c r="E577" s="23">
        <v>42102</v>
      </c>
      <c r="F577" s="106">
        <v>7383.6</v>
      </c>
      <c r="G577" s="31">
        <f t="shared" si="8"/>
        <v>0</v>
      </c>
      <c r="H577" s="39" t="s">
        <v>17</v>
      </c>
      <c r="K577" s="3"/>
    </row>
    <row r="578" spans="1:16" x14ac:dyDescent="0.25">
      <c r="A578" s="20">
        <v>42101</v>
      </c>
      <c r="B578" s="183">
        <v>17115</v>
      </c>
      <c r="C578" s="14" t="s">
        <v>32</v>
      </c>
      <c r="D578" s="105">
        <v>64905.77</v>
      </c>
      <c r="E578" s="23">
        <v>42115</v>
      </c>
      <c r="F578" s="106">
        <v>64905.77</v>
      </c>
      <c r="G578" s="31">
        <f t="shared" si="8"/>
        <v>0</v>
      </c>
      <c r="H578" s="39" t="s">
        <v>9</v>
      </c>
      <c r="K578" s="3"/>
    </row>
    <row r="579" spans="1:16" x14ac:dyDescent="0.25">
      <c r="A579" s="20">
        <v>42101</v>
      </c>
      <c r="B579" s="183">
        <v>17116</v>
      </c>
      <c r="C579" s="14" t="s">
        <v>80</v>
      </c>
      <c r="D579" s="105">
        <v>7851.6</v>
      </c>
      <c r="E579" s="23">
        <v>42101</v>
      </c>
      <c r="F579" s="106">
        <v>7851.6</v>
      </c>
      <c r="G579" s="31">
        <f t="shared" ref="G579:G642" si="9">D579-F579</f>
        <v>0</v>
      </c>
      <c r="H579" s="39" t="s">
        <v>9</v>
      </c>
      <c r="I579" s="3"/>
      <c r="J579" s="42"/>
      <c r="K579" s="3"/>
    </row>
    <row r="580" spans="1:16" x14ac:dyDescent="0.25">
      <c r="A580" s="20">
        <v>42101</v>
      </c>
      <c r="B580" s="183">
        <v>17117</v>
      </c>
      <c r="C580" s="14" t="s">
        <v>232</v>
      </c>
      <c r="D580" s="105">
        <v>19188</v>
      </c>
      <c r="E580" s="23">
        <v>42104</v>
      </c>
      <c r="F580" s="106">
        <v>19188</v>
      </c>
      <c r="G580" s="31">
        <f t="shared" si="9"/>
        <v>0</v>
      </c>
      <c r="H580" s="39" t="s">
        <v>46</v>
      </c>
      <c r="I580" s="3"/>
      <c r="J580" s="42"/>
      <c r="K580" s="3"/>
    </row>
    <row r="581" spans="1:16" x14ac:dyDescent="0.25">
      <c r="A581" s="20">
        <v>42101</v>
      </c>
      <c r="B581" s="183">
        <v>17118</v>
      </c>
      <c r="C581" s="14" t="s">
        <v>24</v>
      </c>
      <c r="D581" s="105">
        <v>28432.2</v>
      </c>
      <c r="E581" s="30">
        <v>42125</v>
      </c>
      <c r="F581" s="144">
        <v>28432.2</v>
      </c>
      <c r="G581" s="31">
        <f t="shared" si="9"/>
        <v>0</v>
      </c>
      <c r="H581" s="39" t="s">
        <v>59</v>
      </c>
      <c r="I581" s="3"/>
      <c r="J581" s="42"/>
      <c r="K581" s="3"/>
    </row>
    <row r="582" spans="1:16" x14ac:dyDescent="0.25">
      <c r="A582" s="20">
        <v>42102</v>
      </c>
      <c r="B582" s="183">
        <v>17119</v>
      </c>
      <c r="C582" s="14" t="s">
        <v>454</v>
      </c>
      <c r="D582" s="105">
        <v>3127.6</v>
      </c>
      <c r="E582" s="23">
        <v>42102</v>
      </c>
      <c r="F582" s="106">
        <v>3127.6</v>
      </c>
      <c r="G582" s="31">
        <f t="shared" si="9"/>
        <v>0</v>
      </c>
      <c r="H582" s="39" t="s">
        <v>773</v>
      </c>
      <c r="I582" s="3"/>
      <c r="J582" s="42"/>
      <c r="K582" s="3"/>
    </row>
    <row r="583" spans="1:16" x14ac:dyDescent="0.25">
      <c r="A583" s="20">
        <v>42102</v>
      </c>
      <c r="B583" s="183">
        <v>17120</v>
      </c>
      <c r="C583" s="14" t="s">
        <v>720</v>
      </c>
      <c r="D583" s="105">
        <v>10695.4</v>
      </c>
      <c r="E583" s="23">
        <v>42102</v>
      </c>
      <c r="F583" s="106">
        <v>10695.4</v>
      </c>
      <c r="G583" s="31">
        <f t="shared" si="9"/>
        <v>0</v>
      </c>
      <c r="H583" s="39" t="s">
        <v>9</v>
      </c>
      <c r="I583" s="3"/>
      <c r="J583" s="42"/>
      <c r="K583" s="3"/>
    </row>
    <row r="584" spans="1:16" x14ac:dyDescent="0.25">
      <c r="A584" s="20">
        <v>42102</v>
      </c>
      <c r="B584" s="183">
        <v>17121</v>
      </c>
      <c r="C584" s="14" t="s">
        <v>1060</v>
      </c>
      <c r="D584" s="105">
        <v>35150.769999999997</v>
      </c>
      <c r="E584" s="23">
        <v>42117</v>
      </c>
      <c r="F584" s="106">
        <v>35150.769999999997</v>
      </c>
      <c r="G584" s="31">
        <f t="shared" si="9"/>
        <v>0</v>
      </c>
      <c r="H584" s="39" t="s">
        <v>9</v>
      </c>
      <c r="I584" s="3"/>
      <c r="J584" s="42"/>
      <c r="K584" s="3"/>
    </row>
    <row r="585" spans="1:16" x14ac:dyDescent="0.25">
      <c r="A585" s="20">
        <v>42102</v>
      </c>
      <c r="B585" s="183">
        <v>17122</v>
      </c>
      <c r="C585" s="14" t="s">
        <v>161</v>
      </c>
      <c r="D585" s="105">
        <v>20661.900000000001</v>
      </c>
      <c r="E585" s="23">
        <v>42102</v>
      </c>
      <c r="F585" s="106">
        <v>20661.900000000001</v>
      </c>
      <c r="G585" s="31">
        <f t="shared" si="9"/>
        <v>0</v>
      </c>
      <c r="H585" s="39" t="s">
        <v>9</v>
      </c>
      <c r="I585" s="3"/>
      <c r="J585" s="42"/>
      <c r="K585" s="3"/>
    </row>
    <row r="586" spans="1:16" x14ac:dyDescent="0.25">
      <c r="A586" s="20">
        <v>42102</v>
      </c>
      <c r="B586" s="183">
        <v>17123</v>
      </c>
      <c r="C586" s="14" t="s">
        <v>383</v>
      </c>
      <c r="D586" s="105">
        <v>5027</v>
      </c>
      <c r="E586" s="23">
        <v>42102</v>
      </c>
      <c r="F586" s="106">
        <v>5027</v>
      </c>
      <c r="G586" s="31">
        <f t="shared" si="9"/>
        <v>0</v>
      </c>
      <c r="H586" s="39" t="s">
        <v>9</v>
      </c>
      <c r="I586" s="3"/>
      <c r="J586" s="42"/>
      <c r="K586" s="3"/>
    </row>
    <row r="587" spans="1:16" x14ac:dyDescent="0.25">
      <c r="A587" s="20">
        <v>42102</v>
      </c>
      <c r="B587" s="183">
        <v>17124</v>
      </c>
      <c r="C587" s="14" t="s">
        <v>383</v>
      </c>
      <c r="D587" s="105">
        <v>658.8</v>
      </c>
      <c r="E587" s="23">
        <v>42102</v>
      </c>
      <c r="F587" s="106">
        <v>658.8</v>
      </c>
      <c r="G587" s="31">
        <f t="shared" si="9"/>
        <v>0</v>
      </c>
      <c r="H587" s="39" t="s">
        <v>9</v>
      </c>
      <c r="I587" s="3"/>
      <c r="J587" s="42"/>
      <c r="K587" s="3"/>
    </row>
    <row r="588" spans="1:16" x14ac:dyDescent="0.25">
      <c r="A588" s="20">
        <v>42102</v>
      </c>
      <c r="B588" s="183">
        <v>17125</v>
      </c>
      <c r="C588" s="14" t="s">
        <v>112</v>
      </c>
      <c r="D588" s="105">
        <v>4990.6000000000004</v>
      </c>
      <c r="E588" s="23">
        <v>42107</v>
      </c>
      <c r="F588" s="106">
        <v>4990.6000000000004</v>
      </c>
      <c r="G588" s="31">
        <f t="shared" si="9"/>
        <v>0</v>
      </c>
      <c r="H588" s="39" t="s">
        <v>9</v>
      </c>
      <c r="I588" s="3"/>
      <c r="J588" s="42"/>
      <c r="K588" s="3"/>
    </row>
    <row r="589" spans="1:16" x14ac:dyDescent="0.25">
      <c r="A589" s="20">
        <v>42102</v>
      </c>
      <c r="B589" s="183">
        <v>17126</v>
      </c>
      <c r="C589" s="14" t="s">
        <v>16</v>
      </c>
      <c r="D589" s="105">
        <v>6176.8</v>
      </c>
      <c r="E589" s="23">
        <v>42102</v>
      </c>
      <c r="F589" s="106">
        <v>6176.8</v>
      </c>
      <c r="G589" s="31">
        <f t="shared" si="9"/>
        <v>0</v>
      </c>
      <c r="H589" s="39" t="s">
        <v>17</v>
      </c>
      <c r="I589" s="3"/>
      <c r="J589" s="42"/>
      <c r="K589" s="3"/>
    </row>
    <row r="590" spans="1:16" x14ac:dyDescent="0.25">
      <c r="A590" s="20">
        <v>42102</v>
      </c>
      <c r="B590" s="183">
        <v>17127</v>
      </c>
      <c r="C590" s="14" t="s">
        <v>20</v>
      </c>
      <c r="D590" s="105">
        <v>13369.65</v>
      </c>
      <c r="E590" s="23" t="s">
        <v>1061</v>
      </c>
      <c r="F590" s="106">
        <f>10522+2847.65</f>
        <v>13369.65</v>
      </c>
      <c r="G590" s="31">
        <f t="shared" si="9"/>
        <v>0</v>
      </c>
      <c r="H590" s="39" t="s">
        <v>94</v>
      </c>
      <c r="I590" s="3"/>
      <c r="J590" s="42"/>
      <c r="K590" s="3"/>
    </row>
    <row r="591" spans="1:16" x14ac:dyDescent="0.25">
      <c r="A591" s="20">
        <v>42102</v>
      </c>
      <c r="B591" s="183">
        <v>17128</v>
      </c>
      <c r="C591" s="14" t="s">
        <v>121</v>
      </c>
      <c r="D591" s="105">
        <v>2194.1999999999998</v>
      </c>
      <c r="E591" s="23">
        <v>42102</v>
      </c>
      <c r="F591" s="106">
        <v>2194.1999999999998</v>
      </c>
      <c r="G591" s="31">
        <f t="shared" si="9"/>
        <v>0</v>
      </c>
      <c r="H591" s="39" t="s">
        <v>9</v>
      </c>
      <c r="I591" s="3"/>
      <c r="J591" s="42"/>
      <c r="K591" s="3"/>
      <c r="P591" s="105"/>
    </row>
    <row r="592" spans="1:16" x14ac:dyDescent="0.25">
      <c r="A592" s="20">
        <v>42102</v>
      </c>
      <c r="B592" s="183">
        <v>17129</v>
      </c>
      <c r="C592" s="14" t="s">
        <v>375</v>
      </c>
      <c r="D592" s="105">
        <v>4409.6000000000004</v>
      </c>
      <c r="E592" s="23">
        <v>42102</v>
      </c>
      <c r="F592" s="106">
        <v>4409.6000000000004</v>
      </c>
      <c r="G592" s="31">
        <f t="shared" si="9"/>
        <v>0</v>
      </c>
      <c r="H592" s="39" t="s">
        <v>773</v>
      </c>
      <c r="I592" s="3"/>
      <c r="J592" s="42"/>
      <c r="K592" s="3"/>
      <c r="P592" s="105"/>
    </row>
    <row r="593" spans="1:16" x14ac:dyDescent="0.25">
      <c r="A593" s="20">
        <v>42102</v>
      </c>
      <c r="B593" s="183">
        <v>17130</v>
      </c>
      <c r="C593" s="14" t="s">
        <v>215</v>
      </c>
      <c r="D593" s="105">
        <v>26943.8</v>
      </c>
      <c r="E593" s="23">
        <v>42102</v>
      </c>
      <c r="F593" s="106">
        <v>26943.8</v>
      </c>
      <c r="G593" s="31">
        <f t="shared" si="9"/>
        <v>0</v>
      </c>
      <c r="H593" s="39" t="s">
        <v>187</v>
      </c>
      <c r="I593" s="3"/>
      <c r="J593" s="42"/>
      <c r="K593" s="3"/>
      <c r="P593" s="105"/>
    </row>
    <row r="594" spans="1:16" x14ac:dyDescent="0.25">
      <c r="A594" s="20">
        <v>42102</v>
      </c>
      <c r="B594" s="183">
        <v>17131</v>
      </c>
      <c r="C594" s="14" t="s">
        <v>110</v>
      </c>
      <c r="D594" s="105">
        <v>34822.720000000001</v>
      </c>
      <c r="E594" s="23" t="s">
        <v>1062</v>
      </c>
      <c r="F594" s="106">
        <f>14727.5+20095.22</f>
        <v>34822.720000000001</v>
      </c>
      <c r="G594" s="31">
        <f t="shared" si="9"/>
        <v>0</v>
      </c>
      <c r="H594" s="39" t="s">
        <v>773</v>
      </c>
      <c r="I594" s="3"/>
      <c r="J594" s="42"/>
      <c r="K594" s="3"/>
      <c r="P594" s="105"/>
    </row>
    <row r="595" spans="1:16" x14ac:dyDescent="0.25">
      <c r="A595" s="20">
        <v>42102</v>
      </c>
      <c r="B595" s="183">
        <v>17132</v>
      </c>
      <c r="C595" s="14" t="s">
        <v>114</v>
      </c>
      <c r="D595" s="105">
        <v>716.6</v>
      </c>
      <c r="E595" s="23">
        <v>42102</v>
      </c>
      <c r="F595" s="106">
        <v>716.6</v>
      </c>
      <c r="G595" s="31">
        <f t="shared" si="9"/>
        <v>0</v>
      </c>
      <c r="H595" s="39" t="s">
        <v>9</v>
      </c>
      <c r="K595" s="3"/>
      <c r="P595" s="105"/>
    </row>
    <row r="596" spans="1:16" x14ac:dyDescent="0.25">
      <c r="A596" s="20">
        <v>42102</v>
      </c>
      <c r="B596" s="183">
        <v>17133</v>
      </c>
      <c r="C596" s="14" t="s">
        <v>699</v>
      </c>
      <c r="D596" s="105">
        <v>1893.8</v>
      </c>
      <c r="E596" s="23">
        <v>42107</v>
      </c>
      <c r="F596" s="106">
        <v>1893.8</v>
      </c>
      <c r="G596" s="31">
        <f t="shared" si="9"/>
        <v>0</v>
      </c>
      <c r="H596" s="39" t="s">
        <v>9</v>
      </c>
      <c r="K596" s="3"/>
      <c r="P596" s="105"/>
    </row>
    <row r="597" spans="1:16" x14ac:dyDescent="0.25">
      <c r="A597" s="20">
        <v>42102</v>
      </c>
      <c r="B597" s="183">
        <v>17134</v>
      </c>
      <c r="C597" s="14" t="s">
        <v>422</v>
      </c>
      <c r="D597" s="105">
        <v>470.4</v>
      </c>
      <c r="E597" s="23">
        <v>42102</v>
      </c>
      <c r="F597" s="106">
        <v>470.4</v>
      </c>
      <c r="G597" s="31">
        <f t="shared" si="9"/>
        <v>0</v>
      </c>
      <c r="H597" s="39" t="s">
        <v>9</v>
      </c>
      <c r="K597" s="3"/>
      <c r="P597" s="105"/>
    </row>
    <row r="598" spans="1:16" x14ac:dyDescent="0.25">
      <c r="A598" s="20">
        <v>42102</v>
      </c>
      <c r="B598" s="183">
        <v>17135</v>
      </c>
      <c r="C598" s="14" t="s">
        <v>24</v>
      </c>
      <c r="D598" s="105">
        <v>222741.02</v>
      </c>
      <c r="E598" s="30">
        <v>42125</v>
      </c>
      <c r="F598" s="144">
        <v>222741.02</v>
      </c>
      <c r="G598" s="31">
        <f t="shared" si="9"/>
        <v>0</v>
      </c>
      <c r="H598" s="39" t="s">
        <v>46</v>
      </c>
      <c r="K598" s="3"/>
      <c r="P598" s="105"/>
    </row>
    <row r="599" spans="1:16" x14ac:dyDescent="0.25">
      <c r="A599" s="20">
        <v>42102</v>
      </c>
      <c r="B599" s="183">
        <v>17136</v>
      </c>
      <c r="C599" s="14" t="s">
        <v>863</v>
      </c>
      <c r="D599" s="105">
        <v>6954.5</v>
      </c>
      <c r="E599" s="23">
        <v>42102</v>
      </c>
      <c r="F599" s="106">
        <v>6954.5</v>
      </c>
      <c r="G599" s="31">
        <f t="shared" si="9"/>
        <v>0</v>
      </c>
      <c r="H599" s="39" t="s">
        <v>9</v>
      </c>
      <c r="K599" s="3"/>
      <c r="P599" s="105"/>
    </row>
    <row r="600" spans="1:16" x14ac:dyDescent="0.25">
      <c r="A600" s="20">
        <v>42102</v>
      </c>
      <c r="B600" s="183">
        <v>17137</v>
      </c>
      <c r="C600" s="14" t="s">
        <v>863</v>
      </c>
      <c r="D600" s="105">
        <v>2052.75</v>
      </c>
      <c r="E600" s="23">
        <v>42102</v>
      </c>
      <c r="F600" s="106">
        <v>2052.75</v>
      </c>
      <c r="G600" s="31">
        <f t="shared" si="9"/>
        <v>0</v>
      </c>
      <c r="H600" s="39" t="s">
        <v>9</v>
      </c>
      <c r="K600" s="3"/>
      <c r="P600" s="105"/>
    </row>
    <row r="601" spans="1:16" x14ac:dyDescent="0.25">
      <c r="A601" s="20">
        <v>42102</v>
      </c>
      <c r="B601" s="183">
        <v>17138</v>
      </c>
      <c r="C601" s="14" t="s">
        <v>125</v>
      </c>
      <c r="D601" s="105">
        <v>31382.94</v>
      </c>
      <c r="E601" s="23">
        <v>42102</v>
      </c>
      <c r="F601" s="106">
        <v>31382.94</v>
      </c>
      <c r="G601" s="31">
        <f t="shared" si="9"/>
        <v>0</v>
      </c>
      <c r="H601" s="39" t="s">
        <v>9</v>
      </c>
      <c r="K601" s="3"/>
      <c r="P601" s="105"/>
    </row>
    <row r="602" spans="1:16" x14ac:dyDescent="0.25">
      <c r="A602" s="20">
        <v>42102</v>
      </c>
      <c r="B602" s="183">
        <v>17139</v>
      </c>
      <c r="C602" s="14" t="s">
        <v>14</v>
      </c>
      <c r="D602" s="105">
        <v>109341.75999999999</v>
      </c>
      <c r="E602" s="23">
        <v>42104</v>
      </c>
      <c r="F602" s="106">
        <v>109341.75999999999</v>
      </c>
      <c r="G602" s="31">
        <f t="shared" si="9"/>
        <v>0</v>
      </c>
      <c r="H602" s="39" t="s">
        <v>9</v>
      </c>
      <c r="J602" s="107"/>
      <c r="K602" s="3"/>
      <c r="P602" s="105"/>
    </row>
    <row r="603" spans="1:16" x14ac:dyDescent="0.25">
      <c r="A603" s="20">
        <v>42102</v>
      </c>
      <c r="B603" s="183">
        <v>17140</v>
      </c>
      <c r="C603" s="14" t="s">
        <v>169</v>
      </c>
      <c r="D603" s="105">
        <v>2092.1999999999998</v>
      </c>
      <c r="E603" s="23">
        <v>42102</v>
      </c>
      <c r="F603" s="106">
        <v>2092.1999999999998</v>
      </c>
      <c r="G603" s="31">
        <f t="shared" si="9"/>
        <v>0</v>
      </c>
      <c r="H603" s="39" t="s">
        <v>94</v>
      </c>
      <c r="K603" s="3"/>
      <c r="P603" s="105"/>
    </row>
    <row r="604" spans="1:16" x14ac:dyDescent="0.25">
      <c r="A604" s="20">
        <v>42102</v>
      </c>
      <c r="B604" s="183">
        <v>17141</v>
      </c>
      <c r="C604" s="14" t="s">
        <v>169</v>
      </c>
      <c r="D604" s="105">
        <v>2428.8000000000002</v>
      </c>
      <c r="E604" s="23">
        <v>42102</v>
      </c>
      <c r="F604" s="106">
        <v>2428.8000000000002</v>
      </c>
      <c r="G604" s="31">
        <f t="shared" si="9"/>
        <v>0</v>
      </c>
      <c r="H604" s="39" t="s">
        <v>9</v>
      </c>
      <c r="K604" s="3"/>
      <c r="P604" s="105"/>
    </row>
    <row r="605" spans="1:16" x14ac:dyDescent="0.25">
      <c r="A605" s="20">
        <v>42102</v>
      </c>
      <c r="B605" s="183">
        <v>17142</v>
      </c>
      <c r="C605" s="14" t="s">
        <v>21</v>
      </c>
      <c r="D605" s="105">
        <v>6144.6</v>
      </c>
      <c r="E605" s="23">
        <v>42102</v>
      </c>
      <c r="F605" s="106">
        <v>6144.6</v>
      </c>
      <c r="G605" s="31">
        <f t="shared" si="9"/>
        <v>0</v>
      </c>
      <c r="H605" s="39" t="s">
        <v>9</v>
      </c>
      <c r="K605" s="3"/>
      <c r="P605" s="105"/>
    </row>
    <row r="606" spans="1:16" x14ac:dyDescent="0.25">
      <c r="A606" s="20">
        <v>42102</v>
      </c>
      <c r="B606" s="183">
        <v>17143</v>
      </c>
      <c r="C606" s="14" t="s">
        <v>226</v>
      </c>
      <c r="D606" s="105">
        <v>2376</v>
      </c>
      <c r="E606" s="23">
        <v>42102</v>
      </c>
      <c r="F606" s="106">
        <v>2376</v>
      </c>
      <c r="G606" s="31">
        <f t="shared" si="9"/>
        <v>0</v>
      </c>
      <c r="H606" s="39" t="s">
        <v>9</v>
      </c>
      <c r="K606" s="3"/>
      <c r="P606" s="105"/>
    </row>
    <row r="607" spans="1:16" x14ac:dyDescent="0.25">
      <c r="A607" s="20">
        <v>42102</v>
      </c>
      <c r="B607" s="183">
        <v>17144</v>
      </c>
      <c r="C607" s="14" t="s">
        <v>26</v>
      </c>
      <c r="D607" s="105">
        <v>2176</v>
      </c>
      <c r="E607" s="23">
        <v>42102</v>
      </c>
      <c r="F607" s="106">
        <v>2176</v>
      </c>
      <c r="G607" s="31">
        <f t="shared" si="9"/>
        <v>0</v>
      </c>
      <c r="H607" s="39" t="s">
        <v>27</v>
      </c>
      <c r="K607" s="3"/>
      <c r="P607" s="105"/>
    </row>
    <row r="608" spans="1:16" x14ac:dyDescent="0.25">
      <c r="A608" s="20">
        <v>42102</v>
      </c>
      <c r="B608" s="183">
        <v>17145</v>
      </c>
      <c r="C608" s="14" t="s">
        <v>24</v>
      </c>
      <c r="D608" s="105">
        <v>15140.15</v>
      </c>
      <c r="E608" s="30">
        <v>42125</v>
      </c>
      <c r="F608" s="144">
        <v>15140.15</v>
      </c>
      <c r="G608" s="31">
        <f t="shared" si="9"/>
        <v>0</v>
      </c>
      <c r="H608" s="39" t="s">
        <v>46</v>
      </c>
      <c r="K608" s="3"/>
      <c r="P608" s="105"/>
    </row>
    <row r="609" spans="1:16" x14ac:dyDescent="0.25">
      <c r="A609" s="20">
        <v>42102</v>
      </c>
      <c r="B609" s="183">
        <v>17146</v>
      </c>
      <c r="C609" s="14" t="s">
        <v>151</v>
      </c>
      <c r="D609" s="105">
        <v>7325.8</v>
      </c>
      <c r="E609" s="23">
        <v>42102</v>
      </c>
      <c r="F609" s="106">
        <v>7325.8</v>
      </c>
      <c r="G609" s="31">
        <f t="shared" si="9"/>
        <v>0</v>
      </c>
      <c r="H609" s="39" t="s">
        <v>9</v>
      </c>
      <c r="K609" s="3"/>
      <c r="P609" s="105"/>
    </row>
    <row r="610" spans="1:16" x14ac:dyDescent="0.25">
      <c r="A610" s="20">
        <v>42102</v>
      </c>
      <c r="B610" s="183">
        <v>17147</v>
      </c>
      <c r="C610" s="14" t="s">
        <v>285</v>
      </c>
      <c r="D610" s="105">
        <v>760.2</v>
      </c>
      <c r="E610" s="23">
        <v>42102</v>
      </c>
      <c r="F610" s="106">
        <v>760.2</v>
      </c>
      <c r="G610" s="31">
        <f t="shared" si="9"/>
        <v>0</v>
      </c>
      <c r="H610" s="39" t="s">
        <v>41</v>
      </c>
      <c r="K610" s="3"/>
      <c r="P610" s="105"/>
    </row>
    <row r="611" spans="1:16" x14ac:dyDescent="0.25">
      <c r="A611" s="20">
        <v>42102</v>
      </c>
      <c r="B611" s="183">
        <v>17148</v>
      </c>
      <c r="C611" s="150" t="s">
        <v>24</v>
      </c>
      <c r="D611" s="105">
        <v>1484</v>
      </c>
      <c r="E611" s="23">
        <v>42125</v>
      </c>
      <c r="F611" s="106">
        <v>1484</v>
      </c>
      <c r="G611" s="31">
        <f t="shared" si="9"/>
        <v>0</v>
      </c>
      <c r="H611" s="39" t="s">
        <v>9</v>
      </c>
      <c r="K611" s="3"/>
      <c r="P611" s="105"/>
    </row>
    <row r="612" spans="1:16" x14ac:dyDescent="0.25">
      <c r="A612" s="20">
        <v>42102</v>
      </c>
      <c r="B612" s="183">
        <v>17149</v>
      </c>
      <c r="C612" s="14" t="s">
        <v>906</v>
      </c>
      <c r="D612" s="105">
        <v>2240.6999999999998</v>
      </c>
      <c r="E612" s="23">
        <v>42102</v>
      </c>
      <c r="F612" s="106">
        <v>2240.6999999999998</v>
      </c>
      <c r="G612" s="31">
        <f t="shared" si="9"/>
        <v>0</v>
      </c>
      <c r="H612" s="39" t="s">
        <v>41</v>
      </c>
      <c r="K612" s="3"/>
      <c r="P612" s="105"/>
    </row>
    <row r="613" spans="1:16" x14ac:dyDescent="0.25">
      <c r="A613" s="20">
        <v>42102</v>
      </c>
      <c r="B613" s="183">
        <v>17150</v>
      </c>
      <c r="C613" s="14" t="s">
        <v>854</v>
      </c>
      <c r="D613" s="105">
        <v>2448.6</v>
      </c>
      <c r="E613" s="23">
        <v>42102</v>
      </c>
      <c r="F613" s="106">
        <v>2448.6</v>
      </c>
      <c r="G613" s="31">
        <f t="shared" si="9"/>
        <v>0</v>
      </c>
      <c r="H613" s="39" t="s">
        <v>9</v>
      </c>
      <c r="K613" s="3"/>
      <c r="P613" s="105"/>
    </row>
    <row r="614" spans="1:16" x14ac:dyDescent="0.25">
      <c r="A614" s="20">
        <v>42102</v>
      </c>
      <c r="B614" s="183">
        <v>17151</v>
      </c>
      <c r="C614" s="14" t="s">
        <v>135</v>
      </c>
      <c r="D614" s="105">
        <v>4304</v>
      </c>
      <c r="E614" s="23">
        <v>42106</v>
      </c>
      <c r="F614" s="106">
        <v>4304</v>
      </c>
      <c r="G614" s="31">
        <f t="shared" si="9"/>
        <v>0</v>
      </c>
      <c r="H614" s="39" t="s">
        <v>9</v>
      </c>
      <c r="K614" s="3"/>
      <c r="P614" s="105"/>
    </row>
    <row r="615" spans="1:16" x14ac:dyDescent="0.25">
      <c r="A615" s="20">
        <v>42102</v>
      </c>
      <c r="B615" s="183">
        <v>17152</v>
      </c>
      <c r="C615" s="14" t="s">
        <v>694</v>
      </c>
      <c r="D615" s="105">
        <v>1369.2</v>
      </c>
      <c r="E615" s="23">
        <v>42102</v>
      </c>
      <c r="F615" s="106">
        <v>1369.2</v>
      </c>
      <c r="G615" s="31">
        <f t="shared" si="9"/>
        <v>0</v>
      </c>
      <c r="H615" s="39" t="s">
        <v>9</v>
      </c>
      <c r="J615" s="107"/>
      <c r="K615" s="3"/>
      <c r="P615" s="105"/>
    </row>
    <row r="616" spans="1:16" x14ac:dyDescent="0.25">
      <c r="A616" s="20">
        <v>42102</v>
      </c>
      <c r="B616" s="183">
        <v>17153</v>
      </c>
      <c r="C616" s="14" t="s">
        <v>791</v>
      </c>
      <c r="D616" s="105">
        <v>17450.400000000001</v>
      </c>
      <c r="E616" s="23">
        <v>42114</v>
      </c>
      <c r="F616" s="106">
        <v>17450.400000000001</v>
      </c>
      <c r="G616" s="31">
        <f t="shared" si="9"/>
        <v>0</v>
      </c>
      <c r="H616" s="39" t="s">
        <v>773</v>
      </c>
      <c r="K616" s="3"/>
      <c r="P616" s="105"/>
    </row>
    <row r="617" spans="1:16" x14ac:dyDescent="0.25">
      <c r="A617" s="20">
        <v>42102</v>
      </c>
      <c r="B617" s="183">
        <v>17154</v>
      </c>
      <c r="C617" s="14" t="s">
        <v>1063</v>
      </c>
      <c r="D617" s="105">
        <v>2459.1999999999998</v>
      </c>
      <c r="E617" s="23">
        <v>42102</v>
      </c>
      <c r="F617" s="106">
        <v>2459.1999999999998</v>
      </c>
      <c r="G617" s="31">
        <f t="shared" si="9"/>
        <v>0</v>
      </c>
      <c r="H617" s="39" t="s">
        <v>9</v>
      </c>
      <c r="J617" s="107"/>
      <c r="K617" s="3"/>
      <c r="P617" s="122"/>
    </row>
    <row r="618" spans="1:16" x14ac:dyDescent="0.25">
      <c r="A618" s="20">
        <v>42102</v>
      </c>
      <c r="B618" s="183">
        <v>17155</v>
      </c>
      <c r="C618" s="14" t="s">
        <v>35</v>
      </c>
      <c r="D618" s="105">
        <v>18745.88</v>
      </c>
      <c r="E618" s="23">
        <v>42102</v>
      </c>
      <c r="F618" s="106">
        <v>18745.88</v>
      </c>
      <c r="G618" s="31">
        <f t="shared" si="9"/>
        <v>0</v>
      </c>
      <c r="H618" s="39" t="s">
        <v>773</v>
      </c>
      <c r="K618" s="3"/>
      <c r="P618" s="105"/>
    </row>
    <row r="619" spans="1:16" x14ac:dyDescent="0.25">
      <c r="A619" s="20">
        <v>42102</v>
      </c>
      <c r="B619" s="183">
        <v>17156</v>
      </c>
      <c r="C619" s="14" t="s">
        <v>151</v>
      </c>
      <c r="D619" s="105">
        <v>2336.3000000000002</v>
      </c>
      <c r="E619" s="23">
        <v>42103</v>
      </c>
      <c r="F619" s="106">
        <v>2336.3000000000002</v>
      </c>
      <c r="G619" s="31">
        <f t="shared" si="9"/>
        <v>0</v>
      </c>
      <c r="H619" s="39" t="s">
        <v>9</v>
      </c>
      <c r="K619" s="3"/>
      <c r="P619" s="105"/>
    </row>
    <row r="620" spans="1:16" x14ac:dyDescent="0.25">
      <c r="A620" s="20">
        <v>42102</v>
      </c>
      <c r="B620" s="183">
        <v>17157</v>
      </c>
      <c r="C620" s="14" t="s">
        <v>900</v>
      </c>
      <c r="D620" s="105">
        <v>5543.3</v>
      </c>
      <c r="E620" s="23">
        <v>42102</v>
      </c>
      <c r="F620" s="106">
        <v>5543.3</v>
      </c>
      <c r="G620" s="31">
        <f t="shared" si="9"/>
        <v>0</v>
      </c>
      <c r="H620" s="39" t="s">
        <v>9</v>
      </c>
      <c r="K620" s="3"/>
      <c r="P620" s="105"/>
    </row>
    <row r="621" spans="1:16" x14ac:dyDescent="0.25">
      <c r="A621" s="20">
        <v>42102</v>
      </c>
      <c r="B621" s="183">
        <v>17158</v>
      </c>
      <c r="C621" s="14" t="s">
        <v>56</v>
      </c>
      <c r="D621" s="105">
        <v>6069</v>
      </c>
      <c r="E621" s="23">
        <v>42102</v>
      </c>
      <c r="F621" s="106">
        <v>6069</v>
      </c>
      <c r="G621" s="31">
        <f t="shared" si="9"/>
        <v>0</v>
      </c>
      <c r="H621" s="39" t="s">
        <v>773</v>
      </c>
      <c r="K621" s="3"/>
      <c r="P621" s="105"/>
    </row>
    <row r="622" spans="1:16" x14ac:dyDescent="0.25">
      <c r="A622" s="20">
        <v>42102</v>
      </c>
      <c r="B622" s="183">
        <v>17159</v>
      </c>
      <c r="C622" s="14" t="s">
        <v>131</v>
      </c>
      <c r="D622" s="105">
        <v>5080.3999999999996</v>
      </c>
      <c r="E622" s="23">
        <v>42102</v>
      </c>
      <c r="F622" s="106">
        <v>5080.3999999999996</v>
      </c>
      <c r="G622" s="31">
        <f t="shared" si="9"/>
        <v>0</v>
      </c>
      <c r="H622" s="39" t="s">
        <v>9</v>
      </c>
      <c r="K622" s="3"/>
      <c r="P622" s="105"/>
    </row>
    <row r="623" spans="1:16" x14ac:dyDescent="0.25">
      <c r="A623" s="20">
        <v>42102</v>
      </c>
      <c r="B623" s="183">
        <v>17160</v>
      </c>
      <c r="C623" s="14" t="s">
        <v>256</v>
      </c>
      <c r="D623" s="105">
        <v>2556</v>
      </c>
      <c r="E623" s="23">
        <v>42102</v>
      </c>
      <c r="F623" s="106">
        <v>2556</v>
      </c>
      <c r="G623" s="31">
        <f t="shared" si="9"/>
        <v>0</v>
      </c>
      <c r="H623" s="39" t="s">
        <v>773</v>
      </c>
      <c r="K623" s="3"/>
      <c r="P623" s="105"/>
    </row>
    <row r="624" spans="1:16" x14ac:dyDescent="0.25">
      <c r="A624" s="20">
        <v>42102</v>
      </c>
      <c r="B624" s="183">
        <v>17161</v>
      </c>
      <c r="C624" s="14" t="s">
        <v>91</v>
      </c>
      <c r="D624" s="105">
        <v>19076.64</v>
      </c>
      <c r="E624" s="23">
        <v>42102</v>
      </c>
      <c r="F624" s="106">
        <v>19076.64</v>
      </c>
      <c r="G624" s="31">
        <f t="shared" si="9"/>
        <v>0</v>
      </c>
      <c r="H624" s="39" t="s">
        <v>17</v>
      </c>
      <c r="K624" s="3"/>
      <c r="P624" s="105"/>
    </row>
    <row r="625" spans="1:16" x14ac:dyDescent="0.25">
      <c r="A625" s="20">
        <v>42102</v>
      </c>
      <c r="B625" s="183">
        <v>17162</v>
      </c>
      <c r="C625" s="14" t="s">
        <v>57</v>
      </c>
      <c r="D625" s="105">
        <v>1088</v>
      </c>
      <c r="E625" s="23">
        <v>42103</v>
      </c>
      <c r="F625" s="106">
        <v>1088</v>
      </c>
      <c r="G625" s="31">
        <f t="shared" si="9"/>
        <v>0</v>
      </c>
      <c r="H625" s="39" t="s">
        <v>17</v>
      </c>
      <c r="K625" s="3"/>
      <c r="P625" s="105"/>
    </row>
    <row r="626" spans="1:16" x14ac:dyDescent="0.25">
      <c r="A626" s="20">
        <v>42102</v>
      </c>
      <c r="B626" s="183">
        <v>17163</v>
      </c>
      <c r="C626" s="14" t="s">
        <v>81</v>
      </c>
      <c r="D626" s="105">
        <v>1598.3</v>
      </c>
      <c r="E626" s="23">
        <v>42102</v>
      </c>
      <c r="F626" s="106">
        <v>1598.3</v>
      </c>
      <c r="G626" s="31">
        <f t="shared" si="9"/>
        <v>0</v>
      </c>
      <c r="H626" s="39" t="s">
        <v>17</v>
      </c>
      <c r="K626" s="3"/>
      <c r="P626" s="105"/>
    </row>
    <row r="627" spans="1:16" x14ac:dyDescent="0.25">
      <c r="A627" s="20">
        <v>42102</v>
      </c>
      <c r="B627" s="183">
        <v>17164</v>
      </c>
      <c r="C627" s="14" t="s">
        <v>256</v>
      </c>
      <c r="D627" s="105">
        <v>586</v>
      </c>
      <c r="E627" s="23">
        <v>42102</v>
      </c>
      <c r="F627" s="106">
        <v>586</v>
      </c>
      <c r="G627" s="31">
        <f t="shared" si="9"/>
        <v>0</v>
      </c>
      <c r="H627" s="39" t="s">
        <v>9</v>
      </c>
      <c r="I627" s="3"/>
      <c r="J627" s="42"/>
      <c r="K627" s="3"/>
      <c r="P627" s="105"/>
    </row>
    <row r="628" spans="1:16" x14ac:dyDescent="0.25">
      <c r="A628" s="20">
        <v>42102</v>
      </c>
      <c r="B628" s="183">
        <v>17165</v>
      </c>
      <c r="C628" s="150" t="s">
        <v>157</v>
      </c>
      <c r="D628" s="105">
        <v>1687</v>
      </c>
      <c r="E628" s="23">
        <v>42102</v>
      </c>
      <c r="F628" s="106">
        <v>1687</v>
      </c>
      <c r="G628" s="31">
        <f t="shared" si="9"/>
        <v>0</v>
      </c>
      <c r="H628" s="39" t="s">
        <v>9</v>
      </c>
      <c r="I628" s="3"/>
      <c r="J628" s="42"/>
      <c r="K628" s="3"/>
      <c r="P628" s="105"/>
    </row>
    <row r="629" spans="1:16" x14ac:dyDescent="0.25">
      <c r="A629" s="20">
        <v>42102</v>
      </c>
      <c r="B629" s="183">
        <v>17166</v>
      </c>
      <c r="C629" s="14" t="s">
        <v>571</v>
      </c>
      <c r="D629" s="105">
        <v>17326.849999999999</v>
      </c>
      <c r="E629" s="23">
        <v>42102</v>
      </c>
      <c r="F629" s="106">
        <v>17326.849999999999</v>
      </c>
      <c r="G629" s="31">
        <f t="shared" si="9"/>
        <v>0</v>
      </c>
      <c r="H629" s="39" t="s">
        <v>46</v>
      </c>
      <c r="I629" s="3"/>
      <c r="J629" s="42"/>
      <c r="K629" s="3"/>
      <c r="P629" s="105"/>
    </row>
    <row r="630" spans="1:16" x14ac:dyDescent="0.25">
      <c r="A630" s="20">
        <v>42102</v>
      </c>
      <c r="B630" s="183">
        <v>17167</v>
      </c>
      <c r="C630" s="14" t="s">
        <v>130</v>
      </c>
      <c r="D630" s="105">
        <v>3179</v>
      </c>
      <c r="E630" s="23" t="s">
        <v>1064</v>
      </c>
      <c r="F630" s="106">
        <f>1000+2179</f>
        <v>3179</v>
      </c>
      <c r="G630" s="31">
        <f t="shared" si="9"/>
        <v>0</v>
      </c>
      <c r="H630" s="39" t="s">
        <v>17</v>
      </c>
      <c r="I630" s="3"/>
      <c r="J630" s="42"/>
      <c r="K630" s="3"/>
      <c r="P630" s="105"/>
    </row>
    <row r="631" spans="1:16" x14ac:dyDescent="0.25">
      <c r="A631" s="20">
        <v>42102</v>
      </c>
      <c r="B631" s="183">
        <v>17168</v>
      </c>
      <c r="C631" s="14" t="s">
        <v>130</v>
      </c>
      <c r="D631" s="105">
        <v>7422.2</v>
      </c>
      <c r="E631" s="23" t="s">
        <v>1065</v>
      </c>
      <c r="F631" s="106">
        <f>5533.2+1889</f>
        <v>7422.2</v>
      </c>
      <c r="G631" s="31">
        <f t="shared" si="9"/>
        <v>0</v>
      </c>
      <c r="H631" s="39" t="s">
        <v>17</v>
      </c>
      <c r="I631" s="3"/>
      <c r="J631" s="42"/>
      <c r="K631" s="3"/>
      <c r="P631" s="105"/>
    </row>
    <row r="632" spans="1:16" x14ac:dyDescent="0.25">
      <c r="A632" s="20">
        <v>42102</v>
      </c>
      <c r="B632" s="183">
        <v>17169</v>
      </c>
      <c r="C632" s="14" t="s">
        <v>214</v>
      </c>
      <c r="D632" s="105">
        <v>1700</v>
      </c>
      <c r="E632" s="23">
        <v>42103</v>
      </c>
      <c r="F632" s="106">
        <v>1700</v>
      </c>
      <c r="G632" s="31">
        <f t="shared" si="9"/>
        <v>0</v>
      </c>
      <c r="H632" s="39" t="s">
        <v>17</v>
      </c>
      <c r="I632" s="3"/>
      <c r="J632" s="42"/>
      <c r="K632" s="3"/>
      <c r="P632" s="105"/>
    </row>
    <row r="633" spans="1:16" x14ac:dyDescent="0.25">
      <c r="A633" s="20">
        <v>42102</v>
      </c>
      <c r="B633" s="183">
        <v>17170</v>
      </c>
      <c r="C633" s="110">
        <v>105</v>
      </c>
      <c r="D633" s="105">
        <v>884</v>
      </c>
      <c r="E633" s="23">
        <v>42102</v>
      </c>
      <c r="F633" s="106">
        <v>884</v>
      </c>
      <c r="G633" s="31">
        <f t="shared" si="9"/>
        <v>0</v>
      </c>
      <c r="H633" s="39" t="s">
        <v>17</v>
      </c>
      <c r="I633" s="3"/>
      <c r="J633" s="42"/>
      <c r="K633" s="3"/>
      <c r="P633" s="105"/>
    </row>
    <row r="634" spans="1:16" x14ac:dyDescent="0.25">
      <c r="A634" s="20">
        <v>42102</v>
      </c>
      <c r="B634" s="183">
        <v>17171</v>
      </c>
      <c r="C634" s="14" t="s">
        <v>1058</v>
      </c>
      <c r="D634" s="105">
        <v>2657.2</v>
      </c>
      <c r="E634" s="23">
        <v>42102</v>
      </c>
      <c r="F634" s="106">
        <v>2657.2</v>
      </c>
      <c r="G634" s="31">
        <f t="shared" si="9"/>
        <v>0</v>
      </c>
      <c r="H634" s="39" t="s">
        <v>9</v>
      </c>
      <c r="I634" s="3"/>
      <c r="J634" s="42"/>
      <c r="K634" s="3"/>
      <c r="P634" s="105"/>
    </row>
    <row r="635" spans="1:16" x14ac:dyDescent="0.25">
      <c r="A635" s="20">
        <v>42102</v>
      </c>
      <c r="B635" s="183">
        <v>17172</v>
      </c>
      <c r="C635" s="14" t="s">
        <v>75</v>
      </c>
      <c r="D635" s="105">
        <v>17585.2</v>
      </c>
      <c r="E635" s="23">
        <v>42103</v>
      </c>
      <c r="F635" s="106">
        <v>17585.2</v>
      </c>
      <c r="G635" s="31">
        <f t="shared" si="9"/>
        <v>0</v>
      </c>
      <c r="H635" s="39" t="s">
        <v>62</v>
      </c>
      <c r="I635" s="3"/>
      <c r="J635" s="42"/>
      <c r="K635" s="3"/>
      <c r="P635" s="105"/>
    </row>
    <row r="636" spans="1:16" x14ac:dyDescent="0.25">
      <c r="A636" s="20">
        <v>42102</v>
      </c>
      <c r="B636" s="183">
        <v>17173</v>
      </c>
      <c r="C636" s="14" t="s">
        <v>170</v>
      </c>
      <c r="D636" s="105">
        <v>1568.6</v>
      </c>
      <c r="E636" s="23">
        <v>42103</v>
      </c>
      <c r="F636" s="106">
        <v>1568.6</v>
      </c>
      <c r="G636" s="31">
        <f t="shared" si="9"/>
        <v>0</v>
      </c>
      <c r="H636" s="39" t="s">
        <v>62</v>
      </c>
      <c r="I636" s="3"/>
      <c r="J636" s="42"/>
      <c r="K636" s="3"/>
      <c r="P636" s="105"/>
    </row>
    <row r="637" spans="1:16" x14ac:dyDescent="0.25">
      <c r="A637" s="20">
        <v>42102</v>
      </c>
      <c r="B637" s="183">
        <v>17174</v>
      </c>
      <c r="C637" s="14" t="s">
        <v>173</v>
      </c>
      <c r="D637" s="105">
        <v>18528</v>
      </c>
      <c r="E637" s="30" t="s">
        <v>1066</v>
      </c>
      <c r="F637" s="106">
        <v>18528</v>
      </c>
      <c r="G637" s="31">
        <f t="shared" si="9"/>
        <v>0</v>
      </c>
      <c r="H637" s="39" t="s">
        <v>62</v>
      </c>
      <c r="I637" s="3"/>
      <c r="J637" s="42"/>
      <c r="K637" s="3"/>
      <c r="P637" s="105"/>
    </row>
    <row r="638" spans="1:16" x14ac:dyDescent="0.25">
      <c r="A638" s="20">
        <v>42102</v>
      </c>
      <c r="B638" s="183">
        <v>17175</v>
      </c>
      <c r="C638" s="14" t="s">
        <v>137</v>
      </c>
      <c r="D638" s="105">
        <v>477.6</v>
      </c>
      <c r="E638" s="23">
        <v>42102</v>
      </c>
      <c r="F638" s="106">
        <v>477.6</v>
      </c>
      <c r="G638" s="31">
        <f t="shared" si="9"/>
        <v>0</v>
      </c>
      <c r="H638" s="39" t="s">
        <v>9</v>
      </c>
      <c r="I638" s="3"/>
      <c r="J638" s="42"/>
      <c r="K638" s="3"/>
      <c r="P638" s="105"/>
    </row>
    <row r="639" spans="1:16" x14ac:dyDescent="0.25">
      <c r="A639" s="20">
        <v>42102</v>
      </c>
      <c r="B639" s="183">
        <v>17176</v>
      </c>
      <c r="C639" s="14" t="s">
        <v>67</v>
      </c>
      <c r="D639" s="105">
        <v>3317.8</v>
      </c>
      <c r="E639" s="23">
        <v>42103</v>
      </c>
      <c r="F639" s="106">
        <v>3317.8</v>
      </c>
      <c r="G639" s="31">
        <f t="shared" si="9"/>
        <v>0</v>
      </c>
      <c r="H639" s="39" t="s">
        <v>62</v>
      </c>
      <c r="I639" s="3"/>
      <c r="J639" s="42"/>
      <c r="K639" s="3"/>
      <c r="P639" s="105"/>
    </row>
    <row r="640" spans="1:16" x14ac:dyDescent="0.25">
      <c r="A640" s="20">
        <v>42102</v>
      </c>
      <c r="B640" s="183">
        <v>17177</v>
      </c>
      <c r="C640" s="14" t="s">
        <v>78</v>
      </c>
      <c r="D640" s="105">
        <v>6386.2</v>
      </c>
      <c r="E640" s="23">
        <v>42103</v>
      </c>
      <c r="F640" s="106">
        <v>6386.2</v>
      </c>
      <c r="G640" s="31">
        <f t="shared" si="9"/>
        <v>0</v>
      </c>
      <c r="H640" s="39" t="s">
        <v>62</v>
      </c>
      <c r="I640" s="3"/>
      <c r="J640" s="42"/>
      <c r="K640" s="3"/>
      <c r="P640" s="105"/>
    </row>
    <row r="641" spans="1:16" x14ac:dyDescent="0.25">
      <c r="A641" s="20">
        <v>42102</v>
      </c>
      <c r="B641" s="183">
        <v>17178</v>
      </c>
      <c r="C641" s="14" t="s">
        <v>176</v>
      </c>
      <c r="D641" s="105">
        <v>5891.3</v>
      </c>
      <c r="E641" s="30" t="s">
        <v>1067</v>
      </c>
      <c r="F641" s="106">
        <v>5891.3</v>
      </c>
      <c r="G641" s="31">
        <f t="shared" si="9"/>
        <v>0</v>
      </c>
      <c r="H641" s="39" t="s">
        <v>62</v>
      </c>
      <c r="I641" s="3"/>
      <c r="J641" s="42"/>
      <c r="K641" s="3"/>
      <c r="P641" s="105"/>
    </row>
    <row r="642" spans="1:16" x14ac:dyDescent="0.25">
      <c r="A642" s="20">
        <v>42102</v>
      </c>
      <c r="B642" s="183">
        <v>17179</v>
      </c>
      <c r="C642" s="14" t="s">
        <v>299</v>
      </c>
      <c r="D642" s="105">
        <v>2501.6</v>
      </c>
      <c r="E642" s="23">
        <v>42102</v>
      </c>
      <c r="F642" s="106">
        <v>2501.6</v>
      </c>
      <c r="G642" s="31">
        <f t="shared" si="9"/>
        <v>0</v>
      </c>
      <c r="H642" s="39" t="s">
        <v>17</v>
      </c>
      <c r="I642" s="3"/>
      <c r="J642" s="42"/>
      <c r="K642" s="3"/>
      <c r="P642" s="105"/>
    </row>
    <row r="643" spans="1:16" x14ac:dyDescent="0.25">
      <c r="A643" s="20">
        <v>42102</v>
      </c>
      <c r="B643" s="183">
        <v>17180</v>
      </c>
      <c r="C643" s="14" t="s">
        <v>75</v>
      </c>
      <c r="D643" s="105">
        <v>281.60000000000002</v>
      </c>
      <c r="E643" s="23">
        <v>42103</v>
      </c>
      <c r="F643" s="106">
        <v>281.60000000000002</v>
      </c>
      <c r="G643" s="31">
        <f t="shared" ref="G643:G706" si="10">D643-F643</f>
        <v>0</v>
      </c>
      <c r="H643" s="39" t="s">
        <v>62</v>
      </c>
      <c r="K643" s="3"/>
      <c r="P643" s="105"/>
    </row>
    <row r="644" spans="1:16" x14ac:dyDescent="0.25">
      <c r="A644" s="20">
        <v>42102</v>
      </c>
      <c r="B644" s="183">
        <v>17181</v>
      </c>
      <c r="C644" s="14" t="s">
        <v>106</v>
      </c>
      <c r="D644" s="105">
        <v>22500.68</v>
      </c>
      <c r="E644" s="23">
        <v>42102</v>
      </c>
      <c r="F644" s="106">
        <v>22500.68</v>
      </c>
      <c r="G644" s="31">
        <f t="shared" si="10"/>
        <v>0</v>
      </c>
      <c r="H644" s="39" t="s">
        <v>187</v>
      </c>
      <c r="K644" s="3"/>
      <c r="P644" s="105"/>
    </row>
    <row r="645" spans="1:16" x14ac:dyDescent="0.25">
      <c r="A645" s="20">
        <v>42102</v>
      </c>
      <c r="B645" s="183">
        <v>17182</v>
      </c>
      <c r="C645" s="14" t="s">
        <v>61</v>
      </c>
      <c r="D645" s="105">
        <v>7331.6</v>
      </c>
      <c r="E645" s="23">
        <v>42103</v>
      </c>
      <c r="F645" s="106">
        <v>7331.6</v>
      </c>
      <c r="G645" s="31">
        <f t="shared" si="10"/>
        <v>0</v>
      </c>
      <c r="H645" s="39" t="s">
        <v>62</v>
      </c>
      <c r="K645" s="3"/>
      <c r="P645" s="105"/>
    </row>
    <row r="646" spans="1:16" x14ac:dyDescent="0.25">
      <c r="A646" s="20">
        <v>42102</v>
      </c>
      <c r="B646" s="183">
        <v>17183</v>
      </c>
      <c r="C646" s="14" t="s">
        <v>604</v>
      </c>
      <c r="D646" s="105">
        <v>2926.6</v>
      </c>
      <c r="E646" s="23">
        <v>42102</v>
      </c>
      <c r="F646" s="106">
        <v>2926.6</v>
      </c>
      <c r="G646" s="31">
        <f t="shared" si="10"/>
        <v>0</v>
      </c>
      <c r="H646" s="39" t="s">
        <v>9</v>
      </c>
      <c r="K646" s="3"/>
      <c r="P646" s="105"/>
    </row>
    <row r="647" spans="1:16" x14ac:dyDescent="0.25">
      <c r="A647" s="20">
        <v>42102</v>
      </c>
      <c r="B647" s="183">
        <v>17184</v>
      </c>
      <c r="C647" s="14" t="s">
        <v>49</v>
      </c>
      <c r="D647" s="105">
        <v>1368</v>
      </c>
      <c r="E647" s="23">
        <v>42102</v>
      </c>
      <c r="F647" s="106">
        <v>1368</v>
      </c>
      <c r="G647" s="31">
        <f t="shared" si="10"/>
        <v>0</v>
      </c>
      <c r="H647" s="39" t="s">
        <v>187</v>
      </c>
      <c r="K647" s="3"/>
      <c r="P647" s="105"/>
    </row>
    <row r="648" spans="1:16" x14ac:dyDescent="0.25">
      <c r="A648" s="20">
        <v>42102</v>
      </c>
      <c r="B648" s="183">
        <v>17185</v>
      </c>
      <c r="C648" s="14" t="s">
        <v>24</v>
      </c>
      <c r="D648" s="105">
        <v>13266</v>
      </c>
      <c r="E648" s="30">
        <v>42125</v>
      </c>
      <c r="F648" s="144">
        <v>13266</v>
      </c>
      <c r="G648" s="31">
        <f t="shared" si="10"/>
        <v>0</v>
      </c>
      <c r="H648" s="39" t="s">
        <v>312</v>
      </c>
      <c r="K648" s="3"/>
      <c r="P648" s="105"/>
    </row>
    <row r="649" spans="1:16" x14ac:dyDescent="0.25">
      <c r="A649" s="20">
        <v>42102</v>
      </c>
      <c r="B649" s="183">
        <v>17186</v>
      </c>
      <c r="C649" s="14" t="s">
        <v>24</v>
      </c>
      <c r="D649" s="105">
        <v>384</v>
      </c>
      <c r="E649" s="30">
        <v>42125</v>
      </c>
      <c r="F649" s="144">
        <v>384</v>
      </c>
      <c r="G649" s="31">
        <f t="shared" si="10"/>
        <v>0</v>
      </c>
      <c r="H649" s="39" t="s">
        <v>312</v>
      </c>
      <c r="J649" s="107"/>
      <c r="K649" s="3"/>
      <c r="P649" s="105"/>
    </row>
    <row r="650" spans="1:16" x14ac:dyDescent="0.25">
      <c r="A650" s="20">
        <v>42102</v>
      </c>
      <c r="B650" s="183">
        <v>17187</v>
      </c>
      <c r="C650" s="14" t="s">
        <v>47</v>
      </c>
      <c r="D650" s="105">
        <v>38267.1</v>
      </c>
      <c r="E650" s="23">
        <v>42102</v>
      </c>
      <c r="F650" s="106">
        <v>38267.1</v>
      </c>
      <c r="G650" s="31">
        <f t="shared" si="10"/>
        <v>0</v>
      </c>
      <c r="H650" s="39" t="s">
        <v>9</v>
      </c>
      <c r="K650" s="3"/>
      <c r="P650" s="105"/>
    </row>
    <row r="651" spans="1:16" x14ac:dyDescent="0.25">
      <c r="A651" s="20">
        <v>42102</v>
      </c>
      <c r="B651" s="183">
        <v>17188</v>
      </c>
      <c r="C651" s="14" t="s">
        <v>791</v>
      </c>
      <c r="D651" s="105">
        <v>247.8</v>
      </c>
      <c r="E651" s="23">
        <v>42102</v>
      </c>
      <c r="F651" s="106">
        <v>247.8</v>
      </c>
      <c r="G651" s="31">
        <f t="shared" si="10"/>
        <v>0</v>
      </c>
      <c r="H651" s="39" t="s">
        <v>9</v>
      </c>
      <c r="K651" s="3"/>
      <c r="P651" s="105"/>
    </row>
    <row r="652" spans="1:16" x14ac:dyDescent="0.25">
      <c r="A652" s="20">
        <v>42102</v>
      </c>
      <c r="B652" s="183">
        <v>17189</v>
      </c>
      <c r="C652" s="14" t="s">
        <v>102</v>
      </c>
      <c r="D652" s="105">
        <v>814.65</v>
      </c>
      <c r="E652" s="23">
        <v>42102</v>
      </c>
      <c r="F652" s="106">
        <v>814.65</v>
      </c>
      <c r="G652" s="31">
        <f t="shared" si="10"/>
        <v>0</v>
      </c>
      <c r="H652" s="39" t="s">
        <v>9</v>
      </c>
      <c r="K652" s="3"/>
      <c r="P652" s="105"/>
    </row>
    <row r="653" spans="1:16" x14ac:dyDescent="0.25">
      <c r="A653" s="20">
        <v>42102</v>
      </c>
      <c r="B653" s="183">
        <v>17190</v>
      </c>
      <c r="C653" s="14" t="s">
        <v>28</v>
      </c>
      <c r="D653" s="105">
        <v>884</v>
      </c>
      <c r="E653" s="23">
        <v>42102</v>
      </c>
      <c r="F653" s="106">
        <v>884</v>
      </c>
      <c r="G653" s="31">
        <f t="shared" si="10"/>
        <v>0</v>
      </c>
      <c r="H653" s="39" t="s">
        <v>9</v>
      </c>
      <c r="K653" s="3"/>
      <c r="P653" s="105"/>
    </row>
    <row r="654" spans="1:16" x14ac:dyDescent="0.25">
      <c r="A654" s="20">
        <v>42102</v>
      </c>
      <c r="B654" s="183">
        <v>17191</v>
      </c>
      <c r="C654" s="14" t="s">
        <v>180</v>
      </c>
      <c r="D654" s="105">
        <v>4642.8999999999996</v>
      </c>
      <c r="E654" s="23">
        <v>42102</v>
      </c>
      <c r="F654" s="106">
        <v>4642.8999999999996</v>
      </c>
      <c r="G654" s="31">
        <f t="shared" si="10"/>
        <v>0</v>
      </c>
      <c r="H654" s="39" t="s">
        <v>9</v>
      </c>
      <c r="K654" s="3"/>
      <c r="P654" s="105"/>
    </row>
    <row r="655" spans="1:16" x14ac:dyDescent="0.25">
      <c r="A655" s="20">
        <v>42102</v>
      </c>
      <c r="B655" s="183">
        <v>17192</v>
      </c>
      <c r="C655" s="14" t="s">
        <v>564</v>
      </c>
      <c r="D655" s="105">
        <v>3121.32</v>
      </c>
      <c r="E655" s="23">
        <v>42104</v>
      </c>
      <c r="F655" s="106">
        <v>3121.32</v>
      </c>
      <c r="G655" s="31">
        <f t="shared" si="10"/>
        <v>0</v>
      </c>
      <c r="H655" s="39" t="s">
        <v>9</v>
      </c>
      <c r="K655" s="3"/>
      <c r="P655" s="105"/>
    </row>
    <row r="656" spans="1:16" x14ac:dyDescent="0.25">
      <c r="A656" s="20">
        <v>42102</v>
      </c>
      <c r="B656" s="183">
        <v>17193</v>
      </c>
      <c r="C656" s="14" t="s">
        <v>834</v>
      </c>
      <c r="D656" s="105">
        <v>4102.3999999999996</v>
      </c>
      <c r="E656" s="23">
        <v>42104</v>
      </c>
      <c r="F656" s="106">
        <v>4102.3999999999996</v>
      </c>
      <c r="G656" s="31">
        <f t="shared" si="10"/>
        <v>0</v>
      </c>
      <c r="H656" s="39" t="s">
        <v>9</v>
      </c>
      <c r="K656" s="3"/>
      <c r="P656" s="105"/>
    </row>
    <row r="657" spans="1:16" x14ac:dyDescent="0.25">
      <c r="A657" s="20">
        <v>42102</v>
      </c>
      <c r="B657" s="183">
        <v>17194</v>
      </c>
      <c r="C657" s="14" t="s">
        <v>411</v>
      </c>
      <c r="D657" s="105">
        <v>2300</v>
      </c>
      <c r="E657" s="23">
        <v>42102</v>
      </c>
      <c r="F657" s="106">
        <v>2300</v>
      </c>
      <c r="G657" s="31">
        <f t="shared" si="10"/>
        <v>0</v>
      </c>
      <c r="H657" s="39" t="s">
        <v>9</v>
      </c>
      <c r="K657" s="3"/>
      <c r="P657" s="105"/>
    </row>
    <row r="658" spans="1:16" x14ac:dyDescent="0.25">
      <c r="A658" s="20">
        <v>42102</v>
      </c>
      <c r="B658" s="183">
        <v>17195</v>
      </c>
      <c r="C658" s="14" t="s">
        <v>118</v>
      </c>
      <c r="D658" s="105">
        <v>308</v>
      </c>
      <c r="E658" s="23">
        <v>42102</v>
      </c>
      <c r="F658" s="106">
        <v>308</v>
      </c>
      <c r="G658" s="31">
        <f t="shared" si="10"/>
        <v>0</v>
      </c>
      <c r="H658" s="39" t="s">
        <v>9</v>
      </c>
      <c r="K658" s="3"/>
      <c r="P658" s="105"/>
    </row>
    <row r="659" spans="1:16" x14ac:dyDescent="0.25">
      <c r="A659" s="20">
        <v>42102</v>
      </c>
      <c r="B659" s="183">
        <v>17196</v>
      </c>
      <c r="C659" s="26" t="s">
        <v>218</v>
      </c>
      <c r="D659" s="108">
        <v>0</v>
      </c>
      <c r="E659" s="23"/>
      <c r="F659" s="106"/>
      <c r="G659" s="31">
        <f t="shared" si="10"/>
        <v>0</v>
      </c>
      <c r="H659" s="39" t="s">
        <v>13</v>
      </c>
      <c r="K659" s="3"/>
      <c r="P659" s="105"/>
    </row>
    <row r="660" spans="1:16" x14ac:dyDescent="0.25">
      <c r="A660" s="20">
        <v>42102</v>
      </c>
      <c r="B660" s="183">
        <v>17197</v>
      </c>
      <c r="C660" s="14" t="s">
        <v>236</v>
      </c>
      <c r="D660" s="105">
        <v>39386.800000000003</v>
      </c>
      <c r="E660" s="23" t="s">
        <v>1068</v>
      </c>
      <c r="F660" s="106">
        <f>1204.26+38182.54</f>
        <v>39386.800000000003</v>
      </c>
      <c r="G660" s="31">
        <f t="shared" si="10"/>
        <v>0</v>
      </c>
      <c r="H660" s="39" t="s">
        <v>46</v>
      </c>
      <c r="J660" s="107"/>
      <c r="K660" s="3"/>
      <c r="P660" s="105"/>
    </row>
    <row r="661" spans="1:16" x14ac:dyDescent="0.25">
      <c r="A661" s="20">
        <v>42102</v>
      </c>
      <c r="B661" s="183">
        <v>17198</v>
      </c>
      <c r="C661" s="14" t="s">
        <v>136</v>
      </c>
      <c r="D661" s="105">
        <v>16860</v>
      </c>
      <c r="E661" s="23">
        <v>42103</v>
      </c>
      <c r="F661" s="106">
        <v>16860</v>
      </c>
      <c r="G661" s="31">
        <f t="shared" si="10"/>
        <v>0</v>
      </c>
      <c r="H661" s="39" t="s">
        <v>9</v>
      </c>
      <c r="K661" s="3"/>
      <c r="P661" s="105"/>
    </row>
    <row r="662" spans="1:16" x14ac:dyDescent="0.25">
      <c r="A662" s="20">
        <v>42102</v>
      </c>
      <c r="B662" s="183">
        <v>17199</v>
      </c>
      <c r="C662" s="14" t="s">
        <v>103</v>
      </c>
      <c r="D662" s="105">
        <v>18418.18</v>
      </c>
      <c r="E662" s="23">
        <v>42103</v>
      </c>
      <c r="F662" s="106">
        <v>18418.18</v>
      </c>
      <c r="G662" s="31">
        <f t="shared" si="10"/>
        <v>0</v>
      </c>
      <c r="H662" s="39" t="s">
        <v>46</v>
      </c>
      <c r="K662" s="3"/>
      <c r="P662" s="105"/>
    </row>
    <row r="663" spans="1:16" x14ac:dyDescent="0.25">
      <c r="A663" s="20">
        <v>42102</v>
      </c>
      <c r="B663" s="183">
        <v>17200</v>
      </c>
      <c r="C663" s="14" t="s">
        <v>233</v>
      </c>
      <c r="D663" s="105">
        <v>4711.2</v>
      </c>
      <c r="E663" s="23">
        <v>42102</v>
      </c>
      <c r="F663" s="106">
        <v>4711.2</v>
      </c>
      <c r="G663" s="31">
        <f t="shared" si="10"/>
        <v>0</v>
      </c>
      <c r="H663" s="39" t="s">
        <v>773</v>
      </c>
      <c r="K663" s="3"/>
      <c r="P663" s="122"/>
    </row>
    <row r="664" spans="1:16" x14ac:dyDescent="0.25">
      <c r="A664" s="20">
        <v>42102</v>
      </c>
      <c r="B664" s="183">
        <v>17201</v>
      </c>
      <c r="C664" s="14" t="s">
        <v>104</v>
      </c>
      <c r="D664" s="105">
        <v>6012.2</v>
      </c>
      <c r="E664" s="23">
        <v>42103</v>
      </c>
      <c r="F664" s="106">
        <v>6012.2</v>
      </c>
      <c r="G664" s="31">
        <f t="shared" si="10"/>
        <v>0</v>
      </c>
      <c r="H664" s="39" t="s">
        <v>41</v>
      </c>
      <c r="K664" s="3"/>
      <c r="P664" s="122"/>
    </row>
    <row r="665" spans="1:16" x14ac:dyDescent="0.25">
      <c r="A665" s="20">
        <v>42102</v>
      </c>
      <c r="B665" s="183">
        <v>17202</v>
      </c>
      <c r="C665" s="14" t="s">
        <v>93</v>
      </c>
      <c r="D665" s="105">
        <v>1763.9</v>
      </c>
      <c r="E665" s="23">
        <v>42103</v>
      </c>
      <c r="F665" s="106">
        <v>1763.9</v>
      </c>
      <c r="G665" s="31">
        <f t="shared" si="10"/>
        <v>0</v>
      </c>
      <c r="H665" s="39" t="s">
        <v>41</v>
      </c>
      <c r="K665" s="3"/>
      <c r="P665" s="122"/>
    </row>
    <row r="666" spans="1:16" x14ac:dyDescent="0.25">
      <c r="A666" s="20">
        <v>42102</v>
      </c>
      <c r="B666" s="183">
        <v>17203</v>
      </c>
      <c r="C666" s="14" t="s">
        <v>232</v>
      </c>
      <c r="D666" s="105">
        <v>4765.8</v>
      </c>
      <c r="E666" s="23">
        <v>42103</v>
      </c>
      <c r="F666" s="106">
        <v>4765.8</v>
      </c>
      <c r="G666" s="31">
        <f t="shared" si="10"/>
        <v>0</v>
      </c>
      <c r="H666" s="19" t="s">
        <v>41</v>
      </c>
      <c r="K666" s="3"/>
      <c r="P666" s="122"/>
    </row>
    <row r="667" spans="1:16" x14ac:dyDescent="0.25">
      <c r="A667" s="20">
        <v>42102</v>
      </c>
      <c r="B667" s="183">
        <v>17204</v>
      </c>
      <c r="C667" s="14" t="s">
        <v>95</v>
      </c>
      <c r="D667" s="105">
        <v>3211.6</v>
      </c>
      <c r="E667" s="23">
        <v>42103</v>
      </c>
      <c r="F667" s="106">
        <v>3211.6</v>
      </c>
      <c r="G667" s="31">
        <f t="shared" si="10"/>
        <v>0</v>
      </c>
      <c r="H667" s="19" t="s">
        <v>41</v>
      </c>
      <c r="K667" s="3"/>
      <c r="P667" s="105"/>
    </row>
    <row r="668" spans="1:16" x14ac:dyDescent="0.25">
      <c r="A668" s="20">
        <v>42102</v>
      </c>
      <c r="B668" s="183">
        <v>17205</v>
      </c>
      <c r="C668" s="14" t="s">
        <v>192</v>
      </c>
      <c r="D668" s="105">
        <v>4089.4</v>
      </c>
      <c r="E668" s="30">
        <v>42129</v>
      </c>
      <c r="F668" s="144">
        <v>4089.4</v>
      </c>
      <c r="G668" s="31">
        <f t="shared" si="10"/>
        <v>0</v>
      </c>
      <c r="H668" s="19" t="s">
        <v>41</v>
      </c>
      <c r="K668" s="3"/>
      <c r="P668" s="105"/>
    </row>
    <row r="669" spans="1:16" x14ac:dyDescent="0.25">
      <c r="A669" s="20">
        <v>42102</v>
      </c>
      <c r="B669" s="183">
        <v>17206</v>
      </c>
      <c r="C669" s="14" t="s">
        <v>249</v>
      </c>
      <c r="D669" s="105">
        <v>2144.8000000000002</v>
      </c>
      <c r="E669" s="23">
        <v>42103</v>
      </c>
      <c r="F669" s="106">
        <v>2144.8000000000002</v>
      </c>
      <c r="G669" s="31">
        <f t="shared" si="10"/>
        <v>0</v>
      </c>
      <c r="H669" s="19" t="s">
        <v>41</v>
      </c>
      <c r="K669" s="3"/>
      <c r="P669" s="105"/>
    </row>
    <row r="670" spans="1:16" x14ac:dyDescent="0.25">
      <c r="A670" s="20">
        <v>42102</v>
      </c>
      <c r="B670" s="183">
        <v>17207</v>
      </c>
      <c r="C670" s="14" t="s">
        <v>484</v>
      </c>
      <c r="D670" s="105">
        <v>13347.2</v>
      </c>
      <c r="E670" s="23">
        <v>42105</v>
      </c>
      <c r="F670" s="106">
        <v>13347.2</v>
      </c>
      <c r="G670" s="31">
        <f t="shared" si="10"/>
        <v>0</v>
      </c>
      <c r="H670" s="19" t="s">
        <v>9</v>
      </c>
      <c r="K670" s="3"/>
      <c r="P670" s="105"/>
    </row>
    <row r="671" spans="1:16" x14ac:dyDescent="0.25">
      <c r="A671" s="20">
        <v>42102</v>
      </c>
      <c r="B671" s="183">
        <v>17208</v>
      </c>
      <c r="C671" s="14" t="s">
        <v>42</v>
      </c>
      <c r="D671" s="105">
        <v>2062.8000000000002</v>
      </c>
      <c r="E671" s="23">
        <v>42102</v>
      </c>
      <c r="F671" s="106">
        <v>2062.8000000000002</v>
      </c>
      <c r="G671" s="31">
        <f t="shared" si="10"/>
        <v>0</v>
      </c>
      <c r="H671" s="19" t="s">
        <v>9</v>
      </c>
      <c r="K671" s="3"/>
      <c r="P671" s="105"/>
    </row>
    <row r="672" spans="1:16" x14ac:dyDescent="0.25">
      <c r="A672" s="20">
        <v>42102</v>
      </c>
      <c r="B672" s="183">
        <v>17209</v>
      </c>
      <c r="C672" s="14" t="s">
        <v>45</v>
      </c>
      <c r="D672" s="105">
        <v>53977.440000000002</v>
      </c>
      <c r="E672" s="23" t="s">
        <v>1004</v>
      </c>
      <c r="F672" s="106">
        <f>5146.04+48831.4</f>
        <v>53977.440000000002</v>
      </c>
      <c r="G672" s="31">
        <f t="shared" si="10"/>
        <v>0</v>
      </c>
      <c r="H672" s="19" t="s">
        <v>94</v>
      </c>
      <c r="K672" s="3"/>
      <c r="P672" s="105"/>
    </row>
    <row r="673" spans="1:16" x14ac:dyDescent="0.25">
      <c r="A673" s="20">
        <v>42102</v>
      </c>
      <c r="B673" s="183">
        <v>17210</v>
      </c>
      <c r="C673" s="14" t="s">
        <v>464</v>
      </c>
      <c r="D673" s="105">
        <v>1739</v>
      </c>
      <c r="E673" s="23">
        <v>42102</v>
      </c>
      <c r="F673" s="106">
        <v>1739</v>
      </c>
      <c r="G673" s="31">
        <f t="shared" si="10"/>
        <v>0</v>
      </c>
      <c r="H673" s="19" t="s">
        <v>9</v>
      </c>
      <c r="K673" s="3"/>
      <c r="P673" s="105"/>
    </row>
    <row r="674" spans="1:16" x14ac:dyDescent="0.25">
      <c r="A674" s="20">
        <v>42102</v>
      </c>
      <c r="B674" s="183">
        <v>17211</v>
      </c>
      <c r="C674" s="14" t="s">
        <v>14</v>
      </c>
      <c r="D674" s="105">
        <v>70616.3</v>
      </c>
      <c r="E674" s="23">
        <v>42117</v>
      </c>
      <c r="F674" s="106">
        <v>70616.3</v>
      </c>
      <c r="G674" s="31">
        <f t="shared" si="10"/>
        <v>0</v>
      </c>
      <c r="H674" s="19" t="s">
        <v>94</v>
      </c>
      <c r="K674" s="3"/>
      <c r="P674" s="105">
        <v>87045.74</v>
      </c>
    </row>
    <row r="675" spans="1:16" x14ac:dyDescent="0.25">
      <c r="A675" s="20">
        <v>42102</v>
      </c>
      <c r="B675" s="183">
        <v>17212</v>
      </c>
      <c r="C675" s="14" t="s">
        <v>234</v>
      </c>
      <c r="D675" s="105">
        <v>823.1</v>
      </c>
      <c r="E675" s="23">
        <v>42102</v>
      </c>
      <c r="F675" s="106">
        <v>823.1</v>
      </c>
      <c r="G675" s="31">
        <f t="shared" si="10"/>
        <v>0</v>
      </c>
      <c r="H675" s="19" t="s">
        <v>9</v>
      </c>
      <c r="I675" s="3"/>
      <c r="J675" s="42"/>
      <c r="K675" s="3"/>
      <c r="P675" s="105">
        <v>48339.199999999997</v>
      </c>
    </row>
    <row r="676" spans="1:16" x14ac:dyDescent="0.25">
      <c r="A676" s="20">
        <v>42102</v>
      </c>
      <c r="B676" s="183">
        <v>17213</v>
      </c>
      <c r="C676" s="14" t="s">
        <v>35</v>
      </c>
      <c r="D676" s="105">
        <v>4833.6000000000004</v>
      </c>
      <c r="E676" s="23">
        <v>42102</v>
      </c>
      <c r="F676" s="106">
        <v>4833.6000000000004</v>
      </c>
      <c r="G676" s="31">
        <f t="shared" si="10"/>
        <v>0</v>
      </c>
      <c r="H676" s="19" t="s">
        <v>9</v>
      </c>
      <c r="I676" s="3"/>
      <c r="J676" s="42"/>
      <c r="K676" s="3"/>
      <c r="P676" s="105">
        <v>43005.14</v>
      </c>
    </row>
    <row r="677" spans="1:16" x14ac:dyDescent="0.25">
      <c r="A677" s="20">
        <v>42102</v>
      </c>
      <c r="B677" s="183">
        <v>17214</v>
      </c>
      <c r="C677" s="26" t="s">
        <v>218</v>
      </c>
      <c r="D677" s="108">
        <v>0</v>
      </c>
      <c r="E677" s="23"/>
      <c r="F677" s="106"/>
      <c r="G677" s="31">
        <f t="shared" si="10"/>
        <v>0</v>
      </c>
      <c r="H677" s="19" t="s">
        <v>13</v>
      </c>
      <c r="I677" s="3"/>
      <c r="J677" s="42"/>
      <c r="K677" s="3"/>
      <c r="P677" s="105">
        <v>18142.400000000001</v>
      </c>
    </row>
    <row r="678" spans="1:16" x14ac:dyDescent="0.25">
      <c r="A678" s="20">
        <v>42102</v>
      </c>
      <c r="B678" s="183">
        <v>17215</v>
      </c>
      <c r="C678" s="14" t="s">
        <v>651</v>
      </c>
      <c r="D678" s="105">
        <v>14932.4</v>
      </c>
      <c r="E678" s="23">
        <v>42103</v>
      </c>
      <c r="F678" s="106">
        <v>14932.4</v>
      </c>
      <c r="G678" s="31">
        <f t="shared" si="10"/>
        <v>0</v>
      </c>
      <c r="H678" s="19" t="s">
        <v>9</v>
      </c>
      <c r="I678" s="3"/>
      <c r="J678" s="42"/>
      <c r="K678" s="3"/>
      <c r="P678" s="105">
        <v>34822.720000000001</v>
      </c>
    </row>
    <row r="679" spans="1:16" x14ac:dyDescent="0.25">
      <c r="A679" s="20">
        <v>42102</v>
      </c>
      <c r="B679" s="183">
        <v>17216</v>
      </c>
      <c r="C679" s="14" t="s">
        <v>234</v>
      </c>
      <c r="D679" s="105">
        <v>94.05</v>
      </c>
      <c r="E679" s="23">
        <v>42102</v>
      </c>
      <c r="F679" s="106">
        <v>94.05</v>
      </c>
      <c r="G679" s="31">
        <f t="shared" si="10"/>
        <v>0</v>
      </c>
      <c r="H679" s="19" t="s">
        <v>9</v>
      </c>
      <c r="I679" s="3"/>
      <c r="J679" s="42"/>
      <c r="K679" s="3"/>
      <c r="P679" s="105">
        <v>1835</v>
      </c>
    </row>
    <row r="680" spans="1:16" x14ac:dyDescent="0.25">
      <c r="A680" s="20">
        <v>42102</v>
      </c>
      <c r="B680" s="183">
        <v>17217</v>
      </c>
      <c r="C680" s="14" t="s">
        <v>151</v>
      </c>
      <c r="D680" s="105">
        <v>4890</v>
      </c>
      <c r="E680" s="23">
        <v>42102</v>
      </c>
      <c r="F680" s="106">
        <v>4890</v>
      </c>
      <c r="G680" s="31">
        <f t="shared" si="10"/>
        <v>0</v>
      </c>
      <c r="H680" s="19" t="s">
        <v>9</v>
      </c>
      <c r="I680" s="3"/>
      <c r="J680" s="42"/>
      <c r="K680" s="3"/>
      <c r="P680" s="105">
        <v>55500.800000000003</v>
      </c>
    </row>
    <row r="681" spans="1:16" x14ac:dyDescent="0.25">
      <c r="A681" s="20">
        <v>42102</v>
      </c>
      <c r="B681" s="183">
        <v>17218</v>
      </c>
      <c r="C681" s="14" t="s">
        <v>102</v>
      </c>
      <c r="D681" s="105">
        <v>530.1</v>
      </c>
      <c r="E681" s="23">
        <v>42102</v>
      </c>
      <c r="F681" s="106">
        <v>530.1</v>
      </c>
      <c r="G681" s="31">
        <f t="shared" si="10"/>
        <v>0</v>
      </c>
      <c r="H681" s="19" t="s">
        <v>9</v>
      </c>
      <c r="I681" s="3"/>
      <c r="J681" s="42"/>
      <c r="K681" s="3"/>
      <c r="P681" s="105">
        <v>51412.6</v>
      </c>
    </row>
    <row r="682" spans="1:16" x14ac:dyDescent="0.25">
      <c r="A682" s="20">
        <v>42102</v>
      </c>
      <c r="B682" s="183">
        <v>17219</v>
      </c>
      <c r="C682" s="14" t="s">
        <v>80</v>
      </c>
      <c r="D682" s="105">
        <v>6786.4</v>
      </c>
      <c r="E682" s="23">
        <v>42102</v>
      </c>
      <c r="F682" s="106">
        <v>6786.4</v>
      </c>
      <c r="G682" s="31">
        <f t="shared" si="10"/>
        <v>0</v>
      </c>
      <c r="H682" s="19" t="s">
        <v>9</v>
      </c>
      <c r="I682" s="3"/>
      <c r="J682" s="42"/>
      <c r="K682" s="3"/>
      <c r="P682" s="105">
        <v>22642.2</v>
      </c>
    </row>
    <row r="683" spans="1:16" x14ac:dyDescent="0.25">
      <c r="A683" s="20">
        <v>42102</v>
      </c>
      <c r="B683" s="183">
        <v>17220</v>
      </c>
      <c r="C683" s="14" t="s">
        <v>24</v>
      </c>
      <c r="D683" s="105">
        <v>35721</v>
      </c>
      <c r="E683" s="30">
        <v>42125</v>
      </c>
      <c r="F683" s="144">
        <v>35721</v>
      </c>
      <c r="G683" s="31">
        <f t="shared" si="10"/>
        <v>0</v>
      </c>
      <c r="H683" s="19" t="s">
        <v>9</v>
      </c>
      <c r="I683" s="3"/>
      <c r="J683" s="42"/>
      <c r="K683" s="3"/>
      <c r="P683" s="105">
        <v>21323.3</v>
      </c>
    </row>
    <row r="684" spans="1:16" x14ac:dyDescent="0.25">
      <c r="A684" s="20">
        <v>42102</v>
      </c>
      <c r="B684" s="183">
        <v>17221</v>
      </c>
      <c r="C684" s="14" t="s">
        <v>24</v>
      </c>
      <c r="D684" s="105">
        <v>123473.17</v>
      </c>
      <c r="E684" s="30">
        <v>42125</v>
      </c>
      <c r="F684" s="144">
        <v>123473.17</v>
      </c>
      <c r="G684" s="31">
        <f t="shared" si="10"/>
        <v>0</v>
      </c>
      <c r="H684" s="19" t="s">
        <v>46</v>
      </c>
      <c r="I684" s="3"/>
      <c r="J684" s="42"/>
      <c r="K684" s="3"/>
      <c r="P684" s="105">
        <v>64147.23</v>
      </c>
    </row>
    <row r="685" spans="1:16" x14ac:dyDescent="0.25">
      <c r="A685" s="20">
        <v>42102</v>
      </c>
      <c r="B685" s="183">
        <v>17222</v>
      </c>
      <c r="C685" s="14" t="s">
        <v>140</v>
      </c>
      <c r="D685" s="105">
        <v>42550.2</v>
      </c>
      <c r="E685" s="23">
        <v>42102</v>
      </c>
      <c r="F685" s="106">
        <v>42550.2</v>
      </c>
      <c r="G685" s="31">
        <f t="shared" si="10"/>
        <v>0</v>
      </c>
      <c r="H685" s="19" t="s">
        <v>9</v>
      </c>
      <c r="I685" s="3"/>
      <c r="J685" s="42"/>
      <c r="K685" s="3"/>
      <c r="P685" s="105">
        <v>51347.1</v>
      </c>
    </row>
    <row r="686" spans="1:16" x14ac:dyDescent="0.25">
      <c r="A686" s="20">
        <v>42102</v>
      </c>
      <c r="B686" s="183">
        <v>17223</v>
      </c>
      <c r="C686" s="14" t="s">
        <v>1020</v>
      </c>
      <c r="D686" s="105">
        <v>4050</v>
      </c>
      <c r="E686" s="23">
        <v>42102</v>
      </c>
      <c r="F686" s="106">
        <v>4050</v>
      </c>
      <c r="G686" s="31">
        <f t="shared" si="10"/>
        <v>0</v>
      </c>
      <c r="H686" s="19" t="s">
        <v>9</v>
      </c>
      <c r="I686" s="3"/>
      <c r="J686" s="42"/>
      <c r="K686" s="3"/>
      <c r="P686" s="105">
        <v>34876.9</v>
      </c>
    </row>
    <row r="687" spans="1:16" x14ac:dyDescent="0.25">
      <c r="A687" s="20">
        <v>42103</v>
      </c>
      <c r="B687" s="183">
        <v>17224</v>
      </c>
      <c r="C687" s="14" t="s">
        <v>720</v>
      </c>
      <c r="D687" s="105">
        <v>8239.4</v>
      </c>
      <c r="E687" s="23">
        <v>42103</v>
      </c>
      <c r="F687" s="106">
        <v>8239.4</v>
      </c>
      <c r="G687" s="31">
        <f t="shared" si="10"/>
        <v>0</v>
      </c>
      <c r="H687" s="19" t="s">
        <v>9</v>
      </c>
      <c r="I687" s="3"/>
      <c r="J687" s="42"/>
      <c r="K687" s="3"/>
      <c r="P687" s="105">
        <v>4078.25</v>
      </c>
    </row>
    <row r="688" spans="1:16" x14ac:dyDescent="0.25">
      <c r="A688" s="20">
        <v>42103</v>
      </c>
      <c r="B688" s="183">
        <v>17225</v>
      </c>
      <c r="C688" s="14" t="s">
        <v>20</v>
      </c>
      <c r="D688" s="105">
        <v>12173.4</v>
      </c>
      <c r="E688" s="23">
        <v>42103</v>
      </c>
      <c r="F688" s="106">
        <v>12173.4</v>
      </c>
      <c r="G688" s="31">
        <f t="shared" si="10"/>
        <v>0</v>
      </c>
      <c r="H688" s="19" t="s">
        <v>94</v>
      </c>
      <c r="I688" s="3"/>
      <c r="J688" s="42"/>
      <c r="K688" s="3"/>
      <c r="P688" s="105">
        <v>43380.3</v>
      </c>
    </row>
    <row r="689" spans="1:16" x14ac:dyDescent="0.25">
      <c r="A689" s="20">
        <v>42103</v>
      </c>
      <c r="B689" s="183">
        <v>17226</v>
      </c>
      <c r="C689" s="14" t="s">
        <v>16</v>
      </c>
      <c r="D689" s="105">
        <v>9307.2000000000007</v>
      </c>
      <c r="E689" s="23">
        <v>42103</v>
      </c>
      <c r="F689" s="106">
        <v>9307.2000000000007</v>
      </c>
      <c r="G689" s="31">
        <f t="shared" si="10"/>
        <v>0</v>
      </c>
      <c r="H689" s="19" t="s">
        <v>17</v>
      </c>
      <c r="I689" s="3"/>
      <c r="J689" s="42"/>
      <c r="K689" s="3"/>
      <c r="P689" s="105">
        <v>10767.3</v>
      </c>
    </row>
    <row r="690" spans="1:16" x14ac:dyDescent="0.25">
      <c r="A690" s="20">
        <v>42103</v>
      </c>
      <c r="B690" s="183">
        <v>17227</v>
      </c>
      <c r="C690" s="14" t="s">
        <v>16</v>
      </c>
      <c r="D690" s="105">
        <v>192.6</v>
      </c>
      <c r="E690" s="23">
        <v>42103</v>
      </c>
      <c r="F690" s="106">
        <v>192.6</v>
      </c>
      <c r="G690" s="31">
        <f t="shared" si="10"/>
        <v>0</v>
      </c>
      <c r="H690" s="19" t="s">
        <v>17</v>
      </c>
      <c r="I690" s="3"/>
      <c r="J690" s="42"/>
      <c r="K690" s="3"/>
      <c r="P690" s="105">
        <v>47428.67</v>
      </c>
    </row>
    <row r="691" spans="1:16" x14ac:dyDescent="0.25">
      <c r="A691" s="20">
        <v>42103</v>
      </c>
      <c r="B691" s="183">
        <v>17228</v>
      </c>
      <c r="C691" s="14" t="s">
        <v>1029</v>
      </c>
      <c r="D691" s="105">
        <v>78998</v>
      </c>
      <c r="E691" s="23">
        <v>42107</v>
      </c>
      <c r="F691" s="106">
        <v>78998</v>
      </c>
      <c r="G691" s="31">
        <f t="shared" si="10"/>
        <v>0</v>
      </c>
      <c r="H691" s="19" t="s">
        <v>9</v>
      </c>
      <c r="I691" s="3"/>
      <c r="J691" s="42"/>
      <c r="K691" s="3"/>
      <c r="P691" s="105">
        <v>63583.4</v>
      </c>
    </row>
    <row r="692" spans="1:16" x14ac:dyDescent="0.25">
      <c r="A692" s="20">
        <v>42103</v>
      </c>
      <c r="B692" s="183">
        <v>17229</v>
      </c>
      <c r="C692" s="14" t="s">
        <v>136</v>
      </c>
      <c r="D692" s="105">
        <v>540</v>
      </c>
      <c r="E692" s="23">
        <v>42103</v>
      </c>
      <c r="F692" s="106">
        <v>540</v>
      </c>
      <c r="G692" s="31">
        <f t="shared" si="10"/>
        <v>0</v>
      </c>
      <c r="H692" s="19" t="s">
        <v>9</v>
      </c>
      <c r="I692" s="3"/>
      <c r="J692" s="42"/>
      <c r="K692" s="3"/>
      <c r="P692" s="105">
        <v>55922.400000000001</v>
      </c>
    </row>
    <row r="693" spans="1:16" x14ac:dyDescent="0.25">
      <c r="A693" s="20">
        <v>42103</v>
      </c>
      <c r="B693" s="183">
        <v>17230</v>
      </c>
      <c r="C693" s="26" t="s">
        <v>218</v>
      </c>
      <c r="D693" s="108">
        <v>0</v>
      </c>
      <c r="E693" s="23"/>
      <c r="F693" s="106"/>
      <c r="G693" s="31">
        <f t="shared" si="10"/>
        <v>0</v>
      </c>
      <c r="H693" s="19" t="s">
        <v>13</v>
      </c>
      <c r="I693" s="3"/>
      <c r="J693" s="42"/>
      <c r="K693" s="3"/>
      <c r="P693" s="105">
        <v>22575.56</v>
      </c>
    </row>
    <row r="694" spans="1:16" x14ac:dyDescent="0.25">
      <c r="A694" s="20">
        <v>42103</v>
      </c>
      <c r="B694" s="183">
        <v>17231</v>
      </c>
      <c r="C694" s="14" t="s">
        <v>383</v>
      </c>
      <c r="D694" s="105">
        <v>3199.4</v>
      </c>
      <c r="E694" s="23">
        <v>42103</v>
      </c>
      <c r="F694" s="106">
        <v>3199.4</v>
      </c>
      <c r="G694" s="31">
        <f t="shared" si="10"/>
        <v>0</v>
      </c>
      <c r="H694" s="19" t="s">
        <v>9</v>
      </c>
      <c r="I694" s="3"/>
      <c r="J694" s="42"/>
      <c r="K694" s="3"/>
      <c r="P694" s="105">
        <v>21185.5</v>
      </c>
    </row>
    <row r="695" spans="1:16" x14ac:dyDescent="0.25">
      <c r="A695" s="20">
        <v>42103</v>
      </c>
      <c r="B695" s="183">
        <v>17232</v>
      </c>
      <c r="C695" s="14" t="s">
        <v>114</v>
      </c>
      <c r="D695" s="105">
        <v>696.8</v>
      </c>
      <c r="E695" s="23">
        <v>42103</v>
      </c>
      <c r="F695" s="106">
        <v>696.8</v>
      </c>
      <c r="G695" s="31">
        <f t="shared" si="10"/>
        <v>0</v>
      </c>
      <c r="H695" s="19" t="s">
        <v>9</v>
      </c>
      <c r="I695" s="3"/>
      <c r="J695" s="42"/>
      <c r="K695" s="3"/>
      <c r="P695" s="105">
        <v>3756.8</v>
      </c>
    </row>
    <row r="696" spans="1:16" x14ac:dyDescent="0.25">
      <c r="A696" s="20">
        <v>42103</v>
      </c>
      <c r="B696" s="183">
        <v>17233</v>
      </c>
      <c r="C696" s="14" t="s">
        <v>35</v>
      </c>
      <c r="D696" s="105">
        <v>18358.34</v>
      </c>
      <c r="E696" s="23">
        <v>42104</v>
      </c>
      <c r="F696" s="106">
        <v>18358.34</v>
      </c>
      <c r="G696" s="31">
        <f t="shared" si="10"/>
        <v>0</v>
      </c>
      <c r="H696" s="19" t="s">
        <v>773</v>
      </c>
      <c r="I696" s="3"/>
      <c r="J696" s="42"/>
      <c r="K696" s="3"/>
      <c r="P696" s="105">
        <v>55759.4</v>
      </c>
    </row>
    <row r="697" spans="1:16" x14ac:dyDescent="0.25">
      <c r="A697" s="20">
        <v>42103</v>
      </c>
      <c r="B697" s="183">
        <v>17234</v>
      </c>
      <c r="C697" s="14" t="s">
        <v>100</v>
      </c>
      <c r="D697" s="105">
        <v>2713.5</v>
      </c>
      <c r="E697" s="23">
        <v>42103</v>
      </c>
      <c r="F697" s="106">
        <v>2713.5</v>
      </c>
      <c r="G697" s="31">
        <f t="shared" si="10"/>
        <v>0</v>
      </c>
      <c r="H697" s="19" t="s">
        <v>9</v>
      </c>
      <c r="I697" s="3"/>
      <c r="J697" s="42"/>
      <c r="K697" s="3"/>
      <c r="P697" s="105">
        <v>6453.9</v>
      </c>
    </row>
    <row r="698" spans="1:16" x14ac:dyDescent="0.25">
      <c r="A698" s="20">
        <v>42103</v>
      </c>
      <c r="B698" s="183">
        <v>17235</v>
      </c>
      <c r="C698" s="14" t="s">
        <v>55</v>
      </c>
      <c r="D698" s="105">
        <v>18118.759999999998</v>
      </c>
      <c r="E698" s="23">
        <v>42104</v>
      </c>
      <c r="F698" s="106">
        <v>18118.759999999998</v>
      </c>
      <c r="G698" s="31">
        <f t="shared" si="10"/>
        <v>0</v>
      </c>
      <c r="H698" s="19" t="s">
        <v>773</v>
      </c>
      <c r="I698" s="3"/>
      <c r="J698" s="42"/>
      <c r="K698" s="3"/>
      <c r="P698" s="105">
        <v>24740.1</v>
      </c>
    </row>
    <row r="699" spans="1:16" x14ac:dyDescent="0.25">
      <c r="A699" s="20">
        <v>42103</v>
      </c>
      <c r="B699" s="183">
        <v>17236</v>
      </c>
      <c r="C699" s="14" t="s">
        <v>103</v>
      </c>
      <c r="D699" s="105">
        <v>37065.599999999999</v>
      </c>
      <c r="E699" s="23">
        <v>42104</v>
      </c>
      <c r="F699" s="106">
        <v>37065.599999999999</v>
      </c>
      <c r="G699" s="31">
        <f t="shared" si="10"/>
        <v>0</v>
      </c>
      <c r="H699" s="19" t="s">
        <v>773</v>
      </c>
      <c r="I699" s="3"/>
      <c r="J699" s="42"/>
      <c r="K699" s="3"/>
      <c r="P699" s="122">
        <v>87301.5</v>
      </c>
    </row>
    <row r="700" spans="1:16" x14ac:dyDescent="0.25">
      <c r="A700" s="20">
        <v>42103</v>
      </c>
      <c r="B700" s="183">
        <v>17237</v>
      </c>
      <c r="C700" s="14" t="s">
        <v>21</v>
      </c>
      <c r="D700" s="105">
        <v>3650.8</v>
      </c>
      <c r="E700" s="23">
        <v>42103</v>
      </c>
      <c r="F700" s="106">
        <v>3650.8</v>
      </c>
      <c r="G700" s="31">
        <f t="shared" si="10"/>
        <v>0</v>
      </c>
      <c r="H700" s="19" t="s">
        <v>9</v>
      </c>
      <c r="I700" s="3"/>
      <c r="J700" s="42"/>
      <c r="K700" s="3"/>
      <c r="P700" s="105">
        <v>13911.88</v>
      </c>
    </row>
    <row r="701" spans="1:16" x14ac:dyDescent="0.25">
      <c r="A701" s="20">
        <v>42103</v>
      </c>
      <c r="B701" s="183">
        <v>17238</v>
      </c>
      <c r="C701" s="14" t="s">
        <v>55</v>
      </c>
      <c r="D701" s="105">
        <v>5478</v>
      </c>
      <c r="E701" s="23">
        <v>42103</v>
      </c>
      <c r="F701" s="106">
        <v>5478</v>
      </c>
      <c r="G701" s="31">
        <f t="shared" si="10"/>
        <v>0</v>
      </c>
      <c r="H701" s="19" t="s">
        <v>9</v>
      </c>
      <c r="I701" s="3"/>
      <c r="J701" s="42"/>
      <c r="K701" s="3"/>
      <c r="P701" s="105">
        <v>22506.12</v>
      </c>
    </row>
    <row r="702" spans="1:16" x14ac:dyDescent="0.25">
      <c r="A702" s="20">
        <v>42103</v>
      </c>
      <c r="B702" s="183">
        <v>17239</v>
      </c>
      <c r="C702" s="14" t="s">
        <v>88</v>
      </c>
      <c r="D702" s="105">
        <v>115.6</v>
      </c>
      <c r="E702" s="23">
        <v>42103</v>
      </c>
      <c r="F702" s="106">
        <v>115.6</v>
      </c>
      <c r="G702" s="31">
        <f t="shared" si="10"/>
        <v>0</v>
      </c>
      <c r="H702" s="19" t="s">
        <v>9</v>
      </c>
      <c r="I702" s="3"/>
      <c r="J702" s="42"/>
      <c r="K702" s="3"/>
      <c r="P702" s="105">
        <v>10343.799999999999</v>
      </c>
    </row>
    <row r="703" spans="1:16" x14ac:dyDescent="0.25">
      <c r="A703" s="20">
        <v>42103</v>
      </c>
      <c r="B703" s="183">
        <v>17240</v>
      </c>
      <c r="C703" s="14" t="s">
        <v>1069</v>
      </c>
      <c r="D703" s="105">
        <v>1743</v>
      </c>
      <c r="E703" s="23">
        <v>42104</v>
      </c>
      <c r="F703" s="106">
        <v>1743</v>
      </c>
      <c r="G703" s="31">
        <f t="shared" si="10"/>
        <v>0</v>
      </c>
      <c r="H703" s="19" t="s">
        <v>773</v>
      </c>
      <c r="I703" s="3"/>
      <c r="J703" s="42"/>
      <c r="K703" s="3"/>
      <c r="P703" s="105">
        <v>89228.52</v>
      </c>
    </row>
    <row r="704" spans="1:16" x14ac:dyDescent="0.25">
      <c r="A704" s="20">
        <v>42103</v>
      </c>
      <c r="B704" s="183">
        <v>17241</v>
      </c>
      <c r="C704" s="150" t="s">
        <v>47</v>
      </c>
      <c r="D704" s="105">
        <v>16329.2</v>
      </c>
      <c r="E704" s="23">
        <v>42106</v>
      </c>
      <c r="F704" s="106">
        <v>16329.2</v>
      </c>
      <c r="G704" s="31">
        <f t="shared" si="10"/>
        <v>0</v>
      </c>
      <c r="H704" s="19" t="s">
        <v>773</v>
      </c>
      <c r="I704" s="3"/>
      <c r="J704" s="42"/>
      <c r="K704" s="3"/>
      <c r="P704" s="105">
        <v>32688.560000000001</v>
      </c>
    </row>
    <row r="705" spans="1:16" x14ac:dyDescent="0.25">
      <c r="A705" s="20">
        <v>42103</v>
      </c>
      <c r="B705" s="183">
        <v>17242</v>
      </c>
      <c r="C705" s="14" t="s">
        <v>251</v>
      </c>
      <c r="D705" s="105">
        <v>22929.200000000001</v>
      </c>
      <c r="E705" s="23">
        <v>42103</v>
      </c>
      <c r="F705" s="106">
        <v>22929.200000000001</v>
      </c>
      <c r="G705" s="31">
        <f t="shared" si="10"/>
        <v>0</v>
      </c>
      <c r="H705" s="19" t="s">
        <v>187</v>
      </c>
      <c r="I705" s="3"/>
      <c r="J705" s="42"/>
      <c r="K705" s="3"/>
      <c r="P705" s="105">
        <v>42464.5</v>
      </c>
    </row>
    <row r="706" spans="1:16" x14ac:dyDescent="0.25">
      <c r="A706" s="20">
        <v>42103</v>
      </c>
      <c r="B706" s="183">
        <v>17243</v>
      </c>
      <c r="C706" s="14" t="s">
        <v>1070</v>
      </c>
      <c r="D706" s="105">
        <v>9957.2000000000007</v>
      </c>
      <c r="E706" s="23">
        <v>42103</v>
      </c>
      <c r="F706" s="106">
        <v>9957.2000000000007</v>
      </c>
      <c r="G706" s="31">
        <f t="shared" si="10"/>
        <v>0</v>
      </c>
      <c r="H706" s="19" t="s">
        <v>94</v>
      </c>
      <c r="I706" s="3"/>
      <c r="J706" s="42"/>
      <c r="K706" s="3"/>
      <c r="P706" s="105">
        <v>54450.1</v>
      </c>
    </row>
    <row r="707" spans="1:16" x14ac:dyDescent="0.25">
      <c r="A707" s="20">
        <v>42103</v>
      </c>
      <c r="B707" s="183">
        <v>17244</v>
      </c>
      <c r="C707" s="14" t="s">
        <v>254</v>
      </c>
      <c r="D707" s="105">
        <v>5295</v>
      </c>
      <c r="E707" s="23">
        <v>42103</v>
      </c>
      <c r="F707" s="106">
        <v>5295</v>
      </c>
      <c r="G707" s="31">
        <f t="shared" ref="G707:G770" si="11">D707-F707</f>
        <v>0</v>
      </c>
      <c r="H707" s="19" t="s">
        <v>9</v>
      </c>
      <c r="I707" s="3"/>
      <c r="J707" s="42"/>
      <c r="K707" s="3"/>
      <c r="P707" s="105">
        <v>84750.48</v>
      </c>
    </row>
    <row r="708" spans="1:16" x14ac:dyDescent="0.25">
      <c r="A708" s="20">
        <v>42103</v>
      </c>
      <c r="B708" s="183">
        <v>17245</v>
      </c>
      <c r="C708" s="14" t="s">
        <v>125</v>
      </c>
      <c r="D708" s="105">
        <v>14628.25</v>
      </c>
      <c r="E708" s="23">
        <v>42103</v>
      </c>
      <c r="F708" s="106">
        <v>14628.25</v>
      </c>
      <c r="G708" s="31">
        <f t="shared" si="11"/>
        <v>0</v>
      </c>
      <c r="H708" s="19" t="s">
        <v>9</v>
      </c>
      <c r="I708" s="3"/>
      <c r="J708" s="42"/>
      <c r="K708" s="3"/>
      <c r="P708" s="42">
        <v>0</v>
      </c>
    </row>
    <row r="709" spans="1:16" x14ac:dyDescent="0.25">
      <c r="A709" s="20">
        <v>42103</v>
      </c>
      <c r="B709" s="183">
        <v>17246</v>
      </c>
      <c r="C709" s="14" t="s">
        <v>604</v>
      </c>
      <c r="D709" s="105">
        <v>2678.4</v>
      </c>
      <c r="E709" s="23">
        <v>42103</v>
      </c>
      <c r="F709" s="106">
        <v>2678.4</v>
      </c>
      <c r="G709" s="31">
        <f t="shared" si="11"/>
        <v>0</v>
      </c>
      <c r="H709" s="19" t="s">
        <v>9</v>
      </c>
      <c r="I709" s="3"/>
      <c r="J709" s="42"/>
      <c r="K709" s="3"/>
      <c r="P709" s="42">
        <f>SUM(P674:P708)</f>
        <v>1331717.3700000003</v>
      </c>
    </row>
    <row r="710" spans="1:16" x14ac:dyDescent="0.25">
      <c r="A710" s="20">
        <v>42103</v>
      </c>
      <c r="B710" s="183">
        <v>17247</v>
      </c>
      <c r="C710" s="14" t="s">
        <v>256</v>
      </c>
      <c r="D710" s="105">
        <v>5267.4</v>
      </c>
      <c r="E710" s="23">
        <v>42104</v>
      </c>
      <c r="F710" s="106">
        <v>5267.4</v>
      </c>
      <c r="G710" s="31">
        <f t="shared" si="11"/>
        <v>0</v>
      </c>
      <c r="H710" s="19" t="s">
        <v>773</v>
      </c>
      <c r="I710" s="3"/>
      <c r="J710" s="42"/>
      <c r="K710" s="3"/>
    </row>
    <row r="711" spans="1:16" x14ac:dyDescent="0.25">
      <c r="A711" s="20">
        <v>42103</v>
      </c>
      <c r="B711" s="183">
        <v>17248</v>
      </c>
      <c r="C711" s="14" t="s">
        <v>256</v>
      </c>
      <c r="D711" s="105">
        <v>228</v>
      </c>
      <c r="E711" s="23">
        <v>42104</v>
      </c>
      <c r="F711" s="106">
        <v>228</v>
      </c>
      <c r="G711" s="31">
        <f t="shared" si="11"/>
        <v>0</v>
      </c>
      <c r="H711" s="19" t="s">
        <v>773</v>
      </c>
      <c r="I711" s="3"/>
      <c r="J711" s="42"/>
      <c r="K711" s="3"/>
    </row>
    <row r="712" spans="1:16" x14ac:dyDescent="0.25">
      <c r="A712" s="20">
        <v>42103</v>
      </c>
      <c r="B712" s="183">
        <v>17249</v>
      </c>
      <c r="C712" s="14" t="s">
        <v>157</v>
      </c>
      <c r="D712" s="105">
        <v>3059.3</v>
      </c>
      <c r="E712" s="23">
        <v>42103</v>
      </c>
      <c r="F712" s="106">
        <v>3059.3</v>
      </c>
      <c r="G712" s="31">
        <f t="shared" si="11"/>
        <v>0</v>
      </c>
      <c r="H712" s="19" t="s">
        <v>9</v>
      </c>
      <c r="I712" s="3"/>
      <c r="J712" s="42"/>
      <c r="K712" s="3"/>
      <c r="P712" s="105">
        <v>81397.710000000006</v>
      </c>
    </row>
    <row r="713" spans="1:16" x14ac:dyDescent="0.25">
      <c r="A713" s="20">
        <v>42103</v>
      </c>
      <c r="B713" s="183">
        <v>17250</v>
      </c>
      <c r="C713" s="14" t="s">
        <v>854</v>
      </c>
      <c r="D713" s="105">
        <v>2512.1999999999998</v>
      </c>
      <c r="E713" s="23">
        <v>42103</v>
      </c>
      <c r="F713" s="106">
        <v>2512.1999999999998</v>
      </c>
      <c r="G713" s="31">
        <f t="shared" si="11"/>
        <v>0</v>
      </c>
      <c r="H713" s="19" t="s">
        <v>9</v>
      </c>
      <c r="I713" s="3"/>
      <c r="J713" s="42"/>
      <c r="K713" s="3"/>
      <c r="P713" s="105">
        <v>185799.2</v>
      </c>
    </row>
    <row r="714" spans="1:16" x14ac:dyDescent="0.25">
      <c r="A714" s="20">
        <v>42103</v>
      </c>
      <c r="B714" s="183">
        <v>17251</v>
      </c>
      <c r="C714" s="14" t="s">
        <v>32</v>
      </c>
      <c r="D714" s="105">
        <v>104325</v>
      </c>
      <c r="E714" s="23">
        <v>42115</v>
      </c>
      <c r="F714" s="106">
        <v>104325</v>
      </c>
      <c r="G714" s="31">
        <f t="shared" si="11"/>
        <v>0</v>
      </c>
      <c r="H714" s="19" t="s">
        <v>9</v>
      </c>
      <c r="I714" s="3"/>
      <c r="J714" s="42"/>
      <c r="K714" s="3"/>
      <c r="P714" s="105">
        <v>77804.100000000006</v>
      </c>
    </row>
    <row r="715" spans="1:16" x14ac:dyDescent="0.25">
      <c r="A715" s="20">
        <v>42103</v>
      </c>
      <c r="B715" s="183">
        <v>17252</v>
      </c>
      <c r="C715" s="14" t="s">
        <v>270</v>
      </c>
      <c r="D715" s="105">
        <v>326.39999999999998</v>
      </c>
      <c r="E715" s="23">
        <v>42103</v>
      </c>
      <c r="F715" s="106">
        <v>326.39999999999998</v>
      </c>
      <c r="G715" s="31">
        <f t="shared" si="11"/>
        <v>0</v>
      </c>
      <c r="H715" s="19" t="s">
        <v>9</v>
      </c>
      <c r="I715" s="3"/>
      <c r="J715" s="42"/>
      <c r="K715" s="3"/>
      <c r="P715" s="105">
        <v>255833.72</v>
      </c>
    </row>
    <row r="716" spans="1:16" x14ac:dyDescent="0.25">
      <c r="A716" s="20">
        <v>42103</v>
      </c>
      <c r="B716" s="183">
        <v>17253</v>
      </c>
      <c r="C716" s="14" t="s">
        <v>23</v>
      </c>
      <c r="D716" s="105">
        <v>12291.35</v>
      </c>
      <c r="E716" s="23">
        <v>42103</v>
      </c>
      <c r="F716" s="106">
        <v>12291.35</v>
      </c>
      <c r="G716" s="31">
        <f t="shared" si="11"/>
        <v>0</v>
      </c>
      <c r="H716" s="19" t="s">
        <v>9</v>
      </c>
      <c r="I716" s="3"/>
      <c r="J716" s="42"/>
      <c r="K716" s="3"/>
      <c r="P716" s="105">
        <v>6255</v>
      </c>
    </row>
    <row r="717" spans="1:16" x14ac:dyDescent="0.25">
      <c r="A717" s="20">
        <v>42103</v>
      </c>
      <c r="B717" s="183">
        <v>17254</v>
      </c>
      <c r="C717" s="14" t="s">
        <v>224</v>
      </c>
      <c r="D717" s="105">
        <v>3109.2</v>
      </c>
      <c r="E717" s="23">
        <v>42104</v>
      </c>
      <c r="F717" s="106">
        <v>3109.2</v>
      </c>
      <c r="G717" s="31">
        <f t="shared" si="11"/>
        <v>0</v>
      </c>
      <c r="H717" s="19" t="s">
        <v>62</v>
      </c>
      <c r="I717" s="3"/>
      <c r="J717" s="42"/>
      <c r="K717" s="3"/>
      <c r="P717" s="105">
        <v>184631.54</v>
      </c>
    </row>
    <row r="718" spans="1:16" x14ac:dyDescent="0.25">
      <c r="A718" s="20">
        <v>42103</v>
      </c>
      <c r="B718" s="183">
        <v>17255</v>
      </c>
      <c r="C718" s="14" t="s">
        <v>213</v>
      </c>
      <c r="D718" s="105">
        <v>18596</v>
      </c>
      <c r="E718" s="23">
        <v>42104</v>
      </c>
      <c r="F718" s="106">
        <v>18596</v>
      </c>
      <c r="G718" s="31">
        <f t="shared" si="11"/>
        <v>0</v>
      </c>
      <c r="H718" s="19" t="s">
        <v>15</v>
      </c>
      <c r="I718" s="3"/>
      <c r="J718" s="42"/>
      <c r="K718" s="3"/>
      <c r="P718" s="105">
        <v>58688.7</v>
      </c>
    </row>
    <row r="719" spans="1:16" x14ac:dyDescent="0.25">
      <c r="A719" s="20">
        <v>42103</v>
      </c>
      <c r="B719" s="183">
        <v>17256</v>
      </c>
      <c r="C719" s="14" t="s">
        <v>14</v>
      </c>
      <c r="D719" s="105">
        <v>18757.419999999998</v>
      </c>
      <c r="E719" s="23">
        <v>42117</v>
      </c>
      <c r="F719" s="106">
        <v>18757.419999999998</v>
      </c>
      <c r="G719" s="31">
        <f t="shared" si="11"/>
        <v>0</v>
      </c>
      <c r="H719" s="19" t="s">
        <v>15</v>
      </c>
      <c r="I719" s="3"/>
      <c r="J719" s="42"/>
      <c r="K719" s="3"/>
      <c r="P719" s="105">
        <v>40138.75</v>
      </c>
    </row>
    <row r="720" spans="1:16" x14ac:dyDescent="0.25">
      <c r="A720" s="20">
        <v>42103</v>
      </c>
      <c r="B720" s="183">
        <v>17257</v>
      </c>
      <c r="C720" s="14" t="s">
        <v>99</v>
      </c>
      <c r="D720" s="105">
        <v>1003.8</v>
      </c>
      <c r="E720" s="23">
        <v>42104</v>
      </c>
      <c r="F720" s="106">
        <v>1003.8</v>
      </c>
      <c r="G720" s="31">
        <f t="shared" si="11"/>
        <v>0</v>
      </c>
      <c r="H720" s="19" t="s">
        <v>187</v>
      </c>
      <c r="I720" s="3"/>
      <c r="J720" s="42"/>
      <c r="K720" s="3"/>
      <c r="P720" s="105">
        <v>64572.47</v>
      </c>
    </row>
    <row r="721" spans="1:16" x14ac:dyDescent="0.25">
      <c r="A721" s="20">
        <v>42103</v>
      </c>
      <c r="B721" s="183">
        <v>17258</v>
      </c>
      <c r="C721" s="14" t="s">
        <v>14</v>
      </c>
      <c r="D721" s="105">
        <v>8576</v>
      </c>
      <c r="E721" s="23">
        <v>42104</v>
      </c>
      <c r="F721" s="106">
        <v>8576</v>
      </c>
      <c r="G721" s="31">
        <f t="shared" si="11"/>
        <v>0</v>
      </c>
      <c r="H721" s="19" t="s">
        <v>15</v>
      </c>
      <c r="I721" s="3"/>
      <c r="J721" s="42"/>
      <c r="K721" s="3"/>
      <c r="P721" s="105">
        <v>36360.15</v>
      </c>
    </row>
    <row r="722" spans="1:16" x14ac:dyDescent="0.25">
      <c r="A722" s="20">
        <v>42103</v>
      </c>
      <c r="B722" s="183">
        <v>17259</v>
      </c>
      <c r="C722" s="14" t="s">
        <v>71</v>
      </c>
      <c r="D722" s="105">
        <v>5140.8</v>
      </c>
      <c r="E722" s="23">
        <v>42103</v>
      </c>
      <c r="F722" s="106">
        <v>5140.8</v>
      </c>
      <c r="G722" s="31">
        <f t="shared" si="11"/>
        <v>0</v>
      </c>
      <c r="H722" s="19" t="s">
        <v>9</v>
      </c>
      <c r="I722" s="3"/>
      <c r="J722" s="42"/>
      <c r="K722" s="3"/>
      <c r="P722" s="105">
        <v>28432.2</v>
      </c>
    </row>
    <row r="723" spans="1:16" x14ac:dyDescent="0.25">
      <c r="A723" s="20">
        <v>42103</v>
      </c>
      <c r="B723" s="183">
        <v>17260</v>
      </c>
      <c r="C723" s="14" t="s">
        <v>127</v>
      </c>
      <c r="D723" s="105">
        <v>13503.8</v>
      </c>
      <c r="E723" s="23">
        <v>42103</v>
      </c>
      <c r="F723" s="106">
        <v>13503.8</v>
      </c>
      <c r="G723" s="31">
        <f t="shared" si="11"/>
        <v>0</v>
      </c>
      <c r="H723" s="19" t="s">
        <v>9</v>
      </c>
      <c r="I723" s="3"/>
      <c r="J723" s="42"/>
      <c r="K723" s="3"/>
      <c r="P723" s="105">
        <v>222741.02</v>
      </c>
    </row>
    <row r="724" spans="1:16" x14ac:dyDescent="0.25">
      <c r="A724" s="20">
        <v>42103</v>
      </c>
      <c r="B724" s="183">
        <v>17261</v>
      </c>
      <c r="C724" s="14" t="s">
        <v>118</v>
      </c>
      <c r="D724" s="105">
        <v>7875.2</v>
      </c>
      <c r="E724" s="30" t="s">
        <v>1071</v>
      </c>
      <c r="F724" s="106">
        <v>7875.2</v>
      </c>
      <c r="G724" s="31">
        <f t="shared" si="11"/>
        <v>0</v>
      </c>
      <c r="H724" s="19" t="s">
        <v>59</v>
      </c>
      <c r="I724" s="3"/>
      <c r="J724" s="42"/>
      <c r="K724" s="3"/>
      <c r="P724" s="105">
        <v>15140.15</v>
      </c>
    </row>
    <row r="725" spans="1:16" x14ac:dyDescent="0.25">
      <c r="A725" s="20">
        <v>42103</v>
      </c>
      <c r="B725" s="183">
        <v>17262</v>
      </c>
      <c r="C725" s="14" t="s">
        <v>53</v>
      </c>
      <c r="D725" s="105">
        <v>920.7</v>
      </c>
      <c r="E725" s="23">
        <v>42103</v>
      </c>
      <c r="F725" s="106">
        <v>920.7</v>
      </c>
      <c r="G725" s="31">
        <f t="shared" si="11"/>
        <v>0</v>
      </c>
      <c r="H725" s="19" t="s">
        <v>59</v>
      </c>
      <c r="I725" s="3"/>
      <c r="J725" s="42"/>
      <c r="K725" s="3"/>
      <c r="P725" s="105">
        <v>1484</v>
      </c>
    </row>
    <row r="726" spans="1:16" x14ac:dyDescent="0.25">
      <c r="A726" s="20">
        <v>42103</v>
      </c>
      <c r="B726" s="183">
        <v>17263</v>
      </c>
      <c r="C726" s="14" t="s">
        <v>152</v>
      </c>
      <c r="D726" s="105">
        <v>211.2</v>
      </c>
      <c r="E726" s="23">
        <v>42103</v>
      </c>
      <c r="F726" s="106">
        <v>211.2</v>
      </c>
      <c r="G726" s="31">
        <f t="shared" si="11"/>
        <v>0</v>
      </c>
      <c r="H726" s="19" t="s">
        <v>59</v>
      </c>
      <c r="I726" s="3"/>
      <c r="J726" s="42"/>
      <c r="K726" s="3"/>
      <c r="P726" s="105">
        <v>13266</v>
      </c>
    </row>
    <row r="727" spans="1:16" x14ac:dyDescent="0.25">
      <c r="A727" s="20">
        <v>42103</v>
      </c>
      <c r="B727" s="183">
        <v>17264</v>
      </c>
      <c r="C727" s="14" t="s">
        <v>81</v>
      </c>
      <c r="D727" s="105">
        <v>2058.1999999999998</v>
      </c>
      <c r="E727" s="23">
        <v>42103</v>
      </c>
      <c r="F727" s="106">
        <v>2058.1999999999998</v>
      </c>
      <c r="G727" s="31">
        <f t="shared" si="11"/>
        <v>0</v>
      </c>
      <c r="H727" s="19" t="s">
        <v>59</v>
      </c>
      <c r="I727" s="3"/>
      <c r="J727" s="42"/>
      <c r="K727" s="3"/>
      <c r="P727" s="105">
        <v>384</v>
      </c>
    </row>
    <row r="728" spans="1:16" x14ac:dyDescent="0.25">
      <c r="A728" s="20">
        <v>42103</v>
      </c>
      <c r="B728" s="183">
        <v>17265</v>
      </c>
      <c r="C728" s="14" t="s">
        <v>82</v>
      </c>
      <c r="D728" s="105">
        <v>2242.8000000000002</v>
      </c>
      <c r="E728" s="23">
        <v>42103</v>
      </c>
      <c r="F728" s="106">
        <v>2242.8000000000002</v>
      </c>
      <c r="G728" s="31">
        <f t="shared" si="11"/>
        <v>0</v>
      </c>
      <c r="H728" s="19" t="s">
        <v>59</v>
      </c>
      <c r="I728" s="3"/>
      <c r="J728" s="42"/>
      <c r="K728" s="3"/>
      <c r="P728" s="105">
        <v>35721</v>
      </c>
    </row>
    <row r="729" spans="1:16" x14ac:dyDescent="0.25">
      <c r="A729" s="20">
        <v>42103</v>
      </c>
      <c r="B729" s="183">
        <v>17266</v>
      </c>
      <c r="C729" s="14" t="s">
        <v>225</v>
      </c>
      <c r="D729" s="105">
        <v>2864.4</v>
      </c>
      <c r="E729" s="23">
        <v>42103</v>
      </c>
      <c r="F729" s="106">
        <v>2864.4</v>
      </c>
      <c r="G729" s="31">
        <f t="shared" si="11"/>
        <v>0</v>
      </c>
      <c r="H729" s="19" t="s">
        <v>9</v>
      </c>
      <c r="I729" s="3"/>
      <c r="J729" s="42"/>
      <c r="K729" s="3"/>
      <c r="P729" s="105">
        <v>123473.17</v>
      </c>
    </row>
    <row r="730" spans="1:16" x14ac:dyDescent="0.25">
      <c r="A730" s="20">
        <v>42103</v>
      </c>
      <c r="B730" s="183">
        <v>17267</v>
      </c>
      <c r="C730" s="14" t="s">
        <v>90</v>
      </c>
      <c r="D730" s="105">
        <v>470.8</v>
      </c>
      <c r="E730" s="23">
        <v>42103</v>
      </c>
      <c r="F730" s="106">
        <v>470.8</v>
      </c>
      <c r="G730" s="31">
        <f t="shared" si="11"/>
        <v>0</v>
      </c>
      <c r="H730" s="19" t="s">
        <v>9</v>
      </c>
      <c r="I730" s="3"/>
      <c r="J730" s="42"/>
      <c r="K730" s="3"/>
      <c r="P730" s="105">
        <v>1716.8</v>
      </c>
    </row>
    <row r="731" spans="1:16" x14ac:dyDescent="0.25">
      <c r="A731" s="20">
        <v>42103</v>
      </c>
      <c r="B731" s="183">
        <v>17268</v>
      </c>
      <c r="C731" s="14" t="s">
        <v>151</v>
      </c>
      <c r="D731" s="105">
        <v>3784.6</v>
      </c>
      <c r="E731" s="23">
        <v>42104</v>
      </c>
      <c r="F731" s="106">
        <v>3784.6</v>
      </c>
      <c r="G731" s="31">
        <f t="shared" si="11"/>
        <v>0</v>
      </c>
      <c r="H731" s="19" t="s">
        <v>9</v>
      </c>
      <c r="I731" s="3"/>
      <c r="J731" s="42"/>
      <c r="K731" s="3"/>
      <c r="P731" s="105">
        <v>197022.47</v>
      </c>
    </row>
    <row r="732" spans="1:16" x14ac:dyDescent="0.25">
      <c r="A732" s="20">
        <v>42103</v>
      </c>
      <c r="B732" s="183">
        <v>17269</v>
      </c>
      <c r="C732" s="14" t="s">
        <v>185</v>
      </c>
      <c r="D732" s="105">
        <v>69895.350000000006</v>
      </c>
      <c r="E732" s="23">
        <v>42103</v>
      </c>
      <c r="F732" s="106">
        <v>69895.350000000006</v>
      </c>
      <c r="G732" s="31">
        <f t="shared" si="11"/>
        <v>0</v>
      </c>
      <c r="H732" s="19" t="s">
        <v>1013</v>
      </c>
      <c r="I732" s="3"/>
      <c r="J732" s="42"/>
      <c r="K732" s="3"/>
      <c r="P732" s="105">
        <v>17687.400000000001</v>
      </c>
    </row>
    <row r="733" spans="1:16" x14ac:dyDescent="0.25">
      <c r="A733" s="20">
        <v>42103</v>
      </c>
      <c r="B733" s="183">
        <v>17270</v>
      </c>
      <c r="C733" s="14" t="s">
        <v>131</v>
      </c>
      <c r="D733" s="105">
        <v>15316.1</v>
      </c>
      <c r="E733" s="23" t="s">
        <v>1072</v>
      </c>
      <c r="F733" s="106">
        <f>14316.1+1000</f>
        <v>15316.1</v>
      </c>
      <c r="G733" s="31">
        <f t="shared" si="11"/>
        <v>0</v>
      </c>
      <c r="H733" s="39" t="s">
        <v>9</v>
      </c>
      <c r="I733" s="3"/>
      <c r="J733" s="42"/>
      <c r="K733" s="3"/>
      <c r="P733" s="105">
        <v>151863.44</v>
      </c>
    </row>
    <row r="734" spans="1:16" x14ac:dyDescent="0.25">
      <c r="A734" s="20">
        <v>42103</v>
      </c>
      <c r="B734" s="183">
        <v>17271</v>
      </c>
      <c r="C734" s="14" t="s">
        <v>158</v>
      </c>
      <c r="D734" s="105">
        <v>5254</v>
      </c>
      <c r="E734" s="23">
        <v>42103</v>
      </c>
      <c r="F734" s="106">
        <v>5254</v>
      </c>
      <c r="G734" s="31">
        <f t="shared" si="11"/>
        <v>0</v>
      </c>
      <c r="H734" s="39" t="s">
        <v>9</v>
      </c>
      <c r="I734" s="3"/>
      <c r="J734" s="42"/>
      <c r="K734" s="3"/>
      <c r="P734" s="105">
        <v>53617.8</v>
      </c>
    </row>
    <row r="735" spans="1:16" x14ac:dyDescent="0.25">
      <c r="A735" s="20">
        <v>42103</v>
      </c>
      <c r="B735" s="183">
        <v>17272</v>
      </c>
      <c r="C735" s="14" t="s">
        <v>829</v>
      </c>
      <c r="D735" s="105">
        <v>10273.1</v>
      </c>
      <c r="E735" s="23">
        <v>42103</v>
      </c>
      <c r="F735" s="106">
        <v>10273.1</v>
      </c>
      <c r="G735" s="31">
        <f t="shared" si="11"/>
        <v>0</v>
      </c>
      <c r="H735" s="39" t="s">
        <v>9</v>
      </c>
      <c r="I735" s="3"/>
      <c r="J735" s="42"/>
      <c r="K735" s="3"/>
      <c r="P735" s="105">
        <v>30892.7</v>
      </c>
    </row>
    <row r="736" spans="1:16" x14ac:dyDescent="0.25">
      <c r="A736" s="20">
        <v>42103</v>
      </c>
      <c r="B736" s="183">
        <v>17273</v>
      </c>
      <c r="C736" s="14" t="s">
        <v>912</v>
      </c>
      <c r="D736" s="105">
        <v>24359.86</v>
      </c>
      <c r="E736" s="23">
        <v>42103</v>
      </c>
      <c r="F736" s="106">
        <v>24359.86</v>
      </c>
      <c r="G736" s="31">
        <f t="shared" si="11"/>
        <v>0</v>
      </c>
      <c r="H736" s="39" t="s">
        <v>1013</v>
      </c>
      <c r="I736" s="3"/>
      <c r="J736" s="42"/>
      <c r="K736" s="3"/>
      <c r="P736" s="105">
        <v>8316</v>
      </c>
    </row>
    <row r="737" spans="1:16" x14ac:dyDescent="0.25">
      <c r="A737" s="20">
        <v>42103</v>
      </c>
      <c r="B737" s="183">
        <v>17274</v>
      </c>
      <c r="C737" s="14" t="s">
        <v>45</v>
      </c>
      <c r="D737" s="105">
        <v>18321</v>
      </c>
      <c r="E737" s="23">
        <v>42117</v>
      </c>
      <c r="F737" s="106">
        <v>18321</v>
      </c>
      <c r="G737" s="31">
        <f t="shared" si="11"/>
        <v>0</v>
      </c>
      <c r="H737" s="39" t="s">
        <v>59</v>
      </c>
      <c r="I737" s="3"/>
      <c r="J737" s="42"/>
      <c r="K737" s="3"/>
      <c r="P737" s="105">
        <v>147945.20000000001</v>
      </c>
    </row>
    <row r="738" spans="1:16" x14ac:dyDescent="0.25">
      <c r="A738" s="20">
        <v>42103</v>
      </c>
      <c r="B738" s="183">
        <v>17275</v>
      </c>
      <c r="C738" s="14" t="s">
        <v>83</v>
      </c>
      <c r="D738" s="105">
        <v>6550.2</v>
      </c>
      <c r="E738" s="52"/>
      <c r="F738" s="111"/>
      <c r="G738" s="31">
        <f t="shared" si="11"/>
        <v>6550.2</v>
      </c>
      <c r="H738" s="39" t="s">
        <v>27</v>
      </c>
      <c r="I738" s="3"/>
      <c r="J738" s="42"/>
      <c r="K738" s="3"/>
      <c r="P738" s="105">
        <v>55155.8</v>
      </c>
    </row>
    <row r="739" spans="1:16" x14ac:dyDescent="0.25">
      <c r="A739" s="20">
        <v>42103</v>
      </c>
      <c r="B739" s="183">
        <v>17276</v>
      </c>
      <c r="C739" s="14" t="s">
        <v>155</v>
      </c>
      <c r="D739" s="105">
        <v>6810.4</v>
      </c>
      <c r="E739" s="23">
        <v>42103</v>
      </c>
      <c r="F739" s="106">
        <v>6810.4</v>
      </c>
      <c r="G739" s="31">
        <f t="shared" si="11"/>
        <v>0</v>
      </c>
      <c r="H739" s="39" t="s">
        <v>9</v>
      </c>
      <c r="I739" s="3"/>
      <c r="J739" s="42"/>
      <c r="K739" s="3"/>
      <c r="P739" s="105">
        <v>12364.8</v>
      </c>
    </row>
    <row r="740" spans="1:16" x14ac:dyDescent="0.25">
      <c r="A740" s="20">
        <v>42103</v>
      </c>
      <c r="B740" s="183">
        <v>17277</v>
      </c>
      <c r="C740" s="14" t="s">
        <v>26</v>
      </c>
      <c r="D740" s="105">
        <v>1632</v>
      </c>
      <c r="E740" s="23">
        <v>42103</v>
      </c>
      <c r="F740" s="106">
        <v>1632</v>
      </c>
      <c r="G740" s="31">
        <f t="shared" si="11"/>
        <v>0</v>
      </c>
      <c r="H740" s="39" t="s">
        <v>27</v>
      </c>
      <c r="I740" s="3"/>
      <c r="J740" s="42"/>
      <c r="K740" s="3"/>
      <c r="P740" s="105">
        <v>123134.8</v>
      </c>
    </row>
    <row r="741" spans="1:16" x14ac:dyDescent="0.25">
      <c r="A741" s="20">
        <v>42103</v>
      </c>
      <c r="B741" s="183">
        <v>17278</v>
      </c>
      <c r="C741" s="14" t="s">
        <v>214</v>
      </c>
      <c r="D741" s="105">
        <v>1700</v>
      </c>
      <c r="E741" s="23">
        <v>42103</v>
      </c>
      <c r="F741" s="106">
        <v>1700</v>
      </c>
      <c r="G741" s="31">
        <f t="shared" si="11"/>
        <v>0</v>
      </c>
      <c r="H741" s="39" t="s">
        <v>59</v>
      </c>
      <c r="I741" s="3"/>
      <c r="J741" s="42"/>
      <c r="K741" s="3"/>
      <c r="P741" s="105">
        <v>41415.699999999997</v>
      </c>
    </row>
    <row r="742" spans="1:16" x14ac:dyDescent="0.25">
      <c r="A742" s="20">
        <v>42103</v>
      </c>
      <c r="B742" s="183">
        <v>17279</v>
      </c>
      <c r="C742" s="14">
        <v>105</v>
      </c>
      <c r="D742" s="105">
        <v>1122</v>
      </c>
      <c r="E742" s="23">
        <v>42103</v>
      </c>
      <c r="F742" s="106">
        <v>1122</v>
      </c>
      <c r="G742" s="31">
        <f t="shared" si="11"/>
        <v>0</v>
      </c>
      <c r="H742" s="39" t="s">
        <v>9</v>
      </c>
      <c r="I742" s="3"/>
      <c r="J742" s="42"/>
      <c r="K742" s="3"/>
      <c r="P742" s="105">
        <v>42961.7</v>
      </c>
    </row>
    <row r="743" spans="1:16" x14ac:dyDescent="0.25">
      <c r="A743" s="20">
        <v>42103</v>
      </c>
      <c r="B743" s="183">
        <v>17280</v>
      </c>
      <c r="C743" s="14" t="s">
        <v>57</v>
      </c>
      <c r="D743" s="105">
        <v>1530</v>
      </c>
      <c r="E743" s="23">
        <v>42103</v>
      </c>
      <c r="F743" s="106">
        <v>1530</v>
      </c>
      <c r="G743" s="31">
        <f t="shared" si="11"/>
        <v>0</v>
      </c>
      <c r="H743" s="39" t="s">
        <v>59</v>
      </c>
      <c r="I743" s="3"/>
      <c r="J743" s="42"/>
      <c r="K743" s="3"/>
      <c r="P743" s="105">
        <v>45990.35</v>
      </c>
    </row>
    <row r="744" spans="1:16" x14ac:dyDescent="0.25">
      <c r="A744" s="20">
        <v>42103</v>
      </c>
      <c r="B744" s="183">
        <v>17281</v>
      </c>
      <c r="C744" s="14" t="s">
        <v>130</v>
      </c>
      <c r="D744" s="105">
        <v>4057.3</v>
      </c>
      <c r="E744" s="23">
        <v>42104</v>
      </c>
      <c r="F744" s="106">
        <v>4057.3</v>
      </c>
      <c r="G744" s="31">
        <f t="shared" si="11"/>
        <v>0</v>
      </c>
      <c r="H744" s="39" t="s">
        <v>9</v>
      </c>
      <c r="I744" s="3"/>
      <c r="J744" s="42"/>
      <c r="K744" s="3"/>
      <c r="P744" s="105">
        <v>270</v>
      </c>
    </row>
    <row r="745" spans="1:16" x14ac:dyDescent="0.25">
      <c r="A745" s="20">
        <v>42103</v>
      </c>
      <c r="B745" s="183">
        <v>17282</v>
      </c>
      <c r="C745" s="14" t="s">
        <v>167</v>
      </c>
      <c r="D745" s="105">
        <v>520.79999999999995</v>
      </c>
      <c r="E745" s="23">
        <v>42103</v>
      </c>
      <c r="F745" s="106">
        <v>520.79999999999995</v>
      </c>
      <c r="G745" s="31">
        <f t="shared" si="11"/>
        <v>0</v>
      </c>
      <c r="H745" s="39" t="s">
        <v>59</v>
      </c>
      <c r="I745" s="3"/>
      <c r="J745" s="42"/>
      <c r="K745" s="3"/>
      <c r="P745" s="105">
        <v>99700.1</v>
      </c>
    </row>
    <row r="746" spans="1:16" x14ac:dyDescent="0.25">
      <c r="A746" s="20">
        <v>42103</v>
      </c>
      <c r="B746" s="183">
        <v>17283</v>
      </c>
      <c r="C746" s="14" t="s">
        <v>299</v>
      </c>
      <c r="D746" s="105">
        <v>2220.6999999999998</v>
      </c>
      <c r="E746" s="23">
        <v>42103</v>
      </c>
      <c r="F746" s="106">
        <v>2220.6999999999998</v>
      </c>
      <c r="G746" s="31">
        <f t="shared" si="11"/>
        <v>0</v>
      </c>
      <c r="H746" s="39" t="s">
        <v>17</v>
      </c>
      <c r="I746" s="3"/>
      <c r="J746" s="42"/>
      <c r="K746" s="3"/>
      <c r="P746" s="105">
        <v>15223.7</v>
      </c>
    </row>
    <row r="747" spans="1:16" x14ac:dyDescent="0.25">
      <c r="A747" s="20">
        <v>42103</v>
      </c>
      <c r="B747" s="183">
        <v>17284</v>
      </c>
      <c r="C747" s="14" t="s">
        <v>320</v>
      </c>
      <c r="D747" s="105">
        <v>2411.5</v>
      </c>
      <c r="E747" s="23">
        <v>42104</v>
      </c>
      <c r="F747" s="106">
        <v>2411.5</v>
      </c>
      <c r="G747" s="31">
        <f t="shared" si="11"/>
        <v>0</v>
      </c>
      <c r="H747" s="39" t="s">
        <v>17</v>
      </c>
      <c r="I747" s="3"/>
      <c r="J747" s="42"/>
      <c r="K747" s="3"/>
      <c r="P747" s="105">
        <v>55046.7</v>
      </c>
    </row>
    <row r="748" spans="1:16" x14ac:dyDescent="0.25">
      <c r="A748" s="20">
        <v>42103</v>
      </c>
      <c r="B748" s="183">
        <v>17285</v>
      </c>
      <c r="C748" s="14" t="s">
        <v>89</v>
      </c>
      <c r="D748" s="105">
        <v>3765.6</v>
      </c>
      <c r="E748" s="23">
        <v>42103</v>
      </c>
      <c r="F748" s="106">
        <v>3765.6</v>
      </c>
      <c r="G748" s="31">
        <f t="shared" si="11"/>
        <v>0</v>
      </c>
      <c r="H748" s="39" t="s">
        <v>9</v>
      </c>
      <c r="I748" s="3"/>
      <c r="J748" s="42"/>
      <c r="K748" s="3"/>
      <c r="P748" s="105">
        <v>2781</v>
      </c>
    </row>
    <row r="749" spans="1:16" x14ac:dyDescent="0.25">
      <c r="A749" s="20">
        <v>42103</v>
      </c>
      <c r="B749" s="183">
        <v>17286</v>
      </c>
      <c r="C749" s="14" t="s">
        <v>229</v>
      </c>
      <c r="D749" s="105">
        <v>5099.5600000000004</v>
      </c>
      <c r="E749" s="23">
        <v>42103</v>
      </c>
      <c r="F749" s="106">
        <v>5099.5600000000004</v>
      </c>
      <c r="G749" s="31">
        <f t="shared" si="11"/>
        <v>0</v>
      </c>
      <c r="H749" s="39" t="s">
        <v>9</v>
      </c>
      <c r="I749" s="3"/>
      <c r="J749" s="42"/>
      <c r="K749" s="3"/>
      <c r="P749" s="105">
        <v>2250.3000000000002</v>
      </c>
    </row>
    <row r="750" spans="1:16" x14ac:dyDescent="0.25">
      <c r="A750" s="20">
        <v>42103</v>
      </c>
      <c r="B750" s="183">
        <v>17287</v>
      </c>
      <c r="C750" s="150" t="s">
        <v>65</v>
      </c>
      <c r="D750" s="105">
        <v>14988</v>
      </c>
      <c r="E750" s="23">
        <v>42104</v>
      </c>
      <c r="F750" s="106">
        <v>14988</v>
      </c>
      <c r="G750" s="31">
        <f t="shared" si="11"/>
        <v>0</v>
      </c>
      <c r="H750" s="39" t="s">
        <v>62</v>
      </c>
      <c r="I750" s="3"/>
      <c r="J750" s="42"/>
      <c r="K750" s="3"/>
      <c r="P750" s="105">
        <v>130286.43</v>
      </c>
    </row>
    <row r="751" spans="1:16" x14ac:dyDescent="0.25">
      <c r="A751" s="20">
        <v>42103</v>
      </c>
      <c r="B751" s="183">
        <v>17288</v>
      </c>
      <c r="C751" s="14" t="s">
        <v>137</v>
      </c>
      <c r="D751" s="105">
        <v>597.79999999999995</v>
      </c>
      <c r="E751" s="23">
        <v>42103</v>
      </c>
      <c r="F751" s="106">
        <v>597.79999999999995</v>
      </c>
      <c r="G751" s="31">
        <f t="shared" si="11"/>
        <v>0</v>
      </c>
      <c r="H751" s="39" t="s">
        <v>9</v>
      </c>
      <c r="I751" s="3"/>
      <c r="J751" s="42"/>
      <c r="K751" s="3"/>
      <c r="P751" s="105">
        <v>53172.9</v>
      </c>
    </row>
    <row r="752" spans="1:16" x14ac:dyDescent="0.25">
      <c r="A752" s="20">
        <v>42103</v>
      </c>
      <c r="B752" s="183">
        <v>17289</v>
      </c>
      <c r="C752" s="14" t="s">
        <v>66</v>
      </c>
      <c r="D752" s="105">
        <v>1339.2</v>
      </c>
      <c r="E752" s="23">
        <v>42103</v>
      </c>
      <c r="F752" s="106">
        <v>1339.2</v>
      </c>
      <c r="G752" s="31">
        <f t="shared" si="11"/>
        <v>0</v>
      </c>
      <c r="H752" s="39" t="s">
        <v>9</v>
      </c>
      <c r="I752" s="3"/>
      <c r="J752" s="42"/>
      <c r="K752" s="3"/>
      <c r="P752" s="105">
        <v>240323.18</v>
      </c>
    </row>
    <row r="753" spans="1:16" x14ac:dyDescent="0.25">
      <c r="A753" s="20">
        <v>42103</v>
      </c>
      <c r="B753" s="183">
        <v>17290</v>
      </c>
      <c r="C753" s="14" t="s">
        <v>444</v>
      </c>
      <c r="D753" s="105">
        <v>20060.599999999999</v>
      </c>
      <c r="E753" s="23">
        <v>42104</v>
      </c>
      <c r="F753" s="106">
        <v>20060.599999999999</v>
      </c>
      <c r="G753" s="31">
        <f t="shared" si="11"/>
        <v>0</v>
      </c>
      <c r="H753" s="39" t="s">
        <v>62</v>
      </c>
      <c r="I753" s="3"/>
      <c r="J753" s="42"/>
      <c r="K753" s="3"/>
      <c r="P753" s="105">
        <v>16338.4</v>
      </c>
    </row>
    <row r="754" spans="1:16" x14ac:dyDescent="0.25">
      <c r="A754" s="20">
        <v>42103</v>
      </c>
      <c r="B754" s="183">
        <v>17291</v>
      </c>
      <c r="C754" s="14" t="s">
        <v>38</v>
      </c>
      <c r="D754" s="105">
        <v>30090</v>
      </c>
      <c r="E754" s="23" t="s">
        <v>1073</v>
      </c>
      <c r="F754" s="106">
        <f>39+30051</f>
        <v>30090</v>
      </c>
      <c r="G754" s="31">
        <f t="shared" si="11"/>
        <v>0</v>
      </c>
      <c r="H754" s="39" t="s">
        <v>94</v>
      </c>
      <c r="I754" s="3"/>
      <c r="J754" s="42"/>
      <c r="K754" s="3"/>
      <c r="P754" s="105">
        <v>53206.2</v>
      </c>
    </row>
    <row r="755" spans="1:16" x14ac:dyDescent="0.25">
      <c r="A755" s="20">
        <v>42103</v>
      </c>
      <c r="B755" s="183">
        <v>17292</v>
      </c>
      <c r="C755" s="14" t="s">
        <v>110</v>
      </c>
      <c r="D755" s="105">
        <v>1835</v>
      </c>
      <c r="E755" s="23">
        <v>42117</v>
      </c>
      <c r="F755" s="106">
        <v>1835</v>
      </c>
      <c r="G755" s="31">
        <f t="shared" si="11"/>
        <v>0</v>
      </c>
      <c r="H755" s="39" t="s">
        <v>9</v>
      </c>
      <c r="I755" s="3"/>
      <c r="J755" s="42"/>
      <c r="K755" s="3"/>
      <c r="P755" s="105">
        <v>109959.16</v>
      </c>
    </row>
    <row r="756" spans="1:16" x14ac:dyDescent="0.25">
      <c r="A756" s="20">
        <v>42103</v>
      </c>
      <c r="B756" s="183">
        <v>17293</v>
      </c>
      <c r="C756" s="14" t="s">
        <v>335</v>
      </c>
      <c r="D756" s="105">
        <v>418.8</v>
      </c>
      <c r="E756" s="23">
        <v>42103</v>
      </c>
      <c r="F756" s="106">
        <v>418.8</v>
      </c>
      <c r="G756" s="31">
        <f t="shared" si="11"/>
        <v>0</v>
      </c>
      <c r="H756" s="39" t="s">
        <v>9</v>
      </c>
      <c r="I756" s="3"/>
      <c r="J756" s="42"/>
      <c r="K756" s="3"/>
      <c r="P756" s="105">
        <v>8840.4</v>
      </c>
    </row>
    <row r="757" spans="1:16" x14ac:dyDescent="0.25">
      <c r="A757" s="20">
        <v>42103</v>
      </c>
      <c r="B757" s="183">
        <v>17294</v>
      </c>
      <c r="C757" s="14" t="s">
        <v>247</v>
      </c>
      <c r="D757" s="105">
        <v>5401</v>
      </c>
      <c r="E757" s="23">
        <v>42103</v>
      </c>
      <c r="F757" s="106">
        <v>5401</v>
      </c>
      <c r="G757" s="31">
        <f t="shared" si="11"/>
        <v>0</v>
      </c>
      <c r="H757" s="39" t="s">
        <v>41</v>
      </c>
      <c r="I757" s="3"/>
      <c r="J757" s="42"/>
      <c r="K757" s="3"/>
      <c r="P757" s="105">
        <v>2898</v>
      </c>
    </row>
    <row r="758" spans="1:16" x14ac:dyDescent="0.25">
      <c r="A758" s="20">
        <v>42103</v>
      </c>
      <c r="B758" s="183">
        <v>17295</v>
      </c>
      <c r="C758" s="14" t="s">
        <v>141</v>
      </c>
      <c r="D758" s="105">
        <v>2159</v>
      </c>
      <c r="E758" s="23">
        <v>42103</v>
      </c>
      <c r="F758" s="106">
        <v>2159</v>
      </c>
      <c r="G758" s="31">
        <f t="shared" si="11"/>
        <v>0</v>
      </c>
      <c r="H758" s="39" t="s">
        <v>41</v>
      </c>
      <c r="I758" s="3"/>
      <c r="J758" s="42"/>
      <c r="K758" s="3"/>
      <c r="P758" s="105">
        <v>15972.6</v>
      </c>
    </row>
    <row r="759" spans="1:16" x14ac:dyDescent="0.25">
      <c r="A759" s="20">
        <v>42103</v>
      </c>
      <c r="B759" s="183">
        <v>17296</v>
      </c>
      <c r="C759" s="14" t="s">
        <v>571</v>
      </c>
      <c r="D759" s="105">
        <v>21259.200000000001</v>
      </c>
      <c r="E759" s="23">
        <v>42103</v>
      </c>
      <c r="F759" s="106">
        <v>21259.200000000001</v>
      </c>
      <c r="G759" s="31">
        <f t="shared" si="11"/>
        <v>0</v>
      </c>
      <c r="H759" s="39" t="s">
        <v>41</v>
      </c>
      <c r="I759" s="3"/>
      <c r="J759" s="42"/>
      <c r="K759" s="3"/>
      <c r="P759" s="105">
        <v>9048.6</v>
      </c>
    </row>
    <row r="760" spans="1:16" x14ac:dyDescent="0.25">
      <c r="A760" s="20">
        <v>42103</v>
      </c>
      <c r="B760" s="183">
        <v>17297</v>
      </c>
      <c r="C760" s="14" t="s">
        <v>136</v>
      </c>
      <c r="D760" s="105">
        <v>540</v>
      </c>
      <c r="E760" s="23">
        <v>42103</v>
      </c>
      <c r="F760" s="106">
        <v>540</v>
      </c>
      <c r="G760" s="31">
        <f t="shared" si="11"/>
        <v>0</v>
      </c>
      <c r="H760" s="39" t="s">
        <v>9</v>
      </c>
      <c r="I760" s="3"/>
      <c r="J760" s="42"/>
      <c r="K760" s="3"/>
      <c r="P760" s="105">
        <v>46637.35</v>
      </c>
    </row>
    <row r="761" spans="1:16" x14ac:dyDescent="0.25">
      <c r="A761" s="20">
        <v>42103</v>
      </c>
      <c r="B761" s="183">
        <v>17298</v>
      </c>
      <c r="C761" s="14" t="s">
        <v>821</v>
      </c>
      <c r="D761" s="105">
        <v>5710.6</v>
      </c>
      <c r="E761" s="23">
        <v>42103</v>
      </c>
      <c r="F761" s="106">
        <v>5710.6</v>
      </c>
      <c r="G761" s="31">
        <f t="shared" si="11"/>
        <v>0</v>
      </c>
      <c r="H761" s="19" t="s">
        <v>9</v>
      </c>
      <c r="I761" s="3"/>
      <c r="J761" s="42"/>
      <c r="K761" s="3"/>
      <c r="P761" s="105">
        <v>158479.15</v>
      </c>
    </row>
    <row r="762" spans="1:16" x14ac:dyDescent="0.25">
      <c r="A762" s="20">
        <v>42103</v>
      </c>
      <c r="B762" s="183">
        <v>17299</v>
      </c>
      <c r="C762" s="14" t="s">
        <v>136</v>
      </c>
      <c r="D762" s="105">
        <v>30096</v>
      </c>
      <c r="E762" s="23" t="s">
        <v>1074</v>
      </c>
      <c r="F762" s="106">
        <f>24000+6096</f>
        <v>30096</v>
      </c>
      <c r="G762" s="31">
        <f t="shared" si="11"/>
        <v>0</v>
      </c>
      <c r="H762" s="19" t="s">
        <v>9</v>
      </c>
      <c r="I762" s="3"/>
      <c r="J762" s="42"/>
      <c r="K762" s="3"/>
      <c r="P762" s="105">
        <v>123128.8</v>
      </c>
    </row>
    <row r="763" spans="1:16" x14ac:dyDescent="0.25">
      <c r="A763" s="20">
        <v>42103</v>
      </c>
      <c r="B763" s="183">
        <v>17300</v>
      </c>
      <c r="C763" s="14" t="s">
        <v>143</v>
      </c>
      <c r="D763" s="105">
        <v>12414</v>
      </c>
      <c r="E763" s="23">
        <v>42104</v>
      </c>
      <c r="F763" s="106">
        <v>12414</v>
      </c>
      <c r="G763" s="31">
        <f t="shared" si="11"/>
        <v>0</v>
      </c>
      <c r="H763" s="19" t="s">
        <v>9</v>
      </c>
      <c r="I763" s="3"/>
      <c r="J763" s="42"/>
      <c r="K763" s="3"/>
      <c r="P763" s="105">
        <v>27454.799999999999</v>
      </c>
    </row>
    <row r="764" spans="1:16" x14ac:dyDescent="0.25">
      <c r="A764" s="20">
        <v>42103</v>
      </c>
      <c r="B764" s="183">
        <v>17301</v>
      </c>
      <c r="C764" s="14" t="s">
        <v>93</v>
      </c>
      <c r="D764" s="105">
        <v>1556.2</v>
      </c>
      <c r="E764" s="23">
        <v>42104</v>
      </c>
      <c r="F764" s="106">
        <v>1556.2</v>
      </c>
      <c r="G764" s="31">
        <f t="shared" si="11"/>
        <v>0</v>
      </c>
      <c r="H764" s="19" t="s">
        <v>17</v>
      </c>
      <c r="I764" s="3"/>
      <c r="J764" s="42"/>
      <c r="K764" s="3"/>
      <c r="P764" s="105">
        <v>35190</v>
      </c>
    </row>
    <row r="765" spans="1:16" x14ac:dyDescent="0.25">
      <c r="A765" s="20">
        <v>42103</v>
      </c>
      <c r="B765" s="183">
        <v>17302</v>
      </c>
      <c r="C765" s="14" t="s">
        <v>98</v>
      </c>
      <c r="D765" s="105">
        <v>1018.4</v>
      </c>
      <c r="E765" s="23">
        <v>42104</v>
      </c>
      <c r="F765" s="106">
        <v>1018.4</v>
      </c>
      <c r="G765" s="31">
        <f t="shared" si="11"/>
        <v>0</v>
      </c>
      <c r="H765" s="19" t="s">
        <v>17</v>
      </c>
      <c r="I765" s="3"/>
      <c r="J765" s="42"/>
      <c r="K765" s="3"/>
      <c r="P765" s="105">
        <v>285977.14</v>
      </c>
    </row>
    <row r="766" spans="1:16" x14ac:dyDescent="0.25">
      <c r="A766" s="20">
        <v>42103</v>
      </c>
      <c r="B766" s="183">
        <v>17303</v>
      </c>
      <c r="C766" s="14" t="s">
        <v>110</v>
      </c>
      <c r="D766" s="105">
        <v>55500.800000000003</v>
      </c>
      <c r="E766" s="23">
        <v>42117</v>
      </c>
      <c r="F766" s="106">
        <v>55500.800000000003</v>
      </c>
      <c r="G766" s="31">
        <f t="shared" si="11"/>
        <v>0</v>
      </c>
      <c r="H766" s="19" t="s">
        <v>94</v>
      </c>
      <c r="I766" s="3"/>
      <c r="J766" s="42"/>
      <c r="K766" s="3"/>
      <c r="P766" s="105">
        <v>13582.7</v>
      </c>
    </row>
    <row r="767" spans="1:16" x14ac:dyDescent="0.25">
      <c r="A767" s="20">
        <v>42103</v>
      </c>
      <c r="B767" s="183">
        <v>17304</v>
      </c>
      <c r="C767" s="14" t="s">
        <v>24</v>
      </c>
      <c r="D767" s="105">
        <v>1716.8</v>
      </c>
      <c r="E767" s="30">
        <v>42125</v>
      </c>
      <c r="F767" s="144">
        <v>1716.8</v>
      </c>
      <c r="G767" s="31">
        <f t="shared" si="11"/>
        <v>0</v>
      </c>
      <c r="H767" s="19" t="s">
        <v>9</v>
      </c>
      <c r="I767" s="3"/>
      <c r="J767" s="42"/>
      <c r="K767" s="3"/>
      <c r="P767" s="105">
        <v>28425.200000000001</v>
      </c>
    </row>
    <row r="768" spans="1:16" x14ac:dyDescent="0.25">
      <c r="A768" s="20">
        <v>42103</v>
      </c>
      <c r="B768" s="183">
        <v>17305</v>
      </c>
      <c r="C768" s="14" t="s">
        <v>111</v>
      </c>
      <c r="D768" s="105">
        <v>95540</v>
      </c>
      <c r="E768" s="23">
        <v>42105</v>
      </c>
      <c r="F768" s="106">
        <v>95540</v>
      </c>
      <c r="G768" s="31">
        <f t="shared" si="11"/>
        <v>0</v>
      </c>
      <c r="H768" s="19" t="s">
        <v>9</v>
      </c>
      <c r="I768" s="3"/>
      <c r="J768" s="42"/>
      <c r="K768" s="3"/>
      <c r="P768" s="105">
        <v>3488.2</v>
      </c>
    </row>
    <row r="769" spans="1:16" x14ac:dyDescent="0.25">
      <c r="A769" s="20">
        <v>42103</v>
      </c>
      <c r="B769" s="183">
        <v>17306</v>
      </c>
      <c r="C769" s="14" t="s">
        <v>1053</v>
      </c>
      <c r="D769" s="105">
        <v>60112.3</v>
      </c>
      <c r="E769" s="23">
        <v>42107</v>
      </c>
      <c r="F769" s="106">
        <v>60112.3</v>
      </c>
      <c r="G769" s="31">
        <f t="shared" si="11"/>
        <v>0</v>
      </c>
      <c r="H769" s="19" t="s">
        <v>773</v>
      </c>
      <c r="I769" s="3"/>
      <c r="J769" s="42"/>
      <c r="K769" s="3"/>
      <c r="P769" s="105">
        <v>40150</v>
      </c>
    </row>
    <row r="770" spans="1:16" x14ac:dyDescent="0.25">
      <c r="A770" s="20">
        <v>42103</v>
      </c>
      <c r="B770" s="183">
        <v>17307</v>
      </c>
      <c r="C770" s="14" t="s">
        <v>14</v>
      </c>
      <c r="D770" s="105">
        <v>39560.18</v>
      </c>
      <c r="E770" s="23">
        <v>42104</v>
      </c>
      <c r="F770" s="106">
        <v>39560.18</v>
      </c>
      <c r="G770" s="31">
        <f t="shared" si="11"/>
        <v>0</v>
      </c>
      <c r="H770" s="19" t="s">
        <v>94</v>
      </c>
      <c r="I770" s="3"/>
      <c r="J770" s="42"/>
      <c r="K770" s="3"/>
      <c r="P770" s="105">
        <v>70289.91</v>
      </c>
    </row>
    <row r="771" spans="1:16" x14ac:dyDescent="0.25">
      <c r="A771" s="20">
        <v>42103</v>
      </c>
      <c r="B771" s="183">
        <v>17308</v>
      </c>
      <c r="C771" s="14" t="s">
        <v>111</v>
      </c>
      <c r="D771" s="105">
        <v>198274</v>
      </c>
      <c r="E771" s="23">
        <v>42105</v>
      </c>
      <c r="F771" s="106">
        <v>198274</v>
      </c>
      <c r="G771" s="31">
        <f t="shared" ref="G771:G834" si="12">D771-F771</f>
        <v>0</v>
      </c>
      <c r="H771" s="19" t="s">
        <v>9</v>
      </c>
      <c r="K771" s="3"/>
      <c r="P771" s="105">
        <v>92821.65</v>
      </c>
    </row>
    <row r="772" spans="1:16" x14ac:dyDescent="0.25">
      <c r="A772" s="20">
        <v>42103</v>
      </c>
      <c r="B772" s="183">
        <v>17309</v>
      </c>
      <c r="C772" s="14" t="s">
        <v>265</v>
      </c>
      <c r="D772" s="105">
        <v>2870.4</v>
      </c>
      <c r="E772" s="23">
        <v>42103</v>
      </c>
      <c r="F772" s="106">
        <v>2870.4</v>
      </c>
      <c r="G772" s="31">
        <f t="shared" si="12"/>
        <v>0</v>
      </c>
      <c r="H772" s="19" t="s">
        <v>9</v>
      </c>
      <c r="K772" s="3"/>
      <c r="P772" s="105">
        <v>37615.29</v>
      </c>
    </row>
    <row r="773" spans="1:16" x14ac:dyDescent="0.25">
      <c r="A773" s="20">
        <v>42103</v>
      </c>
      <c r="B773" s="183">
        <v>17310</v>
      </c>
      <c r="C773" s="14" t="s">
        <v>42</v>
      </c>
      <c r="D773" s="105">
        <v>107.1</v>
      </c>
      <c r="E773" s="23">
        <v>42103</v>
      </c>
      <c r="F773" s="106">
        <v>107.1</v>
      </c>
      <c r="G773" s="31">
        <f t="shared" si="12"/>
        <v>0</v>
      </c>
      <c r="H773" s="19" t="s">
        <v>9</v>
      </c>
      <c r="K773" s="3"/>
      <c r="P773" s="105">
        <v>53147.7</v>
      </c>
    </row>
    <row r="774" spans="1:16" x14ac:dyDescent="0.25">
      <c r="A774" s="20">
        <v>42103</v>
      </c>
      <c r="B774" s="183">
        <v>17311</v>
      </c>
      <c r="C774" s="14" t="s">
        <v>80</v>
      </c>
      <c r="D774" s="105">
        <v>6721.8</v>
      </c>
      <c r="E774" s="23">
        <v>42103</v>
      </c>
      <c r="F774" s="106">
        <v>6721.8</v>
      </c>
      <c r="G774" s="31">
        <f t="shared" si="12"/>
        <v>0</v>
      </c>
      <c r="H774" s="19" t="s">
        <v>9</v>
      </c>
      <c r="K774" s="3"/>
      <c r="P774" s="105">
        <v>207958.25</v>
      </c>
    </row>
    <row r="775" spans="1:16" x14ac:dyDescent="0.25">
      <c r="A775" s="20">
        <v>42103</v>
      </c>
      <c r="B775" s="183">
        <v>17312</v>
      </c>
      <c r="C775" s="14" t="s">
        <v>454</v>
      </c>
      <c r="D775" s="105">
        <v>1203.5999999999999</v>
      </c>
      <c r="E775" s="23">
        <v>42104</v>
      </c>
      <c r="F775" s="106">
        <v>1203.5999999999999</v>
      </c>
      <c r="G775" s="31">
        <f t="shared" si="12"/>
        <v>0</v>
      </c>
      <c r="H775" s="19" t="s">
        <v>59</v>
      </c>
      <c r="K775" s="3"/>
      <c r="P775" s="105">
        <v>3835</v>
      </c>
    </row>
    <row r="776" spans="1:16" x14ac:dyDescent="0.25">
      <c r="A776" s="20">
        <v>42103</v>
      </c>
      <c r="B776" s="183">
        <v>17313</v>
      </c>
      <c r="C776" s="150" t="s">
        <v>24</v>
      </c>
      <c r="D776" s="105">
        <v>197022.47</v>
      </c>
      <c r="E776" s="30">
        <v>42125</v>
      </c>
      <c r="F776" s="144">
        <v>197022.47</v>
      </c>
      <c r="G776" s="31">
        <f t="shared" si="12"/>
        <v>0</v>
      </c>
      <c r="H776" s="19" t="s">
        <v>46</v>
      </c>
      <c r="K776" s="3"/>
      <c r="P776" s="105">
        <v>45092</v>
      </c>
    </row>
    <row r="777" spans="1:16" x14ac:dyDescent="0.25">
      <c r="A777" s="20">
        <v>42103</v>
      </c>
      <c r="B777" s="183">
        <v>17314</v>
      </c>
      <c r="C777" s="14" t="s">
        <v>1020</v>
      </c>
      <c r="D777" s="105">
        <v>3830.4</v>
      </c>
      <c r="E777" s="23">
        <v>42104</v>
      </c>
      <c r="F777" s="106">
        <v>3830.4</v>
      </c>
      <c r="G777" s="31">
        <f t="shared" si="12"/>
        <v>0</v>
      </c>
      <c r="H777" s="19" t="s">
        <v>9</v>
      </c>
      <c r="K777" s="3"/>
      <c r="P777" s="105">
        <v>135688.88</v>
      </c>
    </row>
    <row r="778" spans="1:16" x14ac:dyDescent="0.25">
      <c r="A778" s="20">
        <v>42103</v>
      </c>
      <c r="B778" s="183">
        <v>17315</v>
      </c>
      <c r="C778" s="14" t="s">
        <v>411</v>
      </c>
      <c r="D778" s="105">
        <v>2309.1999999999998</v>
      </c>
      <c r="E778" s="23">
        <v>42104</v>
      </c>
      <c r="F778" s="106">
        <v>2309.1999999999998</v>
      </c>
      <c r="G778" s="31">
        <f t="shared" si="12"/>
        <v>0</v>
      </c>
      <c r="H778" s="19" t="s">
        <v>9</v>
      </c>
      <c r="K778" s="3"/>
      <c r="P778" s="105">
        <v>28218.400000000001</v>
      </c>
    </row>
    <row r="779" spans="1:16" x14ac:dyDescent="0.25">
      <c r="A779" s="20">
        <v>42103</v>
      </c>
      <c r="B779" s="183">
        <v>17316</v>
      </c>
      <c r="C779" s="14" t="s">
        <v>74</v>
      </c>
      <c r="D779" s="105">
        <v>1837.7</v>
      </c>
      <c r="E779" s="23">
        <v>42104</v>
      </c>
      <c r="F779" s="106">
        <v>1837.7</v>
      </c>
      <c r="G779" s="31">
        <f t="shared" si="12"/>
        <v>0</v>
      </c>
      <c r="H779" s="19" t="s">
        <v>9</v>
      </c>
      <c r="J779" s="107"/>
      <c r="K779" s="3"/>
      <c r="P779" s="122">
        <v>37443.599999999999</v>
      </c>
    </row>
    <row r="780" spans="1:16" x14ac:dyDescent="0.25">
      <c r="A780" s="20">
        <v>42103</v>
      </c>
      <c r="B780" s="183">
        <v>17317</v>
      </c>
      <c r="C780" s="14" t="s">
        <v>24</v>
      </c>
      <c r="D780" s="105">
        <v>17687.400000000001</v>
      </c>
      <c r="E780" s="30">
        <v>42138</v>
      </c>
      <c r="F780" s="144">
        <v>17687.400000000001</v>
      </c>
      <c r="G780" s="31">
        <f t="shared" si="12"/>
        <v>0</v>
      </c>
      <c r="H780" s="19" t="s">
        <v>9</v>
      </c>
      <c r="K780" s="3"/>
      <c r="P780" s="122">
        <v>628.20000000000005</v>
      </c>
    </row>
    <row r="781" spans="1:16" x14ac:dyDescent="0.25">
      <c r="A781" s="20">
        <v>42103</v>
      </c>
      <c r="B781" s="183">
        <v>17318</v>
      </c>
      <c r="C781" s="14" t="s">
        <v>574</v>
      </c>
      <c r="D781" s="105">
        <v>7800</v>
      </c>
      <c r="E781" s="23">
        <v>42105</v>
      </c>
      <c r="F781" s="106">
        <v>7800</v>
      </c>
      <c r="G781" s="31">
        <f t="shared" si="12"/>
        <v>0</v>
      </c>
      <c r="H781" s="19" t="s">
        <v>149</v>
      </c>
      <c r="K781" s="3"/>
      <c r="P781" s="122">
        <v>5557.83</v>
      </c>
    </row>
    <row r="782" spans="1:16" x14ac:dyDescent="0.25">
      <c r="A782" s="20">
        <v>42103</v>
      </c>
      <c r="B782" s="183">
        <v>17319</v>
      </c>
      <c r="C782" s="14" t="s">
        <v>206</v>
      </c>
      <c r="D782" s="105">
        <v>21051.9</v>
      </c>
      <c r="E782" s="23">
        <v>42117</v>
      </c>
      <c r="F782" s="106">
        <v>21051.9</v>
      </c>
      <c r="G782" s="31">
        <f t="shared" si="12"/>
        <v>0</v>
      </c>
      <c r="H782" s="19" t="s">
        <v>149</v>
      </c>
      <c r="K782" s="3"/>
      <c r="P782" s="122">
        <v>278366.43</v>
      </c>
    </row>
    <row r="783" spans="1:16" x14ac:dyDescent="0.25">
      <c r="A783" s="20">
        <v>42103</v>
      </c>
      <c r="B783" s="183">
        <v>17320</v>
      </c>
      <c r="C783" s="14" t="s">
        <v>195</v>
      </c>
      <c r="D783" s="105">
        <v>125186.98</v>
      </c>
      <c r="E783" s="30" t="s">
        <v>1075</v>
      </c>
      <c r="F783" s="106">
        <v>125186.98</v>
      </c>
      <c r="G783" s="31">
        <f t="shared" si="12"/>
        <v>0</v>
      </c>
      <c r="H783" s="19" t="s">
        <v>149</v>
      </c>
      <c r="K783" s="3"/>
      <c r="P783" s="122">
        <v>63272</v>
      </c>
    </row>
    <row r="784" spans="1:16" x14ac:dyDescent="0.25">
      <c r="A784" s="20">
        <v>42103</v>
      </c>
      <c r="B784" s="183">
        <v>17321</v>
      </c>
      <c r="C784" s="14" t="s">
        <v>420</v>
      </c>
      <c r="D784" s="105">
        <v>1446.7</v>
      </c>
      <c r="E784" s="23">
        <v>42105</v>
      </c>
      <c r="F784" s="106">
        <v>1446.7</v>
      </c>
      <c r="G784" s="31">
        <f t="shared" si="12"/>
        <v>0</v>
      </c>
      <c r="H784" s="19" t="s">
        <v>149</v>
      </c>
      <c r="K784" s="3"/>
      <c r="P784" s="105">
        <v>23292.9</v>
      </c>
    </row>
    <row r="785" spans="1:16" x14ac:dyDescent="0.25">
      <c r="A785" s="20">
        <v>42103</v>
      </c>
      <c r="B785" s="183">
        <v>17322</v>
      </c>
      <c r="C785" s="14" t="s">
        <v>207</v>
      </c>
      <c r="D785" s="105">
        <v>28883.3</v>
      </c>
      <c r="E785" s="23">
        <v>42109</v>
      </c>
      <c r="F785" s="106">
        <v>28883.3</v>
      </c>
      <c r="G785" s="31">
        <f t="shared" si="12"/>
        <v>0</v>
      </c>
      <c r="H785" s="19" t="s">
        <v>149</v>
      </c>
      <c r="K785" s="3"/>
      <c r="P785" s="105">
        <v>34234</v>
      </c>
    </row>
    <row r="786" spans="1:16" x14ac:dyDescent="0.25">
      <c r="A786" s="20">
        <v>42103</v>
      </c>
      <c r="B786" s="183">
        <v>17323</v>
      </c>
      <c r="C786" s="14" t="s">
        <v>552</v>
      </c>
      <c r="D786" s="105">
        <v>17450.900000000001</v>
      </c>
      <c r="E786" s="23">
        <v>42105</v>
      </c>
      <c r="F786" s="106">
        <v>17450.900000000001</v>
      </c>
      <c r="G786" s="31">
        <f t="shared" si="12"/>
        <v>0</v>
      </c>
      <c r="H786" s="19" t="s">
        <v>149</v>
      </c>
      <c r="K786" s="3"/>
      <c r="P786" s="105">
        <v>189273.25</v>
      </c>
    </row>
    <row r="787" spans="1:16" x14ac:dyDescent="0.25">
      <c r="A787" s="20">
        <v>42103</v>
      </c>
      <c r="B787" s="183">
        <v>17324</v>
      </c>
      <c r="C787" s="14" t="s">
        <v>1029</v>
      </c>
      <c r="D787" s="105">
        <v>14809.2</v>
      </c>
      <c r="E787" s="23">
        <v>42105</v>
      </c>
      <c r="F787" s="106">
        <v>14809.2</v>
      </c>
      <c r="G787" s="31">
        <f t="shared" si="12"/>
        <v>0</v>
      </c>
      <c r="H787" s="19" t="s">
        <v>149</v>
      </c>
      <c r="K787" s="3"/>
      <c r="P787" s="105">
        <v>39792.800000000003</v>
      </c>
    </row>
    <row r="788" spans="1:16" x14ac:dyDescent="0.25">
      <c r="A788" s="20">
        <v>42103</v>
      </c>
      <c r="B788" s="183">
        <v>17325</v>
      </c>
      <c r="C788" s="14" t="s">
        <v>200</v>
      </c>
      <c r="D788" s="105">
        <v>2737.48</v>
      </c>
      <c r="E788" s="23">
        <v>42105</v>
      </c>
      <c r="F788" s="106">
        <v>2737.48</v>
      </c>
      <c r="G788" s="31">
        <f t="shared" si="12"/>
        <v>0</v>
      </c>
      <c r="H788" s="19" t="s">
        <v>149</v>
      </c>
      <c r="J788" s="107"/>
      <c r="K788" s="3"/>
      <c r="P788" s="105">
        <v>7695</v>
      </c>
    </row>
    <row r="789" spans="1:16" x14ac:dyDescent="0.25">
      <c r="A789" s="20">
        <v>42103</v>
      </c>
      <c r="B789" s="183">
        <v>17326</v>
      </c>
      <c r="C789" s="26" t="s">
        <v>218</v>
      </c>
      <c r="D789" s="108">
        <v>0</v>
      </c>
      <c r="E789" s="23"/>
      <c r="F789" s="106"/>
      <c r="G789" s="31">
        <f t="shared" si="12"/>
        <v>0</v>
      </c>
      <c r="H789" s="19" t="s">
        <v>13</v>
      </c>
      <c r="K789" s="3"/>
      <c r="P789" s="105">
        <v>45591.4</v>
      </c>
    </row>
    <row r="790" spans="1:16" x14ac:dyDescent="0.25">
      <c r="A790" s="20">
        <v>42103</v>
      </c>
      <c r="B790" s="183">
        <v>17327</v>
      </c>
      <c r="C790" s="14" t="s">
        <v>733</v>
      </c>
      <c r="D790" s="105">
        <v>4686.5</v>
      </c>
      <c r="E790" s="23">
        <v>42105</v>
      </c>
      <c r="F790" s="106">
        <v>4686.5</v>
      </c>
      <c r="G790" s="31">
        <f t="shared" si="12"/>
        <v>0</v>
      </c>
      <c r="H790" s="19" t="s">
        <v>149</v>
      </c>
      <c r="K790" s="3"/>
      <c r="P790" s="105">
        <v>258451.41</v>
      </c>
    </row>
    <row r="791" spans="1:16" x14ac:dyDescent="0.25">
      <c r="A791" s="20">
        <v>42103</v>
      </c>
      <c r="B791" s="183">
        <v>17328</v>
      </c>
      <c r="C791" s="14" t="s">
        <v>197</v>
      </c>
      <c r="D791" s="105">
        <v>5515.1</v>
      </c>
      <c r="E791" s="23">
        <v>42105</v>
      </c>
      <c r="F791" s="106">
        <v>5515.1</v>
      </c>
      <c r="G791" s="31">
        <f t="shared" si="12"/>
        <v>0</v>
      </c>
      <c r="H791" s="19" t="s">
        <v>149</v>
      </c>
      <c r="K791" s="3"/>
      <c r="P791" s="105">
        <v>28061.4</v>
      </c>
    </row>
    <row r="792" spans="1:16" x14ac:dyDescent="0.25">
      <c r="A792" s="20">
        <v>42103</v>
      </c>
      <c r="B792" s="183">
        <v>17329</v>
      </c>
      <c r="C792" s="14" t="s">
        <v>806</v>
      </c>
      <c r="D792" s="105">
        <v>20177.2</v>
      </c>
      <c r="E792" s="23">
        <v>42105</v>
      </c>
      <c r="F792" s="106">
        <v>20177.2</v>
      </c>
      <c r="G792" s="31">
        <f t="shared" si="12"/>
        <v>0</v>
      </c>
      <c r="H792" s="19" t="s">
        <v>149</v>
      </c>
      <c r="K792" s="3"/>
      <c r="P792" s="105">
        <v>14214.3</v>
      </c>
    </row>
    <row r="793" spans="1:16" x14ac:dyDescent="0.25">
      <c r="A793" s="20">
        <v>42103</v>
      </c>
      <c r="B793" s="183">
        <v>17330</v>
      </c>
      <c r="C793" s="14" t="s">
        <v>198</v>
      </c>
      <c r="D793" s="105">
        <v>19335.099999999999</v>
      </c>
      <c r="E793" s="23">
        <v>42105</v>
      </c>
      <c r="F793" s="106">
        <v>19335.099999999999</v>
      </c>
      <c r="G793" s="31">
        <f t="shared" si="12"/>
        <v>0</v>
      </c>
      <c r="H793" s="19" t="s">
        <v>149</v>
      </c>
      <c r="K793" s="3"/>
      <c r="P793" s="105">
        <v>56736.5</v>
      </c>
    </row>
    <row r="794" spans="1:16" x14ac:dyDescent="0.25">
      <c r="A794" s="20">
        <v>42103</v>
      </c>
      <c r="B794" s="183">
        <v>17331</v>
      </c>
      <c r="C794" s="14" t="s">
        <v>349</v>
      </c>
      <c r="D794" s="105">
        <v>8536.7999999999993</v>
      </c>
      <c r="E794" s="23">
        <v>42105</v>
      </c>
      <c r="F794" s="106">
        <v>8536.7999999999993</v>
      </c>
      <c r="G794" s="31">
        <f t="shared" si="12"/>
        <v>0</v>
      </c>
      <c r="H794" s="19" t="s">
        <v>149</v>
      </c>
      <c r="K794" s="3"/>
      <c r="P794" s="105">
        <v>4055.4</v>
      </c>
    </row>
    <row r="795" spans="1:16" x14ac:dyDescent="0.25">
      <c r="A795" s="20">
        <v>42103</v>
      </c>
      <c r="B795" s="183">
        <v>17332</v>
      </c>
      <c r="C795" s="14" t="s">
        <v>203</v>
      </c>
      <c r="D795" s="105">
        <v>7394.4</v>
      </c>
      <c r="E795" s="23">
        <v>42105</v>
      </c>
      <c r="F795" s="106">
        <v>7394.4</v>
      </c>
      <c r="G795" s="31">
        <f t="shared" si="12"/>
        <v>0</v>
      </c>
      <c r="H795" s="19" t="s">
        <v>149</v>
      </c>
      <c r="K795" s="3"/>
      <c r="P795" s="105">
        <v>516</v>
      </c>
    </row>
    <row r="796" spans="1:16" x14ac:dyDescent="0.25">
      <c r="A796" s="20">
        <v>42103</v>
      </c>
      <c r="B796" s="183">
        <v>17333</v>
      </c>
      <c r="C796" s="14" t="s">
        <v>204</v>
      </c>
      <c r="D796" s="105">
        <v>3003</v>
      </c>
      <c r="E796" s="23">
        <v>42105</v>
      </c>
      <c r="F796" s="106">
        <v>3003</v>
      </c>
      <c r="G796" s="31">
        <f t="shared" si="12"/>
        <v>0</v>
      </c>
      <c r="H796" s="19" t="s">
        <v>149</v>
      </c>
      <c r="K796" s="3"/>
      <c r="P796" s="105">
        <v>235756.06</v>
      </c>
    </row>
    <row r="797" spans="1:16" x14ac:dyDescent="0.25">
      <c r="A797" s="20">
        <v>42103</v>
      </c>
      <c r="B797" s="183">
        <v>17334</v>
      </c>
      <c r="C797" s="14" t="s">
        <v>552</v>
      </c>
      <c r="D797" s="105">
        <v>1966.8</v>
      </c>
      <c r="E797" s="23">
        <v>42105</v>
      </c>
      <c r="F797" s="106">
        <v>1966.8</v>
      </c>
      <c r="G797" s="31">
        <f t="shared" si="12"/>
        <v>0</v>
      </c>
      <c r="H797" s="19" t="s">
        <v>149</v>
      </c>
      <c r="K797" s="3"/>
      <c r="P797" s="105">
        <v>4785</v>
      </c>
    </row>
    <row r="798" spans="1:16" x14ac:dyDescent="0.25">
      <c r="A798" s="20">
        <v>42103</v>
      </c>
      <c r="B798" s="183">
        <v>17335</v>
      </c>
      <c r="C798" s="14" t="s">
        <v>877</v>
      </c>
      <c r="D798" s="105">
        <v>2785.8</v>
      </c>
      <c r="E798" s="23">
        <v>42105</v>
      </c>
      <c r="F798" s="106">
        <v>2785.8</v>
      </c>
      <c r="G798" s="31">
        <f t="shared" si="12"/>
        <v>0</v>
      </c>
      <c r="H798" s="19" t="s">
        <v>149</v>
      </c>
      <c r="K798" s="3"/>
      <c r="P798" s="105">
        <v>85662.55</v>
      </c>
    </row>
    <row r="799" spans="1:16" x14ac:dyDescent="0.25">
      <c r="A799" s="20">
        <v>42103</v>
      </c>
      <c r="B799" s="183">
        <v>17336</v>
      </c>
      <c r="C799" s="14" t="s">
        <v>449</v>
      </c>
      <c r="D799" s="105">
        <v>27875.3</v>
      </c>
      <c r="E799" s="23">
        <v>42105</v>
      </c>
      <c r="F799" s="106">
        <v>27875.3</v>
      </c>
      <c r="G799" s="31">
        <f t="shared" si="12"/>
        <v>0</v>
      </c>
      <c r="H799" s="19" t="s">
        <v>149</v>
      </c>
      <c r="K799" s="3"/>
      <c r="P799" s="105">
        <v>5761.9</v>
      </c>
    </row>
    <row r="800" spans="1:16" x14ac:dyDescent="0.25">
      <c r="A800" s="20">
        <v>42103</v>
      </c>
      <c r="B800" s="183">
        <v>17337</v>
      </c>
      <c r="C800" s="14" t="s">
        <v>732</v>
      </c>
      <c r="D800" s="105">
        <v>5946.2</v>
      </c>
      <c r="E800" s="23">
        <v>42105</v>
      </c>
      <c r="F800" s="106">
        <v>5946.2</v>
      </c>
      <c r="G800" s="31">
        <f t="shared" si="12"/>
        <v>0</v>
      </c>
      <c r="H800" s="19" t="s">
        <v>149</v>
      </c>
      <c r="K800" s="3"/>
      <c r="P800" s="105">
        <v>11608</v>
      </c>
    </row>
    <row r="801" spans="1:16" x14ac:dyDescent="0.25">
      <c r="A801" s="20">
        <v>42103</v>
      </c>
      <c r="B801" s="183">
        <v>17338</v>
      </c>
      <c r="C801" s="14" t="s">
        <v>262</v>
      </c>
      <c r="D801" s="105">
        <v>32537.7</v>
      </c>
      <c r="E801" s="23">
        <v>42109</v>
      </c>
      <c r="F801" s="106">
        <v>32537.7</v>
      </c>
      <c r="G801" s="31">
        <f t="shared" si="12"/>
        <v>0</v>
      </c>
      <c r="H801" s="19" t="s">
        <v>149</v>
      </c>
      <c r="K801" s="3"/>
      <c r="P801" s="105">
        <v>56691.8</v>
      </c>
    </row>
    <row r="802" spans="1:16" x14ac:dyDescent="0.25">
      <c r="A802" s="20">
        <v>42104</v>
      </c>
      <c r="B802" s="183">
        <v>17339</v>
      </c>
      <c r="C802" s="26" t="s">
        <v>218</v>
      </c>
      <c r="D802" s="108">
        <v>0</v>
      </c>
      <c r="E802" s="23"/>
      <c r="F802" s="106"/>
      <c r="G802" s="31">
        <f t="shared" si="12"/>
        <v>0</v>
      </c>
      <c r="H802" s="19" t="s">
        <v>13</v>
      </c>
      <c r="I802" s="3"/>
      <c r="J802" s="42"/>
      <c r="K802" s="3"/>
      <c r="P802" s="105">
        <v>149529.26</v>
      </c>
    </row>
    <row r="803" spans="1:16" x14ac:dyDescent="0.25">
      <c r="A803" s="20">
        <v>42104</v>
      </c>
      <c r="B803" s="183">
        <v>17340</v>
      </c>
      <c r="C803" s="14" t="s">
        <v>720</v>
      </c>
      <c r="D803" s="105">
        <v>8334.2999999999993</v>
      </c>
      <c r="E803" s="23">
        <v>42104</v>
      </c>
      <c r="F803" s="106">
        <v>8334.2999999999993</v>
      </c>
      <c r="G803" s="31">
        <f t="shared" si="12"/>
        <v>0</v>
      </c>
      <c r="H803" s="19" t="s">
        <v>9</v>
      </c>
      <c r="I803" s="3"/>
      <c r="J803" s="42"/>
      <c r="K803" s="3"/>
      <c r="P803" s="105">
        <v>226200.5</v>
      </c>
    </row>
    <row r="804" spans="1:16" x14ac:dyDescent="0.25">
      <c r="A804" s="20">
        <v>42104</v>
      </c>
      <c r="B804" s="183">
        <v>17341</v>
      </c>
      <c r="C804" s="14" t="s">
        <v>589</v>
      </c>
      <c r="D804" s="105">
        <v>20198.25</v>
      </c>
      <c r="E804" s="23">
        <v>42104</v>
      </c>
      <c r="F804" s="106">
        <v>20198.2</v>
      </c>
      <c r="G804" s="31">
        <f t="shared" si="12"/>
        <v>4.9999999999272404E-2</v>
      </c>
      <c r="H804" s="19" t="s">
        <v>17</v>
      </c>
      <c r="I804" s="3"/>
      <c r="J804" s="42"/>
      <c r="K804" s="3"/>
      <c r="P804" s="105">
        <v>42993.599999999999</v>
      </c>
    </row>
    <row r="805" spans="1:16" x14ac:dyDescent="0.25">
      <c r="A805" s="20">
        <v>42104</v>
      </c>
      <c r="B805" s="183">
        <v>17342</v>
      </c>
      <c r="C805" s="14" t="s">
        <v>18</v>
      </c>
      <c r="D805" s="105">
        <v>2412.8000000000002</v>
      </c>
      <c r="E805" s="23">
        <v>42104</v>
      </c>
      <c r="F805" s="106">
        <v>2412.8000000000002</v>
      </c>
      <c r="G805" s="31">
        <f t="shared" si="12"/>
        <v>0</v>
      </c>
      <c r="H805" s="19" t="s">
        <v>9</v>
      </c>
      <c r="I805" s="3"/>
      <c r="J805" s="42"/>
      <c r="K805" s="3"/>
      <c r="P805" s="105">
        <v>4160</v>
      </c>
    </row>
    <row r="806" spans="1:16" x14ac:dyDescent="0.25">
      <c r="A806" s="20">
        <v>42104</v>
      </c>
      <c r="B806" s="183">
        <v>17343</v>
      </c>
      <c r="C806" s="14" t="s">
        <v>14</v>
      </c>
      <c r="D806" s="105">
        <v>18599.7</v>
      </c>
      <c r="E806" s="23" t="s">
        <v>1004</v>
      </c>
      <c r="F806" s="106">
        <f>17114.66+1485.04</f>
        <v>18599.7</v>
      </c>
      <c r="G806" s="48">
        <f t="shared" si="12"/>
        <v>0</v>
      </c>
      <c r="H806" s="19" t="s">
        <v>15</v>
      </c>
      <c r="I806" s="3"/>
      <c r="J806" s="42"/>
      <c r="K806" s="3"/>
      <c r="P806" s="105">
        <v>4024.89</v>
      </c>
    </row>
    <row r="807" spans="1:16" x14ac:dyDescent="0.25">
      <c r="A807" s="20">
        <v>42104</v>
      </c>
      <c r="B807" s="183">
        <v>17344</v>
      </c>
      <c r="C807" s="14" t="s">
        <v>86</v>
      </c>
      <c r="D807" s="105">
        <v>454.35</v>
      </c>
      <c r="E807" s="23">
        <v>42104</v>
      </c>
      <c r="F807" s="106">
        <v>454.35</v>
      </c>
      <c r="G807" s="31">
        <f t="shared" si="12"/>
        <v>0</v>
      </c>
      <c r="H807" s="19" t="s">
        <v>9</v>
      </c>
      <c r="I807" s="3"/>
      <c r="J807" s="42"/>
      <c r="K807" s="3"/>
      <c r="P807" s="105">
        <v>44261.65</v>
      </c>
    </row>
    <row r="808" spans="1:16" x14ac:dyDescent="0.25">
      <c r="A808" s="20">
        <v>42104</v>
      </c>
      <c r="B808" s="183">
        <v>17345</v>
      </c>
      <c r="C808" s="14" t="s">
        <v>179</v>
      </c>
      <c r="D808" s="105">
        <v>3331.2</v>
      </c>
      <c r="E808" s="23">
        <v>42104</v>
      </c>
      <c r="F808" s="106">
        <v>3331.2</v>
      </c>
      <c r="G808" s="31">
        <f t="shared" si="12"/>
        <v>0</v>
      </c>
      <c r="H808" s="19" t="s">
        <v>15</v>
      </c>
      <c r="I808" s="3"/>
      <c r="J808" s="42"/>
      <c r="K808" s="3"/>
      <c r="P808" s="105">
        <v>1104</v>
      </c>
    </row>
    <row r="809" spans="1:16" x14ac:dyDescent="0.25">
      <c r="A809" s="20">
        <v>42104</v>
      </c>
      <c r="B809" s="183">
        <v>17346</v>
      </c>
      <c r="C809" s="14" t="s">
        <v>99</v>
      </c>
      <c r="D809" s="105">
        <v>318</v>
      </c>
      <c r="E809" s="23">
        <v>42104</v>
      </c>
      <c r="F809" s="106">
        <v>318</v>
      </c>
      <c r="G809" s="31">
        <f t="shared" si="12"/>
        <v>0</v>
      </c>
      <c r="H809" s="19" t="s">
        <v>15</v>
      </c>
      <c r="I809" s="3"/>
      <c r="J809" s="42"/>
      <c r="K809" s="3"/>
      <c r="P809" s="105">
        <v>121237.02</v>
      </c>
    </row>
    <row r="810" spans="1:16" x14ac:dyDescent="0.25">
      <c r="A810" s="20">
        <v>42104</v>
      </c>
      <c r="B810" s="183">
        <v>17347</v>
      </c>
      <c r="C810" s="14" t="s">
        <v>829</v>
      </c>
      <c r="D810" s="105">
        <v>4281.7</v>
      </c>
      <c r="E810" s="23">
        <v>42104</v>
      </c>
      <c r="F810" s="106">
        <v>4281.7</v>
      </c>
      <c r="G810" s="31">
        <f t="shared" si="12"/>
        <v>0</v>
      </c>
      <c r="H810" s="19" t="s">
        <v>9</v>
      </c>
      <c r="I810" s="3"/>
      <c r="J810" s="42"/>
      <c r="K810" s="3"/>
      <c r="P810" s="42">
        <v>0</v>
      </c>
    </row>
    <row r="811" spans="1:16" x14ac:dyDescent="0.25">
      <c r="A811" s="20">
        <v>42104</v>
      </c>
      <c r="B811" s="183">
        <v>17348</v>
      </c>
      <c r="C811" s="14" t="s">
        <v>16</v>
      </c>
      <c r="D811" s="105">
        <v>9245.6</v>
      </c>
      <c r="E811" s="23">
        <v>42104</v>
      </c>
      <c r="F811" s="106">
        <v>9245.6</v>
      </c>
      <c r="G811" s="31">
        <f t="shared" si="12"/>
        <v>0</v>
      </c>
      <c r="H811" s="19" t="s">
        <v>17</v>
      </c>
      <c r="I811" s="3"/>
      <c r="J811" s="42"/>
      <c r="K811" s="3"/>
      <c r="P811" s="42">
        <f>SUM(P712:P810)</f>
        <v>6695664.580000001</v>
      </c>
    </row>
    <row r="812" spans="1:16" x14ac:dyDescent="0.25">
      <c r="A812" s="20">
        <v>42104</v>
      </c>
      <c r="B812" s="183">
        <v>17349</v>
      </c>
      <c r="C812" s="14" t="s">
        <v>121</v>
      </c>
      <c r="D812" s="105">
        <v>2048.1</v>
      </c>
      <c r="E812" s="23">
        <v>42104</v>
      </c>
      <c r="F812" s="106">
        <v>2048.1</v>
      </c>
      <c r="G812" s="31">
        <f t="shared" si="12"/>
        <v>0</v>
      </c>
      <c r="H812" s="19" t="s">
        <v>9</v>
      </c>
      <c r="I812" s="3"/>
      <c r="J812" s="42"/>
      <c r="K812" s="3"/>
    </row>
    <row r="813" spans="1:16" x14ac:dyDescent="0.25">
      <c r="A813" s="20">
        <v>42104</v>
      </c>
      <c r="B813" s="183">
        <v>17350</v>
      </c>
      <c r="C813" s="14" t="s">
        <v>604</v>
      </c>
      <c r="D813" s="105">
        <v>2683.2</v>
      </c>
      <c r="E813" s="23">
        <v>42104</v>
      </c>
      <c r="F813" s="106">
        <v>2683.2</v>
      </c>
      <c r="G813" s="31">
        <f t="shared" si="12"/>
        <v>0</v>
      </c>
      <c r="H813" s="19" t="s">
        <v>9</v>
      </c>
      <c r="I813" s="3"/>
      <c r="J813" s="42"/>
      <c r="K813" s="3"/>
    </row>
    <row r="814" spans="1:16" x14ac:dyDescent="0.25">
      <c r="A814" s="20">
        <v>42104</v>
      </c>
      <c r="B814" s="183">
        <v>17351</v>
      </c>
      <c r="C814" s="14" t="s">
        <v>125</v>
      </c>
      <c r="D814" s="105">
        <v>18344.7</v>
      </c>
      <c r="E814" s="23">
        <v>42104</v>
      </c>
      <c r="F814" s="106">
        <v>18344.7</v>
      </c>
      <c r="G814" s="31">
        <f t="shared" si="12"/>
        <v>0</v>
      </c>
      <c r="H814" s="19" t="s">
        <v>9</v>
      </c>
      <c r="I814" s="3"/>
      <c r="J814" s="42"/>
      <c r="K814" s="3"/>
    </row>
    <row r="815" spans="1:16" x14ac:dyDescent="0.25">
      <c r="A815" s="20">
        <v>42104</v>
      </c>
      <c r="B815" s="183">
        <v>17352</v>
      </c>
      <c r="C815" s="14" t="s">
        <v>604</v>
      </c>
      <c r="D815" s="105">
        <v>110</v>
      </c>
      <c r="E815" s="23">
        <v>42104</v>
      </c>
      <c r="F815" s="106">
        <v>110</v>
      </c>
      <c r="G815" s="31">
        <f t="shared" si="12"/>
        <v>0</v>
      </c>
      <c r="H815" s="19" t="s">
        <v>9</v>
      </c>
      <c r="I815" s="3"/>
      <c r="J815" s="42"/>
      <c r="K815" s="3"/>
    </row>
    <row r="816" spans="1:16" x14ac:dyDescent="0.25">
      <c r="A816" s="20">
        <v>42104</v>
      </c>
      <c r="B816" s="183">
        <v>17353</v>
      </c>
      <c r="C816" s="14" t="s">
        <v>114</v>
      </c>
      <c r="D816" s="105">
        <v>7993.8</v>
      </c>
      <c r="E816" s="23">
        <v>42104</v>
      </c>
      <c r="F816" s="106">
        <v>7993.8</v>
      </c>
      <c r="G816" s="31">
        <f t="shared" si="12"/>
        <v>0</v>
      </c>
      <c r="H816" s="19" t="s">
        <v>9</v>
      </c>
      <c r="I816" s="3"/>
      <c r="J816" s="42"/>
      <c r="K816" s="3"/>
    </row>
    <row r="817" spans="1:11" x14ac:dyDescent="0.25">
      <c r="A817" s="20">
        <v>42104</v>
      </c>
      <c r="B817" s="183">
        <v>17354</v>
      </c>
      <c r="C817" s="14" t="s">
        <v>125</v>
      </c>
      <c r="D817" s="105">
        <v>338</v>
      </c>
      <c r="E817" s="23">
        <v>42104</v>
      </c>
      <c r="F817" s="106">
        <v>338</v>
      </c>
      <c r="G817" s="31">
        <f t="shared" si="12"/>
        <v>0</v>
      </c>
      <c r="H817" s="19" t="s">
        <v>9</v>
      </c>
      <c r="I817" s="3"/>
      <c r="J817" s="42"/>
      <c r="K817" s="3"/>
    </row>
    <row r="818" spans="1:11" x14ac:dyDescent="0.25">
      <c r="A818" s="20">
        <v>42104</v>
      </c>
      <c r="B818" s="183">
        <v>17355</v>
      </c>
      <c r="C818" s="150" t="s">
        <v>21</v>
      </c>
      <c r="D818" s="105">
        <v>6412.1</v>
      </c>
      <c r="E818" s="23">
        <v>42104</v>
      </c>
      <c r="F818" s="106">
        <v>6412.1</v>
      </c>
      <c r="G818" s="31">
        <f t="shared" si="12"/>
        <v>0</v>
      </c>
      <c r="H818" s="19" t="s">
        <v>9</v>
      </c>
      <c r="J818" s="107"/>
      <c r="K818" s="3"/>
    </row>
    <row r="819" spans="1:11" x14ac:dyDescent="0.25">
      <c r="A819" s="20">
        <v>42104</v>
      </c>
      <c r="B819" s="183">
        <v>17356</v>
      </c>
      <c r="C819" s="14" t="s">
        <v>383</v>
      </c>
      <c r="D819" s="105">
        <v>3982.4</v>
      </c>
      <c r="E819" s="23">
        <v>42104</v>
      </c>
      <c r="F819" s="106">
        <v>3982.4</v>
      </c>
      <c r="G819" s="31">
        <f t="shared" si="12"/>
        <v>0</v>
      </c>
      <c r="H819" s="19" t="s">
        <v>9</v>
      </c>
      <c r="K819" s="3"/>
    </row>
    <row r="820" spans="1:11" x14ac:dyDescent="0.25">
      <c r="A820" s="20">
        <v>42104</v>
      </c>
      <c r="B820" s="183">
        <v>17357</v>
      </c>
      <c r="C820" s="14" t="s">
        <v>49</v>
      </c>
      <c r="D820" s="105">
        <v>1341.4</v>
      </c>
      <c r="E820" s="23">
        <v>42104</v>
      </c>
      <c r="F820" s="106">
        <v>1341.4</v>
      </c>
      <c r="G820" s="31">
        <f t="shared" si="12"/>
        <v>0</v>
      </c>
      <c r="H820" s="19" t="s">
        <v>27</v>
      </c>
      <c r="K820" s="3"/>
    </row>
    <row r="821" spans="1:11" x14ac:dyDescent="0.25">
      <c r="A821" s="20">
        <v>42104</v>
      </c>
      <c r="B821" s="183">
        <v>17358</v>
      </c>
      <c r="C821" s="14" t="s">
        <v>22</v>
      </c>
      <c r="D821" s="105">
        <v>4100</v>
      </c>
      <c r="E821" s="23">
        <v>42104</v>
      </c>
      <c r="F821" s="106">
        <v>4100</v>
      </c>
      <c r="G821" s="31">
        <f t="shared" si="12"/>
        <v>0</v>
      </c>
      <c r="H821" s="19" t="s">
        <v>9</v>
      </c>
      <c r="K821" s="3"/>
    </row>
    <row r="822" spans="1:11" x14ac:dyDescent="0.25">
      <c r="A822" s="20">
        <v>42104</v>
      </c>
      <c r="B822" s="183">
        <v>17359</v>
      </c>
      <c r="C822" s="14" t="s">
        <v>20</v>
      </c>
      <c r="D822" s="105">
        <v>14591.1</v>
      </c>
      <c r="E822" s="23">
        <v>42104</v>
      </c>
      <c r="F822" s="106">
        <v>14591.1</v>
      </c>
      <c r="G822" s="31">
        <f t="shared" si="12"/>
        <v>0</v>
      </c>
      <c r="H822" s="19" t="s">
        <v>94</v>
      </c>
      <c r="K822" s="3"/>
    </row>
    <row r="823" spans="1:11" x14ac:dyDescent="0.25">
      <c r="A823" s="20">
        <v>42104</v>
      </c>
      <c r="B823" s="183">
        <v>17360</v>
      </c>
      <c r="C823" s="14" t="s">
        <v>26</v>
      </c>
      <c r="D823" s="105">
        <v>3264</v>
      </c>
      <c r="E823" s="23">
        <v>42104</v>
      </c>
      <c r="F823" s="106">
        <v>3264</v>
      </c>
      <c r="G823" s="31">
        <f t="shared" si="12"/>
        <v>0</v>
      </c>
      <c r="H823" s="19" t="s">
        <v>27</v>
      </c>
      <c r="K823" s="3"/>
    </row>
    <row r="824" spans="1:11" x14ac:dyDescent="0.25">
      <c r="A824" s="20">
        <v>42104</v>
      </c>
      <c r="B824" s="183">
        <v>17361</v>
      </c>
      <c r="C824" s="14" t="s">
        <v>791</v>
      </c>
      <c r="D824" s="105">
        <v>2986.2</v>
      </c>
      <c r="E824" s="23">
        <v>42104</v>
      </c>
      <c r="F824" s="106">
        <v>2986.2</v>
      </c>
      <c r="G824" s="31">
        <f t="shared" si="12"/>
        <v>0</v>
      </c>
      <c r="H824" s="19" t="s">
        <v>9</v>
      </c>
      <c r="K824" s="3"/>
    </row>
    <row r="825" spans="1:11" x14ac:dyDescent="0.25">
      <c r="A825" s="20">
        <v>42104</v>
      </c>
      <c r="B825" s="183">
        <v>17362</v>
      </c>
      <c r="C825" s="110">
        <v>105</v>
      </c>
      <c r="D825" s="105">
        <v>1496</v>
      </c>
      <c r="E825" s="23">
        <v>42104</v>
      </c>
      <c r="F825" s="106">
        <v>1496</v>
      </c>
      <c r="G825" s="31">
        <f t="shared" si="12"/>
        <v>0</v>
      </c>
      <c r="H825" s="19" t="s">
        <v>59</v>
      </c>
      <c r="K825" s="3"/>
    </row>
    <row r="826" spans="1:11" x14ac:dyDescent="0.25">
      <c r="A826" s="20">
        <v>42104</v>
      </c>
      <c r="B826" s="183">
        <v>17363</v>
      </c>
      <c r="C826" s="14" t="s">
        <v>214</v>
      </c>
      <c r="D826" s="105">
        <v>1700</v>
      </c>
      <c r="E826" s="23">
        <v>42104</v>
      </c>
      <c r="F826" s="106">
        <v>1700</v>
      </c>
      <c r="G826" s="31">
        <f t="shared" si="12"/>
        <v>0</v>
      </c>
      <c r="H826" s="19" t="s">
        <v>59</v>
      </c>
      <c r="K826" s="3"/>
    </row>
    <row r="827" spans="1:11" x14ac:dyDescent="0.25">
      <c r="A827" s="20">
        <v>42104</v>
      </c>
      <c r="B827" s="183">
        <v>17364</v>
      </c>
      <c r="C827" s="14" t="s">
        <v>57</v>
      </c>
      <c r="D827" s="105">
        <v>3468</v>
      </c>
      <c r="E827" s="23">
        <v>42104</v>
      </c>
      <c r="F827" s="106">
        <v>3468</v>
      </c>
      <c r="G827" s="31">
        <f t="shared" si="12"/>
        <v>0</v>
      </c>
      <c r="H827" s="19" t="s">
        <v>59</v>
      </c>
      <c r="K827" s="3"/>
    </row>
    <row r="828" spans="1:11" x14ac:dyDescent="0.25">
      <c r="A828" s="20">
        <v>42104</v>
      </c>
      <c r="B828" s="183">
        <v>17365</v>
      </c>
      <c r="C828" s="14" t="s">
        <v>137</v>
      </c>
      <c r="D828" s="105">
        <v>2652</v>
      </c>
      <c r="E828" s="23">
        <v>42104</v>
      </c>
      <c r="F828" s="106">
        <v>2652</v>
      </c>
      <c r="G828" s="31">
        <f t="shared" si="12"/>
        <v>0</v>
      </c>
      <c r="H828" s="19" t="s">
        <v>9</v>
      </c>
      <c r="K828" s="3"/>
    </row>
    <row r="829" spans="1:11" x14ac:dyDescent="0.25">
      <c r="A829" s="20">
        <v>42104</v>
      </c>
      <c r="B829" s="183">
        <v>17366</v>
      </c>
      <c r="C829" s="14" t="s">
        <v>125</v>
      </c>
      <c r="D829" s="105">
        <v>18076.75</v>
      </c>
      <c r="E829" s="23" t="s">
        <v>1076</v>
      </c>
      <c r="F829" s="106">
        <f>15000+3076.75</f>
        <v>18076.75</v>
      </c>
      <c r="G829" s="31">
        <f t="shared" si="12"/>
        <v>0</v>
      </c>
      <c r="H829" s="19" t="s">
        <v>94</v>
      </c>
      <c r="J829" s="107"/>
      <c r="K829" s="3"/>
    </row>
    <row r="830" spans="1:11" x14ac:dyDescent="0.25">
      <c r="A830" s="20">
        <v>42104</v>
      </c>
      <c r="B830" s="183">
        <v>17367</v>
      </c>
      <c r="C830" s="14" t="s">
        <v>136</v>
      </c>
      <c r="D830" s="105">
        <v>540</v>
      </c>
      <c r="E830" s="23">
        <v>42104</v>
      </c>
      <c r="F830" s="106">
        <v>540</v>
      </c>
      <c r="G830" s="31">
        <f t="shared" si="12"/>
        <v>0</v>
      </c>
      <c r="H830" s="19" t="s">
        <v>9</v>
      </c>
      <c r="K830" s="3"/>
    </row>
    <row r="831" spans="1:11" x14ac:dyDescent="0.25">
      <c r="A831" s="20">
        <v>42104</v>
      </c>
      <c r="B831" s="183">
        <v>17368</v>
      </c>
      <c r="C831" s="14" t="s">
        <v>25</v>
      </c>
      <c r="D831" s="105">
        <v>897.6</v>
      </c>
      <c r="E831" s="23">
        <v>42104</v>
      </c>
      <c r="F831" s="106">
        <v>897.6</v>
      </c>
      <c r="G831" s="31">
        <f t="shared" si="12"/>
        <v>0</v>
      </c>
      <c r="H831" s="19" t="s">
        <v>9</v>
      </c>
      <c r="K831" s="3"/>
    </row>
    <row r="832" spans="1:11" x14ac:dyDescent="0.25">
      <c r="A832" s="20">
        <v>42104</v>
      </c>
      <c r="B832" s="183">
        <v>17369</v>
      </c>
      <c r="C832" s="14" t="s">
        <v>215</v>
      </c>
      <c r="D832" s="105">
        <v>24763.200000000001</v>
      </c>
      <c r="E832" s="23">
        <v>42104</v>
      </c>
      <c r="F832" s="106">
        <v>24763.200000000001</v>
      </c>
      <c r="G832" s="31">
        <f t="shared" si="12"/>
        <v>0</v>
      </c>
      <c r="H832" s="19" t="s">
        <v>187</v>
      </c>
      <c r="K832" s="3"/>
    </row>
    <row r="833" spans="1:11" x14ac:dyDescent="0.25">
      <c r="A833" s="20">
        <v>42104</v>
      </c>
      <c r="B833" s="183">
        <v>17370</v>
      </c>
      <c r="C833" s="14" t="s">
        <v>1077</v>
      </c>
      <c r="D833" s="105">
        <v>1676.1</v>
      </c>
      <c r="E833" s="23">
        <v>42104</v>
      </c>
      <c r="F833" s="106">
        <v>1676.1</v>
      </c>
      <c r="G833" s="31">
        <f t="shared" si="12"/>
        <v>0</v>
      </c>
      <c r="H833" s="19" t="s">
        <v>9</v>
      </c>
      <c r="K833" s="3"/>
    </row>
    <row r="834" spans="1:11" x14ac:dyDescent="0.25">
      <c r="A834" s="20">
        <v>42104</v>
      </c>
      <c r="B834" s="183">
        <v>17371</v>
      </c>
      <c r="C834" s="26" t="s">
        <v>218</v>
      </c>
      <c r="D834" s="108">
        <v>0</v>
      </c>
      <c r="E834" s="23"/>
      <c r="F834" s="106"/>
      <c r="G834" s="31">
        <f t="shared" si="12"/>
        <v>0</v>
      </c>
      <c r="H834" s="19" t="s">
        <v>13</v>
      </c>
      <c r="K834" s="3"/>
    </row>
    <row r="835" spans="1:11" x14ac:dyDescent="0.25">
      <c r="A835" s="20">
        <v>42104</v>
      </c>
      <c r="B835" s="183">
        <v>17372</v>
      </c>
      <c r="C835" s="14" t="s">
        <v>103</v>
      </c>
      <c r="D835" s="105">
        <v>26721.4</v>
      </c>
      <c r="E835" s="23">
        <v>42104</v>
      </c>
      <c r="F835" s="106">
        <v>26721.4</v>
      </c>
      <c r="G835" s="31">
        <f t="shared" ref="G835:G898" si="13">D835-F835</f>
        <v>0</v>
      </c>
      <c r="H835" s="19" t="s">
        <v>1013</v>
      </c>
      <c r="I835" s="3"/>
      <c r="J835" s="42"/>
      <c r="K835" s="3"/>
    </row>
    <row r="836" spans="1:11" x14ac:dyDescent="0.25">
      <c r="A836" s="20">
        <v>42104</v>
      </c>
      <c r="B836" s="183">
        <v>17373</v>
      </c>
      <c r="C836" s="14" t="s">
        <v>854</v>
      </c>
      <c r="D836" s="105">
        <v>2744.7</v>
      </c>
      <c r="E836" s="23" t="s">
        <v>1078</v>
      </c>
      <c r="F836" s="106">
        <f>1900+844.7</f>
        <v>2744.7</v>
      </c>
      <c r="G836" s="31">
        <f t="shared" si="13"/>
        <v>0</v>
      </c>
      <c r="H836" s="19" t="s">
        <v>9</v>
      </c>
      <c r="I836" s="3"/>
      <c r="J836" s="42"/>
      <c r="K836" s="3"/>
    </row>
    <row r="837" spans="1:11" x14ac:dyDescent="0.25">
      <c r="A837" s="20">
        <v>42104</v>
      </c>
      <c r="B837" s="183">
        <v>17374</v>
      </c>
      <c r="C837" s="14" t="s">
        <v>1077</v>
      </c>
      <c r="D837" s="105">
        <v>2563.1999999999998</v>
      </c>
      <c r="E837" s="23">
        <v>42104</v>
      </c>
      <c r="F837" s="106">
        <v>2563.1999999999998</v>
      </c>
      <c r="G837" s="31">
        <f t="shared" si="13"/>
        <v>0</v>
      </c>
      <c r="H837" s="19" t="s">
        <v>9</v>
      </c>
      <c r="I837" s="3"/>
      <c r="J837" s="42"/>
      <c r="K837" s="3"/>
    </row>
    <row r="838" spans="1:11" x14ac:dyDescent="0.25">
      <c r="A838" s="20">
        <v>42104</v>
      </c>
      <c r="B838" s="183">
        <v>17375</v>
      </c>
      <c r="C838" s="14" t="s">
        <v>1077</v>
      </c>
      <c r="D838" s="105">
        <v>636.4</v>
      </c>
      <c r="E838" s="23">
        <v>42104</v>
      </c>
      <c r="F838" s="106">
        <v>636.4</v>
      </c>
      <c r="G838" s="31">
        <f t="shared" si="13"/>
        <v>0</v>
      </c>
      <c r="H838" s="19" t="s">
        <v>59</v>
      </c>
      <c r="I838" s="3"/>
      <c r="J838" s="42"/>
      <c r="K838" s="3"/>
    </row>
    <row r="839" spans="1:11" x14ac:dyDescent="0.25">
      <c r="A839" s="20">
        <v>42104</v>
      </c>
      <c r="B839" s="183">
        <v>17376</v>
      </c>
      <c r="C839" s="14" t="s">
        <v>729</v>
      </c>
      <c r="D839" s="105">
        <v>1612.8</v>
      </c>
      <c r="E839" s="23">
        <v>42104</v>
      </c>
      <c r="F839" s="106">
        <v>1612.8</v>
      </c>
      <c r="G839" s="31">
        <f t="shared" si="13"/>
        <v>0</v>
      </c>
      <c r="H839" s="19" t="s">
        <v>59</v>
      </c>
      <c r="I839" s="3"/>
      <c r="J839" s="42"/>
      <c r="K839" s="3"/>
    </row>
    <row r="840" spans="1:11" x14ac:dyDescent="0.25">
      <c r="A840" s="20">
        <v>42104</v>
      </c>
      <c r="B840" s="183">
        <v>17377</v>
      </c>
      <c r="C840" s="14" t="s">
        <v>169</v>
      </c>
      <c r="D840" s="105">
        <v>2494.8000000000002</v>
      </c>
      <c r="E840" s="23">
        <v>42104</v>
      </c>
      <c r="F840" s="106">
        <v>2494.8000000000002</v>
      </c>
      <c r="G840" s="31">
        <f t="shared" si="13"/>
        <v>0</v>
      </c>
      <c r="H840" s="19" t="s">
        <v>59</v>
      </c>
      <c r="I840" s="3"/>
      <c r="J840" s="42"/>
      <c r="K840" s="3"/>
    </row>
    <row r="841" spans="1:11" x14ac:dyDescent="0.25">
      <c r="A841" s="20">
        <v>42104</v>
      </c>
      <c r="B841" s="183">
        <v>17378</v>
      </c>
      <c r="C841" s="14" t="s">
        <v>151</v>
      </c>
      <c r="D841" s="105">
        <v>6601</v>
      </c>
      <c r="E841" s="23">
        <v>42105</v>
      </c>
      <c r="F841" s="106">
        <v>6601</v>
      </c>
      <c r="G841" s="31">
        <f t="shared" si="13"/>
        <v>0</v>
      </c>
      <c r="H841" s="19" t="s">
        <v>9</v>
      </c>
      <c r="I841" s="3"/>
      <c r="J841" s="42"/>
      <c r="K841" s="3"/>
    </row>
    <row r="842" spans="1:11" x14ac:dyDescent="0.25">
      <c r="A842" s="20">
        <v>42104</v>
      </c>
      <c r="B842" s="183">
        <v>17379</v>
      </c>
      <c r="C842" s="14" t="s">
        <v>82</v>
      </c>
      <c r="D842" s="105">
        <v>5752.8</v>
      </c>
      <c r="E842" s="23">
        <v>42104</v>
      </c>
      <c r="F842" s="106">
        <v>5752.8</v>
      </c>
      <c r="G842" s="31">
        <f t="shared" si="13"/>
        <v>0</v>
      </c>
      <c r="H842" s="19" t="s">
        <v>59</v>
      </c>
      <c r="I842" s="3"/>
      <c r="J842" s="42"/>
      <c r="K842" s="3"/>
    </row>
    <row r="843" spans="1:11" x14ac:dyDescent="0.25">
      <c r="A843" s="20">
        <v>42104</v>
      </c>
      <c r="B843" s="183">
        <v>17380</v>
      </c>
      <c r="C843" s="14" t="s">
        <v>53</v>
      </c>
      <c r="D843" s="105">
        <v>1308.2</v>
      </c>
      <c r="E843" s="23">
        <v>42104</v>
      </c>
      <c r="F843" s="106">
        <v>1308.2</v>
      </c>
      <c r="G843" s="31">
        <f t="shared" si="13"/>
        <v>0</v>
      </c>
      <c r="H843" s="19" t="s">
        <v>59</v>
      </c>
      <c r="I843" s="3"/>
      <c r="J843" s="42"/>
      <c r="K843" s="3"/>
    </row>
    <row r="844" spans="1:11" x14ac:dyDescent="0.25">
      <c r="A844" s="20">
        <v>42104</v>
      </c>
      <c r="B844" s="183">
        <v>17381</v>
      </c>
      <c r="C844" s="14" t="s">
        <v>81</v>
      </c>
      <c r="D844" s="105">
        <v>2163.3000000000002</v>
      </c>
      <c r="E844" s="23">
        <v>42104</v>
      </c>
      <c r="F844" s="106">
        <v>2163.3000000000002</v>
      </c>
      <c r="G844" s="31">
        <f t="shared" si="13"/>
        <v>0</v>
      </c>
      <c r="H844" s="19" t="s">
        <v>59</v>
      </c>
      <c r="I844" s="3"/>
      <c r="J844" s="42"/>
      <c r="K844" s="3"/>
    </row>
    <row r="845" spans="1:11" x14ac:dyDescent="0.25">
      <c r="A845" s="20">
        <v>42104</v>
      </c>
      <c r="B845" s="183">
        <v>17382</v>
      </c>
      <c r="C845" s="14" t="s">
        <v>155</v>
      </c>
      <c r="D845" s="105">
        <v>1771.4</v>
      </c>
      <c r="E845" s="23">
        <v>42104</v>
      </c>
      <c r="F845" s="106">
        <v>1771.4</v>
      </c>
      <c r="G845" s="31">
        <f t="shared" si="13"/>
        <v>0</v>
      </c>
      <c r="H845" s="19" t="s">
        <v>59</v>
      </c>
      <c r="I845" s="3"/>
      <c r="J845" s="42"/>
      <c r="K845" s="3"/>
    </row>
    <row r="846" spans="1:11" x14ac:dyDescent="0.25">
      <c r="A846" s="20">
        <v>42104</v>
      </c>
      <c r="B846" s="183">
        <v>17383</v>
      </c>
      <c r="C846" s="14" t="s">
        <v>169</v>
      </c>
      <c r="D846" s="105">
        <v>2544.3000000000002</v>
      </c>
      <c r="E846" s="23">
        <v>42104</v>
      </c>
      <c r="F846" s="106">
        <v>2544.3000000000002</v>
      </c>
      <c r="G846" s="31">
        <f t="shared" si="13"/>
        <v>0</v>
      </c>
      <c r="H846" s="19" t="s">
        <v>59</v>
      </c>
      <c r="I846" s="3"/>
      <c r="J846" s="42"/>
      <c r="K846" s="3"/>
    </row>
    <row r="847" spans="1:11" x14ac:dyDescent="0.25">
      <c r="A847" s="20">
        <v>42104</v>
      </c>
      <c r="B847" s="183">
        <v>17384</v>
      </c>
      <c r="C847" s="14" t="s">
        <v>45</v>
      </c>
      <c r="D847" s="105">
        <v>5385.6</v>
      </c>
      <c r="E847" s="23">
        <v>42117</v>
      </c>
      <c r="F847" s="106">
        <v>5385.6</v>
      </c>
      <c r="G847" s="31">
        <f t="shared" si="13"/>
        <v>0</v>
      </c>
      <c r="H847" s="19" t="s">
        <v>59</v>
      </c>
      <c r="I847" s="3"/>
      <c r="J847" s="42"/>
      <c r="K847" s="3"/>
    </row>
    <row r="848" spans="1:11" x14ac:dyDescent="0.25">
      <c r="A848" s="20">
        <v>42104</v>
      </c>
      <c r="B848" s="183">
        <v>17385</v>
      </c>
      <c r="C848" s="14" t="s">
        <v>133</v>
      </c>
      <c r="D848" s="105">
        <v>23244.400000000001</v>
      </c>
      <c r="E848" s="23">
        <v>42104</v>
      </c>
      <c r="F848" s="106">
        <v>23244.400000000001</v>
      </c>
      <c r="G848" s="31">
        <f t="shared" si="13"/>
        <v>0</v>
      </c>
      <c r="H848" s="19" t="s">
        <v>9</v>
      </c>
      <c r="I848" s="3"/>
      <c r="J848" s="42"/>
      <c r="K848" s="3"/>
    </row>
    <row r="849" spans="1:11" x14ac:dyDescent="0.25">
      <c r="A849" s="20">
        <v>42104</v>
      </c>
      <c r="B849" s="183">
        <v>17386</v>
      </c>
      <c r="C849" s="14" t="s">
        <v>319</v>
      </c>
      <c r="D849" s="105">
        <v>1975.2</v>
      </c>
      <c r="E849" s="23" t="s">
        <v>1079</v>
      </c>
      <c r="F849" s="106">
        <f>500+1475.2</f>
        <v>1975.2</v>
      </c>
      <c r="G849" s="31">
        <f t="shared" si="13"/>
        <v>0</v>
      </c>
      <c r="H849" s="19" t="s">
        <v>9</v>
      </c>
      <c r="I849" s="3"/>
      <c r="J849" s="42"/>
      <c r="K849" s="3"/>
    </row>
    <row r="850" spans="1:11" x14ac:dyDescent="0.25">
      <c r="A850" s="20">
        <v>42104</v>
      </c>
      <c r="B850" s="183">
        <v>17387</v>
      </c>
      <c r="C850" s="14" t="s">
        <v>233</v>
      </c>
      <c r="D850" s="105">
        <v>16737</v>
      </c>
      <c r="E850" s="23">
        <v>42104</v>
      </c>
      <c r="F850" s="106">
        <v>16737</v>
      </c>
      <c r="G850" s="31">
        <f t="shared" si="13"/>
        <v>0</v>
      </c>
      <c r="H850" s="19" t="s">
        <v>773</v>
      </c>
      <c r="I850" s="3"/>
      <c r="J850" s="42"/>
      <c r="K850" s="3"/>
    </row>
    <row r="851" spans="1:11" x14ac:dyDescent="0.25">
      <c r="A851" s="20">
        <v>42104</v>
      </c>
      <c r="B851" s="183">
        <v>17388</v>
      </c>
      <c r="C851" s="14" t="s">
        <v>116</v>
      </c>
      <c r="D851" s="105">
        <v>2646</v>
      </c>
      <c r="E851" s="23">
        <v>42104</v>
      </c>
      <c r="F851" s="106">
        <v>2646</v>
      </c>
      <c r="G851" s="31">
        <f t="shared" si="13"/>
        <v>0</v>
      </c>
      <c r="H851" s="19" t="s">
        <v>59</v>
      </c>
      <c r="J851" s="107"/>
      <c r="K851" s="3"/>
    </row>
    <row r="852" spans="1:11" x14ac:dyDescent="0.25">
      <c r="A852" s="20">
        <v>42104</v>
      </c>
      <c r="B852" s="183">
        <v>17389</v>
      </c>
      <c r="C852" s="14" t="s">
        <v>35</v>
      </c>
      <c r="D852" s="105">
        <v>20257.599999999999</v>
      </c>
      <c r="E852" s="23">
        <v>42104</v>
      </c>
      <c r="F852" s="106">
        <v>20257.599999999999</v>
      </c>
      <c r="G852" s="31">
        <f t="shared" si="13"/>
        <v>0</v>
      </c>
      <c r="H852" s="19" t="s">
        <v>773</v>
      </c>
      <c r="K852" s="3"/>
    </row>
    <row r="853" spans="1:11" x14ac:dyDescent="0.25">
      <c r="A853" s="20">
        <v>42104</v>
      </c>
      <c r="B853" s="183">
        <v>17390</v>
      </c>
      <c r="C853" s="14" t="s">
        <v>56</v>
      </c>
      <c r="D853" s="105">
        <v>12528.6</v>
      </c>
      <c r="E853" s="23">
        <v>42104</v>
      </c>
      <c r="F853" s="106">
        <v>12528.6</v>
      </c>
      <c r="G853" s="31">
        <f t="shared" si="13"/>
        <v>0</v>
      </c>
      <c r="H853" s="19" t="s">
        <v>773</v>
      </c>
      <c r="K853" s="3"/>
    </row>
    <row r="854" spans="1:11" x14ac:dyDescent="0.25">
      <c r="A854" s="20">
        <v>42104</v>
      </c>
      <c r="B854" s="183">
        <v>17391</v>
      </c>
      <c r="C854" s="14" t="s">
        <v>35</v>
      </c>
      <c r="D854" s="105">
        <v>478.4</v>
      </c>
      <c r="E854" s="23">
        <v>42104</v>
      </c>
      <c r="F854" s="106">
        <v>478.4</v>
      </c>
      <c r="G854" s="31">
        <f t="shared" si="13"/>
        <v>0</v>
      </c>
      <c r="H854" s="19" t="s">
        <v>773</v>
      </c>
      <c r="K854" s="3"/>
    </row>
    <row r="855" spans="1:11" x14ac:dyDescent="0.25">
      <c r="A855" s="20">
        <v>42104</v>
      </c>
      <c r="B855" s="183">
        <v>17392</v>
      </c>
      <c r="C855" s="14" t="s">
        <v>136</v>
      </c>
      <c r="D855" s="105">
        <v>4464</v>
      </c>
      <c r="E855" s="23">
        <v>42104</v>
      </c>
      <c r="F855" s="106">
        <v>4464</v>
      </c>
      <c r="G855" s="31">
        <f t="shared" si="13"/>
        <v>0</v>
      </c>
      <c r="H855" s="19" t="s">
        <v>9</v>
      </c>
      <c r="K855" s="3"/>
    </row>
    <row r="856" spans="1:11" x14ac:dyDescent="0.25">
      <c r="A856" s="20">
        <v>42104</v>
      </c>
      <c r="B856" s="183">
        <v>17393</v>
      </c>
      <c r="C856" s="14" t="s">
        <v>67</v>
      </c>
      <c r="D856" s="105">
        <v>3610.2</v>
      </c>
      <c r="E856" s="23">
        <v>42107</v>
      </c>
      <c r="F856" s="106">
        <v>3610.2</v>
      </c>
      <c r="G856" s="31">
        <f t="shared" si="13"/>
        <v>0</v>
      </c>
      <c r="H856" s="19" t="s">
        <v>62</v>
      </c>
      <c r="J856" s="107"/>
      <c r="K856" s="3"/>
    </row>
    <row r="857" spans="1:11" x14ac:dyDescent="0.25">
      <c r="A857" s="20">
        <v>42104</v>
      </c>
      <c r="B857" s="183">
        <v>17394</v>
      </c>
      <c r="C857" s="14" t="s">
        <v>78</v>
      </c>
      <c r="D857" s="105">
        <v>7831.2</v>
      </c>
      <c r="E857" s="23">
        <v>42107</v>
      </c>
      <c r="F857" s="106">
        <v>7831.2</v>
      </c>
      <c r="G857" s="31">
        <f t="shared" si="13"/>
        <v>0</v>
      </c>
      <c r="H857" s="19" t="s">
        <v>62</v>
      </c>
      <c r="K857" s="3"/>
    </row>
    <row r="858" spans="1:11" x14ac:dyDescent="0.25">
      <c r="A858" s="20">
        <v>42104</v>
      </c>
      <c r="B858" s="183">
        <v>17395</v>
      </c>
      <c r="C858" s="14" t="s">
        <v>170</v>
      </c>
      <c r="D858" s="105">
        <v>5400.2</v>
      </c>
      <c r="E858" s="23">
        <v>42107</v>
      </c>
      <c r="F858" s="106">
        <v>5400.2</v>
      </c>
      <c r="G858" s="31">
        <f t="shared" si="13"/>
        <v>0</v>
      </c>
      <c r="H858" s="19" t="s">
        <v>62</v>
      </c>
      <c r="K858" s="3"/>
    </row>
    <row r="859" spans="1:11" x14ac:dyDescent="0.25">
      <c r="A859" s="20">
        <v>42104</v>
      </c>
      <c r="B859" s="183">
        <v>17396</v>
      </c>
      <c r="C859" s="14" t="s">
        <v>89</v>
      </c>
      <c r="D859" s="105">
        <v>2006</v>
      </c>
      <c r="E859" s="23">
        <v>42104</v>
      </c>
      <c r="F859" s="106">
        <v>2006</v>
      </c>
      <c r="G859" s="31">
        <f t="shared" si="13"/>
        <v>0</v>
      </c>
      <c r="H859" s="19" t="s">
        <v>9</v>
      </c>
      <c r="K859" s="3"/>
    </row>
    <row r="860" spans="1:11" x14ac:dyDescent="0.25">
      <c r="A860" s="20">
        <v>42104</v>
      </c>
      <c r="B860" s="183">
        <v>17397</v>
      </c>
      <c r="C860" s="14" t="s">
        <v>128</v>
      </c>
      <c r="D860" s="105">
        <v>6164</v>
      </c>
      <c r="E860" s="23">
        <v>42104</v>
      </c>
      <c r="F860" s="106">
        <v>6164</v>
      </c>
      <c r="G860" s="31">
        <f t="shared" si="13"/>
        <v>0</v>
      </c>
      <c r="H860" s="19" t="s">
        <v>17</v>
      </c>
      <c r="K860" s="3"/>
    </row>
    <row r="861" spans="1:11" x14ac:dyDescent="0.25">
      <c r="A861" s="20">
        <v>42104</v>
      </c>
      <c r="B861" s="183">
        <v>17398</v>
      </c>
      <c r="C861" s="14" t="s">
        <v>75</v>
      </c>
      <c r="D861" s="105">
        <v>13576.2</v>
      </c>
      <c r="E861" s="23">
        <v>42107</v>
      </c>
      <c r="F861" s="106">
        <v>13576.2</v>
      </c>
      <c r="G861" s="31">
        <f t="shared" si="13"/>
        <v>0</v>
      </c>
      <c r="H861" s="19" t="s">
        <v>62</v>
      </c>
      <c r="K861" s="3"/>
    </row>
    <row r="862" spans="1:11" x14ac:dyDescent="0.25">
      <c r="A862" s="20">
        <v>42104</v>
      </c>
      <c r="B862" s="183">
        <v>17399</v>
      </c>
      <c r="C862" s="14" t="s">
        <v>332</v>
      </c>
      <c r="D862" s="105">
        <v>2222.1</v>
      </c>
      <c r="E862" s="23">
        <v>42104</v>
      </c>
      <c r="F862" s="106">
        <v>2222.1</v>
      </c>
      <c r="G862" s="31">
        <f t="shared" si="13"/>
        <v>0</v>
      </c>
      <c r="H862" s="19" t="s">
        <v>9</v>
      </c>
      <c r="K862" s="3"/>
    </row>
    <row r="863" spans="1:11" x14ac:dyDescent="0.25">
      <c r="A863" s="20">
        <v>42104</v>
      </c>
      <c r="B863" s="183">
        <v>17400</v>
      </c>
      <c r="C863" s="26" t="s">
        <v>218</v>
      </c>
      <c r="D863" s="108">
        <v>0</v>
      </c>
      <c r="E863" s="23"/>
      <c r="F863" s="106"/>
      <c r="G863" s="31">
        <f t="shared" si="13"/>
        <v>0</v>
      </c>
      <c r="H863" s="19" t="s">
        <v>13</v>
      </c>
      <c r="K863" s="3"/>
    </row>
    <row r="864" spans="1:11" x14ac:dyDescent="0.25">
      <c r="A864" s="20">
        <v>42104</v>
      </c>
      <c r="B864" s="183">
        <v>17401</v>
      </c>
      <c r="C864" s="14" t="s">
        <v>173</v>
      </c>
      <c r="D864" s="105">
        <v>37493.4</v>
      </c>
      <c r="E864" s="30" t="s">
        <v>1080</v>
      </c>
      <c r="F864" s="106">
        <v>37493.4</v>
      </c>
      <c r="G864" s="31">
        <f t="shared" si="13"/>
        <v>0</v>
      </c>
      <c r="H864" s="19" t="s">
        <v>62</v>
      </c>
      <c r="K864" s="3"/>
    </row>
    <row r="865" spans="1:11" x14ac:dyDescent="0.25">
      <c r="A865" s="20">
        <v>42104</v>
      </c>
      <c r="B865" s="183">
        <v>17402</v>
      </c>
      <c r="C865" s="14" t="s">
        <v>234</v>
      </c>
      <c r="D865" s="105">
        <v>4176</v>
      </c>
      <c r="E865" s="23">
        <v>42104</v>
      </c>
      <c r="F865" s="106">
        <v>4176</v>
      </c>
      <c r="G865" s="31">
        <f t="shared" si="13"/>
        <v>0</v>
      </c>
      <c r="H865" s="19" t="s">
        <v>9</v>
      </c>
      <c r="K865" s="3"/>
    </row>
    <row r="866" spans="1:11" x14ac:dyDescent="0.25">
      <c r="A866" s="20">
        <v>42104</v>
      </c>
      <c r="B866" s="183">
        <v>17403</v>
      </c>
      <c r="C866" s="14" t="s">
        <v>143</v>
      </c>
      <c r="D866" s="105">
        <v>6412</v>
      </c>
      <c r="E866" s="23">
        <v>42109</v>
      </c>
      <c r="F866" s="106">
        <v>6412</v>
      </c>
      <c r="G866" s="31">
        <f t="shared" si="13"/>
        <v>0</v>
      </c>
      <c r="H866" s="19" t="s">
        <v>17</v>
      </c>
      <c r="K866" s="3"/>
    </row>
    <row r="867" spans="1:11" x14ac:dyDescent="0.25">
      <c r="A867" s="20">
        <v>42104</v>
      </c>
      <c r="B867" s="183">
        <v>17404</v>
      </c>
      <c r="C867" s="14" t="s">
        <v>131</v>
      </c>
      <c r="D867" s="105">
        <v>5591</v>
      </c>
      <c r="E867" s="23">
        <v>42104</v>
      </c>
      <c r="F867" s="106">
        <v>5591</v>
      </c>
      <c r="G867" s="31">
        <f t="shared" si="13"/>
        <v>0</v>
      </c>
      <c r="H867" s="19" t="s">
        <v>17</v>
      </c>
      <c r="I867" s="3"/>
      <c r="J867" s="42"/>
      <c r="K867" s="3"/>
    </row>
    <row r="868" spans="1:11" x14ac:dyDescent="0.25">
      <c r="A868" s="20">
        <v>42104</v>
      </c>
      <c r="B868" s="183">
        <v>17405</v>
      </c>
      <c r="C868" s="14" t="s">
        <v>900</v>
      </c>
      <c r="D868" s="105">
        <v>3757.7</v>
      </c>
      <c r="E868" s="23">
        <v>42104</v>
      </c>
      <c r="F868" s="106">
        <v>3757.7</v>
      </c>
      <c r="G868" s="31">
        <f t="shared" si="13"/>
        <v>0</v>
      </c>
      <c r="H868" s="19" t="s">
        <v>9</v>
      </c>
      <c r="I868" s="3"/>
      <c r="J868" s="42"/>
      <c r="K868" s="3"/>
    </row>
    <row r="869" spans="1:11" x14ac:dyDescent="0.25">
      <c r="A869" s="20">
        <v>42104</v>
      </c>
      <c r="B869" s="183">
        <v>17406</v>
      </c>
      <c r="C869" s="14" t="s">
        <v>130</v>
      </c>
      <c r="D869" s="105">
        <v>4185.1000000000004</v>
      </c>
      <c r="E869" s="23">
        <v>42105</v>
      </c>
      <c r="F869" s="106">
        <v>4185.1000000000004</v>
      </c>
      <c r="G869" s="31">
        <f t="shared" si="13"/>
        <v>0</v>
      </c>
      <c r="H869" s="19" t="s">
        <v>17</v>
      </c>
      <c r="I869" s="3"/>
      <c r="J869" s="42"/>
      <c r="K869" s="3"/>
    </row>
    <row r="870" spans="1:11" x14ac:dyDescent="0.25">
      <c r="A870" s="20">
        <v>42104</v>
      </c>
      <c r="B870" s="183">
        <v>17407</v>
      </c>
      <c r="C870" s="14" t="s">
        <v>131</v>
      </c>
      <c r="D870" s="105">
        <v>1250.4000000000001</v>
      </c>
      <c r="E870" s="23">
        <v>42104</v>
      </c>
      <c r="F870" s="106">
        <v>1250.4000000000001</v>
      </c>
      <c r="G870" s="31">
        <f t="shared" si="13"/>
        <v>0</v>
      </c>
      <c r="H870" s="19" t="s">
        <v>17</v>
      </c>
      <c r="I870" s="3"/>
      <c r="J870" s="42"/>
      <c r="K870" s="3"/>
    </row>
    <row r="871" spans="1:11" x14ac:dyDescent="0.25">
      <c r="A871" s="20">
        <v>42104</v>
      </c>
      <c r="B871" s="183">
        <v>17408</v>
      </c>
      <c r="C871" s="14" t="s">
        <v>130</v>
      </c>
      <c r="D871" s="105">
        <v>5451.6</v>
      </c>
      <c r="E871" s="23">
        <v>42105</v>
      </c>
      <c r="F871" s="106">
        <v>5451.6</v>
      </c>
      <c r="G871" s="31">
        <f t="shared" si="13"/>
        <v>0</v>
      </c>
      <c r="H871" s="19" t="s">
        <v>9</v>
      </c>
      <c r="I871" s="3"/>
      <c r="J871" s="42"/>
      <c r="K871" s="3"/>
    </row>
    <row r="872" spans="1:11" x14ac:dyDescent="0.25">
      <c r="A872" s="20">
        <v>42104</v>
      </c>
      <c r="B872" s="183">
        <v>17409</v>
      </c>
      <c r="C872" s="14" t="s">
        <v>1058</v>
      </c>
      <c r="D872" s="105">
        <v>2259.4</v>
      </c>
      <c r="E872" s="23">
        <v>42104</v>
      </c>
      <c r="F872" s="106">
        <v>2259.4</v>
      </c>
      <c r="G872" s="31">
        <f t="shared" si="13"/>
        <v>0</v>
      </c>
      <c r="H872" s="19" t="s">
        <v>9</v>
      </c>
      <c r="I872" s="3"/>
      <c r="J872" s="42"/>
      <c r="K872" s="3"/>
    </row>
    <row r="873" spans="1:11" x14ac:dyDescent="0.25">
      <c r="A873" s="20">
        <v>42104</v>
      </c>
      <c r="B873" s="183">
        <v>17410</v>
      </c>
      <c r="C873" s="14" t="s">
        <v>84</v>
      </c>
      <c r="D873" s="105">
        <v>41135.800000000003</v>
      </c>
      <c r="E873" s="30" t="s">
        <v>1081</v>
      </c>
      <c r="F873" s="106">
        <v>41135.800000000003</v>
      </c>
      <c r="G873" s="31">
        <f t="shared" si="13"/>
        <v>0</v>
      </c>
      <c r="H873" s="19" t="s">
        <v>62</v>
      </c>
      <c r="I873" s="3"/>
      <c r="J873" s="42"/>
      <c r="K873" s="3"/>
    </row>
    <row r="874" spans="1:11" x14ac:dyDescent="0.25">
      <c r="A874" s="20">
        <v>42104</v>
      </c>
      <c r="B874" s="183">
        <v>17411</v>
      </c>
      <c r="C874" s="14" t="s">
        <v>72</v>
      </c>
      <c r="D874" s="105">
        <v>21476.94</v>
      </c>
      <c r="E874" s="30" t="s">
        <v>1240</v>
      </c>
      <c r="F874" s="144">
        <v>21476.94</v>
      </c>
      <c r="G874" s="31">
        <f t="shared" si="13"/>
        <v>0</v>
      </c>
      <c r="H874" s="19" t="s">
        <v>62</v>
      </c>
      <c r="I874" s="3"/>
      <c r="J874" s="42"/>
      <c r="K874" s="3"/>
    </row>
    <row r="875" spans="1:11" x14ac:dyDescent="0.25">
      <c r="A875" s="20">
        <v>42104</v>
      </c>
      <c r="B875" s="183">
        <v>17412</v>
      </c>
      <c r="C875" s="14" t="s">
        <v>66</v>
      </c>
      <c r="D875" s="105">
        <v>1311.2</v>
      </c>
      <c r="E875" s="23">
        <v>42104</v>
      </c>
      <c r="F875" s="106">
        <v>1311.2</v>
      </c>
      <c r="G875" s="31">
        <f t="shared" si="13"/>
        <v>0</v>
      </c>
      <c r="H875" s="19" t="s">
        <v>9</v>
      </c>
      <c r="I875" s="3"/>
      <c r="J875" s="42"/>
      <c r="K875" s="3"/>
    </row>
    <row r="876" spans="1:11" x14ac:dyDescent="0.25">
      <c r="A876" s="20">
        <v>42104</v>
      </c>
      <c r="B876" s="183">
        <v>17413</v>
      </c>
      <c r="C876" s="14" t="s">
        <v>571</v>
      </c>
      <c r="D876" s="105">
        <v>45246.720000000001</v>
      </c>
      <c r="E876" s="23" t="s">
        <v>1082</v>
      </c>
      <c r="F876" s="106">
        <f>10246.72+35000</f>
        <v>45246.720000000001</v>
      </c>
      <c r="G876" s="31">
        <f t="shared" si="13"/>
        <v>0</v>
      </c>
      <c r="H876" s="19" t="s">
        <v>94</v>
      </c>
      <c r="I876" s="3"/>
      <c r="J876" s="42"/>
      <c r="K876" s="3"/>
    </row>
    <row r="877" spans="1:11" x14ac:dyDescent="0.25">
      <c r="A877" s="20">
        <v>42104</v>
      </c>
      <c r="B877" s="183">
        <v>17414</v>
      </c>
      <c r="C877" s="14" t="s">
        <v>213</v>
      </c>
      <c r="D877" s="105">
        <v>4630.6000000000004</v>
      </c>
      <c r="E877" s="23">
        <v>42104</v>
      </c>
      <c r="F877" s="106">
        <v>4630.6000000000004</v>
      </c>
      <c r="G877" s="31">
        <f t="shared" si="13"/>
        <v>0</v>
      </c>
      <c r="H877" s="19" t="s">
        <v>94</v>
      </c>
      <c r="I877" s="3"/>
      <c r="J877" s="42"/>
      <c r="K877" s="3"/>
    </row>
    <row r="878" spans="1:11" x14ac:dyDescent="0.25">
      <c r="A878" s="20">
        <v>42104</v>
      </c>
      <c r="B878" s="183">
        <v>17415</v>
      </c>
      <c r="C878" s="14" t="s">
        <v>176</v>
      </c>
      <c r="D878" s="105">
        <v>8509.7999999999993</v>
      </c>
      <c r="E878" s="30" t="s">
        <v>1083</v>
      </c>
      <c r="F878" s="106">
        <v>8509.7999999999993</v>
      </c>
      <c r="G878" s="31">
        <f t="shared" si="13"/>
        <v>0</v>
      </c>
      <c r="H878" s="19" t="s">
        <v>62</v>
      </c>
      <c r="I878" s="3"/>
      <c r="J878" s="42"/>
      <c r="K878" s="3"/>
    </row>
    <row r="879" spans="1:11" x14ac:dyDescent="0.25">
      <c r="A879" s="20">
        <v>42104</v>
      </c>
      <c r="B879" s="183">
        <v>17416</v>
      </c>
      <c r="C879" s="14" t="s">
        <v>1019</v>
      </c>
      <c r="D879" s="105">
        <v>1078.7</v>
      </c>
      <c r="E879" s="23">
        <v>42107</v>
      </c>
      <c r="F879" s="106">
        <v>1078.7</v>
      </c>
      <c r="G879" s="31">
        <f t="shared" si="13"/>
        <v>0</v>
      </c>
      <c r="H879" s="19" t="s">
        <v>62</v>
      </c>
      <c r="I879" s="3"/>
      <c r="J879" s="42"/>
      <c r="K879" s="3"/>
    </row>
    <row r="880" spans="1:11" x14ac:dyDescent="0.25">
      <c r="A880" s="20">
        <v>42104</v>
      </c>
      <c r="B880" s="183">
        <v>17417</v>
      </c>
      <c r="C880" s="14" t="s">
        <v>170</v>
      </c>
      <c r="D880" s="105">
        <v>441</v>
      </c>
      <c r="E880" s="23">
        <v>42107</v>
      </c>
      <c r="F880" s="106">
        <v>441</v>
      </c>
      <c r="G880" s="31">
        <f t="shared" si="13"/>
        <v>0</v>
      </c>
      <c r="H880" s="19" t="s">
        <v>62</v>
      </c>
      <c r="I880" s="3"/>
      <c r="J880" s="42"/>
      <c r="K880" s="3"/>
    </row>
    <row r="881" spans="1:11" x14ac:dyDescent="0.25">
      <c r="A881" s="20">
        <v>42104</v>
      </c>
      <c r="B881" s="183">
        <v>17418</v>
      </c>
      <c r="C881" s="14" t="s">
        <v>61</v>
      </c>
      <c r="D881" s="105">
        <v>7614</v>
      </c>
      <c r="E881" s="23">
        <v>42107</v>
      </c>
      <c r="F881" s="106">
        <v>7614</v>
      </c>
      <c r="G881" s="31">
        <f t="shared" si="13"/>
        <v>0</v>
      </c>
      <c r="H881" s="19" t="s">
        <v>62</v>
      </c>
      <c r="I881" s="3"/>
      <c r="J881" s="42"/>
      <c r="K881" s="3"/>
    </row>
    <row r="882" spans="1:11" x14ac:dyDescent="0.25">
      <c r="A882" s="20">
        <v>42104</v>
      </c>
      <c r="B882" s="183">
        <v>17419</v>
      </c>
      <c r="C882" s="150" t="s">
        <v>331</v>
      </c>
      <c r="D882" s="105">
        <v>1960.8</v>
      </c>
      <c r="E882" s="23">
        <v>42107</v>
      </c>
      <c r="F882" s="106">
        <v>1960.8</v>
      </c>
      <c r="G882" s="31">
        <f t="shared" si="13"/>
        <v>0</v>
      </c>
      <c r="H882" s="19" t="s">
        <v>62</v>
      </c>
      <c r="I882" s="3"/>
      <c r="J882" s="42"/>
      <c r="K882" s="3"/>
    </row>
    <row r="883" spans="1:11" x14ac:dyDescent="0.25">
      <c r="A883" s="20">
        <v>42104</v>
      </c>
      <c r="B883" s="183">
        <v>17420</v>
      </c>
      <c r="C883" s="14" t="s">
        <v>24</v>
      </c>
      <c r="D883" s="105">
        <v>151863.44</v>
      </c>
      <c r="E883" s="30">
        <v>42125</v>
      </c>
      <c r="F883" s="144">
        <v>151863.44</v>
      </c>
      <c r="G883" s="31">
        <f t="shared" si="13"/>
        <v>0</v>
      </c>
      <c r="H883" s="19" t="s">
        <v>1013</v>
      </c>
      <c r="K883" s="3"/>
    </row>
    <row r="884" spans="1:11" x14ac:dyDescent="0.25">
      <c r="A884" s="20">
        <v>42104</v>
      </c>
      <c r="B884" s="183">
        <v>17421</v>
      </c>
      <c r="C884" s="14" t="s">
        <v>135</v>
      </c>
      <c r="D884" s="105">
        <v>3914.4</v>
      </c>
      <c r="E884" s="23">
        <v>42104</v>
      </c>
      <c r="F884" s="106">
        <v>3914.4</v>
      </c>
      <c r="G884" s="31">
        <f t="shared" si="13"/>
        <v>0</v>
      </c>
      <c r="H884" s="19" t="s">
        <v>9</v>
      </c>
      <c r="K884" s="3"/>
    </row>
    <row r="885" spans="1:11" x14ac:dyDescent="0.25">
      <c r="A885" s="20">
        <v>42104</v>
      </c>
      <c r="B885" s="183">
        <v>17422</v>
      </c>
      <c r="C885" s="14" t="s">
        <v>1084</v>
      </c>
      <c r="D885" s="105">
        <v>180.4</v>
      </c>
      <c r="E885" s="23">
        <v>42104</v>
      </c>
      <c r="F885" s="106">
        <v>180.4</v>
      </c>
      <c r="G885" s="31">
        <f t="shared" si="13"/>
        <v>0</v>
      </c>
      <c r="H885" s="19" t="s">
        <v>9</v>
      </c>
      <c r="K885" s="3"/>
    </row>
    <row r="886" spans="1:11" x14ac:dyDescent="0.25">
      <c r="A886" s="20">
        <v>42104</v>
      </c>
      <c r="B886" s="183">
        <v>17423</v>
      </c>
      <c r="C886" s="14" t="s">
        <v>42</v>
      </c>
      <c r="D886" s="105">
        <v>136</v>
      </c>
      <c r="E886" s="23">
        <v>42104</v>
      </c>
      <c r="F886" s="106">
        <v>136</v>
      </c>
      <c r="G886" s="31">
        <f t="shared" si="13"/>
        <v>0</v>
      </c>
      <c r="H886" s="19" t="s">
        <v>9</v>
      </c>
      <c r="K886" s="3"/>
    </row>
    <row r="887" spans="1:11" x14ac:dyDescent="0.25">
      <c r="A887" s="20">
        <v>42104</v>
      </c>
      <c r="B887" s="183">
        <v>17424</v>
      </c>
      <c r="C887" s="14" t="s">
        <v>76</v>
      </c>
      <c r="D887" s="105">
        <v>1619.9</v>
      </c>
      <c r="E887" s="23">
        <v>42104</v>
      </c>
      <c r="F887" s="106">
        <v>1619.9</v>
      </c>
      <c r="G887" s="31">
        <f t="shared" si="13"/>
        <v>0</v>
      </c>
      <c r="H887" s="19" t="s">
        <v>9</v>
      </c>
      <c r="K887" s="3"/>
    </row>
    <row r="888" spans="1:11" x14ac:dyDescent="0.25">
      <c r="A888" s="20">
        <v>42104</v>
      </c>
      <c r="B888" s="183">
        <v>17425</v>
      </c>
      <c r="C888" s="14" t="s">
        <v>110</v>
      </c>
      <c r="D888" s="105">
        <v>51412.6</v>
      </c>
      <c r="E888" s="23">
        <v>42117</v>
      </c>
      <c r="F888" s="106">
        <v>51412.6</v>
      </c>
      <c r="G888" s="31">
        <f t="shared" si="13"/>
        <v>0</v>
      </c>
      <c r="H888" s="19" t="s">
        <v>41</v>
      </c>
      <c r="K888" s="3"/>
    </row>
    <row r="889" spans="1:11" x14ac:dyDescent="0.25">
      <c r="A889" s="20">
        <v>42104</v>
      </c>
      <c r="B889" s="183">
        <v>17426</v>
      </c>
      <c r="C889" s="14" t="s">
        <v>71</v>
      </c>
      <c r="D889" s="105">
        <v>1400.88</v>
      </c>
      <c r="E889" s="23">
        <v>42104</v>
      </c>
      <c r="F889" s="106">
        <v>1400.88</v>
      </c>
      <c r="G889" s="31">
        <f t="shared" si="13"/>
        <v>0</v>
      </c>
      <c r="H889" s="19" t="s">
        <v>9</v>
      </c>
      <c r="K889" s="3"/>
    </row>
    <row r="890" spans="1:11" x14ac:dyDescent="0.25">
      <c r="A890" s="20">
        <v>42104</v>
      </c>
      <c r="B890" s="183">
        <v>17427</v>
      </c>
      <c r="C890" s="14" t="s">
        <v>108</v>
      </c>
      <c r="D890" s="105">
        <v>33168.5</v>
      </c>
      <c r="E890" s="23">
        <v>42107</v>
      </c>
      <c r="F890" s="106">
        <v>33168.5</v>
      </c>
      <c r="G890" s="31">
        <f t="shared" si="13"/>
        <v>0</v>
      </c>
      <c r="H890" s="19" t="s">
        <v>187</v>
      </c>
      <c r="K890" s="3"/>
    </row>
    <row r="891" spans="1:11" x14ac:dyDescent="0.25">
      <c r="A891" s="20">
        <v>42104</v>
      </c>
      <c r="B891" s="183">
        <v>17428</v>
      </c>
      <c r="C891" s="14" t="s">
        <v>105</v>
      </c>
      <c r="D891" s="105">
        <v>990</v>
      </c>
      <c r="E891" s="23">
        <v>42104</v>
      </c>
      <c r="F891" s="106">
        <v>990</v>
      </c>
      <c r="G891" s="31">
        <f t="shared" si="13"/>
        <v>0</v>
      </c>
      <c r="H891" s="19" t="s">
        <v>9</v>
      </c>
      <c r="K891" s="3"/>
    </row>
    <row r="892" spans="1:11" x14ac:dyDescent="0.25">
      <c r="A892" s="20">
        <v>42104</v>
      </c>
      <c r="B892" s="183">
        <v>17429</v>
      </c>
      <c r="C892" s="14" t="s">
        <v>106</v>
      </c>
      <c r="D892" s="105">
        <v>30801.599999999999</v>
      </c>
      <c r="E892" s="23">
        <v>42104</v>
      </c>
      <c r="F892" s="106">
        <v>30801.599999999999</v>
      </c>
      <c r="G892" s="31">
        <f t="shared" si="13"/>
        <v>0</v>
      </c>
      <c r="H892" s="19" t="s">
        <v>46</v>
      </c>
      <c r="K892" s="3"/>
    </row>
    <row r="893" spans="1:11" x14ac:dyDescent="0.25">
      <c r="A893" s="20">
        <v>42104</v>
      </c>
      <c r="B893" s="183">
        <v>17430</v>
      </c>
      <c r="C893" s="14" t="s">
        <v>105</v>
      </c>
      <c r="D893" s="105">
        <v>107.1</v>
      </c>
      <c r="E893" s="23">
        <v>42104</v>
      </c>
      <c r="F893" s="106">
        <v>107.1</v>
      </c>
      <c r="G893" s="31">
        <f t="shared" si="13"/>
        <v>0</v>
      </c>
      <c r="H893" s="19" t="s">
        <v>9</v>
      </c>
      <c r="J893" s="107"/>
      <c r="K893" s="3"/>
    </row>
    <row r="894" spans="1:11" x14ac:dyDescent="0.25">
      <c r="A894" s="20">
        <v>42104</v>
      </c>
      <c r="B894" s="183">
        <v>17431</v>
      </c>
      <c r="C894" s="14" t="s">
        <v>105</v>
      </c>
      <c r="D894" s="105">
        <v>106.25</v>
      </c>
      <c r="E894" s="23">
        <v>42104</v>
      </c>
      <c r="F894" s="106">
        <v>106.25</v>
      </c>
      <c r="G894" s="31">
        <f t="shared" si="13"/>
        <v>0</v>
      </c>
      <c r="H894" s="19" t="s">
        <v>9</v>
      </c>
      <c r="K894" s="3"/>
    </row>
    <row r="895" spans="1:11" x14ac:dyDescent="0.25">
      <c r="A895" s="20">
        <v>42104</v>
      </c>
      <c r="B895" s="183">
        <v>17432</v>
      </c>
      <c r="C895" s="14" t="s">
        <v>35</v>
      </c>
      <c r="D895" s="105">
        <v>510</v>
      </c>
      <c r="E895" s="23">
        <v>42104</v>
      </c>
      <c r="F895" s="106">
        <v>510</v>
      </c>
      <c r="G895" s="31">
        <f t="shared" si="13"/>
        <v>0</v>
      </c>
      <c r="H895" s="19" t="s">
        <v>9</v>
      </c>
      <c r="K895" s="3"/>
    </row>
    <row r="896" spans="1:11" x14ac:dyDescent="0.25">
      <c r="A896" s="20">
        <v>42104</v>
      </c>
      <c r="B896" s="183">
        <v>17433</v>
      </c>
      <c r="C896" s="14" t="s">
        <v>190</v>
      </c>
      <c r="D896" s="105">
        <v>3910.8</v>
      </c>
      <c r="E896" s="23">
        <v>42105</v>
      </c>
      <c r="F896" s="106">
        <v>3910.8</v>
      </c>
      <c r="G896" s="31">
        <f t="shared" si="13"/>
        <v>0</v>
      </c>
      <c r="H896" s="39" t="s">
        <v>94</v>
      </c>
      <c r="K896" s="3"/>
    </row>
    <row r="897" spans="1:11" x14ac:dyDescent="0.25">
      <c r="A897" s="20">
        <v>42104</v>
      </c>
      <c r="B897" s="183">
        <v>17434</v>
      </c>
      <c r="C897" s="14" t="s">
        <v>93</v>
      </c>
      <c r="D897" s="105">
        <v>1621.3</v>
      </c>
      <c r="E897" s="23">
        <v>42105</v>
      </c>
      <c r="F897" s="106">
        <v>1621.3</v>
      </c>
      <c r="G897" s="31">
        <f t="shared" si="13"/>
        <v>0</v>
      </c>
      <c r="H897" s="39" t="s">
        <v>94</v>
      </c>
      <c r="K897" s="3"/>
    </row>
    <row r="898" spans="1:11" x14ac:dyDescent="0.25">
      <c r="A898" s="20">
        <v>42104</v>
      </c>
      <c r="B898" s="183">
        <v>17435</v>
      </c>
      <c r="C898" s="14" t="s">
        <v>95</v>
      </c>
      <c r="D898" s="105">
        <v>1559.3</v>
      </c>
      <c r="E898" s="23">
        <v>42105</v>
      </c>
      <c r="F898" s="106">
        <v>1559.3</v>
      </c>
      <c r="G898" s="31">
        <f t="shared" si="13"/>
        <v>0</v>
      </c>
      <c r="H898" s="39" t="s">
        <v>94</v>
      </c>
      <c r="K898" s="3"/>
    </row>
    <row r="899" spans="1:11" x14ac:dyDescent="0.25">
      <c r="A899" s="20">
        <v>42104</v>
      </c>
      <c r="B899" s="183">
        <v>17436</v>
      </c>
      <c r="C899" s="14" t="s">
        <v>101</v>
      </c>
      <c r="D899" s="105">
        <v>796</v>
      </c>
      <c r="E899" s="23">
        <v>42105</v>
      </c>
      <c r="F899" s="106">
        <v>796</v>
      </c>
      <c r="G899" s="31">
        <f t="shared" ref="G899:G962" si="14">D899-F899</f>
        <v>0</v>
      </c>
      <c r="H899" s="39" t="s">
        <v>94</v>
      </c>
      <c r="I899" s="3"/>
      <c r="J899" s="42"/>
      <c r="K899" s="3"/>
    </row>
    <row r="900" spans="1:11" x14ac:dyDescent="0.25">
      <c r="A900" s="20">
        <v>42104</v>
      </c>
      <c r="B900" s="183">
        <v>17437</v>
      </c>
      <c r="C900" s="14" t="s">
        <v>98</v>
      </c>
      <c r="D900" s="105">
        <v>4025.6</v>
      </c>
      <c r="E900" s="23">
        <v>42105</v>
      </c>
      <c r="F900" s="106">
        <v>4025.6</v>
      </c>
      <c r="G900" s="31">
        <f t="shared" si="14"/>
        <v>0</v>
      </c>
      <c r="H900" s="39" t="s">
        <v>94</v>
      </c>
      <c r="I900" s="3"/>
      <c r="J900" s="42"/>
      <c r="K900" s="3"/>
    </row>
    <row r="901" spans="1:11" x14ac:dyDescent="0.25">
      <c r="A901" s="20">
        <v>42104</v>
      </c>
      <c r="B901" s="183">
        <v>17438</v>
      </c>
      <c r="C901" s="14" t="s">
        <v>104</v>
      </c>
      <c r="D901" s="105">
        <v>16708</v>
      </c>
      <c r="E901" s="23">
        <v>42105</v>
      </c>
      <c r="F901" s="106">
        <v>16708</v>
      </c>
      <c r="G901" s="31">
        <f t="shared" si="14"/>
        <v>0</v>
      </c>
      <c r="H901" s="39" t="s">
        <v>94</v>
      </c>
      <c r="I901" s="3"/>
      <c r="J901" s="42"/>
      <c r="K901" s="3"/>
    </row>
    <row r="902" spans="1:11" x14ac:dyDescent="0.25">
      <c r="A902" s="20">
        <v>42104</v>
      </c>
      <c r="B902" s="183">
        <v>17439</v>
      </c>
      <c r="C902" s="14" t="s">
        <v>55</v>
      </c>
      <c r="D902" s="105">
        <v>3244.4</v>
      </c>
      <c r="E902" s="23">
        <v>42105</v>
      </c>
      <c r="F902" s="106">
        <v>3244.4</v>
      </c>
      <c r="G902" s="31">
        <f t="shared" si="14"/>
        <v>0</v>
      </c>
      <c r="H902" s="39" t="s">
        <v>773</v>
      </c>
      <c r="I902" s="3"/>
      <c r="J902" s="42"/>
      <c r="K902" s="3"/>
    </row>
    <row r="903" spans="1:11" x14ac:dyDescent="0.25">
      <c r="A903" s="20">
        <v>42104</v>
      </c>
      <c r="B903" s="183">
        <v>17440</v>
      </c>
      <c r="C903" s="26" t="s">
        <v>218</v>
      </c>
      <c r="D903" s="108">
        <v>0</v>
      </c>
      <c r="E903" s="23"/>
      <c r="F903" s="106"/>
      <c r="G903" s="31">
        <f t="shared" si="14"/>
        <v>0</v>
      </c>
      <c r="H903" s="39" t="s">
        <v>13</v>
      </c>
      <c r="I903" s="3"/>
      <c r="J903" s="42"/>
      <c r="K903" s="3"/>
    </row>
    <row r="904" spans="1:11" x14ac:dyDescent="0.25">
      <c r="A904" s="20">
        <v>42104</v>
      </c>
      <c r="B904" s="183">
        <v>17441</v>
      </c>
      <c r="C904" s="14" t="s">
        <v>47</v>
      </c>
      <c r="D904" s="105">
        <v>12940</v>
      </c>
      <c r="E904" s="23">
        <v>42106</v>
      </c>
      <c r="F904" s="106">
        <v>12940</v>
      </c>
      <c r="G904" s="31">
        <f t="shared" si="14"/>
        <v>0</v>
      </c>
      <c r="H904" s="39" t="s">
        <v>773</v>
      </c>
      <c r="I904" s="3"/>
      <c r="J904" s="42"/>
      <c r="K904" s="3"/>
    </row>
    <row r="905" spans="1:11" x14ac:dyDescent="0.25">
      <c r="A905" s="20">
        <v>42104</v>
      </c>
      <c r="B905" s="183">
        <v>17442</v>
      </c>
      <c r="C905" s="14" t="s">
        <v>37</v>
      </c>
      <c r="D905" s="105">
        <v>2554.6</v>
      </c>
      <c r="E905" s="23">
        <v>42114</v>
      </c>
      <c r="F905" s="106">
        <v>2554.6</v>
      </c>
      <c r="G905" s="31">
        <f t="shared" si="14"/>
        <v>0</v>
      </c>
      <c r="H905" s="39" t="s">
        <v>773</v>
      </c>
      <c r="I905" s="3"/>
      <c r="J905" s="42"/>
      <c r="K905" s="3"/>
    </row>
    <row r="906" spans="1:11" x14ac:dyDescent="0.25">
      <c r="A906" s="20">
        <v>42104</v>
      </c>
      <c r="B906" s="183">
        <v>17443</v>
      </c>
      <c r="C906" s="14" t="s">
        <v>37</v>
      </c>
      <c r="D906" s="105">
        <v>246.1</v>
      </c>
      <c r="E906" s="23">
        <v>42114</v>
      </c>
      <c r="F906" s="106">
        <v>246.1</v>
      </c>
      <c r="G906" s="31">
        <f t="shared" si="14"/>
        <v>0</v>
      </c>
      <c r="H906" s="39" t="s">
        <v>773</v>
      </c>
      <c r="I906" s="3"/>
      <c r="J906" s="42"/>
      <c r="K906" s="3"/>
    </row>
    <row r="907" spans="1:11" x14ac:dyDescent="0.25">
      <c r="A907" s="20">
        <v>42104</v>
      </c>
      <c r="B907" s="183">
        <v>17444</v>
      </c>
      <c r="C907" s="14" t="s">
        <v>134</v>
      </c>
      <c r="D907" s="105">
        <v>4262.3999999999996</v>
      </c>
      <c r="E907" s="23">
        <v>42105</v>
      </c>
      <c r="F907" s="106">
        <v>4262.3999999999996</v>
      </c>
      <c r="G907" s="31">
        <f t="shared" si="14"/>
        <v>0</v>
      </c>
      <c r="H907" s="39" t="s">
        <v>9</v>
      </c>
      <c r="I907" s="3"/>
      <c r="J907" s="42"/>
      <c r="K907" s="3"/>
    </row>
    <row r="908" spans="1:11" x14ac:dyDescent="0.25">
      <c r="A908" s="20">
        <v>42104</v>
      </c>
      <c r="B908" s="183">
        <v>17445</v>
      </c>
      <c r="C908" s="14" t="s">
        <v>684</v>
      </c>
      <c r="D908" s="105">
        <v>3931.2</v>
      </c>
      <c r="E908" s="23">
        <v>42105</v>
      </c>
      <c r="F908" s="106">
        <v>3931.2</v>
      </c>
      <c r="G908" s="31">
        <f t="shared" si="14"/>
        <v>0</v>
      </c>
      <c r="H908" s="39" t="s">
        <v>773</v>
      </c>
      <c r="I908" s="3"/>
      <c r="J908" s="42"/>
      <c r="K908" s="3"/>
    </row>
    <row r="909" spans="1:11" x14ac:dyDescent="0.25">
      <c r="A909" s="20">
        <v>42104</v>
      </c>
      <c r="B909" s="183">
        <v>17446</v>
      </c>
      <c r="C909" s="14" t="s">
        <v>571</v>
      </c>
      <c r="D909" s="105">
        <v>980</v>
      </c>
      <c r="E909" s="23">
        <v>42104</v>
      </c>
      <c r="F909" s="106">
        <v>980</v>
      </c>
      <c r="G909" s="31">
        <f t="shared" si="14"/>
        <v>0</v>
      </c>
      <c r="H909" s="39" t="s">
        <v>187</v>
      </c>
      <c r="I909" s="3"/>
      <c r="J909" s="42"/>
      <c r="K909" s="3"/>
    </row>
    <row r="910" spans="1:11" x14ac:dyDescent="0.25">
      <c r="A910" s="20">
        <v>42104</v>
      </c>
      <c r="B910" s="183">
        <v>17447</v>
      </c>
      <c r="C910" s="14" t="s">
        <v>111</v>
      </c>
      <c r="D910" s="105">
        <v>16188</v>
      </c>
      <c r="E910" s="23">
        <v>42108</v>
      </c>
      <c r="F910" s="106">
        <v>16188</v>
      </c>
      <c r="G910" s="31">
        <f t="shared" si="14"/>
        <v>0</v>
      </c>
      <c r="H910" s="39" t="s">
        <v>187</v>
      </c>
      <c r="I910" s="3"/>
      <c r="J910" s="42"/>
      <c r="K910" s="3"/>
    </row>
    <row r="911" spans="1:11" x14ac:dyDescent="0.25">
      <c r="A911" s="20">
        <v>42104</v>
      </c>
      <c r="B911" s="183">
        <v>17448</v>
      </c>
      <c r="C911" s="14" t="s">
        <v>111</v>
      </c>
      <c r="D911" s="105">
        <v>203020</v>
      </c>
      <c r="E911" s="23">
        <v>42108</v>
      </c>
      <c r="F911" s="106">
        <v>203020</v>
      </c>
      <c r="G911" s="31">
        <f t="shared" si="14"/>
        <v>0</v>
      </c>
      <c r="H911" s="19" t="s">
        <v>187</v>
      </c>
      <c r="I911" s="3"/>
      <c r="J911" s="42"/>
      <c r="K911" s="3"/>
    </row>
    <row r="912" spans="1:11" x14ac:dyDescent="0.25">
      <c r="A912" s="20">
        <v>42104</v>
      </c>
      <c r="B912" s="183">
        <v>17449</v>
      </c>
      <c r="C912" s="14" t="s">
        <v>256</v>
      </c>
      <c r="D912" s="105">
        <v>6172</v>
      </c>
      <c r="E912" s="23">
        <v>42105</v>
      </c>
      <c r="F912" s="106">
        <v>6172</v>
      </c>
      <c r="G912" s="31">
        <f t="shared" si="14"/>
        <v>0</v>
      </c>
      <c r="H912" s="19" t="s">
        <v>773</v>
      </c>
      <c r="I912" s="3"/>
      <c r="J912" s="42"/>
      <c r="K912" s="3"/>
    </row>
    <row r="913" spans="1:11" x14ac:dyDescent="0.25">
      <c r="A913" s="20">
        <v>42104</v>
      </c>
      <c r="B913" s="183">
        <v>17450</v>
      </c>
      <c r="C913" s="14" t="s">
        <v>102</v>
      </c>
      <c r="D913" s="105">
        <v>2587.1999999999998</v>
      </c>
      <c r="E913" s="23">
        <v>42104</v>
      </c>
      <c r="F913" s="106">
        <v>2587.1999999999998</v>
      </c>
      <c r="G913" s="31">
        <f t="shared" si="14"/>
        <v>0</v>
      </c>
      <c r="H913" s="19" t="s">
        <v>62</v>
      </c>
      <c r="I913" s="3"/>
      <c r="J913" s="42"/>
      <c r="K913" s="3"/>
    </row>
    <row r="914" spans="1:11" x14ac:dyDescent="0.25">
      <c r="A914" s="20">
        <v>42104</v>
      </c>
      <c r="B914" s="183">
        <v>17451</v>
      </c>
      <c r="C914" s="14" t="s">
        <v>334</v>
      </c>
      <c r="D914" s="105">
        <v>3059</v>
      </c>
      <c r="E914" s="23">
        <v>42105</v>
      </c>
      <c r="F914" s="106">
        <v>3059</v>
      </c>
      <c r="G914" s="31">
        <f t="shared" si="14"/>
        <v>0</v>
      </c>
      <c r="H914" s="19" t="s">
        <v>773</v>
      </c>
      <c r="I914" s="3"/>
      <c r="J914" s="42"/>
      <c r="K914" s="3"/>
    </row>
    <row r="915" spans="1:11" x14ac:dyDescent="0.25">
      <c r="A915" s="20">
        <v>42104</v>
      </c>
      <c r="B915" s="183">
        <v>17452</v>
      </c>
      <c r="C915" s="14" t="s">
        <v>136</v>
      </c>
      <c r="D915" s="105">
        <v>24336</v>
      </c>
      <c r="E915" s="23">
        <v>42105</v>
      </c>
      <c r="F915" s="106">
        <v>24336</v>
      </c>
      <c r="G915" s="31">
        <f t="shared" si="14"/>
        <v>0</v>
      </c>
      <c r="H915" s="19" t="s">
        <v>41</v>
      </c>
      <c r="K915" s="3"/>
    </row>
    <row r="916" spans="1:11" x14ac:dyDescent="0.25">
      <c r="A916" s="20">
        <v>42104</v>
      </c>
      <c r="B916" s="183">
        <v>17453</v>
      </c>
      <c r="C916" s="14" t="s">
        <v>232</v>
      </c>
      <c r="D916" s="105">
        <v>3255.4</v>
      </c>
      <c r="E916" s="23">
        <v>42105</v>
      </c>
      <c r="F916" s="106">
        <v>3255.4</v>
      </c>
      <c r="G916" s="31">
        <f t="shared" si="14"/>
        <v>0</v>
      </c>
      <c r="H916" s="19" t="s">
        <v>41</v>
      </c>
      <c r="K916" s="3"/>
    </row>
    <row r="917" spans="1:11" x14ac:dyDescent="0.25">
      <c r="A917" s="20">
        <v>42104</v>
      </c>
      <c r="B917" s="183">
        <v>17454</v>
      </c>
      <c r="C917" s="14" t="s">
        <v>66</v>
      </c>
      <c r="D917" s="105">
        <v>1615.2</v>
      </c>
      <c r="E917" s="23">
        <v>42104</v>
      </c>
      <c r="F917" s="106">
        <v>1615.2</v>
      </c>
      <c r="G917" s="31">
        <f t="shared" si="14"/>
        <v>0</v>
      </c>
      <c r="H917" s="19" t="s">
        <v>9</v>
      </c>
      <c r="K917" s="3"/>
    </row>
    <row r="918" spans="1:11" x14ac:dyDescent="0.25">
      <c r="A918" s="20">
        <v>42104</v>
      </c>
      <c r="B918" s="183">
        <v>17455</v>
      </c>
      <c r="C918" s="14" t="s">
        <v>24</v>
      </c>
      <c r="D918" s="105">
        <v>53617.8</v>
      </c>
      <c r="E918" s="30">
        <v>42125</v>
      </c>
      <c r="F918" s="144">
        <v>53617.8</v>
      </c>
      <c r="G918" s="31">
        <f t="shared" si="14"/>
        <v>0</v>
      </c>
      <c r="H918" s="19" t="s">
        <v>17</v>
      </c>
      <c r="K918" s="3"/>
    </row>
    <row r="919" spans="1:11" x14ac:dyDescent="0.25">
      <c r="A919" s="20">
        <v>42104</v>
      </c>
      <c r="B919" s="183">
        <v>17456</v>
      </c>
      <c r="C919" s="14" t="s">
        <v>90</v>
      </c>
      <c r="D919" s="105">
        <v>308.7</v>
      </c>
      <c r="E919" s="23">
        <v>42104</v>
      </c>
      <c r="F919" s="106">
        <v>308.7</v>
      </c>
      <c r="G919" s="31">
        <f t="shared" si="14"/>
        <v>0</v>
      </c>
      <c r="H919" s="19" t="s">
        <v>9</v>
      </c>
      <c r="K919" s="3"/>
    </row>
    <row r="920" spans="1:11" x14ac:dyDescent="0.25">
      <c r="A920" s="20">
        <v>42104</v>
      </c>
      <c r="B920" s="183">
        <v>17457</v>
      </c>
      <c r="C920" s="14" t="s">
        <v>234</v>
      </c>
      <c r="D920" s="105">
        <v>1296.4000000000001</v>
      </c>
      <c r="E920" s="23">
        <v>42104</v>
      </c>
      <c r="F920" s="106">
        <v>1296.4000000000001</v>
      </c>
      <c r="G920" s="31">
        <f t="shared" si="14"/>
        <v>0</v>
      </c>
      <c r="H920" s="19" t="s">
        <v>9</v>
      </c>
      <c r="K920" s="3"/>
    </row>
    <row r="921" spans="1:11" x14ac:dyDescent="0.25">
      <c r="A921" s="20">
        <v>42104</v>
      </c>
      <c r="B921" s="183">
        <v>17458</v>
      </c>
      <c r="C921" s="14" t="s">
        <v>80</v>
      </c>
      <c r="D921" s="105">
        <v>6701.4</v>
      </c>
      <c r="E921" s="23">
        <v>42104</v>
      </c>
      <c r="F921" s="106">
        <v>6701.4</v>
      </c>
      <c r="G921" s="31">
        <f t="shared" si="14"/>
        <v>0</v>
      </c>
      <c r="H921" s="19" t="s">
        <v>9</v>
      </c>
      <c r="J921" s="107"/>
      <c r="K921" s="3"/>
    </row>
    <row r="922" spans="1:11" x14ac:dyDescent="0.25">
      <c r="A922" s="20">
        <v>42104</v>
      </c>
      <c r="B922" s="183">
        <v>17459</v>
      </c>
      <c r="C922" s="14" t="s">
        <v>234</v>
      </c>
      <c r="D922" s="105">
        <v>196.2</v>
      </c>
      <c r="E922" s="23">
        <v>42104</v>
      </c>
      <c r="F922" s="106">
        <v>196.2</v>
      </c>
      <c r="G922" s="31">
        <f t="shared" si="14"/>
        <v>0</v>
      </c>
      <c r="H922" s="19" t="s">
        <v>9</v>
      </c>
      <c r="J922" s="107"/>
      <c r="K922" s="3"/>
    </row>
    <row r="923" spans="1:11" x14ac:dyDescent="0.25">
      <c r="A923" s="20">
        <v>42104</v>
      </c>
      <c r="B923" s="183">
        <v>17460</v>
      </c>
      <c r="C923" s="14" t="s">
        <v>45</v>
      </c>
      <c r="D923" s="105">
        <v>35553.800000000003</v>
      </c>
      <c r="E923" s="23">
        <v>42117</v>
      </c>
      <c r="F923" s="106">
        <v>35553.800000000003</v>
      </c>
      <c r="G923" s="31">
        <f t="shared" si="14"/>
        <v>0</v>
      </c>
      <c r="H923" s="19" t="s">
        <v>59</v>
      </c>
      <c r="K923" s="3"/>
    </row>
    <row r="924" spans="1:11" x14ac:dyDescent="0.25">
      <c r="A924" s="20">
        <v>42104</v>
      </c>
      <c r="B924" s="183">
        <v>17461</v>
      </c>
      <c r="C924" s="14" t="s">
        <v>1020</v>
      </c>
      <c r="D924" s="105">
        <v>5749.8</v>
      </c>
      <c r="E924" s="23">
        <v>42104</v>
      </c>
      <c r="F924" s="106">
        <v>5749.8</v>
      </c>
      <c r="G924" s="31">
        <f t="shared" si="14"/>
        <v>0</v>
      </c>
      <c r="H924" s="19" t="s">
        <v>9</v>
      </c>
      <c r="K924" s="3"/>
    </row>
    <row r="925" spans="1:11" x14ac:dyDescent="0.25">
      <c r="A925" s="20">
        <v>42104</v>
      </c>
      <c r="B925" s="183">
        <v>17462</v>
      </c>
      <c r="C925" s="14" t="s">
        <v>854</v>
      </c>
      <c r="D925" s="105">
        <v>11508.95</v>
      </c>
      <c r="E925" s="23">
        <v>42104</v>
      </c>
      <c r="F925" s="106">
        <v>11508.95</v>
      </c>
      <c r="G925" s="31">
        <f t="shared" si="14"/>
        <v>0</v>
      </c>
      <c r="H925" s="19" t="s">
        <v>9</v>
      </c>
      <c r="K925" s="3"/>
    </row>
    <row r="926" spans="1:11" x14ac:dyDescent="0.25">
      <c r="A926" s="20">
        <v>42104</v>
      </c>
      <c r="B926" s="183">
        <v>17463</v>
      </c>
      <c r="C926" s="14" t="s">
        <v>854</v>
      </c>
      <c r="D926" s="105">
        <v>678.4</v>
      </c>
      <c r="E926" s="23">
        <v>42104</v>
      </c>
      <c r="F926" s="106">
        <v>678.4</v>
      </c>
      <c r="G926" s="31">
        <f t="shared" si="14"/>
        <v>0</v>
      </c>
      <c r="H926" s="19" t="s">
        <v>9</v>
      </c>
      <c r="K926" s="3"/>
    </row>
    <row r="927" spans="1:11" x14ac:dyDescent="0.25">
      <c r="A927" s="20">
        <v>42104</v>
      </c>
      <c r="B927" s="183">
        <v>17464</v>
      </c>
      <c r="C927" s="14" t="s">
        <v>235</v>
      </c>
      <c r="D927" s="105">
        <v>2167.1999999999998</v>
      </c>
      <c r="E927" s="23">
        <v>42105</v>
      </c>
      <c r="F927" s="106">
        <v>2167.1999999999998</v>
      </c>
      <c r="G927" s="31">
        <f t="shared" si="14"/>
        <v>0</v>
      </c>
      <c r="H927" s="19" t="s">
        <v>17</v>
      </c>
      <c r="K927" s="3"/>
    </row>
    <row r="928" spans="1:11" x14ac:dyDescent="0.25">
      <c r="A928" s="20">
        <v>42104</v>
      </c>
      <c r="B928" s="183">
        <v>17465</v>
      </c>
      <c r="C928" s="14" t="s">
        <v>47</v>
      </c>
      <c r="D928" s="105">
        <v>13065.6</v>
      </c>
      <c r="E928" s="23">
        <v>42106</v>
      </c>
      <c r="F928" s="106">
        <v>13065.6</v>
      </c>
      <c r="G928" s="31">
        <f t="shared" si="14"/>
        <v>0</v>
      </c>
      <c r="H928" s="19" t="s">
        <v>9</v>
      </c>
      <c r="K928" s="3"/>
    </row>
    <row r="929" spans="1:11" x14ac:dyDescent="0.25">
      <c r="A929" s="20">
        <v>42105</v>
      </c>
      <c r="B929" s="183">
        <v>17466</v>
      </c>
      <c r="C929" s="14" t="s">
        <v>21</v>
      </c>
      <c r="D929" s="105">
        <v>6898.8</v>
      </c>
      <c r="E929" s="23">
        <v>42105</v>
      </c>
      <c r="F929" s="106">
        <v>6898.8</v>
      </c>
      <c r="G929" s="31">
        <f t="shared" si="14"/>
        <v>0</v>
      </c>
      <c r="H929" s="19" t="s">
        <v>9</v>
      </c>
      <c r="K929" s="3"/>
    </row>
    <row r="930" spans="1:11" x14ac:dyDescent="0.25">
      <c r="A930" s="20">
        <v>42105</v>
      </c>
      <c r="B930" s="183">
        <v>17467</v>
      </c>
      <c r="C930" s="14" t="s">
        <v>383</v>
      </c>
      <c r="D930" s="105">
        <v>5562.8</v>
      </c>
      <c r="E930" s="23">
        <v>42105</v>
      </c>
      <c r="F930" s="106">
        <v>5562.8</v>
      </c>
      <c r="G930" s="31">
        <f t="shared" si="14"/>
        <v>0</v>
      </c>
      <c r="H930" s="19" t="s">
        <v>9</v>
      </c>
      <c r="K930" s="3"/>
    </row>
    <row r="931" spans="1:11" x14ac:dyDescent="0.25">
      <c r="A931" s="20">
        <v>42105</v>
      </c>
      <c r="B931" s="183">
        <v>17468</v>
      </c>
      <c r="C931" s="14" t="s">
        <v>383</v>
      </c>
      <c r="D931" s="105">
        <v>151.80000000000001</v>
      </c>
      <c r="E931" s="23">
        <v>42105</v>
      </c>
      <c r="F931" s="106">
        <v>151.80000000000001</v>
      </c>
      <c r="G931" s="31">
        <f t="shared" si="14"/>
        <v>0</v>
      </c>
      <c r="H931" s="19" t="s">
        <v>9</v>
      </c>
      <c r="J931" s="107"/>
      <c r="K931" s="3"/>
    </row>
    <row r="932" spans="1:11" x14ac:dyDescent="0.25">
      <c r="A932" s="20">
        <v>42105</v>
      </c>
      <c r="B932" s="183">
        <v>17469</v>
      </c>
      <c r="C932" s="14" t="s">
        <v>720</v>
      </c>
      <c r="D932" s="105">
        <v>12795.8</v>
      </c>
      <c r="E932" s="23">
        <v>42105</v>
      </c>
      <c r="F932" s="106">
        <v>12795.8</v>
      </c>
      <c r="G932" s="31">
        <f t="shared" si="14"/>
        <v>0</v>
      </c>
      <c r="H932" s="19" t="s">
        <v>9</v>
      </c>
      <c r="K932" s="3"/>
    </row>
    <row r="933" spans="1:11" x14ac:dyDescent="0.25">
      <c r="A933" s="20">
        <v>42105</v>
      </c>
      <c r="B933" s="183">
        <v>17470</v>
      </c>
      <c r="C933" s="14" t="s">
        <v>16</v>
      </c>
      <c r="D933" s="105">
        <v>6888</v>
      </c>
      <c r="E933" s="23">
        <v>42105</v>
      </c>
      <c r="F933" s="106">
        <v>6888</v>
      </c>
      <c r="G933" s="31">
        <f t="shared" si="14"/>
        <v>0</v>
      </c>
      <c r="H933" s="19" t="s">
        <v>17</v>
      </c>
      <c r="K933" s="3"/>
    </row>
    <row r="934" spans="1:11" x14ac:dyDescent="0.25">
      <c r="A934" s="20">
        <v>42105</v>
      </c>
      <c r="B934" s="183">
        <v>17471</v>
      </c>
      <c r="C934" s="14" t="s">
        <v>16</v>
      </c>
      <c r="D934" s="105">
        <v>192.6</v>
      </c>
      <c r="E934" s="23">
        <v>42105</v>
      </c>
      <c r="F934" s="106">
        <v>192.6</v>
      </c>
      <c r="G934" s="31">
        <f t="shared" si="14"/>
        <v>0</v>
      </c>
      <c r="H934" s="19" t="s">
        <v>17</v>
      </c>
      <c r="K934" s="3"/>
    </row>
    <row r="935" spans="1:11" x14ac:dyDescent="0.25">
      <c r="A935" s="20">
        <v>42105</v>
      </c>
      <c r="B935" s="183">
        <v>17472</v>
      </c>
      <c r="C935" s="14" t="s">
        <v>829</v>
      </c>
      <c r="D935" s="105">
        <v>14125</v>
      </c>
      <c r="E935" s="23">
        <v>42105</v>
      </c>
      <c r="F935" s="106">
        <v>14125</v>
      </c>
      <c r="G935" s="31">
        <f t="shared" si="14"/>
        <v>0</v>
      </c>
      <c r="H935" s="19" t="s">
        <v>9</v>
      </c>
      <c r="K935" s="3"/>
    </row>
    <row r="936" spans="1:11" x14ac:dyDescent="0.25">
      <c r="A936" s="20">
        <v>42105</v>
      </c>
      <c r="B936" s="183">
        <v>17473</v>
      </c>
      <c r="C936" s="14" t="s">
        <v>211</v>
      </c>
      <c r="D936" s="105">
        <v>54738.15</v>
      </c>
      <c r="E936" s="23">
        <v>42107</v>
      </c>
      <c r="F936" s="106">
        <v>54738.15</v>
      </c>
      <c r="G936" s="31">
        <f t="shared" si="14"/>
        <v>0</v>
      </c>
      <c r="H936" s="19" t="s">
        <v>9</v>
      </c>
      <c r="K936" s="3"/>
    </row>
    <row r="937" spans="1:11" x14ac:dyDescent="0.25">
      <c r="A937" s="20">
        <v>42105</v>
      </c>
      <c r="B937" s="183">
        <v>17474</v>
      </c>
      <c r="C937" s="14" t="s">
        <v>215</v>
      </c>
      <c r="D937" s="105">
        <v>23002.2</v>
      </c>
      <c r="E937" s="23">
        <v>42105</v>
      </c>
      <c r="F937" s="106">
        <v>23002.2</v>
      </c>
      <c r="G937" s="31">
        <f t="shared" si="14"/>
        <v>0</v>
      </c>
      <c r="H937" s="19" t="s">
        <v>773</v>
      </c>
      <c r="K937" s="3"/>
    </row>
    <row r="938" spans="1:11" x14ac:dyDescent="0.25">
      <c r="A938" s="20">
        <v>42105</v>
      </c>
      <c r="B938" s="183">
        <v>17475</v>
      </c>
      <c r="C938" s="14" t="s">
        <v>18</v>
      </c>
      <c r="D938" s="105">
        <v>2565.1999999999998</v>
      </c>
      <c r="E938" s="23">
        <v>42105</v>
      </c>
      <c r="F938" s="106">
        <v>2565.1999999999998</v>
      </c>
      <c r="G938" s="31">
        <f t="shared" si="14"/>
        <v>0</v>
      </c>
      <c r="H938" s="19" t="s">
        <v>9</v>
      </c>
      <c r="K938" s="3"/>
    </row>
    <row r="939" spans="1:11" x14ac:dyDescent="0.25">
      <c r="A939" s="20">
        <v>42105</v>
      </c>
      <c r="B939" s="183">
        <v>17476</v>
      </c>
      <c r="C939" s="14" t="s">
        <v>112</v>
      </c>
      <c r="D939" s="105">
        <v>13371.64</v>
      </c>
      <c r="E939" s="23">
        <v>42105</v>
      </c>
      <c r="F939" s="106">
        <v>13371.64</v>
      </c>
      <c r="G939" s="31">
        <f t="shared" si="14"/>
        <v>0</v>
      </c>
      <c r="H939" s="19" t="s">
        <v>9</v>
      </c>
      <c r="K939" s="3"/>
    </row>
    <row r="940" spans="1:11" x14ac:dyDescent="0.25">
      <c r="A940" s="20">
        <v>42105</v>
      </c>
      <c r="B940" s="183">
        <v>17477</v>
      </c>
      <c r="C940" s="14" t="s">
        <v>1060</v>
      </c>
      <c r="D940" s="105">
        <v>50864.85</v>
      </c>
      <c r="E940" s="23">
        <v>42118</v>
      </c>
      <c r="F940" s="106">
        <v>50864.85</v>
      </c>
      <c r="G940" s="31">
        <f t="shared" si="14"/>
        <v>0</v>
      </c>
      <c r="H940" s="19" t="s">
        <v>9</v>
      </c>
      <c r="J940" s="107"/>
      <c r="K940" s="3"/>
    </row>
    <row r="941" spans="1:11" x14ac:dyDescent="0.25">
      <c r="A941" s="20">
        <v>42105</v>
      </c>
      <c r="B941" s="183">
        <v>17478</v>
      </c>
      <c r="C941" s="14" t="s">
        <v>881</v>
      </c>
      <c r="D941" s="105">
        <v>4825</v>
      </c>
      <c r="E941" s="23">
        <v>42105</v>
      </c>
      <c r="F941" s="106">
        <v>4825</v>
      </c>
      <c r="G941" s="31">
        <f t="shared" si="14"/>
        <v>0</v>
      </c>
      <c r="H941" s="19" t="s">
        <v>9</v>
      </c>
      <c r="K941" s="3"/>
    </row>
    <row r="942" spans="1:11" x14ac:dyDescent="0.25">
      <c r="A942" s="20">
        <v>42105</v>
      </c>
      <c r="B942" s="183">
        <v>17479</v>
      </c>
      <c r="C942" s="14" t="s">
        <v>20</v>
      </c>
      <c r="D942" s="105">
        <v>18150.900000000001</v>
      </c>
      <c r="E942" s="23">
        <v>42105</v>
      </c>
      <c r="F942" s="106">
        <v>18150.900000000001</v>
      </c>
      <c r="G942" s="31">
        <f t="shared" si="14"/>
        <v>0</v>
      </c>
      <c r="H942" s="19" t="s">
        <v>9</v>
      </c>
      <c r="K942" s="3"/>
    </row>
    <row r="943" spans="1:11" x14ac:dyDescent="0.25">
      <c r="A943" s="20">
        <v>42105</v>
      </c>
      <c r="B943" s="183">
        <v>17480</v>
      </c>
      <c r="C943" s="14" t="s">
        <v>14</v>
      </c>
      <c r="D943" s="105">
        <v>28422.9</v>
      </c>
      <c r="E943" s="23">
        <v>42117</v>
      </c>
      <c r="F943" s="106">
        <v>28422.9</v>
      </c>
      <c r="G943" s="31">
        <f t="shared" si="14"/>
        <v>0</v>
      </c>
      <c r="H943" s="19" t="s">
        <v>15</v>
      </c>
      <c r="K943" s="3"/>
    </row>
    <row r="944" spans="1:11" x14ac:dyDescent="0.25">
      <c r="A944" s="20">
        <v>42105</v>
      </c>
      <c r="B944" s="183">
        <v>17481</v>
      </c>
      <c r="C944" s="14" t="s">
        <v>1085</v>
      </c>
      <c r="D944" s="105">
        <v>2467.1999999999998</v>
      </c>
      <c r="E944" s="23">
        <v>42105</v>
      </c>
      <c r="F944" s="106">
        <v>2467.1999999999998</v>
      </c>
      <c r="G944" s="31">
        <f t="shared" si="14"/>
        <v>0</v>
      </c>
      <c r="H944" s="19" t="s">
        <v>9</v>
      </c>
      <c r="K944" s="3"/>
    </row>
    <row r="945" spans="1:11" x14ac:dyDescent="0.25">
      <c r="A945" s="20">
        <v>42105</v>
      </c>
      <c r="B945" s="183">
        <v>17482</v>
      </c>
      <c r="C945" s="14" t="s">
        <v>296</v>
      </c>
      <c r="D945" s="105">
        <v>1382.3</v>
      </c>
      <c r="E945" s="23">
        <v>42105</v>
      </c>
      <c r="F945" s="106">
        <v>1382.3</v>
      </c>
      <c r="G945" s="31">
        <f t="shared" si="14"/>
        <v>0</v>
      </c>
      <c r="H945" s="19" t="s">
        <v>9</v>
      </c>
      <c r="K945" s="3"/>
    </row>
    <row r="946" spans="1:11" x14ac:dyDescent="0.25">
      <c r="A946" s="20">
        <v>42105</v>
      </c>
      <c r="B946" s="183">
        <v>17483</v>
      </c>
      <c r="C946" s="14" t="s">
        <v>32</v>
      </c>
      <c r="D946" s="105">
        <v>115930.65</v>
      </c>
      <c r="E946" s="23">
        <v>42115</v>
      </c>
      <c r="F946" s="106">
        <v>115930.65</v>
      </c>
      <c r="G946" s="31">
        <f t="shared" si="14"/>
        <v>0</v>
      </c>
      <c r="H946" s="19" t="s">
        <v>9</v>
      </c>
      <c r="K946" s="3"/>
    </row>
    <row r="947" spans="1:11" x14ac:dyDescent="0.25">
      <c r="A947" s="20">
        <v>42105</v>
      </c>
      <c r="B947" s="183">
        <v>17484</v>
      </c>
      <c r="C947" s="14" t="s">
        <v>88</v>
      </c>
      <c r="D947" s="105">
        <v>1751.4</v>
      </c>
      <c r="E947" s="23">
        <v>42105</v>
      </c>
      <c r="F947" s="106">
        <v>1751.4</v>
      </c>
      <c r="G947" s="31">
        <f t="shared" si="14"/>
        <v>0</v>
      </c>
      <c r="H947" s="19" t="s">
        <v>9</v>
      </c>
      <c r="I947" s="3"/>
      <c r="J947" s="42"/>
      <c r="K947" s="3"/>
    </row>
    <row r="948" spans="1:11" x14ac:dyDescent="0.25">
      <c r="A948" s="20">
        <v>42105</v>
      </c>
      <c r="B948" s="183">
        <v>17485</v>
      </c>
      <c r="C948" s="14" t="s">
        <v>8</v>
      </c>
      <c r="D948" s="105">
        <v>1900.8</v>
      </c>
      <c r="E948" s="23">
        <v>42105</v>
      </c>
      <c r="F948" s="106">
        <v>1900.8</v>
      </c>
      <c r="G948" s="31">
        <f t="shared" si="14"/>
        <v>0</v>
      </c>
      <c r="H948" s="19" t="s">
        <v>9</v>
      </c>
      <c r="I948" s="3"/>
      <c r="J948" s="42"/>
      <c r="K948" s="3"/>
    </row>
    <row r="949" spans="1:11" x14ac:dyDescent="0.25">
      <c r="A949" s="20">
        <v>42105</v>
      </c>
      <c r="B949" s="183">
        <v>17486</v>
      </c>
      <c r="C949" s="14" t="s">
        <v>32</v>
      </c>
      <c r="D949" s="105">
        <v>139620.15</v>
      </c>
      <c r="E949" s="23">
        <v>42115</v>
      </c>
      <c r="F949" s="106">
        <v>139620.15</v>
      </c>
      <c r="G949" s="31">
        <f t="shared" si="14"/>
        <v>0</v>
      </c>
      <c r="H949" s="19" t="s">
        <v>9</v>
      </c>
      <c r="I949" s="3"/>
      <c r="J949" s="42"/>
      <c r="K949" s="3"/>
    </row>
    <row r="950" spans="1:11" x14ac:dyDescent="0.25">
      <c r="A950" s="20">
        <v>42105</v>
      </c>
      <c r="B950" s="183">
        <v>17487</v>
      </c>
      <c r="C950" s="14" t="s">
        <v>164</v>
      </c>
      <c r="D950" s="105">
        <v>2345.4</v>
      </c>
      <c r="E950" s="23">
        <v>42105</v>
      </c>
      <c r="F950" s="106">
        <v>2345.4</v>
      </c>
      <c r="G950" s="31">
        <f t="shared" si="14"/>
        <v>0</v>
      </c>
      <c r="H950" s="19" t="s">
        <v>9</v>
      </c>
      <c r="I950" s="3"/>
      <c r="J950" s="42"/>
      <c r="K950" s="3"/>
    </row>
    <row r="951" spans="1:11" x14ac:dyDescent="0.25">
      <c r="A951" s="20">
        <v>42105</v>
      </c>
      <c r="B951" s="183">
        <v>17488</v>
      </c>
      <c r="C951" s="14" t="s">
        <v>45</v>
      </c>
      <c r="D951" s="105">
        <v>24689.439999999999</v>
      </c>
      <c r="E951" s="30" t="s">
        <v>1200</v>
      </c>
      <c r="F951" s="189">
        <f>22074.24+2322.4</f>
        <v>24396.640000000003</v>
      </c>
      <c r="G951" s="55">
        <f t="shared" si="14"/>
        <v>292.79999999999563</v>
      </c>
      <c r="H951" s="19" t="s">
        <v>41</v>
      </c>
      <c r="I951" s="3"/>
      <c r="J951" s="42"/>
      <c r="K951" s="3"/>
    </row>
    <row r="952" spans="1:11" x14ac:dyDescent="0.25">
      <c r="A952" s="20">
        <v>42105</v>
      </c>
      <c r="B952" s="183">
        <v>17489</v>
      </c>
      <c r="C952" s="14" t="s">
        <v>226</v>
      </c>
      <c r="D952" s="105">
        <v>2623.5</v>
      </c>
      <c r="E952" s="23">
        <v>42105</v>
      </c>
      <c r="F952" s="106">
        <v>2623.5</v>
      </c>
      <c r="G952" s="31">
        <f t="shared" si="14"/>
        <v>0</v>
      </c>
      <c r="H952" s="19" t="s">
        <v>41</v>
      </c>
      <c r="I952" s="3"/>
      <c r="J952" s="42"/>
      <c r="K952" s="3"/>
    </row>
    <row r="953" spans="1:11" x14ac:dyDescent="0.25">
      <c r="A953" s="20">
        <v>42105</v>
      </c>
      <c r="B953" s="183">
        <v>17490</v>
      </c>
      <c r="C953" s="14" t="s">
        <v>99</v>
      </c>
      <c r="D953" s="105">
        <v>2422.1999999999998</v>
      </c>
      <c r="E953" s="23">
        <v>42105</v>
      </c>
      <c r="F953" s="106">
        <v>2422.1999999999998</v>
      </c>
      <c r="G953" s="31">
        <f t="shared" si="14"/>
        <v>0</v>
      </c>
      <c r="H953" s="19" t="s">
        <v>41</v>
      </c>
      <c r="I953" s="3"/>
      <c r="J953" s="42"/>
      <c r="K953" s="3"/>
    </row>
    <row r="954" spans="1:11" x14ac:dyDescent="0.25">
      <c r="A954" s="20">
        <v>42105</v>
      </c>
      <c r="B954" s="183">
        <v>17491</v>
      </c>
      <c r="C954" s="14" t="s">
        <v>1058</v>
      </c>
      <c r="D954" s="105">
        <v>6203.5</v>
      </c>
      <c r="E954" s="23">
        <v>42105</v>
      </c>
      <c r="F954" s="106">
        <v>6203.5</v>
      </c>
      <c r="G954" s="31">
        <f t="shared" si="14"/>
        <v>0</v>
      </c>
      <c r="H954" s="19" t="s">
        <v>9</v>
      </c>
      <c r="I954" s="3"/>
      <c r="J954" s="42"/>
      <c r="K954" s="3"/>
    </row>
    <row r="955" spans="1:11" x14ac:dyDescent="0.25">
      <c r="A955" s="20">
        <v>42105</v>
      </c>
      <c r="B955" s="183">
        <v>17492</v>
      </c>
      <c r="C955" s="14" t="s">
        <v>1058</v>
      </c>
      <c r="D955" s="105">
        <v>3944</v>
      </c>
      <c r="E955" s="23">
        <v>42105</v>
      </c>
      <c r="F955" s="106">
        <v>3944</v>
      </c>
      <c r="G955" s="31">
        <f t="shared" si="14"/>
        <v>0</v>
      </c>
      <c r="H955" s="19" t="s">
        <v>9</v>
      </c>
      <c r="I955" s="3"/>
      <c r="J955" s="42"/>
      <c r="K955" s="3"/>
    </row>
    <row r="956" spans="1:11" x14ac:dyDescent="0.25">
      <c r="A956" s="20">
        <v>42105</v>
      </c>
      <c r="B956" s="183">
        <v>17493</v>
      </c>
      <c r="C956" s="14" t="s">
        <v>110</v>
      </c>
      <c r="D956" s="105">
        <v>22642.2</v>
      </c>
      <c r="E956" s="23">
        <v>42117</v>
      </c>
      <c r="F956" s="106">
        <v>22642.2</v>
      </c>
      <c r="G956" s="31">
        <f t="shared" si="14"/>
        <v>0</v>
      </c>
      <c r="H956" s="19" t="s">
        <v>1013</v>
      </c>
      <c r="I956" s="3"/>
      <c r="J956" s="42"/>
      <c r="K956" s="3"/>
    </row>
    <row r="957" spans="1:11" x14ac:dyDescent="0.25">
      <c r="A957" s="20">
        <v>42105</v>
      </c>
      <c r="B957" s="183">
        <v>17494</v>
      </c>
      <c r="C957" s="14" t="s">
        <v>131</v>
      </c>
      <c r="D957" s="105">
        <v>9411.7999999999993</v>
      </c>
      <c r="E957" s="23">
        <v>42106</v>
      </c>
      <c r="F957" s="106">
        <v>9411.7999999999993</v>
      </c>
      <c r="G957" s="31">
        <f t="shared" si="14"/>
        <v>0</v>
      </c>
      <c r="H957" s="19" t="s">
        <v>9</v>
      </c>
      <c r="I957" s="3"/>
      <c r="J957" s="42"/>
      <c r="K957" s="3"/>
    </row>
    <row r="958" spans="1:11" x14ac:dyDescent="0.25">
      <c r="A958" s="20">
        <v>42105</v>
      </c>
      <c r="B958" s="183">
        <v>17495</v>
      </c>
      <c r="C958" s="14" t="s">
        <v>694</v>
      </c>
      <c r="D958" s="105">
        <v>1254.4000000000001</v>
      </c>
      <c r="E958" s="23">
        <v>42105</v>
      </c>
      <c r="F958" s="106">
        <v>1254.4000000000001</v>
      </c>
      <c r="G958" s="31">
        <f t="shared" si="14"/>
        <v>0</v>
      </c>
      <c r="H958" s="19" t="s">
        <v>9</v>
      </c>
      <c r="I958" s="3"/>
      <c r="J958" s="42"/>
      <c r="K958" s="3"/>
    </row>
    <row r="959" spans="1:11" x14ac:dyDescent="0.25">
      <c r="A959" s="20">
        <v>42105</v>
      </c>
      <c r="B959" s="183">
        <v>17496</v>
      </c>
      <c r="C959" s="14" t="s">
        <v>422</v>
      </c>
      <c r="D959" s="105">
        <v>674</v>
      </c>
      <c r="E959" s="23">
        <v>42105</v>
      </c>
      <c r="F959" s="106">
        <v>674</v>
      </c>
      <c r="G959" s="31">
        <f t="shared" si="14"/>
        <v>0</v>
      </c>
      <c r="H959" s="19" t="s">
        <v>9</v>
      </c>
      <c r="I959" s="3"/>
      <c r="J959" s="42"/>
      <c r="K959" s="3"/>
    </row>
    <row r="960" spans="1:11" x14ac:dyDescent="0.25">
      <c r="A960" s="20">
        <v>42105</v>
      </c>
      <c r="B960" s="183">
        <v>17497</v>
      </c>
      <c r="C960" s="14" t="s">
        <v>137</v>
      </c>
      <c r="D960" s="105">
        <v>542.9</v>
      </c>
      <c r="E960" s="23">
        <v>42105</v>
      </c>
      <c r="F960" s="106">
        <v>542.9</v>
      </c>
      <c r="G960" s="31">
        <f t="shared" si="14"/>
        <v>0</v>
      </c>
      <c r="H960" s="19" t="s">
        <v>9</v>
      </c>
      <c r="I960" s="3"/>
      <c r="J960" s="42"/>
      <c r="K960" s="3"/>
    </row>
    <row r="961" spans="1:11" x14ac:dyDescent="0.25">
      <c r="A961" s="20">
        <v>42105</v>
      </c>
      <c r="B961" s="183">
        <v>17498</v>
      </c>
      <c r="C961" s="14" t="s">
        <v>151</v>
      </c>
      <c r="D961" s="105">
        <v>3494</v>
      </c>
      <c r="E961" s="23">
        <v>42106</v>
      </c>
      <c r="F961" s="106">
        <v>3494</v>
      </c>
      <c r="G961" s="31">
        <f t="shared" si="14"/>
        <v>0</v>
      </c>
      <c r="H961" s="19" t="s">
        <v>9</v>
      </c>
      <c r="I961" s="3"/>
      <c r="J961" s="42"/>
      <c r="K961" s="3"/>
    </row>
    <row r="962" spans="1:11" x14ac:dyDescent="0.25">
      <c r="A962" s="20">
        <v>42105</v>
      </c>
      <c r="B962" s="183">
        <v>17499</v>
      </c>
      <c r="C962" s="14" t="s">
        <v>125</v>
      </c>
      <c r="D962" s="105">
        <v>11554.05</v>
      </c>
      <c r="E962" s="23">
        <v>42105</v>
      </c>
      <c r="F962" s="106">
        <v>11554.05</v>
      </c>
      <c r="G962" s="31">
        <f t="shared" si="14"/>
        <v>0</v>
      </c>
      <c r="H962" s="19" t="s">
        <v>773</v>
      </c>
      <c r="I962" s="3"/>
      <c r="J962" s="42"/>
      <c r="K962" s="3"/>
    </row>
    <row r="963" spans="1:11" x14ac:dyDescent="0.25">
      <c r="A963" s="20">
        <v>42105</v>
      </c>
      <c r="B963" s="183">
        <v>17500</v>
      </c>
      <c r="C963" s="14" t="s">
        <v>133</v>
      </c>
      <c r="D963" s="105">
        <v>387.2</v>
      </c>
      <c r="E963" s="23">
        <v>42105</v>
      </c>
      <c r="F963" s="106">
        <v>387.2</v>
      </c>
      <c r="G963" s="31">
        <f t="shared" ref="G963:G1026" si="15">D963-F963</f>
        <v>0</v>
      </c>
      <c r="H963" s="19" t="s">
        <v>9</v>
      </c>
      <c r="K963" s="3"/>
    </row>
    <row r="964" spans="1:11" x14ac:dyDescent="0.25">
      <c r="A964" s="20">
        <v>42105</v>
      </c>
      <c r="B964" s="183">
        <v>17501</v>
      </c>
      <c r="C964" s="14" t="s">
        <v>50</v>
      </c>
      <c r="D964" s="105">
        <v>4046.4</v>
      </c>
      <c r="E964" s="23">
        <v>42105</v>
      </c>
      <c r="F964" s="106">
        <v>4046.4</v>
      </c>
      <c r="G964" s="31">
        <f t="shared" si="15"/>
        <v>0</v>
      </c>
      <c r="H964" s="19" t="s">
        <v>94</v>
      </c>
      <c r="K964" s="3"/>
    </row>
    <row r="965" spans="1:11" x14ac:dyDescent="0.25">
      <c r="A965" s="20">
        <v>42105</v>
      </c>
      <c r="B965" s="183">
        <v>17502</v>
      </c>
      <c r="C965" s="14" t="s">
        <v>20</v>
      </c>
      <c r="D965" s="105">
        <v>1496.2</v>
      </c>
      <c r="E965" s="23">
        <v>42107</v>
      </c>
      <c r="F965" s="106">
        <v>1496.2</v>
      </c>
      <c r="G965" s="31">
        <f t="shared" si="15"/>
        <v>0</v>
      </c>
      <c r="H965" s="19" t="s">
        <v>94</v>
      </c>
      <c r="J965" s="107"/>
      <c r="K965" s="3"/>
    </row>
    <row r="966" spans="1:11" x14ac:dyDescent="0.25">
      <c r="A966" s="20">
        <v>42105</v>
      </c>
      <c r="B966" s="183">
        <v>17503</v>
      </c>
      <c r="C966" s="14" t="s">
        <v>130</v>
      </c>
      <c r="D966" s="105">
        <v>17755.2</v>
      </c>
      <c r="E966" s="23" t="s">
        <v>1086</v>
      </c>
      <c r="F966" s="106">
        <f>13670.9+2034.15+2050.15</f>
        <v>17755.2</v>
      </c>
      <c r="G966" s="31">
        <f t="shared" si="15"/>
        <v>0</v>
      </c>
      <c r="H966" s="19" t="s">
        <v>17</v>
      </c>
      <c r="K966" s="3"/>
    </row>
    <row r="967" spans="1:11" x14ac:dyDescent="0.25">
      <c r="A967" s="20">
        <v>42105</v>
      </c>
      <c r="B967" s="183">
        <v>17504</v>
      </c>
      <c r="C967" s="14" t="s">
        <v>102</v>
      </c>
      <c r="D967" s="105">
        <v>5482.2</v>
      </c>
      <c r="E967" s="23">
        <v>42105</v>
      </c>
      <c r="F967" s="106">
        <v>5482.2</v>
      </c>
      <c r="G967" s="31">
        <f t="shared" si="15"/>
        <v>0</v>
      </c>
      <c r="H967" s="19" t="s">
        <v>9</v>
      </c>
      <c r="K967" s="3"/>
    </row>
    <row r="968" spans="1:11" x14ac:dyDescent="0.25">
      <c r="A968" s="20">
        <v>42105</v>
      </c>
      <c r="B968" s="183">
        <v>17505</v>
      </c>
      <c r="C968" s="14" t="s">
        <v>165</v>
      </c>
      <c r="D968" s="105">
        <v>2273.6999999999998</v>
      </c>
      <c r="E968" s="23">
        <v>42105</v>
      </c>
      <c r="F968" s="106">
        <v>2273.6999999999998</v>
      </c>
      <c r="G968" s="31">
        <f t="shared" si="15"/>
        <v>0</v>
      </c>
      <c r="H968" s="19" t="s">
        <v>17</v>
      </c>
      <c r="K968" s="3"/>
    </row>
    <row r="969" spans="1:11" x14ac:dyDescent="0.25">
      <c r="A969" s="20">
        <v>42105</v>
      </c>
      <c r="B969" s="183">
        <v>17506</v>
      </c>
      <c r="C969" s="14" t="s">
        <v>34</v>
      </c>
      <c r="D969" s="105">
        <v>1456</v>
      </c>
      <c r="E969" s="23">
        <v>42105</v>
      </c>
      <c r="F969" s="106">
        <v>1456</v>
      </c>
      <c r="G969" s="31">
        <f t="shared" si="15"/>
        <v>0</v>
      </c>
      <c r="H969" s="19" t="s">
        <v>9</v>
      </c>
      <c r="J969" s="107"/>
      <c r="K969" s="3"/>
    </row>
    <row r="970" spans="1:11" x14ac:dyDescent="0.25">
      <c r="A970" s="20">
        <v>42105</v>
      </c>
      <c r="B970" s="183">
        <v>17507</v>
      </c>
      <c r="C970" s="14" t="s">
        <v>130</v>
      </c>
      <c r="D970" s="105">
        <v>8966.7999999999993</v>
      </c>
      <c r="E970" s="23">
        <v>42106</v>
      </c>
      <c r="F970" s="106">
        <v>8966.7999999999993</v>
      </c>
      <c r="G970" s="31">
        <f t="shared" si="15"/>
        <v>0</v>
      </c>
      <c r="H970" s="19" t="s">
        <v>17</v>
      </c>
      <c r="K970" s="3"/>
    </row>
    <row r="971" spans="1:11" x14ac:dyDescent="0.25">
      <c r="A971" s="20">
        <v>42105</v>
      </c>
      <c r="B971" s="183">
        <v>17508</v>
      </c>
      <c r="C971" s="14" t="s">
        <v>1040</v>
      </c>
      <c r="D971" s="105">
        <v>4594.8</v>
      </c>
      <c r="E971" s="23">
        <v>42105</v>
      </c>
      <c r="F971" s="106">
        <v>4594.8</v>
      </c>
      <c r="G971" s="31">
        <f t="shared" si="15"/>
        <v>0</v>
      </c>
      <c r="H971" s="19" t="s">
        <v>94</v>
      </c>
      <c r="K971" s="3"/>
    </row>
    <row r="972" spans="1:11" x14ac:dyDescent="0.25">
      <c r="A972" s="20">
        <v>42105</v>
      </c>
      <c r="B972" s="183">
        <v>17509</v>
      </c>
      <c r="C972" s="14" t="s">
        <v>128</v>
      </c>
      <c r="D972" s="105">
        <v>6191.6</v>
      </c>
      <c r="E972" s="23">
        <v>42105</v>
      </c>
      <c r="F972" s="106">
        <v>6191.6</v>
      </c>
      <c r="G972" s="31">
        <f t="shared" si="15"/>
        <v>0</v>
      </c>
      <c r="H972" s="19" t="s">
        <v>17</v>
      </c>
      <c r="J972" s="107"/>
      <c r="K972" s="3"/>
    </row>
    <row r="973" spans="1:11" x14ac:dyDescent="0.25">
      <c r="A973" s="20">
        <v>42105</v>
      </c>
      <c r="B973" s="183">
        <v>17510</v>
      </c>
      <c r="C973" s="14" t="s">
        <v>155</v>
      </c>
      <c r="D973" s="105">
        <v>9963</v>
      </c>
      <c r="E973" s="23">
        <v>42105</v>
      </c>
      <c r="F973" s="106">
        <v>9963</v>
      </c>
      <c r="G973" s="31">
        <f t="shared" si="15"/>
        <v>0</v>
      </c>
      <c r="H973" s="19" t="s">
        <v>9</v>
      </c>
      <c r="K973" s="3"/>
    </row>
    <row r="974" spans="1:11" x14ac:dyDescent="0.25">
      <c r="A974" s="20">
        <v>42105</v>
      </c>
      <c r="B974" s="183">
        <v>17511</v>
      </c>
      <c r="C974" s="14" t="s">
        <v>26</v>
      </c>
      <c r="D974" s="105">
        <v>2720</v>
      </c>
      <c r="E974" s="23">
        <v>42105</v>
      </c>
      <c r="F974" s="106">
        <v>2720</v>
      </c>
      <c r="G974" s="31">
        <f t="shared" si="15"/>
        <v>0</v>
      </c>
      <c r="H974" s="19" t="s">
        <v>27</v>
      </c>
      <c r="K974" s="3"/>
    </row>
    <row r="975" spans="1:11" x14ac:dyDescent="0.25">
      <c r="A975" s="20">
        <v>42105</v>
      </c>
      <c r="B975" s="183">
        <v>17512</v>
      </c>
      <c r="C975" s="14" t="s">
        <v>66</v>
      </c>
      <c r="D975" s="105">
        <v>2151.5</v>
      </c>
      <c r="E975" s="23">
        <v>42105</v>
      </c>
      <c r="F975" s="106">
        <v>2151.5</v>
      </c>
      <c r="G975" s="31">
        <f t="shared" si="15"/>
        <v>0</v>
      </c>
      <c r="H975" s="19" t="s">
        <v>9</v>
      </c>
      <c r="K975" s="3"/>
    </row>
    <row r="976" spans="1:11" x14ac:dyDescent="0.25">
      <c r="A976" s="20">
        <v>42105</v>
      </c>
      <c r="B976" s="183">
        <v>17513</v>
      </c>
      <c r="C976" s="14" t="s">
        <v>91</v>
      </c>
      <c r="D976" s="105">
        <v>13494.5</v>
      </c>
      <c r="E976" s="23">
        <v>42105</v>
      </c>
      <c r="F976" s="106">
        <v>13494.5</v>
      </c>
      <c r="G976" s="31">
        <f t="shared" si="15"/>
        <v>0</v>
      </c>
      <c r="H976" s="19" t="s">
        <v>59</v>
      </c>
      <c r="K976" s="3"/>
    </row>
    <row r="977" spans="1:11" x14ac:dyDescent="0.25">
      <c r="A977" s="20">
        <v>42105</v>
      </c>
      <c r="B977" s="183">
        <v>17514</v>
      </c>
      <c r="C977" s="14" t="s">
        <v>332</v>
      </c>
      <c r="D977" s="105">
        <v>1984.5</v>
      </c>
      <c r="E977" s="23">
        <v>42105</v>
      </c>
      <c r="F977" s="106">
        <v>1984.5</v>
      </c>
      <c r="G977" s="31">
        <f t="shared" si="15"/>
        <v>0</v>
      </c>
      <c r="H977" s="19" t="s">
        <v>9</v>
      </c>
      <c r="K977" s="3"/>
    </row>
    <row r="978" spans="1:11" x14ac:dyDescent="0.25">
      <c r="A978" s="20">
        <v>42105</v>
      </c>
      <c r="B978" s="183">
        <v>17515</v>
      </c>
      <c r="C978" s="14" t="s">
        <v>116</v>
      </c>
      <c r="D978" s="105">
        <v>6010.2</v>
      </c>
      <c r="E978" s="23">
        <v>42105</v>
      </c>
      <c r="F978" s="106">
        <v>6010.2</v>
      </c>
      <c r="G978" s="31">
        <f t="shared" si="15"/>
        <v>0</v>
      </c>
      <c r="H978" s="19" t="s">
        <v>59</v>
      </c>
      <c r="K978" s="3"/>
    </row>
    <row r="979" spans="1:11" x14ac:dyDescent="0.25">
      <c r="A979" s="20">
        <v>42105</v>
      </c>
      <c r="B979" s="183">
        <v>17516</v>
      </c>
      <c r="C979" s="14" t="s">
        <v>81</v>
      </c>
      <c r="D979" s="105">
        <v>2884.8</v>
      </c>
      <c r="E979" s="23">
        <v>42105</v>
      </c>
      <c r="F979" s="106">
        <v>2884.8</v>
      </c>
      <c r="G979" s="31">
        <f t="shared" si="15"/>
        <v>0</v>
      </c>
      <c r="H979" s="19" t="s">
        <v>59</v>
      </c>
      <c r="I979" s="3"/>
      <c r="J979" s="42"/>
      <c r="K979" s="3"/>
    </row>
    <row r="980" spans="1:11" x14ac:dyDescent="0.25">
      <c r="A980" s="20">
        <v>42105</v>
      </c>
      <c r="B980" s="183">
        <v>17517</v>
      </c>
      <c r="C980" s="14" t="s">
        <v>120</v>
      </c>
      <c r="D980" s="105">
        <v>1657.6</v>
      </c>
      <c r="E980" s="23">
        <v>42105</v>
      </c>
      <c r="F980" s="106">
        <v>1657.6</v>
      </c>
      <c r="G980" s="31">
        <f t="shared" si="15"/>
        <v>0</v>
      </c>
      <c r="H980" s="19" t="s">
        <v>59</v>
      </c>
      <c r="I980" s="3"/>
      <c r="J980" s="42"/>
      <c r="K980" s="3"/>
    </row>
    <row r="981" spans="1:11" x14ac:dyDescent="0.25">
      <c r="A981" s="20">
        <v>42105</v>
      </c>
      <c r="B981" s="183">
        <v>17518</v>
      </c>
      <c r="C981" s="14" t="s">
        <v>82</v>
      </c>
      <c r="D981" s="105">
        <v>3528.2</v>
      </c>
      <c r="E981" s="23">
        <v>42105</v>
      </c>
      <c r="F981" s="106">
        <v>3528.2</v>
      </c>
      <c r="G981" s="31">
        <f t="shared" si="15"/>
        <v>0</v>
      </c>
      <c r="H981" s="19" t="s">
        <v>59</v>
      </c>
      <c r="I981" s="3"/>
      <c r="J981" s="42"/>
      <c r="K981" s="3"/>
    </row>
    <row r="982" spans="1:11" x14ac:dyDescent="0.25">
      <c r="A982" s="20">
        <v>42105</v>
      </c>
      <c r="B982" s="183">
        <v>17519</v>
      </c>
      <c r="C982" s="14" t="s">
        <v>579</v>
      </c>
      <c r="D982" s="105">
        <v>1355.2</v>
      </c>
      <c r="E982" s="23">
        <v>42105</v>
      </c>
      <c r="F982" s="106">
        <v>1355.2</v>
      </c>
      <c r="G982" s="31">
        <f t="shared" si="15"/>
        <v>0</v>
      </c>
      <c r="H982" s="19" t="s">
        <v>9</v>
      </c>
      <c r="I982" s="3"/>
      <c r="J982" s="42"/>
      <c r="K982" s="3"/>
    </row>
    <row r="983" spans="1:11" x14ac:dyDescent="0.25">
      <c r="A983" s="20">
        <v>42105</v>
      </c>
      <c r="B983" s="183">
        <v>17520</v>
      </c>
      <c r="C983" s="14" t="s">
        <v>118</v>
      </c>
      <c r="D983" s="105">
        <v>1793</v>
      </c>
      <c r="E983" s="23">
        <v>42105</v>
      </c>
      <c r="F983" s="106">
        <v>1793</v>
      </c>
      <c r="G983" s="31">
        <f t="shared" si="15"/>
        <v>0</v>
      </c>
      <c r="H983" s="19" t="s">
        <v>59</v>
      </c>
      <c r="I983" s="3"/>
      <c r="J983" s="42"/>
      <c r="K983" s="3"/>
    </row>
    <row r="984" spans="1:11" x14ac:dyDescent="0.25">
      <c r="A984" s="20">
        <v>42105</v>
      </c>
      <c r="B984" s="183">
        <v>17521</v>
      </c>
      <c r="C984" s="14" t="s">
        <v>118</v>
      </c>
      <c r="D984" s="105">
        <v>13333</v>
      </c>
      <c r="E984" s="30" t="s">
        <v>1087</v>
      </c>
      <c r="F984" s="106">
        <v>13333</v>
      </c>
      <c r="G984" s="31">
        <f t="shared" si="15"/>
        <v>0</v>
      </c>
      <c r="H984" s="19" t="s">
        <v>59</v>
      </c>
      <c r="I984" s="3"/>
      <c r="J984" s="42"/>
      <c r="K984" s="3"/>
    </row>
    <row r="985" spans="1:11" x14ac:dyDescent="0.25">
      <c r="A985" s="20">
        <v>42105</v>
      </c>
      <c r="B985" s="183">
        <v>17522</v>
      </c>
      <c r="C985" s="14" t="s">
        <v>234</v>
      </c>
      <c r="D985" s="105">
        <v>5504.4</v>
      </c>
      <c r="E985" s="23">
        <v>42105</v>
      </c>
      <c r="F985" s="106">
        <v>5504.4</v>
      </c>
      <c r="G985" s="31">
        <f t="shared" si="15"/>
        <v>0</v>
      </c>
      <c r="H985" s="19" t="s">
        <v>9</v>
      </c>
      <c r="I985" s="3"/>
      <c r="J985" s="42"/>
      <c r="K985" s="3"/>
    </row>
    <row r="986" spans="1:11" x14ac:dyDescent="0.25">
      <c r="A986" s="20">
        <v>42105</v>
      </c>
      <c r="B986" s="183">
        <v>17523</v>
      </c>
      <c r="C986" s="14" t="s">
        <v>89</v>
      </c>
      <c r="D986" s="105">
        <v>4286</v>
      </c>
      <c r="E986" s="23">
        <v>42105</v>
      </c>
      <c r="F986" s="106">
        <v>4286</v>
      </c>
      <c r="G986" s="31">
        <f t="shared" si="15"/>
        <v>0</v>
      </c>
      <c r="H986" s="19" t="s">
        <v>9</v>
      </c>
      <c r="I986" s="3"/>
      <c r="J986" s="42"/>
      <c r="K986" s="3"/>
    </row>
    <row r="987" spans="1:11" x14ac:dyDescent="0.25">
      <c r="A987" s="20">
        <v>42105</v>
      </c>
      <c r="B987" s="183">
        <v>17524</v>
      </c>
      <c r="C987" s="14" t="s">
        <v>83</v>
      </c>
      <c r="D987" s="105">
        <v>6572.8</v>
      </c>
      <c r="E987" s="23">
        <v>42105</v>
      </c>
      <c r="F987" s="106">
        <v>6572.8</v>
      </c>
      <c r="G987" s="31">
        <f t="shared" si="15"/>
        <v>0</v>
      </c>
      <c r="H987" s="19" t="s">
        <v>59</v>
      </c>
      <c r="I987" s="3"/>
      <c r="J987" s="42"/>
      <c r="K987" s="3"/>
    </row>
    <row r="988" spans="1:11" x14ac:dyDescent="0.25">
      <c r="A988" s="20">
        <v>42105</v>
      </c>
      <c r="B988" s="183">
        <v>17525</v>
      </c>
      <c r="C988" s="14" t="s">
        <v>57</v>
      </c>
      <c r="D988" s="105">
        <v>350</v>
      </c>
      <c r="E988" s="23">
        <v>42105</v>
      </c>
      <c r="F988" s="106">
        <v>350</v>
      </c>
      <c r="G988" s="31">
        <f t="shared" si="15"/>
        <v>0</v>
      </c>
      <c r="H988" s="19" t="s">
        <v>59</v>
      </c>
      <c r="I988" s="3"/>
      <c r="J988" s="42"/>
      <c r="K988" s="3"/>
    </row>
    <row r="989" spans="1:11" x14ac:dyDescent="0.25">
      <c r="A989" s="20">
        <v>42105</v>
      </c>
      <c r="B989" s="183">
        <v>17526</v>
      </c>
      <c r="C989" s="110">
        <v>105</v>
      </c>
      <c r="D989" s="105">
        <v>3080</v>
      </c>
      <c r="E989" s="23">
        <v>42105</v>
      </c>
      <c r="F989" s="106">
        <v>3080</v>
      </c>
      <c r="G989" s="31">
        <f t="shared" si="15"/>
        <v>0</v>
      </c>
      <c r="H989" s="19" t="s">
        <v>59</v>
      </c>
      <c r="I989" s="3"/>
      <c r="J989" s="42"/>
      <c r="K989" s="3"/>
    </row>
    <row r="990" spans="1:11" x14ac:dyDescent="0.25">
      <c r="A990" s="20">
        <v>42105</v>
      </c>
      <c r="B990" s="183">
        <v>17527</v>
      </c>
      <c r="C990" s="14" t="s">
        <v>416</v>
      </c>
      <c r="D990" s="105">
        <v>426.6</v>
      </c>
      <c r="E990" s="23">
        <v>42105</v>
      </c>
      <c r="F990" s="106">
        <v>426.6</v>
      </c>
      <c r="G990" s="31">
        <f t="shared" si="15"/>
        <v>0</v>
      </c>
      <c r="H990" s="19" t="s">
        <v>9</v>
      </c>
      <c r="I990" s="3"/>
      <c r="J990" s="42"/>
      <c r="K990" s="3"/>
    </row>
    <row r="991" spans="1:11" x14ac:dyDescent="0.25">
      <c r="A991" s="20">
        <v>42105</v>
      </c>
      <c r="B991" s="183">
        <v>17528</v>
      </c>
      <c r="C991" s="14" t="s">
        <v>111</v>
      </c>
      <c r="D991" s="105">
        <v>98819.520000000004</v>
      </c>
      <c r="E991" s="23">
        <v>42108</v>
      </c>
      <c r="F991" s="106">
        <v>98819.520000000004</v>
      </c>
      <c r="G991" s="31">
        <f t="shared" si="15"/>
        <v>0</v>
      </c>
      <c r="H991" s="19" t="s">
        <v>46</v>
      </c>
      <c r="I991" s="3"/>
      <c r="J991" s="42"/>
      <c r="K991" s="3"/>
    </row>
    <row r="992" spans="1:11" x14ac:dyDescent="0.25">
      <c r="A992" s="20">
        <v>42105</v>
      </c>
      <c r="B992" s="183">
        <v>17529</v>
      </c>
      <c r="C992" s="14" t="s">
        <v>136</v>
      </c>
      <c r="D992" s="105">
        <v>540</v>
      </c>
      <c r="E992" s="23">
        <v>42105</v>
      </c>
      <c r="F992" s="106">
        <v>540</v>
      </c>
      <c r="G992" s="31">
        <f t="shared" si="15"/>
        <v>0</v>
      </c>
      <c r="H992" s="19" t="s">
        <v>9</v>
      </c>
      <c r="I992" s="3"/>
      <c r="J992" s="42"/>
      <c r="K992" s="3"/>
    </row>
    <row r="993" spans="1:11" x14ac:dyDescent="0.25">
      <c r="A993" s="20">
        <v>42105</v>
      </c>
      <c r="B993" s="183">
        <v>17530</v>
      </c>
      <c r="C993" s="14" t="s">
        <v>214</v>
      </c>
      <c r="D993" s="105">
        <v>4900</v>
      </c>
      <c r="E993" s="23">
        <v>42107</v>
      </c>
      <c r="F993" s="106">
        <v>4900</v>
      </c>
      <c r="G993" s="31">
        <f t="shared" si="15"/>
        <v>0</v>
      </c>
      <c r="H993" s="19" t="s">
        <v>41</v>
      </c>
      <c r="I993" s="3"/>
      <c r="J993" s="42"/>
      <c r="K993" s="3"/>
    </row>
    <row r="994" spans="1:11" x14ac:dyDescent="0.25">
      <c r="A994" s="20">
        <v>42105</v>
      </c>
      <c r="B994" s="183">
        <v>17531</v>
      </c>
      <c r="C994" s="14" t="s">
        <v>141</v>
      </c>
      <c r="D994" s="105">
        <v>541.20000000000005</v>
      </c>
      <c r="E994" s="23">
        <v>42105</v>
      </c>
      <c r="F994" s="106">
        <v>541.20000000000005</v>
      </c>
      <c r="G994" s="31">
        <f t="shared" si="15"/>
        <v>0</v>
      </c>
      <c r="H994" s="19" t="s">
        <v>9</v>
      </c>
      <c r="I994" s="3"/>
      <c r="J994" s="42"/>
      <c r="K994" s="3"/>
    </row>
    <row r="995" spans="1:11" x14ac:dyDescent="0.25">
      <c r="A995" s="20">
        <v>42105</v>
      </c>
      <c r="B995" s="183">
        <v>17532</v>
      </c>
      <c r="C995" s="14" t="s">
        <v>53</v>
      </c>
      <c r="D995" s="105">
        <v>2637.5</v>
      </c>
      <c r="E995" s="23">
        <v>42105</v>
      </c>
      <c r="F995" s="106">
        <v>2637.5</v>
      </c>
      <c r="G995" s="31">
        <f t="shared" si="15"/>
        <v>0</v>
      </c>
      <c r="H995" s="19" t="s">
        <v>41</v>
      </c>
      <c r="K995" s="3"/>
    </row>
    <row r="996" spans="1:11" x14ac:dyDescent="0.25">
      <c r="A996" s="20">
        <v>42105</v>
      </c>
      <c r="B996" s="183">
        <v>17533</v>
      </c>
      <c r="C996" s="14" t="s">
        <v>141</v>
      </c>
      <c r="D996" s="105">
        <v>64.8</v>
      </c>
      <c r="E996" s="23">
        <v>42105</v>
      </c>
      <c r="F996" s="106">
        <v>64.8</v>
      </c>
      <c r="G996" s="31">
        <f t="shared" si="15"/>
        <v>0</v>
      </c>
      <c r="H996" s="19" t="s">
        <v>9</v>
      </c>
      <c r="K996" s="3"/>
    </row>
    <row r="997" spans="1:11" x14ac:dyDescent="0.25">
      <c r="A997" s="20">
        <v>42105</v>
      </c>
      <c r="B997" s="183">
        <v>17534</v>
      </c>
      <c r="C997" s="14" t="s">
        <v>24</v>
      </c>
      <c r="D997" s="105">
        <v>30892.7</v>
      </c>
      <c r="E997" s="30">
        <v>42125</v>
      </c>
      <c r="F997" s="144">
        <v>30892.7</v>
      </c>
      <c r="G997" s="31">
        <f t="shared" si="15"/>
        <v>0</v>
      </c>
      <c r="H997" s="19" t="s">
        <v>9</v>
      </c>
      <c r="K997" s="3"/>
    </row>
    <row r="998" spans="1:11" x14ac:dyDescent="0.25">
      <c r="A998" s="20">
        <v>42105</v>
      </c>
      <c r="B998" s="183">
        <v>17535</v>
      </c>
      <c r="C998" s="14" t="s">
        <v>24</v>
      </c>
      <c r="D998" s="105">
        <v>8316</v>
      </c>
      <c r="E998" s="30">
        <v>42125</v>
      </c>
      <c r="F998" s="144">
        <v>8316</v>
      </c>
      <c r="G998" s="31">
        <f t="shared" si="15"/>
        <v>0</v>
      </c>
      <c r="H998" s="19" t="s">
        <v>9</v>
      </c>
      <c r="K998" s="3"/>
    </row>
    <row r="999" spans="1:11" x14ac:dyDescent="0.25">
      <c r="A999" s="20">
        <v>42105</v>
      </c>
      <c r="B999" s="183">
        <v>17536</v>
      </c>
      <c r="C999" s="14" t="s">
        <v>71</v>
      </c>
      <c r="D999" s="105">
        <v>5493.1</v>
      </c>
      <c r="E999" s="23">
        <v>42105</v>
      </c>
      <c r="F999" s="106">
        <v>5493.1</v>
      </c>
      <c r="G999" s="31">
        <f t="shared" si="15"/>
        <v>0</v>
      </c>
      <c r="H999" s="19" t="s">
        <v>9</v>
      </c>
      <c r="K999" s="3"/>
    </row>
    <row r="1000" spans="1:11" x14ac:dyDescent="0.25">
      <c r="A1000" s="20">
        <v>42105</v>
      </c>
      <c r="B1000" s="183">
        <v>17537</v>
      </c>
      <c r="C1000" s="14" t="s">
        <v>333</v>
      </c>
      <c r="D1000" s="105">
        <v>2290.8000000000002</v>
      </c>
      <c r="E1000" s="23">
        <v>42105</v>
      </c>
      <c r="F1000" s="106">
        <v>2290.8000000000002</v>
      </c>
      <c r="G1000" s="31">
        <f t="shared" si="15"/>
        <v>0</v>
      </c>
      <c r="H1000" s="19" t="s">
        <v>41</v>
      </c>
      <c r="J1000" s="107"/>
      <c r="K1000" s="3"/>
    </row>
    <row r="1001" spans="1:11" x14ac:dyDescent="0.25">
      <c r="A1001" s="20">
        <v>42105</v>
      </c>
      <c r="B1001" s="183">
        <v>17538</v>
      </c>
      <c r="C1001" s="14" t="s">
        <v>675</v>
      </c>
      <c r="D1001" s="105">
        <v>90</v>
      </c>
      <c r="E1001" s="23">
        <v>42105</v>
      </c>
      <c r="F1001" s="106">
        <v>90</v>
      </c>
      <c r="G1001" s="31">
        <f t="shared" si="15"/>
        <v>0</v>
      </c>
      <c r="H1001" s="19" t="s">
        <v>9</v>
      </c>
      <c r="J1001" s="107"/>
      <c r="K1001" s="3"/>
    </row>
    <row r="1002" spans="1:11" x14ac:dyDescent="0.25">
      <c r="A1002" s="20">
        <v>42105</v>
      </c>
      <c r="B1002" s="183">
        <v>17539</v>
      </c>
      <c r="C1002" s="14" t="s">
        <v>411</v>
      </c>
      <c r="D1002" s="105">
        <v>2373</v>
      </c>
      <c r="E1002" s="23">
        <v>42105</v>
      </c>
      <c r="F1002" s="106">
        <v>2373</v>
      </c>
      <c r="G1002" s="31">
        <f t="shared" si="15"/>
        <v>0</v>
      </c>
      <c r="H1002" s="19" t="s">
        <v>9</v>
      </c>
      <c r="K1002" s="3"/>
    </row>
    <row r="1003" spans="1:11" x14ac:dyDescent="0.25">
      <c r="A1003" s="20">
        <v>42105</v>
      </c>
      <c r="B1003" s="183">
        <v>17540</v>
      </c>
      <c r="C1003" s="14" t="s">
        <v>111</v>
      </c>
      <c r="D1003" s="105">
        <v>278925</v>
      </c>
      <c r="E1003" s="23">
        <v>42108</v>
      </c>
      <c r="F1003" s="106">
        <v>278925</v>
      </c>
      <c r="G1003" s="31">
        <f t="shared" si="15"/>
        <v>0</v>
      </c>
      <c r="H1003" s="19" t="s">
        <v>9</v>
      </c>
      <c r="K1003" s="3"/>
    </row>
    <row r="1004" spans="1:11" x14ac:dyDescent="0.25">
      <c r="A1004" s="20">
        <v>42105</v>
      </c>
      <c r="B1004" s="183">
        <v>17541</v>
      </c>
      <c r="C1004" s="14" t="s">
        <v>55</v>
      </c>
      <c r="D1004" s="105">
        <v>22408.9</v>
      </c>
      <c r="E1004" s="23">
        <v>42106</v>
      </c>
      <c r="F1004" s="106">
        <v>22408.9</v>
      </c>
      <c r="G1004" s="31">
        <f t="shared" si="15"/>
        <v>0</v>
      </c>
      <c r="H1004" s="19" t="s">
        <v>17</v>
      </c>
      <c r="K1004" s="3"/>
    </row>
    <row r="1005" spans="1:11" x14ac:dyDescent="0.25">
      <c r="A1005" s="20">
        <v>42105</v>
      </c>
      <c r="B1005" s="183">
        <v>17542</v>
      </c>
      <c r="C1005" s="14" t="s">
        <v>35</v>
      </c>
      <c r="D1005" s="105">
        <v>21553.3</v>
      </c>
      <c r="E1005" s="23">
        <v>42106</v>
      </c>
      <c r="F1005" s="106">
        <v>21553.3</v>
      </c>
      <c r="G1005" s="31">
        <f t="shared" si="15"/>
        <v>0</v>
      </c>
      <c r="H1005" s="19" t="s">
        <v>773</v>
      </c>
      <c r="K1005" s="3"/>
    </row>
    <row r="1006" spans="1:11" x14ac:dyDescent="0.25">
      <c r="A1006" s="20">
        <v>42105</v>
      </c>
      <c r="B1006" s="183">
        <v>17543</v>
      </c>
      <c r="C1006" s="14" t="s">
        <v>47</v>
      </c>
      <c r="D1006" s="105">
        <v>16952</v>
      </c>
      <c r="E1006" s="23">
        <v>42106</v>
      </c>
      <c r="F1006" s="106">
        <v>16952</v>
      </c>
      <c r="G1006" s="31">
        <f t="shared" si="15"/>
        <v>0</v>
      </c>
      <c r="H1006" s="19" t="s">
        <v>773</v>
      </c>
      <c r="K1006" s="3"/>
    </row>
    <row r="1007" spans="1:11" x14ac:dyDescent="0.25">
      <c r="A1007" s="20">
        <v>42105</v>
      </c>
      <c r="B1007" s="183">
        <v>17544</v>
      </c>
      <c r="C1007" s="26" t="s">
        <v>218</v>
      </c>
      <c r="D1007" s="108">
        <v>0</v>
      </c>
      <c r="E1007" s="23"/>
      <c r="F1007" s="106"/>
      <c r="G1007" s="31">
        <f t="shared" si="15"/>
        <v>0</v>
      </c>
      <c r="H1007" s="19" t="s">
        <v>13</v>
      </c>
      <c r="K1007" s="3"/>
    </row>
    <row r="1008" spans="1:11" x14ac:dyDescent="0.25">
      <c r="A1008" s="20">
        <v>42105</v>
      </c>
      <c r="B1008" s="183">
        <v>17545</v>
      </c>
      <c r="C1008" s="14" t="s">
        <v>482</v>
      </c>
      <c r="D1008" s="105">
        <v>350</v>
      </c>
      <c r="E1008" s="23">
        <v>42105</v>
      </c>
      <c r="F1008" s="106">
        <v>350</v>
      </c>
      <c r="G1008" s="31">
        <f t="shared" si="15"/>
        <v>0</v>
      </c>
      <c r="H1008" s="39" t="s">
        <v>9</v>
      </c>
      <c r="K1008" s="3"/>
    </row>
    <row r="1009" spans="1:11" x14ac:dyDescent="0.25">
      <c r="A1009" s="20">
        <v>42105</v>
      </c>
      <c r="B1009" s="183">
        <v>17546</v>
      </c>
      <c r="C1009" s="14" t="s">
        <v>697</v>
      </c>
      <c r="D1009" s="105">
        <v>78147.3</v>
      </c>
      <c r="E1009" s="23">
        <v>42107</v>
      </c>
      <c r="F1009" s="106">
        <v>78147.3</v>
      </c>
      <c r="G1009" s="31">
        <f t="shared" si="15"/>
        <v>0</v>
      </c>
      <c r="H1009" s="39" t="s">
        <v>9</v>
      </c>
      <c r="K1009" s="3"/>
    </row>
    <row r="1010" spans="1:11" x14ac:dyDescent="0.25">
      <c r="A1010" s="20">
        <v>42105</v>
      </c>
      <c r="B1010" s="183">
        <v>17547</v>
      </c>
      <c r="C1010" s="14" t="s">
        <v>124</v>
      </c>
      <c r="D1010" s="105">
        <v>1166.4000000000001</v>
      </c>
      <c r="E1010" s="23">
        <v>42105</v>
      </c>
      <c r="F1010" s="106">
        <v>1166.4000000000001</v>
      </c>
      <c r="G1010" s="31">
        <f t="shared" si="15"/>
        <v>0</v>
      </c>
      <c r="H1010" s="39" t="s">
        <v>9</v>
      </c>
      <c r="K1010" s="3"/>
    </row>
    <row r="1011" spans="1:11" x14ac:dyDescent="0.25">
      <c r="A1011" s="20">
        <v>42105</v>
      </c>
      <c r="B1011" s="183">
        <v>17548</v>
      </c>
      <c r="C1011" s="14" t="s">
        <v>24</v>
      </c>
      <c r="D1011" s="105">
        <v>147945.20000000001</v>
      </c>
      <c r="E1011" s="195" t="s">
        <v>1238</v>
      </c>
      <c r="F1011" s="144">
        <f>12722.22+135222.98</f>
        <v>147945.20000000001</v>
      </c>
      <c r="G1011" s="31">
        <f t="shared" si="15"/>
        <v>0</v>
      </c>
      <c r="H1011" s="39" t="s">
        <v>46</v>
      </c>
      <c r="K1011" s="3"/>
    </row>
    <row r="1012" spans="1:11" x14ac:dyDescent="0.25">
      <c r="A1012" s="20">
        <v>42105</v>
      </c>
      <c r="B1012" s="183">
        <v>17549</v>
      </c>
      <c r="C1012" s="14" t="s">
        <v>256</v>
      </c>
      <c r="D1012" s="105">
        <v>7435</v>
      </c>
      <c r="E1012" s="23">
        <v>42106</v>
      </c>
      <c r="F1012" s="106">
        <v>7435</v>
      </c>
      <c r="G1012" s="31">
        <f t="shared" si="15"/>
        <v>0</v>
      </c>
      <c r="H1012" s="39" t="s">
        <v>773</v>
      </c>
      <c r="K1012" s="3"/>
    </row>
    <row r="1013" spans="1:11" x14ac:dyDescent="0.25">
      <c r="A1013" s="20">
        <v>42105</v>
      </c>
      <c r="B1013" s="183">
        <v>17550</v>
      </c>
      <c r="C1013" s="14" t="s">
        <v>104</v>
      </c>
      <c r="D1013" s="105">
        <v>3478.4</v>
      </c>
      <c r="E1013" s="23">
        <v>42107</v>
      </c>
      <c r="F1013" s="106">
        <v>3478.4</v>
      </c>
      <c r="G1013" s="31">
        <f t="shared" si="15"/>
        <v>0</v>
      </c>
      <c r="H1013" s="39" t="s">
        <v>17</v>
      </c>
      <c r="K1013" s="3"/>
    </row>
    <row r="1014" spans="1:11" x14ac:dyDescent="0.25">
      <c r="A1014" s="20">
        <v>42105</v>
      </c>
      <c r="B1014" s="183">
        <v>17551</v>
      </c>
      <c r="C1014" s="14" t="s">
        <v>98</v>
      </c>
      <c r="D1014" s="105">
        <v>1352.64</v>
      </c>
      <c r="E1014" s="23">
        <v>42107</v>
      </c>
      <c r="F1014" s="106">
        <v>1352.64</v>
      </c>
      <c r="G1014" s="31">
        <f t="shared" si="15"/>
        <v>0</v>
      </c>
      <c r="H1014" s="39" t="s">
        <v>17</v>
      </c>
      <c r="K1014" s="3"/>
    </row>
    <row r="1015" spans="1:11" x14ac:dyDescent="0.25">
      <c r="A1015" s="20">
        <v>42105</v>
      </c>
      <c r="B1015" s="183">
        <v>17552</v>
      </c>
      <c r="C1015" s="14" t="s">
        <v>95</v>
      </c>
      <c r="D1015" s="105">
        <v>2300.8000000000002</v>
      </c>
      <c r="E1015" s="23">
        <v>42107</v>
      </c>
      <c r="F1015" s="106">
        <v>2300.8000000000002</v>
      </c>
      <c r="G1015" s="31">
        <f t="shared" si="15"/>
        <v>0</v>
      </c>
      <c r="H1015" s="39" t="s">
        <v>17</v>
      </c>
      <c r="K1015" s="3"/>
    </row>
    <row r="1016" spans="1:11" x14ac:dyDescent="0.25">
      <c r="A1016" s="20">
        <v>42105</v>
      </c>
      <c r="B1016" s="183">
        <v>17553</v>
      </c>
      <c r="C1016" s="14" t="s">
        <v>93</v>
      </c>
      <c r="D1016" s="105">
        <v>2092.8000000000002</v>
      </c>
      <c r="E1016" s="23">
        <v>42107</v>
      </c>
      <c r="F1016" s="106">
        <v>2092.8000000000002</v>
      </c>
      <c r="G1016" s="31">
        <f t="shared" si="15"/>
        <v>0</v>
      </c>
      <c r="H1016" s="39" t="s">
        <v>17</v>
      </c>
      <c r="K1016" s="3"/>
    </row>
    <row r="1017" spans="1:11" x14ac:dyDescent="0.25">
      <c r="A1017" s="20">
        <v>42105</v>
      </c>
      <c r="B1017" s="183">
        <v>17554</v>
      </c>
      <c r="C1017" s="14" t="s">
        <v>834</v>
      </c>
      <c r="D1017" s="105">
        <v>7430</v>
      </c>
      <c r="E1017" s="51">
        <v>42105</v>
      </c>
      <c r="F1017" s="106">
        <v>7430</v>
      </c>
      <c r="G1017" s="31">
        <f t="shared" si="15"/>
        <v>0</v>
      </c>
      <c r="H1017" s="39" t="s">
        <v>9</v>
      </c>
      <c r="K1017" s="3"/>
    </row>
    <row r="1018" spans="1:11" x14ac:dyDescent="0.25">
      <c r="A1018" s="20">
        <v>42105</v>
      </c>
      <c r="B1018" s="183">
        <v>17555</v>
      </c>
      <c r="C1018" s="150" t="s">
        <v>103</v>
      </c>
      <c r="D1018" s="105">
        <v>38821.64</v>
      </c>
      <c r="E1018" s="23">
        <v>42107</v>
      </c>
      <c r="F1018" s="106">
        <v>38821.64</v>
      </c>
      <c r="G1018" s="31">
        <f t="shared" si="15"/>
        <v>0</v>
      </c>
      <c r="H1018" s="39" t="s">
        <v>94</v>
      </c>
      <c r="K1018" s="3"/>
    </row>
    <row r="1019" spans="1:11" x14ac:dyDescent="0.25">
      <c r="A1019" s="20">
        <v>42105</v>
      </c>
      <c r="B1019" s="183">
        <v>17556</v>
      </c>
      <c r="C1019" s="14" t="s">
        <v>56</v>
      </c>
      <c r="D1019" s="105">
        <v>7488</v>
      </c>
      <c r="E1019" s="23">
        <v>42106</v>
      </c>
      <c r="F1019" s="106">
        <v>7488</v>
      </c>
      <c r="G1019" s="31">
        <f t="shared" si="15"/>
        <v>0</v>
      </c>
      <c r="H1019" s="39" t="s">
        <v>773</v>
      </c>
      <c r="K1019" s="3"/>
    </row>
    <row r="1020" spans="1:11" x14ac:dyDescent="0.25">
      <c r="A1020" s="20">
        <v>42105</v>
      </c>
      <c r="B1020" s="183">
        <v>17557</v>
      </c>
      <c r="C1020" s="14" t="s">
        <v>484</v>
      </c>
      <c r="D1020" s="105">
        <v>21004.2</v>
      </c>
      <c r="E1020" s="23">
        <v>42112</v>
      </c>
      <c r="F1020" s="106">
        <v>21004.2</v>
      </c>
      <c r="G1020" s="31">
        <f t="shared" si="15"/>
        <v>0</v>
      </c>
      <c r="H1020" s="39" t="s">
        <v>9</v>
      </c>
      <c r="K1020" s="3"/>
    </row>
    <row r="1021" spans="1:11" x14ac:dyDescent="0.25">
      <c r="A1021" s="20">
        <v>42105</v>
      </c>
      <c r="B1021" s="183">
        <v>17558</v>
      </c>
      <c r="C1021" s="14" t="s">
        <v>110</v>
      </c>
      <c r="D1021" s="105">
        <v>21323.3</v>
      </c>
      <c r="E1021" s="23">
        <v>42117</v>
      </c>
      <c r="F1021" s="106">
        <v>21323.3</v>
      </c>
      <c r="G1021" s="31">
        <f t="shared" si="15"/>
        <v>0</v>
      </c>
      <c r="H1021" s="56" t="s">
        <v>9</v>
      </c>
      <c r="K1021" s="3"/>
    </row>
    <row r="1022" spans="1:11" x14ac:dyDescent="0.25">
      <c r="A1022" s="20">
        <v>42105</v>
      </c>
      <c r="B1022" s="183">
        <v>17559</v>
      </c>
      <c r="C1022" s="14" t="s">
        <v>1069</v>
      </c>
      <c r="D1022" s="105">
        <v>679.6</v>
      </c>
      <c r="E1022" s="23">
        <v>42106</v>
      </c>
      <c r="F1022" s="106">
        <v>679.6</v>
      </c>
      <c r="G1022" s="31">
        <f t="shared" si="15"/>
        <v>0</v>
      </c>
      <c r="H1022" s="39" t="s">
        <v>773</v>
      </c>
      <c r="K1022" s="3"/>
    </row>
    <row r="1023" spans="1:11" x14ac:dyDescent="0.25">
      <c r="A1023" s="20">
        <v>42105</v>
      </c>
      <c r="B1023" s="183">
        <v>17560</v>
      </c>
      <c r="C1023" s="14" t="s">
        <v>571</v>
      </c>
      <c r="D1023" s="105">
        <v>19749.400000000001</v>
      </c>
      <c r="E1023" s="23">
        <v>42115</v>
      </c>
      <c r="F1023" s="106">
        <v>19749.400000000001</v>
      </c>
      <c r="G1023" s="31">
        <f t="shared" si="15"/>
        <v>0</v>
      </c>
      <c r="H1023" s="56" t="s">
        <v>9</v>
      </c>
      <c r="J1023" s="107"/>
      <c r="K1023" s="3"/>
    </row>
    <row r="1024" spans="1:11" x14ac:dyDescent="0.25">
      <c r="A1024" s="20">
        <v>42105</v>
      </c>
      <c r="B1024" s="183">
        <v>17561</v>
      </c>
      <c r="C1024" s="14" t="s">
        <v>106</v>
      </c>
      <c r="D1024" s="105">
        <v>20950.599999999999</v>
      </c>
      <c r="E1024" s="23">
        <v>42107</v>
      </c>
      <c r="F1024" s="106">
        <v>20950.599999999999</v>
      </c>
      <c r="G1024" s="31">
        <f t="shared" si="15"/>
        <v>0</v>
      </c>
      <c r="H1024" s="56" t="s">
        <v>9</v>
      </c>
      <c r="J1024" s="107"/>
      <c r="K1024" s="3"/>
    </row>
    <row r="1025" spans="1:11" x14ac:dyDescent="0.25">
      <c r="A1025" s="20">
        <v>42105</v>
      </c>
      <c r="B1025" s="183">
        <v>17562</v>
      </c>
      <c r="C1025" s="14" t="s">
        <v>110</v>
      </c>
      <c r="D1025" s="105">
        <v>64147.23</v>
      </c>
      <c r="E1025" s="23">
        <v>42117</v>
      </c>
      <c r="F1025" s="106">
        <v>64147.23</v>
      </c>
      <c r="G1025" s="31">
        <f t="shared" si="15"/>
        <v>0</v>
      </c>
      <c r="H1025" s="56" t="s">
        <v>9</v>
      </c>
      <c r="K1025" s="3"/>
    </row>
    <row r="1026" spans="1:11" x14ac:dyDescent="0.25">
      <c r="A1026" s="20">
        <v>42105</v>
      </c>
      <c r="B1026" s="183">
        <v>17563</v>
      </c>
      <c r="C1026" s="14" t="s">
        <v>1041</v>
      </c>
      <c r="D1026" s="105">
        <v>20526.54</v>
      </c>
      <c r="E1026" s="23">
        <v>42105</v>
      </c>
      <c r="F1026" s="106">
        <v>20526.54</v>
      </c>
      <c r="G1026" s="31">
        <f t="shared" si="15"/>
        <v>0</v>
      </c>
      <c r="H1026" s="56" t="s">
        <v>9</v>
      </c>
      <c r="K1026" s="3"/>
    </row>
    <row r="1027" spans="1:11" x14ac:dyDescent="0.25">
      <c r="A1027" s="20">
        <v>42105</v>
      </c>
      <c r="B1027" s="183">
        <v>17564</v>
      </c>
      <c r="C1027" s="14" t="s">
        <v>291</v>
      </c>
      <c r="D1027" s="105">
        <v>12787.08</v>
      </c>
      <c r="E1027" s="23">
        <v>42105</v>
      </c>
      <c r="F1027" s="106">
        <v>12787.08</v>
      </c>
      <c r="G1027" s="31">
        <f t="shared" ref="G1027:G1090" si="16">D1027-F1027</f>
        <v>0</v>
      </c>
      <c r="H1027" s="56" t="s">
        <v>9</v>
      </c>
      <c r="I1027" s="3"/>
      <c r="J1027" s="42"/>
      <c r="K1027" s="3"/>
    </row>
    <row r="1028" spans="1:11" x14ac:dyDescent="0.25">
      <c r="A1028" s="20">
        <v>42105</v>
      </c>
      <c r="B1028" s="183">
        <v>17565</v>
      </c>
      <c r="C1028" s="14" t="s">
        <v>45</v>
      </c>
      <c r="D1028" s="105">
        <v>103591.73</v>
      </c>
      <c r="E1028" s="23">
        <v>42117</v>
      </c>
      <c r="F1028" s="118">
        <v>103591.73</v>
      </c>
      <c r="G1028" s="31">
        <f t="shared" si="16"/>
        <v>0</v>
      </c>
      <c r="H1028" s="56" t="s">
        <v>9</v>
      </c>
      <c r="I1028" s="3"/>
      <c r="J1028" s="42"/>
      <c r="K1028" s="3"/>
    </row>
    <row r="1029" spans="1:11" x14ac:dyDescent="0.25">
      <c r="A1029" s="20">
        <v>42105</v>
      </c>
      <c r="B1029" s="183">
        <v>17566</v>
      </c>
      <c r="C1029" s="14" t="s">
        <v>120</v>
      </c>
      <c r="D1029" s="105">
        <v>1012.2</v>
      </c>
      <c r="E1029" s="23">
        <v>42105</v>
      </c>
      <c r="F1029" s="118">
        <v>1012.2</v>
      </c>
      <c r="G1029" s="31">
        <f t="shared" si="16"/>
        <v>0</v>
      </c>
      <c r="H1029" s="56" t="s">
        <v>9</v>
      </c>
      <c r="I1029" s="3"/>
      <c r="J1029" s="42"/>
      <c r="K1029" s="3"/>
    </row>
    <row r="1030" spans="1:11" x14ac:dyDescent="0.25">
      <c r="A1030" s="20">
        <v>42105</v>
      </c>
      <c r="B1030" s="183">
        <v>17567</v>
      </c>
      <c r="C1030" s="14" t="s">
        <v>24</v>
      </c>
      <c r="D1030" s="105">
        <v>55155.8</v>
      </c>
      <c r="E1030" s="30">
        <v>42125</v>
      </c>
      <c r="F1030" s="145">
        <v>55155.8</v>
      </c>
      <c r="G1030" s="31">
        <f t="shared" si="16"/>
        <v>0</v>
      </c>
      <c r="H1030" s="56" t="s">
        <v>9</v>
      </c>
      <c r="I1030" s="3"/>
      <c r="J1030" s="42"/>
      <c r="K1030" s="3"/>
    </row>
    <row r="1031" spans="1:11" x14ac:dyDescent="0.25">
      <c r="A1031" s="20">
        <v>42105</v>
      </c>
      <c r="B1031" s="183">
        <v>17568</v>
      </c>
      <c r="C1031" s="14" t="s">
        <v>14</v>
      </c>
      <c r="D1031" s="105">
        <v>194337.12</v>
      </c>
      <c r="E1031" s="23">
        <v>42117</v>
      </c>
      <c r="F1031" s="118">
        <v>194337.12</v>
      </c>
      <c r="G1031" s="31">
        <f t="shared" si="16"/>
        <v>0</v>
      </c>
      <c r="H1031" s="56" t="s">
        <v>9</v>
      </c>
      <c r="I1031" s="3"/>
      <c r="J1031" s="42"/>
      <c r="K1031" s="3"/>
    </row>
    <row r="1032" spans="1:11" x14ac:dyDescent="0.25">
      <c r="A1032" s="20">
        <v>42105</v>
      </c>
      <c r="B1032" s="183">
        <v>17569</v>
      </c>
      <c r="C1032" s="14" t="s">
        <v>1020</v>
      </c>
      <c r="D1032" s="105">
        <v>5709.6</v>
      </c>
      <c r="E1032" s="23">
        <v>42105</v>
      </c>
      <c r="F1032" s="118">
        <v>5709.6</v>
      </c>
      <c r="G1032" s="31">
        <f t="shared" si="16"/>
        <v>0</v>
      </c>
      <c r="H1032" s="56" t="s">
        <v>9</v>
      </c>
      <c r="I1032" s="3"/>
      <c r="J1032" s="42"/>
      <c r="K1032" s="3"/>
    </row>
    <row r="1033" spans="1:11" x14ac:dyDescent="0.25">
      <c r="A1033" s="20">
        <v>42105</v>
      </c>
      <c r="B1033" s="183">
        <v>17570</v>
      </c>
      <c r="C1033" s="14" t="s">
        <v>24</v>
      </c>
      <c r="D1033" s="105">
        <v>12364.8</v>
      </c>
      <c r="E1033" s="30">
        <v>42125</v>
      </c>
      <c r="F1033" s="145">
        <v>12364.8</v>
      </c>
      <c r="G1033" s="31">
        <f t="shared" si="16"/>
        <v>0</v>
      </c>
      <c r="H1033" s="56" t="s">
        <v>9</v>
      </c>
      <c r="I1033" s="3"/>
      <c r="J1033" s="42"/>
      <c r="K1033" s="3"/>
    </row>
    <row r="1034" spans="1:11" x14ac:dyDescent="0.25">
      <c r="A1034" s="20">
        <v>42105</v>
      </c>
      <c r="B1034" s="183">
        <v>17571</v>
      </c>
      <c r="C1034" s="14" t="s">
        <v>95</v>
      </c>
      <c r="D1034" s="105">
        <v>3244.8</v>
      </c>
      <c r="E1034" s="23">
        <v>42107</v>
      </c>
      <c r="F1034" s="118">
        <v>3244.8</v>
      </c>
      <c r="G1034" s="31">
        <f t="shared" si="16"/>
        <v>0</v>
      </c>
      <c r="H1034" s="56" t="s">
        <v>59</v>
      </c>
      <c r="I1034" s="3"/>
      <c r="J1034" s="42"/>
      <c r="K1034" s="3"/>
    </row>
    <row r="1035" spans="1:11" x14ac:dyDescent="0.25">
      <c r="A1035" s="20">
        <v>42105</v>
      </c>
      <c r="B1035" s="183">
        <v>17572</v>
      </c>
      <c r="C1035" s="14" t="s">
        <v>24</v>
      </c>
      <c r="D1035" s="105">
        <v>123134.8</v>
      </c>
      <c r="E1035" s="30">
        <v>42125</v>
      </c>
      <c r="F1035" s="145">
        <v>123134.8</v>
      </c>
      <c r="G1035" s="31">
        <f t="shared" si="16"/>
        <v>0</v>
      </c>
      <c r="H1035" s="56" t="s">
        <v>1013</v>
      </c>
      <c r="I1035" s="3"/>
      <c r="J1035" s="42"/>
      <c r="K1035" s="3"/>
    </row>
    <row r="1036" spans="1:11" x14ac:dyDescent="0.25">
      <c r="A1036" s="20">
        <v>42106</v>
      </c>
      <c r="B1036" s="183">
        <v>17573</v>
      </c>
      <c r="C1036" s="14" t="s">
        <v>383</v>
      </c>
      <c r="D1036" s="105">
        <v>3110</v>
      </c>
      <c r="E1036" s="23">
        <v>42106</v>
      </c>
      <c r="F1036" s="118">
        <v>3110</v>
      </c>
      <c r="G1036" s="31">
        <f t="shared" si="16"/>
        <v>0</v>
      </c>
      <c r="H1036" s="56" t="s">
        <v>9</v>
      </c>
      <c r="I1036" s="3"/>
      <c r="J1036" s="42"/>
      <c r="K1036" s="3"/>
    </row>
    <row r="1037" spans="1:11" x14ac:dyDescent="0.25">
      <c r="A1037" s="20">
        <v>42106</v>
      </c>
      <c r="B1037" s="183">
        <v>17574</v>
      </c>
      <c r="C1037" s="14" t="s">
        <v>720</v>
      </c>
      <c r="D1037" s="105">
        <v>14924.1</v>
      </c>
      <c r="E1037" s="23">
        <v>42106</v>
      </c>
      <c r="F1037" s="118">
        <v>14924.1</v>
      </c>
      <c r="G1037" s="31">
        <f t="shared" si="16"/>
        <v>0</v>
      </c>
      <c r="H1037" s="56" t="s">
        <v>9</v>
      </c>
      <c r="I1037" s="3"/>
      <c r="J1037" s="42"/>
      <c r="K1037" s="3"/>
    </row>
    <row r="1038" spans="1:11" x14ac:dyDescent="0.25">
      <c r="A1038" s="20">
        <v>42106</v>
      </c>
      <c r="B1038" s="183">
        <v>17575</v>
      </c>
      <c r="C1038" s="14" t="s">
        <v>18</v>
      </c>
      <c r="D1038" s="105">
        <v>2324.4</v>
      </c>
      <c r="E1038" s="23">
        <v>42106</v>
      </c>
      <c r="F1038" s="118">
        <v>2324.4</v>
      </c>
      <c r="G1038" s="31">
        <f t="shared" si="16"/>
        <v>0</v>
      </c>
      <c r="H1038" s="56" t="s">
        <v>9</v>
      </c>
      <c r="I1038" s="3"/>
      <c r="J1038" s="42"/>
      <c r="K1038" s="3"/>
    </row>
    <row r="1039" spans="1:11" x14ac:dyDescent="0.25">
      <c r="A1039" s="20">
        <v>42106</v>
      </c>
      <c r="B1039" s="183">
        <v>17576</v>
      </c>
      <c r="C1039" s="14" t="s">
        <v>121</v>
      </c>
      <c r="D1039" s="105">
        <v>2418.65</v>
      </c>
      <c r="E1039" s="23">
        <v>42106</v>
      </c>
      <c r="F1039" s="118">
        <v>2418.65</v>
      </c>
      <c r="G1039" s="31">
        <f t="shared" si="16"/>
        <v>0</v>
      </c>
      <c r="H1039" s="56" t="s">
        <v>9</v>
      </c>
      <c r="I1039" s="3"/>
      <c r="J1039" s="42"/>
      <c r="K1039" s="3"/>
    </row>
    <row r="1040" spans="1:11" x14ac:dyDescent="0.25">
      <c r="A1040" s="20">
        <v>42106</v>
      </c>
      <c r="B1040" s="183">
        <v>17577</v>
      </c>
      <c r="C1040" s="14" t="s">
        <v>1060</v>
      </c>
      <c r="D1040" s="105">
        <v>56631.9</v>
      </c>
      <c r="E1040" s="23">
        <v>42122</v>
      </c>
      <c r="F1040" s="118">
        <v>56631.9</v>
      </c>
      <c r="G1040" s="31">
        <f t="shared" si="16"/>
        <v>0</v>
      </c>
      <c r="H1040" s="56" t="s">
        <v>187</v>
      </c>
      <c r="I1040" s="3"/>
      <c r="J1040" s="42"/>
      <c r="K1040" s="3"/>
    </row>
    <row r="1041" spans="1:11" x14ac:dyDescent="0.25">
      <c r="A1041" s="20">
        <v>42106</v>
      </c>
      <c r="B1041" s="183">
        <v>17578</v>
      </c>
      <c r="C1041" s="14" t="s">
        <v>16</v>
      </c>
      <c r="D1041" s="105">
        <v>9581.6</v>
      </c>
      <c r="E1041" s="23">
        <v>42106</v>
      </c>
      <c r="F1041" s="118">
        <v>9581.6</v>
      </c>
      <c r="G1041" s="31">
        <f t="shared" si="16"/>
        <v>0</v>
      </c>
      <c r="H1041" s="56" t="s">
        <v>17</v>
      </c>
      <c r="I1041" s="3"/>
      <c r="J1041" s="42"/>
      <c r="K1041" s="3"/>
    </row>
    <row r="1042" spans="1:11" x14ac:dyDescent="0.25">
      <c r="A1042" s="20">
        <v>42106</v>
      </c>
      <c r="B1042" s="183">
        <v>17579</v>
      </c>
      <c r="C1042" s="14" t="s">
        <v>21</v>
      </c>
      <c r="D1042" s="105">
        <v>9430.0499999999993</v>
      </c>
      <c r="E1042" s="23">
        <v>42106</v>
      </c>
      <c r="F1042" s="118">
        <v>9430.0499999999993</v>
      </c>
      <c r="G1042" s="31">
        <f t="shared" si="16"/>
        <v>0</v>
      </c>
      <c r="H1042" s="56" t="s">
        <v>9</v>
      </c>
      <c r="I1042" s="3"/>
      <c r="J1042" s="42"/>
      <c r="K1042" s="3"/>
    </row>
    <row r="1043" spans="1:11" x14ac:dyDescent="0.25">
      <c r="A1043" s="20">
        <v>42106</v>
      </c>
      <c r="B1043" s="183">
        <v>17580</v>
      </c>
      <c r="C1043" s="26" t="s">
        <v>218</v>
      </c>
      <c r="D1043" s="108">
        <v>0</v>
      </c>
      <c r="E1043" s="23"/>
      <c r="F1043" s="118"/>
      <c r="G1043" s="31">
        <f t="shared" si="16"/>
        <v>0</v>
      </c>
      <c r="H1043" s="56" t="s">
        <v>13</v>
      </c>
      <c r="K1043" s="3"/>
    </row>
    <row r="1044" spans="1:11" x14ac:dyDescent="0.25">
      <c r="A1044" s="20">
        <v>42106</v>
      </c>
      <c r="B1044" s="183">
        <v>17581</v>
      </c>
      <c r="C1044" s="26" t="s">
        <v>218</v>
      </c>
      <c r="D1044" s="108">
        <v>0</v>
      </c>
      <c r="E1044" s="23"/>
      <c r="F1044" s="118"/>
      <c r="G1044" s="31">
        <f t="shared" si="16"/>
        <v>0</v>
      </c>
      <c r="H1044" s="56" t="s">
        <v>13</v>
      </c>
      <c r="K1044" s="3"/>
    </row>
    <row r="1045" spans="1:11" x14ac:dyDescent="0.25">
      <c r="A1045" s="20">
        <v>42106</v>
      </c>
      <c r="B1045" s="183">
        <v>17582</v>
      </c>
      <c r="C1045" s="26" t="s">
        <v>218</v>
      </c>
      <c r="D1045" s="108">
        <v>0</v>
      </c>
      <c r="E1045" s="23"/>
      <c r="F1045" s="118"/>
      <c r="G1045" s="31">
        <f t="shared" si="16"/>
        <v>0</v>
      </c>
      <c r="H1045" s="56" t="s">
        <v>13</v>
      </c>
      <c r="K1045" s="3"/>
    </row>
    <row r="1046" spans="1:11" x14ac:dyDescent="0.25">
      <c r="A1046" s="20">
        <v>42106</v>
      </c>
      <c r="B1046" s="183">
        <v>17583</v>
      </c>
      <c r="C1046" s="14" t="s">
        <v>82</v>
      </c>
      <c r="D1046" s="105">
        <v>1887</v>
      </c>
      <c r="E1046" s="23">
        <v>42107</v>
      </c>
      <c r="F1046" s="118">
        <v>1887</v>
      </c>
      <c r="G1046" s="31">
        <f t="shared" si="16"/>
        <v>0</v>
      </c>
      <c r="H1046" s="56" t="s">
        <v>59</v>
      </c>
      <c r="K1046" s="3"/>
    </row>
    <row r="1047" spans="1:11" x14ac:dyDescent="0.25">
      <c r="A1047" s="20">
        <v>42106</v>
      </c>
      <c r="B1047" s="183">
        <v>17584</v>
      </c>
      <c r="C1047" s="14" t="s">
        <v>83</v>
      </c>
      <c r="D1047" s="105">
        <v>3468.8</v>
      </c>
      <c r="E1047" s="23">
        <v>42107</v>
      </c>
      <c r="F1047" s="118">
        <v>3468.8</v>
      </c>
      <c r="G1047" s="31">
        <f t="shared" si="16"/>
        <v>0</v>
      </c>
      <c r="H1047" s="56" t="s">
        <v>59</v>
      </c>
      <c r="K1047" s="3"/>
    </row>
    <row r="1048" spans="1:11" x14ac:dyDescent="0.25">
      <c r="A1048" s="20">
        <v>42106</v>
      </c>
      <c r="B1048" s="183">
        <v>17585</v>
      </c>
      <c r="C1048" s="14" t="s">
        <v>120</v>
      </c>
      <c r="D1048" s="105">
        <v>1198.8</v>
      </c>
      <c r="E1048" s="23">
        <v>42107</v>
      </c>
      <c r="F1048" s="118">
        <v>1198.8</v>
      </c>
      <c r="G1048" s="31">
        <f t="shared" si="16"/>
        <v>0</v>
      </c>
      <c r="H1048" s="56" t="s">
        <v>59</v>
      </c>
      <c r="K1048" s="3"/>
    </row>
    <row r="1049" spans="1:11" x14ac:dyDescent="0.25">
      <c r="A1049" s="20">
        <v>42106</v>
      </c>
      <c r="B1049" s="183">
        <v>17586</v>
      </c>
      <c r="C1049" s="14" t="s">
        <v>53</v>
      </c>
      <c r="D1049" s="105">
        <v>1414.4</v>
      </c>
      <c r="E1049" s="23">
        <v>42107</v>
      </c>
      <c r="F1049" s="118">
        <v>1414.4</v>
      </c>
      <c r="G1049" s="31">
        <f t="shared" si="16"/>
        <v>0</v>
      </c>
      <c r="H1049" s="56" t="s">
        <v>59</v>
      </c>
      <c r="J1049" s="107"/>
      <c r="K1049" s="3"/>
    </row>
    <row r="1050" spans="1:11" x14ac:dyDescent="0.25">
      <c r="A1050" s="20">
        <v>42106</v>
      </c>
      <c r="B1050" s="183">
        <v>17587</v>
      </c>
      <c r="C1050" s="14" t="s">
        <v>1088</v>
      </c>
      <c r="D1050" s="105">
        <v>2010</v>
      </c>
      <c r="E1050" s="23">
        <v>42107</v>
      </c>
      <c r="F1050" s="118">
        <v>2010</v>
      </c>
      <c r="G1050" s="31">
        <f t="shared" si="16"/>
        <v>0</v>
      </c>
      <c r="H1050" s="56" t="s">
        <v>59</v>
      </c>
      <c r="K1050" s="3"/>
    </row>
    <row r="1051" spans="1:11" x14ac:dyDescent="0.25">
      <c r="A1051" s="20">
        <v>42106</v>
      </c>
      <c r="B1051" s="183">
        <v>17588</v>
      </c>
      <c r="C1051" s="14" t="s">
        <v>100</v>
      </c>
      <c r="D1051" s="105">
        <v>2208.6</v>
      </c>
      <c r="E1051" s="23">
        <v>42106</v>
      </c>
      <c r="F1051" s="118">
        <v>2208.6</v>
      </c>
      <c r="G1051" s="31">
        <f t="shared" si="16"/>
        <v>0</v>
      </c>
      <c r="H1051" s="56" t="s">
        <v>9</v>
      </c>
      <c r="K1051" s="3"/>
    </row>
    <row r="1052" spans="1:11" x14ac:dyDescent="0.25">
      <c r="A1052" s="20">
        <v>42106</v>
      </c>
      <c r="B1052" s="183">
        <v>17589</v>
      </c>
      <c r="C1052" s="14" t="s">
        <v>100</v>
      </c>
      <c r="D1052" s="105">
        <v>241.5</v>
      </c>
      <c r="E1052" s="23">
        <v>42106</v>
      </c>
      <c r="F1052" s="118">
        <v>241.5</v>
      </c>
      <c r="G1052" s="31">
        <f t="shared" si="16"/>
        <v>0</v>
      </c>
      <c r="H1052" s="56" t="s">
        <v>9</v>
      </c>
      <c r="K1052" s="3"/>
    </row>
    <row r="1053" spans="1:11" x14ac:dyDescent="0.25">
      <c r="A1053" s="20">
        <v>42106</v>
      </c>
      <c r="B1053" s="183">
        <v>17590</v>
      </c>
      <c r="C1053" s="14" t="s">
        <v>1077</v>
      </c>
      <c r="D1053" s="105">
        <v>195.5</v>
      </c>
      <c r="E1053" s="23">
        <v>42106</v>
      </c>
      <c r="F1053" s="118">
        <v>195.5</v>
      </c>
      <c r="G1053" s="31">
        <f t="shared" si="16"/>
        <v>0</v>
      </c>
      <c r="H1053" s="56" t="s">
        <v>9</v>
      </c>
      <c r="K1053" s="3"/>
    </row>
    <row r="1054" spans="1:11" x14ac:dyDescent="0.25">
      <c r="A1054" s="20">
        <v>42106</v>
      </c>
      <c r="B1054" s="183">
        <v>17591</v>
      </c>
      <c r="C1054" s="14" t="s">
        <v>152</v>
      </c>
      <c r="D1054" s="105">
        <v>5226.3999999999996</v>
      </c>
      <c r="E1054" s="23">
        <v>42107</v>
      </c>
      <c r="F1054" s="118">
        <v>5226.3999999999996</v>
      </c>
      <c r="G1054" s="31">
        <f t="shared" si="16"/>
        <v>0</v>
      </c>
      <c r="H1054" s="56" t="s">
        <v>59</v>
      </c>
      <c r="K1054" s="3"/>
    </row>
    <row r="1055" spans="1:11" x14ac:dyDescent="0.25">
      <c r="A1055" s="20">
        <v>42106</v>
      </c>
      <c r="B1055" s="183">
        <v>17592</v>
      </c>
      <c r="C1055" s="14" t="s">
        <v>1089</v>
      </c>
      <c r="D1055" s="105">
        <v>10067.4</v>
      </c>
      <c r="E1055" s="23">
        <v>42106</v>
      </c>
      <c r="F1055" s="118">
        <v>10067.4</v>
      </c>
      <c r="G1055" s="31">
        <f t="shared" si="16"/>
        <v>0</v>
      </c>
      <c r="H1055" s="56" t="s">
        <v>9</v>
      </c>
      <c r="K1055" s="3"/>
    </row>
    <row r="1056" spans="1:11" x14ac:dyDescent="0.25">
      <c r="A1056" s="20">
        <v>42106</v>
      </c>
      <c r="B1056" s="183">
        <v>17593</v>
      </c>
      <c r="C1056" s="14" t="s">
        <v>24</v>
      </c>
      <c r="D1056" s="105">
        <v>41415.699999999997</v>
      </c>
      <c r="E1056" s="30">
        <v>42138</v>
      </c>
      <c r="F1056" s="145">
        <v>41415.699999999997</v>
      </c>
      <c r="G1056" s="31">
        <f t="shared" si="16"/>
        <v>0</v>
      </c>
      <c r="H1056" s="56" t="s">
        <v>773</v>
      </c>
      <c r="K1056" s="3"/>
    </row>
    <row r="1057" spans="1:11" x14ac:dyDescent="0.25">
      <c r="A1057" s="20">
        <v>42106</v>
      </c>
      <c r="B1057" s="183">
        <v>17594</v>
      </c>
      <c r="C1057" s="14" t="s">
        <v>125</v>
      </c>
      <c r="D1057" s="105">
        <v>34057.300000000003</v>
      </c>
      <c r="E1057" s="23">
        <v>42106</v>
      </c>
      <c r="F1057" s="118">
        <v>34057.300000000003</v>
      </c>
      <c r="G1057" s="31">
        <f t="shared" si="16"/>
        <v>0</v>
      </c>
      <c r="H1057" s="56" t="s">
        <v>9</v>
      </c>
      <c r="K1057" s="3"/>
    </row>
    <row r="1058" spans="1:11" x14ac:dyDescent="0.25">
      <c r="A1058" s="20">
        <v>42106</v>
      </c>
      <c r="B1058" s="183">
        <v>17595</v>
      </c>
      <c r="C1058" s="14" t="s">
        <v>912</v>
      </c>
      <c r="D1058" s="105">
        <v>22223.8</v>
      </c>
      <c r="E1058" s="23">
        <v>42106</v>
      </c>
      <c r="F1058" s="118">
        <v>22223.8</v>
      </c>
      <c r="G1058" s="31">
        <f t="shared" si="16"/>
        <v>0</v>
      </c>
      <c r="H1058" s="56" t="s">
        <v>9</v>
      </c>
      <c r="K1058" s="3"/>
    </row>
    <row r="1059" spans="1:11" x14ac:dyDescent="0.25">
      <c r="A1059" s="20">
        <v>42106</v>
      </c>
      <c r="B1059" s="183">
        <v>17596</v>
      </c>
      <c r="C1059" s="14" t="s">
        <v>1090</v>
      </c>
      <c r="D1059" s="105">
        <v>805.8</v>
      </c>
      <c r="E1059" s="23">
        <v>42107</v>
      </c>
      <c r="F1059" s="118">
        <v>805.8</v>
      </c>
      <c r="G1059" s="31">
        <f t="shared" si="16"/>
        <v>0</v>
      </c>
      <c r="H1059" s="56" t="s">
        <v>59</v>
      </c>
      <c r="I1059" s="3"/>
      <c r="J1059" s="42"/>
      <c r="K1059" s="3"/>
    </row>
    <row r="1060" spans="1:11" x14ac:dyDescent="0.25">
      <c r="A1060" s="20">
        <v>42106</v>
      </c>
      <c r="B1060" s="183">
        <v>17597</v>
      </c>
      <c r="C1060" s="14" t="s">
        <v>57</v>
      </c>
      <c r="D1060" s="105">
        <v>525</v>
      </c>
      <c r="E1060" s="23">
        <v>42107</v>
      </c>
      <c r="F1060" s="118">
        <v>525</v>
      </c>
      <c r="G1060" s="31">
        <f t="shared" si="16"/>
        <v>0</v>
      </c>
      <c r="H1060" s="56" t="s">
        <v>59</v>
      </c>
      <c r="I1060" s="3"/>
      <c r="J1060" s="42"/>
      <c r="K1060" s="3"/>
    </row>
    <row r="1061" spans="1:11" x14ac:dyDescent="0.25">
      <c r="A1061" s="20">
        <v>42106</v>
      </c>
      <c r="B1061" s="183">
        <v>17598</v>
      </c>
      <c r="C1061" s="14" t="s">
        <v>214</v>
      </c>
      <c r="D1061" s="105">
        <v>1750</v>
      </c>
      <c r="E1061" s="23">
        <v>42107</v>
      </c>
      <c r="F1061" s="118">
        <v>1750</v>
      </c>
      <c r="G1061" s="31">
        <f t="shared" si="16"/>
        <v>0</v>
      </c>
      <c r="H1061" s="56" t="s">
        <v>59</v>
      </c>
      <c r="I1061" s="3"/>
      <c r="J1061" s="42"/>
      <c r="K1061" s="3"/>
    </row>
    <row r="1062" spans="1:11" x14ac:dyDescent="0.25">
      <c r="A1062" s="20">
        <v>42106</v>
      </c>
      <c r="B1062" s="183">
        <v>17599</v>
      </c>
      <c r="C1062" s="14" t="s">
        <v>1091</v>
      </c>
      <c r="D1062" s="105">
        <v>1245.5999999999999</v>
      </c>
      <c r="E1062" s="23">
        <v>42106</v>
      </c>
      <c r="F1062" s="118">
        <v>1245.5999999999999</v>
      </c>
      <c r="G1062" s="31">
        <f t="shared" si="16"/>
        <v>0</v>
      </c>
      <c r="H1062" s="56" t="s">
        <v>9</v>
      </c>
      <c r="I1062" s="3"/>
      <c r="J1062" s="42"/>
      <c r="K1062" s="3"/>
    </row>
    <row r="1063" spans="1:11" x14ac:dyDescent="0.25">
      <c r="A1063" s="20">
        <v>42106</v>
      </c>
      <c r="B1063" s="183">
        <v>17600</v>
      </c>
      <c r="C1063" s="14" t="s">
        <v>604</v>
      </c>
      <c r="D1063" s="105">
        <v>2236</v>
      </c>
      <c r="E1063" s="23">
        <v>42106</v>
      </c>
      <c r="F1063" s="118">
        <v>2236</v>
      </c>
      <c r="G1063" s="31">
        <f t="shared" si="16"/>
        <v>0</v>
      </c>
      <c r="H1063" s="56" t="s">
        <v>9</v>
      </c>
      <c r="I1063" s="3"/>
      <c r="J1063" s="42"/>
      <c r="K1063" s="3"/>
    </row>
    <row r="1064" spans="1:11" x14ac:dyDescent="0.25">
      <c r="A1064" s="20">
        <v>42106</v>
      </c>
      <c r="B1064" s="183">
        <v>17601</v>
      </c>
      <c r="C1064" s="14" t="s">
        <v>854</v>
      </c>
      <c r="D1064" s="105">
        <v>4789.3999999999996</v>
      </c>
      <c r="E1064" s="51">
        <v>42106</v>
      </c>
      <c r="F1064" s="118">
        <v>4789.3999999999996</v>
      </c>
      <c r="G1064" s="31">
        <f t="shared" si="16"/>
        <v>0</v>
      </c>
      <c r="H1064" s="56" t="s">
        <v>9</v>
      </c>
      <c r="I1064" s="3"/>
      <c r="J1064" s="42"/>
      <c r="K1064" s="3"/>
    </row>
    <row r="1065" spans="1:11" x14ac:dyDescent="0.25">
      <c r="A1065" s="20">
        <v>42106</v>
      </c>
      <c r="B1065" s="183">
        <v>17602</v>
      </c>
      <c r="C1065" s="14" t="s">
        <v>165</v>
      </c>
      <c r="D1065" s="105">
        <v>5930.1</v>
      </c>
      <c r="E1065" s="23">
        <v>42106</v>
      </c>
      <c r="F1065" s="118">
        <v>5930.1</v>
      </c>
      <c r="G1065" s="31">
        <f t="shared" si="16"/>
        <v>0</v>
      </c>
      <c r="H1065" s="56" t="s">
        <v>9</v>
      </c>
      <c r="I1065" s="3"/>
      <c r="J1065" s="42"/>
      <c r="K1065" s="3"/>
    </row>
    <row r="1066" spans="1:11" x14ac:dyDescent="0.25">
      <c r="A1066" s="20">
        <v>42106</v>
      </c>
      <c r="B1066" s="183">
        <v>17603</v>
      </c>
      <c r="C1066" s="110">
        <v>105</v>
      </c>
      <c r="D1066" s="105">
        <v>2730</v>
      </c>
      <c r="E1066" s="23">
        <v>42107</v>
      </c>
      <c r="F1066" s="118">
        <v>2730</v>
      </c>
      <c r="G1066" s="31">
        <f t="shared" si="16"/>
        <v>0</v>
      </c>
      <c r="H1066" s="56" t="s">
        <v>59</v>
      </c>
      <c r="I1066" s="3"/>
      <c r="J1066" s="42"/>
      <c r="K1066" s="3"/>
    </row>
    <row r="1067" spans="1:11" x14ac:dyDescent="0.25">
      <c r="A1067" s="20">
        <v>42106</v>
      </c>
      <c r="B1067" s="183">
        <v>17604</v>
      </c>
      <c r="C1067" s="14" t="s">
        <v>131</v>
      </c>
      <c r="D1067" s="105">
        <v>16615</v>
      </c>
      <c r="E1067" s="23">
        <v>42107</v>
      </c>
      <c r="F1067" s="106">
        <v>16615</v>
      </c>
      <c r="G1067" s="31">
        <f t="shared" si="16"/>
        <v>0</v>
      </c>
      <c r="H1067" s="39" t="s">
        <v>9</v>
      </c>
      <c r="I1067" s="3"/>
      <c r="J1067" s="42"/>
      <c r="K1067" s="3"/>
    </row>
    <row r="1068" spans="1:11" x14ac:dyDescent="0.25">
      <c r="A1068" s="20">
        <v>42106</v>
      </c>
      <c r="B1068" s="183">
        <v>17605</v>
      </c>
      <c r="C1068" s="14" t="s">
        <v>86</v>
      </c>
      <c r="D1068" s="105">
        <v>352.9</v>
      </c>
      <c r="E1068" s="23">
        <v>42106</v>
      </c>
      <c r="F1068" s="106">
        <v>352.9</v>
      </c>
      <c r="G1068" s="31">
        <f t="shared" si="16"/>
        <v>0</v>
      </c>
      <c r="H1068" s="39" t="s">
        <v>9</v>
      </c>
      <c r="I1068" s="3"/>
      <c r="J1068" s="42"/>
      <c r="K1068" s="3"/>
    </row>
    <row r="1069" spans="1:11" x14ac:dyDescent="0.25">
      <c r="A1069" s="20">
        <v>42106</v>
      </c>
      <c r="B1069" s="183">
        <v>17606</v>
      </c>
      <c r="C1069" s="14" t="s">
        <v>151</v>
      </c>
      <c r="D1069" s="105">
        <v>7346.8</v>
      </c>
      <c r="E1069" s="23">
        <v>42108</v>
      </c>
      <c r="F1069" s="106">
        <v>7346.8</v>
      </c>
      <c r="G1069" s="31">
        <f t="shared" si="16"/>
        <v>0</v>
      </c>
      <c r="H1069" s="39" t="s">
        <v>9</v>
      </c>
      <c r="I1069" s="3"/>
      <c r="J1069" s="42"/>
      <c r="K1069" s="3"/>
    </row>
    <row r="1070" spans="1:11" x14ac:dyDescent="0.25">
      <c r="A1070" s="20">
        <v>42106</v>
      </c>
      <c r="B1070" s="183">
        <v>17607</v>
      </c>
      <c r="C1070" s="14" t="s">
        <v>239</v>
      </c>
      <c r="D1070" s="105">
        <v>838.4</v>
      </c>
      <c r="E1070" s="23">
        <v>42106</v>
      </c>
      <c r="F1070" s="106">
        <v>838.4</v>
      </c>
      <c r="G1070" s="31">
        <f t="shared" si="16"/>
        <v>0</v>
      </c>
      <c r="H1070" s="39" t="s">
        <v>9</v>
      </c>
      <c r="I1070" s="3"/>
      <c r="J1070" s="42"/>
      <c r="K1070" s="3"/>
    </row>
    <row r="1071" spans="1:11" x14ac:dyDescent="0.25">
      <c r="A1071" s="20">
        <v>42106</v>
      </c>
      <c r="B1071" s="183">
        <v>17608</v>
      </c>
      <c r="C1071" s="14" t="s">
        <v>26</v>
      </c>
      <c r="D1071" s="105">
        <v>1632</v>
      </c>
      <c r="E1071" s="23">
        <v>42107</v>
      </c>
      <c r="F1071" s="106">
        <v>1632</v>
      </c>
      <c r="G1071" s="31">
        <f t="shared" si="16"/>
        <v>0</v>
      </c>
      <c r="H1071" s="39" t="s">
        <v>59</v>
      </c>
      <c r="I1071" s="3"/>
      <c r="J1071" s="42"/>
      <c r="K1071" s="3"/>
    </row>
    <row r="1072" spans="1:11" x14ac:dyDescent="0.25">
      <c r="A1072" s="20">
        <v>42106</v>
      </c>
      <c r="B1072" s="183">
        <v>17609</v>
      </c>
      <c r="C1072" s="14" t="s">
        <v>474</v>
      </c>
      <c r="D1072" s="105">
        <v>7301.2</v>
      </c>
      <c r="E1072" s="23">
        <v>42106</v>
      </c>
      <c r="F1072" s="106">
        <v>7301.2</v>
      </c>
      <c r="G1072" s="31">
        <f t="shared" si="16"/>
        <v>0</v>
      </c>
      <c r="H1072" s="39" t="s">
        <v>9</v>
      </c>
      <c r="I1072" s="3"/>
      <c r="J1072" s="42"/>
      <c r="K1072" s="3"/>
    </row>
    <row r="1073" spans="1:11" x14ac:dyDescent="0.25">
      <c r="A1073" s="20">
        <v>42106</v>
      </c>
      <c r="B1073" s="183">
        <v>17610</v>
      </c>
      <c r="C1073" s="14" t="s">
        <v>829</v>
      </c>
      <c r="D1073" s="105">
        <v>10499.8</v>
      </c>
      <c r="E1073" s="23">
        <v>42106</v>
      </c>
      <c r="F1073" s="106">
        <v>10499.8</v>
      </c>
      <c r="G1073" s="31">
        <f t="shared" si="16"/>
        <v>0</v>
      </c>
      <c r="H1073" s="39" t="s">
        <v>9</v>
      </c>
      <c r="I1073" s="3"/>
      <c r="J1073" s="42"/>
      <c r="K1073" s="3"/>
    </row>
    <row r="1074" spans="1:11" x14ac:dyDescent="0.25">
      <c r="A1074" s="20">
        <v>42106</v>
      </c>
      <c r="B1074" s="183">
        <v>17611</v>
      </c>
      <c r="C1074" s="110" t="s">
        <v>1058</v>
      </c>
      <c r="D1074" s="105">
        <v>2581.1999999999998</v>
      </c>
      <c r="E1074" s="23">
        <v>42106</v>
      </c>
      <c r="F1074" s="106">
        <v>2581.1999999999998</v>
      </c>
      <c r="G1074" s="31">
        <f t="shared" si="16"/>
        <v>0</v>
      </c>
      <c r="H1074" s="39" t="s">
        <v>9</v>
      </c>
      <c r="I1074" s="3"/>
      <c r="J1074" s="42"/>
      <c r="K1074" s="3"/>
    </row>
    <row r="1075" spans="1:11" x14ac:dyDescent="0.25">
      <c r="A1075" s="20">
        <v>42106</v>
      </c>
      <c r="B1075" s="183">
        <v>17612</v>
      </c>
      <c r="C1075" s="14" t="s">
        <v>45</v>
      </c>
      <c r="D1075" s="105">
        <v>10179.1</v>
      </c>
      <c r="E1075" s="23">
        <v>42117</v>
      </c>
      <c r="F1075" s="106">
        <v>10179.1</v>
      </c>
      <c r="G1075" s="31">
        <f t="shared" si="16"/>
        <v>0</v>
      </c>
      <c r="H1075" s="39" t="s">
        <v>59</v>
      </c>
      <c r="I1075" s="3"/>
      <c r="J1075" s="42"/>
      <c r="K1075" s="3"/>
    </row>
    <row r="1076" spans="1:11" x14ac:dyDescent="0.25">
      <c r="A1076" s="20">
        <v>42106</v>
      </c>
      <c r="B1076" s="183">
        <v>17613</v>
      </c>
      <c r="C1076" s="14" t="s">
        <v>900</v>
      </c>
      <c r="D1076" s="105">
        <v>2306.1999999999998</v>
      </c>
      <c r="E1076" s="23">
        <v>42106</v>
      </c>
      <c r="F1076" s="106">
        <v>2306.1999999999998</v>
      </c>
      <c r="G1076" s="31">
        <f t="shared" si="16"/>
        <v>0</v>
      </c>
      <c r="H1076" s="39" t="s">
        <v>9</v>
      </c>
      <c r="I1076" s="3"/>
      <c r="J1076" s="42"/>
      <c r="K1076" s="3"/>
    </row>
    <row r="1077" spans="1:11" x14ac:dyDescent="0.25">
      <c r="A1077" s="20">
        <v>42106</v>
      </c>
      <c r="B1077" s="183">
        <v>17614</v>
      </c>
      <c r="C1077" s="14" t="s">
        <v>14</v>
      </c>
      <c r="D1077" s="105">
        <v>25001.55</v>
      </c>
      <c r="E1077" s="23">
        <v>42117</v>
      </c>
      <c r="F1077" s="106">
        <v>25001.55</v>
      </c>
      <c r="G1077" s="31">
        <f t="shared" si="16"/>
        <v>0</v>
      </c>
      <c r="H1077" s="39" t="s">
        <v>187</v>
      </c>
      <c r="I1077" s="3"/>
      <c r="J1077" s="42"/>
      <c r="K1077" s="3"/>
    </row>
    <row r="1078" spans="1:11" x14ac:dyDescent="0.25">
      <c r="A1078" s="20">
        <v>42106</v>
      </c>
      <c r="B1078" s="183">
        <v>17615</v>
      </c>
      <c r="C1078" s="14" t="s">
        <v>571</v>
      </c>
      <c r="D1078" s="105">
        <v>18035.2</v>
      </c>
      <c r="E1078" s="23">
        <v>42115</v>
      </c>
      <c r="F1078" s="106">
        <f>5035.2+13000</f>
        <v>18035.2</v>
      </c>
      <c r="G1078" s="31">
        <f t="shared" si="16"/>
        <v>0</v>
      </c>
      <c r="H1078" s="39" t="s">
        <v>187</v>
      </c>
      <c r="I1078" s="3"/>
      <c r="J1078" s="42"/>
      <c r="K1078" s="3"/>
    </row>
    <row r="1079" spans="1:11" x14ac:dyDescent="0.25">
      <c r="A1079" s="20">
        <v>42106</v>
      </c>
      <c r="B1079" s="183">
        <v>17616</v>
      </c>
      <c r="C1079" s="14" t="s">
        <v>215</v>
      </c>
      <c r="D1079" s="105">
        <v>15562.15</v>
      </c>
      <c r="E1079" s="23">
        <v>42106</v>
      </c>
      <c r="F1079" s="106">
        <v>15562.15</v>
      </c>
      <c r="G1079" s="31">
        <f t="shared" si="16"/>
        <v>0</v>
      </c>
      <c r="H1079" s="39" t="s">
        <v>17</v>
      </c>
      <c r="I1079" s="3"/>
      <c r="J1079" s="42"/>
      <c r="K1079" s="3"/>
    </row>
    <row r="1080" spans="1:11" x14ac:dyDescent="0.25">
      <c r="A1080" s="20">
        <v>42106</v>
      </c>
      <c r="B1080" s="183">
        <v>17617</v>
      </c>
      <c r="C1080" s="14" t="s">
        <v>130</v>
      </c>
      <c r="D1080" s="105">
        <v>6940.1</v>
      </c>
      <c r="E1080" s="23">
        <v>42109</v>
      </c>
      <c r="F1080" s="106">
        <v>6940.1</v>
      </c>
      <c r="G1080" s="31">
        <f t="shared" si="16"/>
        <v>0</v>
      </c>
      <c r="H1080" s="39" t="s">
        <v>17</v>
      </c>
      <c r="I1080" s="3"/>
      <c r="J1080" s="42"/>
      <c r="K1080" s="3"/>
    </row>
    <row r="1081" spans="1:11" x14ac:dyDescent="0.25">
      <c r="A1081" s="20">
        <v>42106</v>
      </c>
      <c r="B1081" s="183">
        <v>17618</v>
      </c>
      <c r="C1081" s="14" t="s">
        <v>131</v>
      </c>
      <c r="D1081" s="105">
        <v>1630.4</v>
      </c>
      <c r="E1081" s="23">
        <v>42106</v>
      </c>
      <c r="F1081" s="106">
        <v>1630.4</v>
      </c>
      <c r="G1081" s="31">
        <f t="shared" si="16"/>
        <v>0</v>
      </c>
      <c r="H1081" s="39" t="s">
        <v>17</v>
      </c>
      <c r="I1081" s="3"/>
      <c r="J1081" s="42"/>
      <c r="K1081" s="3"/>
    </row>
    <row r="1082" spans="1:11" x14ac:dyDescent="0.25">
      <c r="A1082" s="20">
        <v>42106</v>
      </c>
      <c r="B1082" s="183">
        <v>17619</v>
      </c>
      <c r="C1082" s="14" t="s">
        <v>34</v>
      </c>
      <c r="D1082" s="105">
        <v>2460.5</v>
      </c>
      <c r="E1082" s="23">
        <v>42106</v>
      </c>
      <c r="F1082" s="106">
        <v>2460.5</v>
      </c>
      <c r="G1082" s="31">
        <f t="shared" si="16"/>
        <v>0</v>
      </c>
      <c r="H1082" s="39" t="s">
        <v>9</v>
      </c>
      <c r="I1082" s="3"/>
      <c r="J1082" s="42"/>
      <c r="K1082" s="3"/>
    </row>
    <row r="1083" spans="1:11" x14ac:dyDescent="0.25">
      <c r="A1083" s="20">
        <v>42106</v>
      </c>
      <c r="B1083" s="183">
        <v>17620</v>
      </c>
      <c r="C1083" s="14" t="s">
        <v>143</v>
      </c>
      <c r="D1083" s="105">
        <v>5330.7</v>
      </c>
      <c r="E1083" s="30" t="s">
        <v>1092</v>
      </c>
      <c r="F1083" s="106">
        <v>5330.7</v>
      </c>
      <c r="G1083" s="31">
        <f t="shared" si="16"/>
        <v>0</v>
      </c>
      <c r="H1083" s="39" t="s">
        <v>17</v>
      </c>
      <c r="I1083" s="3"/>
      <c r="J1083" s="42"/>
      <c r="K1083" s="3"/>
    </row>
    <row r="1084" spans="1:11" x14ac:dyDescent="0.25">
      <c r="A1084" s="20">
        <v>42106</v>
      </c>
      <c r="B1084" s="183">
        <v>17621</v>
      </c>
      <c r="C1084" s="14" t="s">
        <v>229</v>
      </c>
      <c r="D1084" s="105">
        <v>4679.72</v>
      </c>
      <c r="E1084" s="23">
        <v>42106</v>
      </c>
      <c r="F1084" s="106">
        <v>4679.72</v>
      </c>
      <c r="G1084" s="31">
        <f t="shared" si="16"/>
        <v>0</v>
      </c>
      <c r="H1084" s="39" t="s">
        <v>9</v>
      </c>
      <c r="I1084" s="3"/>
      <c r="J1084" s="42"/>
      <c r="K1084" s="3"/>
    </row>
    <row r="1085" spans="1:11" x14ac:dyDescent="0.25">
      <c r="A1085" s="20">
        <v>42106</v>
      </c>
      <c r="B1085" s="183">
        <v>17622</v>
      </c>
      <c r="C1085" s="14" t="s">
        <v>33</v>
      </c>
      <c r="D1085" s="105">
        <v>11107.8</v>
      </c>
      <c r="E1085" s="23">
        <v>42106</v>
      </c>
      <c r="F1085" s="106">
        <v>11107.8</v>
      </c>
      <c r="G1085" s="31">
        <f t="shared" si="16"/>
        <v>0</v>
      </c>
      <c r="H1085" s="39" t="s">
        <v>9</v>
      </c>
      <c r="I1085" s="3"/>
      <c r="J1085" s="42"/>
      <c r="K1085" s="3"/>
    </row>
    <row r="1086" spans="1:11" x14ac:dyDescent="0.25">
      <c r="A1086" s="20">
        <v>42106</v>
      </c>
      <c r="B1086" s="183">
        <v>17623</v>
      </c>
      <c r="C1086" s="14" t="s">
        <v>35</v>
      </c>
      <c r="D1086" s="105">
        <v>21845.4</v>
      </c>
      <c r="E1086" s="23">
        <v>42107</v>
      </c>
      <c r="F1086" s="106">
        <v>21845.4</v>
      </c>
      <c r="G1086" s="31">
        <f t="shared" si="16"/>
        <v>0</v>
      </c>
      <c r="H1086" s="39" t="s">
        <v>773</v>
      </c>
      <c r="I1086" s="3"/>
      <c r="J1086" s="42"/>
      <c r="K1086" s="3"/>
    </row>
    <row r="1087" spans="1:11" x14ac:dyDescent="0.25">
      <c r="A1087" s="20">
        <v>42106</v>
      </c>
      <c r="B1087" s="183">
        <v>17624</v>
      </c>
      <c r="C1087" s="14" t="s">
        <v>56</v>
      </c>
      <c r="D1087" s="105">
        <v>12082.4</v>
      </c>
      <c r="E1087" s="23">
        <v>42107</v>
      </c>
      <c r="F1087" s="106">
        <v>12082.4</v>
      </c>
      <c r="G1087" s="31">
        <f t="shared" si="16"/>
        <v>0</v>
      </c>
      <c r="H1087" s="39" t="s">
        <v>773</v>
      </c>
      <c r="I1087" s="3"/>
      <c r="J1087" s="42"/>
      <c r="K1087" s="3"/>
    </row>
    <row r="1088" spans="1:11" x14ac:dyDescent="0.25">
      <c r="A1088" s="20">
        <v>42106</v>
      </c>
      <c r="B1088" s="183">
        <v>17625</v>
      </c>
      <c r="C1088" s="14" t="s">
        <v>256</v>
      </c>
      <c r="D1088" s="105">
        <v>6215</v>
      </c>
      <c r="E1088" s="23">
        <v>42107</v>
      </c>
      <c r="F1088" s="106">
        <v>6215</v>
      </c>
      <c r="G1088" s="31">
        <f t="shared" si="16"/>
        <v>0</v>
      </c>
      <c r="H1088" s="39" t="s">
        <v>773</v>
      </c>
      <c r="I1088" s="3"/>
      <c r="J1088" s="42"/>
      <c r="K1088" s="3"/>
    </row>
    <row r="1089" spans="1:11" x14ac:dyDescent="0.25">
      <c r="A1089" s="20">
        <v>42106</v>
      </c>
      <c r="B1089" s="183">
        <v>17626</v>
      </c>
      <c r="C1089" s="14" t="s">
        <v>134</v>
      </c>
      <c r="D1089" s="105">
        <v>3146.5</v>
      </c>
      <c r="E1089" s="23">
        <v>42107</v>
      </c>
      <c r="F1089" s="106">
        <v>3146.5</v>
      </c>
      <c r="G1089" s="31">
        <f t="shared" si="16"/>
        <v>0</v>
      </c>
      <c r="H1089" s="39" t="s">
        <v>773</v>
      </c>
      <c r="I1089" s="3"/>
      <c r="J1089" s="42"/>
      <c r="K1089" s="3"/>
    </row>
    <row r="1090" spans="1:11" x14ac:dyDescent="0.25">
      <c r="A1090" s="20">
        <v>42106</v>
      </c>
      <c r="B1090" s="183">
        <v>17627</v>
      </c>
      <c r="C1090" s="14" t="s">
        <v>35</v>
      </c>
      <c r="D1090" s="105">
        <v>281.60000000000002</v>
      </c>
      <c r="E1090" s="23">
        <v>42107</v>
      </c>
      <c r="F1090" s="106">
        <v>281.60000000000002</v>
      </c>
      <c r="G1090" s="31">
        <f t="shared" si="16"/>
        <v>0</v>
      </c>
      <c r="H1090" s="39" t="s">
        <v>773</v>
      </c>
      <c r="I1090" s="3"/>
      <c r="J1090" s="42"/>
      <c r="K1090" s="3"/>
    </row>
    <row r="1091" spans="1:11" x14ac:dyDescent="0.25">
      <c r="A1091" s="20">
        <v>42106</v>
      </c>
      <c r="B1091" s="183">
        <v>17628</v>
      </c>
      <c r="C1091" s="14" t="s">
        <v>89</v>
      </c>
      <c r="D1091" s="105">
        <v>2411.4</v>
      </c>
      <c r="E1091" s="23">
        <v>42106</v>
      </c>
      <c r="F1091" s="106">
        <v>2411.4</v>
      </c>
      <c r="G1091" s="31">
        <f t="shared" ref="G1091:G1154" si="17">D1091-F1091</f>
        <v>0</v>
      </c>
      <c r="H1091" s="39" t="s">
        <v>9</v>
      </c>
      <c r="K1091" s="3"/>
    </row>
    <row r="1092" spans="1:11" x14ac:dyDescent="0.25">
      <c r="A1092" s="20">
        <v>42106</v>
      </c>
      <c r="B1092" s="183">
        <v>17629</v>
      </c>
      <c r="C1092" s="14" t="s">
        <v>65</v>
      </c>
      <c r="D1092" s="105">
        <v>32384.5</v>
      </c>
      <c r="E1092" s="23">
        <v>42107</v>
      </c>
      <c r="F1092" s="106">
        <v>32384.5</v>
      </c>
      <c r="G1092" s="31">
        <f t="shared" si="17"/>
        <v>0</v>
      </c>
      <c r="H1092" s="39" t="s">
        <v>62</v>
      </c>
      <c r="K1092" s="3"/>
    </row>
    <row r="1093" spans="1:11" x14ac:dyDescent="0.25">
      <c r="A1093" s="20">
        <v>42106</v>
      </c>
      <c r="B1093" s="183">
        <v>17630</v>
      </c>
      <c r="C1093" s="150" t="s">
        <v>170</v>
      </c>
      <c r="D1093" s="105">
        <v>3795.2</v>
      </c>
      <c r="E1093" s="23">
        <v>42107</v>
      </c>
      <c r="F1093" s="106">
        <v>3795.2</v>
      </c>
      <c r="G1093" s="31">
        <f t="shared" si="17"/>
        <v>0</v>
      </c>
      <c r="H1093" s="39" t="s">
        <v>62</v>
      </c>
      <c r="K1093" s="3"/>
    </row>
    <row r="1094" spans="1:11" x14ac:dyDescent="0.25">
      <c r="A1094" s="20">
        <v>42106</v>
      </c>
      <c r="B1094" s="183">
        <v>17631</v>
      </c>
      <c r="C1094" s="14" t="s">
        <v>285</v>
      </c>
      <c r="D1094" s="105">
        <v>1050.9000000000001</v>
      </c>
      <c r="E1094" s="23">
        <v>42106</v>
      </c>
      <c r="F1094" s="106">
        <v>1050.9000000000001</v>
      </c>
      <c r="G1094" s="31">
        <f t="shared" si="17"/>
        <v>0</v>
      </c>
      <c r="H1094" s="39" t="s">
        <v>187</v>
      </c>
      <c r="K1094" s="3"/>
    </row>
    <row r="1095" spans="1:11" x14ac:dyDescent="0.25">
      <c r="A1095" s="20">
        <v>42106</v>
      </c>
      <c r="B1095" s="183">
        <v>17632</v>
      </c>
      <c r="C1095" s="14" t="s">
        <v>50</v>
      </c>
      <c r="D1095" s="105">
        <v>1973.4</v>
      </c>
      <c r="E1095" s="23">
        <v>42106</v>
      </c>
      <c r="F1095" s="106">
        <v>1973.4</v>
      </c>
      <c r="G1095" s="31">
        <f t="shared" si="17"/>
        <v>0</v>
      </c>
      <c r="H1095" s="39" t="s">
        <v>187</v>
      </c>
      <c r="K1095" s="3"/>
    </row>
    <row r="1096" spans="1:11" x14ac:dyDescent="0.25">
      <c r="A1096" s="20">
        <v>42106</v>
      </c>
      <c r="B1096" s="183">
        <v>17633</v>
      </c>
      <c r="C1096" s="14" t="s">
        <v>102</v>
      </c>
      <c r="D1096" s="105">
        <v>2249.4</v>
      </c>
      <c r="E1096" s="23">
        <v>42106</v>
      </c>
      <c r="F1096" s="106">
        <v>2249.4</v>
      </c>
      <c r="G1096" s="31">
        <f t="shared" si="17"/>
        <v>0</v>
      </c>
      <c r="H1096" s="39" t="s">
        <v>9</v>
      </c>
      <c r="K1096" s="3"/>
    </row>
    <row r="1097" spans="1:11" x14ac:dyDescent="0.25">
      <c r="A1097" s="20">
        <v>42106</v>
      </c>
      <c r="B1097" s="183">
        <v>17634</v>
      </c>
      <c r="C1097" s="14" t="s">
        <v>228</v>
      </c>
      <c r="D1097" s="105">
        <v>4625</v>
      </c>
      <c r="E1097" s="23">
        <v>42106</v>
      </c>
      <c r="F1097" s="106">
        <v>4625</v>
      </c>
      <c r="G1097" s="31">
        <f t="shared" si="17"/>
        <v>0</v>
      </c>
      <c r="H1097" s="39" t="s">
        <v>9</v>
      </c>
      <c r="K1097" s="3"/>
    </row>
    <row r="1098" spans="1:11" x14ac:dyDescent="0.25">
      <c r="A1098" s="20">
        <v>42106</v>
      </c>
      <c r="B1098" s="183">
        <v>17635</v>
      </c>
      <c r="C1098" s="14" t="s">
        <v>135</v>
      </c>
      <c r="D1098" s="105">
        <v>1232</v>
      </c>
      <c r="E1098" s="23">
        <v>42106</v>
      </c>
      <c r="F1098" s="106">
        <v>1232</v>
      </c>
      <c r="G1098" s="31">
        <f t="shared" si="17"/>
        <v>0</v>
      </c>
      <c r="H1098" s="39" t="s">
        <v>9</v>
      </c>
      <c r="K1098" s="3"/>
    </row>
    <row r="1099" spans="1:11" x14ac:dyDescent="0.25">
      <c r="A1099" s="20">
        <v>42106</v>
      </c>
      <c r="B1099" s="183">
        <v>17636</v>
      </c>
      <c r="C1099" s="14" t="s">
        <v>159</v>
      </c>
      <c r="D1099" s="105">
        <v>8511.6</v>
      </c>
      <c r="E1099" s="23">
        <v>42106</v>
      </c>
      <c r="F1099" s="106">
        <v>8511.6</v>
      </c>
      <c r="G1099" s="31">
        <f t="shared" si="17"/>
        <v>0</v>
      </c>
      <c r="H1099" s="39" t="s">
        <v>9</v>
      </c>
      <c r="K1099" s="3"/>
    </row>
    <row r="1100" spans="1:11" x14ac:dyDescent="0.25">
      <c r="A1100" s="20">
        <v>42106</v>
      </c>
      <c r="B1100" s="183">
        <v>17637</v>
      </c>
      <c r="C1100" s="14" t="s">
        <v>136</v>
      </c>
      <c r="D1100" s="105">
        <v>31434</v>
      </c>
      <c r="E1100" s="23">
        <v>42108</v>
      </c>
      <c r="F1100" s="106">
        <v>31434</v>
      </c>
      <c r="G1100" s="31">
        <f t="shared" si="17"/>
        <v>0</v>
      </c>
      <c r="H1100" s="39" t="s">
        <v>9</v>
      </c>
      <c r="J1100" s="107"/>
      <c r="K1100" s="3"/>
    </row>
    <row r="1101" spans="1:11" x14ac:dyDescent="0.25">
      <c r="A1101" s="20">
        <v>42106</v>
      </c>
      <c r="B1101" s="183">
        <v>17638</v>
      </c>
      <c r="C1101" s="14" t="s">
        <v>170</v>
      </c>
      <c r="D1101" s="105">
        <v>853.6</v>
      </c>
      <c r="E1101" s="23">
        <v>42107</v>
      </c>
      <c r="F1101" s="106">
        <v>853.6</v>
      </c>
      <c r="G1101" s="31">
        <f t="shared" si="17"/>
        <v>0</v>
      </c>
      <c r="H1101" s="39" t="s">
        <v>62</v>
      </c>
      <c r="J1101" s="107"/>
      <c r="K1101" s="3"/>
    </row>
    <row r="1102" spans="1:11" x14ac:dyDescent="0.25">
      <c r="A1102" s="20">
        <v>42106</v>
      </c>
      <c r="B1102" s="183">
        <v>17639</v>
      </c>
      <c r="C1102" s="14" t="s">
        <v>61</v>
      </c>
      <c r="D1102" s="105">
        <v>10724.88</v>
      </c>
      <c r="E1102" s="23">
        <v>42107</v>
      </c>
      <c r="F1102" s="106">
        <v>10724.88</v>
      </c>
      <c r="G1102" s="31">
        <f t="shared" si="17"/>
        <v>0</v>
      </c>
      <c r="H1102" s="39" t="s">
        <v>9</v>
      </c>
      <c r="K1102" s="3"/>
    </row>
    <row r="1103" spans="1:11" x14ac:dyDescent="0.25">
      <c r="A1103" s="20">
        <v>42106</v>
      </c>
      <c r="B1103" s="183">
        <v>17640</v>
      </c>
      <c r="C1103" s="14" t="s">
        <v>328</v>
      </c>
      <c r="D1103" s="105">
        <v>216</v>
      </c>
      <c r="E1103" s="23">
        <v>42107</v>
      </c>
      <c r="F1103" s="106">
        <v>216</v>
      </c>
      <c r="G1103" s="31">
        <f t="shared" si="17"/>
        <v>0</v>
      </c>
      <c r="H1103" s="39" t="s">
        <v>9</v>
      </c>
      <c r="K1103" s="3"/>
    </row>
    <row r="1104" spans="1:11" x14ac:dyDescent="0.25">
      <c r="A1104" s="20">
        <v>42106</v>
      </c>
      <c r="B1104" s="183">
        <v>17641</v>
      </c>
      <c r="C1104" s="26" t="s">
        <v>218</v>
      </c>
      <c r="D1104" s="108">
        <v>0</v>
      </c>
      <c r="E1104" s="23"/>
      <c r="F1104" s="106"/>
      <c r="G1104" s="31">
        <f t="shared" si="17"/>
        <v>0</v>
      </c>
      <c r="H1104" s="39" t="s">
        <v>13</v>
      </c>
      <c r="K1104" s="3"/>
    </row>
    <row r="1105" spans="1:11" x14ac:dyDescent="0.25">
      <c r="A1105" s="20">
        <v>42106</v>
      </c>
      <c r="B1105" s="183">
        <v>17642</v>
      </c>
      <c r="C1105" s="14" t="s">
        <v>158</v>
      </c>
      <c r="D1105" s="105">
        <v>7088</v>
      </c>
      <c r="E1105" s="23">
        <v>42106</v>
      </c>
      <c r="F1105" s="106">
        <v>7088</v>
      </c>
      <c r="G1105" s="31">
        <f t="shared" si="17"/>
        <v>0</v>
      </c>
      <c r="H1105" s="39" t="s">
        <v>9</v>
      </c>
      <c r="K1105" s="3"/>
    </row>
    <row r="1106" spans="1:11" x14ac:dyDescent="0.25">
      <c r="A1106" s="20">
        <v>42106</v>
      </c>
      <c r="B1106" s="183">
        <v>17643</v>
      </c>
      <c r="C1106" s="14" t="s">
        <v>136</v>
      </c>
      <c r="D1106" s="105">
        <v>540</v>
      </c>
      <c r="E1106" s="23">
        <v>42106</v>
      </c>
      <c r="F1106" s="106">
        <v>540</v>
      </c>
      <c r="G1106" s="31">
        <f t="shared" si="17"/>
        <v>0</v>
      </c>
      <c r="H1106" s="39" t="s">
        <v>9</v>
      </c>
      <c r="K1106" s="3"/>
    </row>
    <row r="1107" spans="1:11" x14ac:dyDescent="0.25">
      <c r="A1107" s="20">
        <v>42106</v>
      </c>
      <c r="B1107" s="183">
        <v>17644</v>
      </c>
      <c r="C1107" s="14" t="s">
        <v>24</v>
      </c>
      <c r="D1107" s="105">
        <v>42961.7</v>
      </c>
      <c r="E1107" s="30">
        <v>42138</v>
      </c>
      <c r="F1107" s="144">
        <v>42961.7</v>
      </c>
      <c r="G1107" s="31">
        <f t="shared" si="17"/>
        <v>0</v>
      </c>
      <c r="H1107" s="39" t="s">
        <v>9</v>
      </c>
      <c r="I1107" s="3"/>
      <c r="J1107" s="42"/>
      <c r="K1107" s="3"/>
    </row>
    <row r="1108" spans="1:11" x14ac:dyDescent="0.25">
      <c r="A1108" s="20">
        <v>42106</v>
      </c>
      <c r="B1108" s="183">
        <v>17645</v>
      </c>
      <c r="C1108" s="14" t="s">
        <v>110</v>
      </c>
      <c r="D1108" s="105">
        <v>51347.1</v>
      </c>
      <c r="E1108" s="23">
        <v>42117</v>
      </c>
      <c r="F1108" s="106">
        <v>51347.1</v>
      </c>
      <c r="G1108" s="31">
        <f t="shared" si="17"/>
        <v>0</v>
      </c>
      <c r="H1108" s="39" t="s">
        <v>187</v>
      </c>
      <c r="I1108" s="3"/>
      <c r="J1108" s="42"/>
      <c r="K1108" s="3"/>
    </row>
    <row r="1109" spans="1:11" x14ac:dyDescent="0.25">
      <c r="A1109" s="20">
        <v>42106</v>
      </c>
      <c r="B1109" s="183">
        <v>17646</v>
      </c>
      <c r="C1109" s="14" t="s">
        <v>161</v>
      </c>
      <c r="D1109" s="105">
        <v>22491.85</v>
      </c>
      <c r="E1109" s="23">
        <v>42106</v>
      </c>
      <c r="F1109" s="106">
        <v>22491.85</v>
      </c>
      <c r="G1109" s="31">
        <f t="shared" si="17"/>
        <v>0</v>
      </c>
      <c r="H1109" s="39" t="s">
        <v>9</v>
      </c>
      <c r="I1109" s="3"/>
      <c r="J1109" s="42"/>
      <c r="K1109" s="3"/>
    </row>
    <row r="1110" spans="1:11" x14ac:dyDescent="0.25">
      <c r="A1110" s="20">
        <v>42106</v>
      </c>
      <c r="B1110" s="183">
        <v>17647</v>
      </c>
      <c r="C1110" s="14" t="s">
        <v>80</v>
      </c>
      <c r="D1110" s="105">
        <v>6946.2</v>
      </c>
      <c r="E1110" s="23">
        <v>42106</v>
      </c>
      <c r="F1110" s="106">
        <v>6946.2</v>
      </c>
      <c r="G1110" s="31">
        <f t="shared" si="17"/>
        <v>0</v>
      </c>
      <c r="H1110" s="39" t="s">
        <v>9</v>
      </c>
      <c r="I1110" s="3"/>
      <c r="J1110" s="42"/>
      <c r="K1110" s="3"/>
    </row>
    <row r="1111" spans="1:11" x14ac:dyDescent="0.25">
      <c r="A1111" s="20">
        <v>42106</v>
      </c>
      <c r="B1111" s="183">
        <v>17648</v>
      </c>
      <c r="C1111" s="14" t="s">
        <v>105</v>
      </c>
      <c r="D1111" s="105">
        <v>590</v>
      </c>
      <c r="E1111" s="23">
        <v>42106</v>
      </c>
      <c r="F1111" s="106">
        <v>590</v>
      </c>
      <c r="G1111" s="31">
        <f t="shared" si="17"/>
        <v>0</v>
      </c>
      <c r="H1111" s="39" t="s">
        <v>9</v>
      </c>
      <c r="I1111" s="3"/>
      <c r="J1111" s="42"/>
      <c r="K1111" s="3"/>
    </row>
    <row r="1112" spans="1:11" x14ac:dyDescent="0.25">
      <c r="A1112" s="20">
        <v>42107</v>
      </c>
      <c r="B1112" s="183">
        <v>17649</v>
      </c>
      <c r="C1112" s="14" t="s">
        <v>834</v>
      </c>
      <c r="D1112" s="105">
        <v>6480.9</v>
      </c>
      <c r="E1112" s="23">
        <v>42107</v>
      </c>
      <c r="F1112" s="106">
        <v>6480.9</v>
      </c>
      <c r="G1112" s="31">
        <f t="shared" si="17"/>
        <v>0</v>
      </c>
      <c r="H1112" s="39" t="s">
        <v>9</v>
      </c>
      <c r="I1112" s="3"/>
      <c r="J1112" s="42"/>
      <c r="K1112" s="3"/>
    </row>
    <row r="1113" spans="1:11" x14ac:dyDescent="0.25">
      <c r="A1113" s="20">
        <v>42107</v>
      </c>
      <c r="B1113" s="183">
        <v>17650</v>
      </c>
      <c r="C1113" s="14" t="s">
        <v>112</v>
      </c>
      <c r="D1113" s="105">
        <v>13220.1</v>
      </c>
      <c r="E1113" s="23" t="s">
        <v>1093</v>
      </c>
      <c r="F1113" s="106">
        <f>10+13210.1</f>
        <v>13220.1</v>
      </c>
      <c r="G1113" s="31">
        <f t="shared" si="17"/>
        <v>0</v>
      </c>
      <c r="H1113" s="39" t="s">
        <v>9</v>
      </c>
      <c r="I1113" s="3"/>
      <c r="J1113" s="42"/>
      <c r="K1113" s="3"/>
    </row>
    <row r="1114" spans="1:11" x14ac:dyDescent="0.25">
      <c r="A1114" s="20">
        <v>42107</v>
      </c>
      <c r="B1114" s="183">
        <v>17651</v>
      </c>
      <c r="C1114" s="14" t="s">
        <v>383</v>
      </c>
      <c r="D1114" s="105">
        <v>8323.2999999999993</v>
      </c>
      <c r="E1114" s="23">
        <v>42107</v>
      </c>
      <c r="F1114" s="106">
        <v>8323.2999999999993</v>
      </c>
      <c r="G1114" s="31">
        <f t="shared" si="17"/>
        <v>0</v>
      </c>
      <c r="H1114" s="39" t="s">
        <v>9</v>
      </c>
      <c r="I1114" s="3"/>
      <c r="J1114" s="42"/>
      <c r="K1114" s="3"/>
    </row>
    <row r="1115" spans="1:11" x14ac:dyDescent="0.25">
      <c r="A1115" s="20">
        <v>42107</v>
      </c>
      <c r="B1115" s="183">
        <v>17652</v>
      </c>
      <c r="C1115" s="14" t="s">
        <v>18</v>
      </c>
      <c r="D1115" s="105">
        <v>2078.4</v>
      </c>
      <c r="E1115" s="23">
        <v>42107</v>
      </c>
      <c r="F1115" s="106">
        <v>2078.4</v>
      </c>
      <c r="G1115" s="31">
        <f t="shared" si="17"/>
        <v>0</v>
      </c>
      <c r="H1115" s="39" t="s">
        <v>9</v>
      </c>
      <c r="I1115" s="3"/>
      <c r="J1115" s="42"/>
      <c r="K1115" s="3"/>
    </row>
    <row r="1116" spans="1:11" x14ac:dyDescent="0.25">
      <c r="A1116" s="20">
        <v>42107</v>
      </c>
      <c r="B1116" s="183">
        <v>17653</v>
      </c>
      <c r="C1116" s="14" t="s">
        <v>720</v>
      </c>
      <c r="D1116" s="105">
        <v>10820.7</v>
      </c>
      <c r="E1116" s="23">
        <v>42107</v>
      </c>
      <c r="F1116" s="106">
        <v>10820.7</v>
      </c>
      <c r="G1116" s="31">
        <f t="shared" si="17"/>
        <v>0</v>
      </c>
      <c r="H1116" s="39" t="s">
        <v>9</v>
      </c>
      <c r="I1116" s="3"/>
      <c r="J1116" s="42"/>
      <c r="K1116" s="3"/>
    </row>
    <row r="1117" spans="1:11" x14ac:dyDescent="0.25">
      <c r="A1117" s="20">
        <v>42107</v>
      </c>
      <c r="B1117" s="183">
        <v>17654</v>
      </c>
      <c r="C1117" s="14" t="s">
        <v>16</v>
      </c>
      <c r="D1117" s="105">
        <v>5406.4</v>
      </c>
      <c r="E1117" s="23">
        <v>42107</v>
      </c>
      <c r="F1117" s="106">
        <v>5406.4</v>
      </c>
      <c r="G1117" s="31">
        <f t="shared" si="17"/>
        <v>0</v>
      </c>
      <c r="H1117" s="39" t="s">
        <v>17</v>
      </c>
      <c r="I1117" s="3"/>
      <c r="J1117" s="42"/>
      <c r="K1117" s="3"/>
    </row>
    <row r="1118" spans="1:11" x14ac:dyDescent="0.25">
      <c r="A1118" s="20">
        <v>42107</v>
      </c>
      <c r="B1118" s="183">
        <v>17655</v>
      </c>
      <c r="C1118" s="14" t="s">
        <v>21</v>
      </c>
      <c r="D1118" s="105">
        <v>6352.5</v>
      </c>
      <c r="E1118" s="23">
        <v>42107</v>
      </c>
      <c r="F1118" s="106">
        <v>6352.5</v>
      </c>
      <c r="G1118" s="31">
        <f t="shared" si="17"/>
        <v>0</v>
      </c>
      <c r="H1118" s="39" t="s">
        <v>9</v>
      </c>
      <c r="I1118" s="3"/>
      <c r="J1118" s="42"/>
      <c r="K1118" s="3"/>
    </row>
    <row r="1119" spans="1:11" x14ac:dyDescent="0.25">
      <c r="A1119" s="20">
        <v>42107</v>
      </c>
      <c r="B1119" s="183">
        <v>17656</v>
      </c>
      <c r="C1119" s="14" t="s">
        <v>1031</v>
      </c>
      <c r="D1119" s="105">
        <v>4014.4</v>
      </c>
      <c r="E1119" s="23">
        <v>42107</v>
      </c>
      <c r="F1119" s="106">
        <v>4014.4</v>
      </c>
      <c r="G1119" s="31">
        <f t="shared" si="17"/>
        <v>0</v>
      </c>
      <c r="H1119" s="39" t="s">
        <v>9</v>
      </c>
      <c r="I1119" s="3"/>
      <c r="J1119" s="42"/>
      <c r="K1119" s="3"/>
    </row>
    <row r="1120" spans="1:11" x14ac:dyDescent="0.25">
      <c r="A1120" s="20">
        <v>42107</v>
      </c>
      <c r="B1120" s="183">
        <v>17657</v>
      </c>
      <c r="C1120" s="14" t="s">
        <v>863</v>
      </c>
      <c r="D1120" s="105">
        <v>7516.6</v>
      </c>
      <c r="E1120" s="23">
        <v>42107</v>
      </c>
      <c r="F1120" s="106">
        <v>7516.6</v>
      </c>
      <c r="G1120" s="31">
        <f t="shared" si="17"/>
        <v>0</v>
      </c>
      <c r="H1120" s="39" t="s">
        <v>9</v>
      </c>
      <c r="I1120" s="3"/>
      <c r="J1120" s="42"/>
      <c r="K1120" s="3"/>
    </row>
    <row r="1121" spans="1:11" x14ac:dyDescent="0.25">
      <c r="A1121" s="20">
        <v>42107</v>
      </c>
      <c r="B1121" s="183">
        <v>17658</v>
      </c>
      <c r="C1121" s="14" t="s">
        <v>14</v>
      </c>
      <c r="D1121" s="105">
        <v>17601.099999999999</v>
      </c>
      <c r="E1121" s="23">
        <v>42117</v>
      </c>
      <c r="F1121" s="106">
        <v>17601.099999999999</v>
      </c>
      <c r="G1121" s="31">
        <f t="shared" si="17"/>
        <v>0</v>
      </c>
      <c r="H1121" s="39" t="s">
        <v>187</v>
      </c>
      <c r="I1121" s="3"/>
      <c r="J1121" s="42"/>
      <c r="K1121" s="3"/>
    </row>
    <row r="1122" spans="1:11" x14ac:dyDescent="0.25">
      <c r="A1122" s="20">
        <v>42107</v>
      </c>
      <c r="B1122" s="183">
        <v>17659</v>
      </c>
      <c r="C1122" s="14" t="s">
        <v>24</v>
      </c>
      <c r="D1122" s="105">
        <v>45990.35</v>
      </c>
      <c r="E1122" s="30">
        <v>42138</v>
      </c>
      <c r="F1122" s="144">
        <v>45990.35</v>
      </c>
      <c r="G1122" s="31">
        <f t="shared" si="17"/>
        <v>0</v>
      </c>
      <c r="H1122" s="39" t="s">
        <v>19</v>
      </c>
      <c r="I1122" s="3"/>
      <c r="J1122" s="42"/>
      <c r="K1122" s="3"/>
    </row>
    <row r="1123" spans="1:11" x14ac:dyDescent="0.25">
      <c r="A1123" s="20">
        <v>42107</v>
      </c>
      <c r="B1123" s="183">
        <v>17660</v>
      </c>
      <c r="C1123" s="14" t="s">
        <v>35</v>
      </c>
      <c r="D1123" s="105">
        <v>21031.200000000001</v>
      </c>
      <c r="E1123" s="23">
        <v>42107</v>
      </c>
      <c r="F1123" s="106">
        <v>21031.200000000001</v>
      </c>
      <c r="G1123" s="31">
        <f t="shared" si="17"/>
        <v>0</v>
      </c>
      <c r="H1123" s="39" t="s">
        <v>773</v>
      </c>
      <c r="I1123" s="3"/>
      <c r="J1123" s="42"/>
      <c r="K1123" s="3"/>
    </row>
    <row r="1124" spans="1:11" x14ac:dyDescent="0.25">
      <c r="A1124" s="20">
        <v>42107</v>
      </c>
      <c r="B1124" s="183">
        <v>17661</v>
      </c>
      <c r="C1124" s="14" t="s">
        <v>55</v>
      </c>
      <c r="D1124" s="105">
        <v>2361.3000000000002</v>
      </c>
      <c r="E1124" s="23">
        <v>42107</v>
      </c>
      <c r="F1124" s="106">
        <v>2361.3000000000002</v>
      </c>
      <c r="G1124" s="31">
        <f t="shared" si="17"/>
        <v>0</v>
      </c>
      <c r="H1124" s="39" t="s">
        <v>773</v>
      </c>
      <c r="I1124" s="3"/>
      <c r="J1124" s="42"/>
      <c r="K1124" s="3"/>
    </row>
    <row r="1125" spans="1:11" x14ac:dyDescent="0.25">
      <c r="A1125" s="20">
        <v>42107</v>
      </c>
      <c r="B1125" s="183">
        <v>17662</v>
      </c>
      <c r="C1125" s="14" t="s">
        <v>20</v>
      </c>
      <c r="D1125" s="105">
        <v>2356.1999999999998</v>
      </c>
      <c r="E1125" s="23">
        <v>42107</v>
      </c>
      <c r="F1125" s="106">
        <v>2356.1999999999998</v>
      </c>
      <c r="G1125" s="31">
        <f t="shared" si="17"/>
        <v>0</v>
      </c>
      <c r="H1125" s="39" t="s">
        <v>94</v>
      </c>
      <c r="I1125" s="3"/>
      <c r="J1125" s="42"/>
      <c r="K1125" s="3"/>
    </row>
    <row r="1126" spans="1:11" x14ac:dyDescent="0.25">
      <c r="A1126" s="20">
        <v>42107</v>
      </c>
      <c r="B1126" s="183">
        <v>17663</v>
      </c>
      <c r="C1126" s="14" t="s">
        <v>114</v>
      </c>
      <c r="D1126" s="105">
        <v>1058.4000000000001</v>
      </c>
      <c r="E1126" s="23">
        <v>42107</v>
      </c>
      <c r="F1126" s="106">
        <v>1058.4000000000001</v>
      </c>
      <c r="G1126" s="31">
        <f t="shared" si="17"/>
        <v>0</v>
      </c>
      <c r="H1126" s="39" t="s">
        <v>9</v>
      </c>
      <c r="I1126" s="3"/>
      <c r="J1126" s="42"/>
      <c r="K1126" s="3"/>
    </row>
    <row r="1127" spans="1:11" x14ac:dyDescent="0.25">
      <c r="A1127" s="20">
        <v>42107</v>
      </c>
      <c r="B1127" s="183">
        <v>17664</v>
      </c>
      <c r="C1127" s="14" t="s">
        <v>906</v>
      </c>
      <c r="D1127" s="105">
        <v>2593.8000000000002</v>
      </c>
      <c r="E1127" s="23">
        <v>42112</v>
      </c>
      <c r="F1127" s="106">
        <v>2593.8000000000002</v>
      </c>
      <c r="G1127" s="31">
        <f t="shared" si="17"/>
        <v>0</v>
      </c>
      <c r="H1127" s="39" t="s">
        <v>94</v>
      </c>
      <c r="I1127" s="3"/>
      <c r="J1127" s="42"/>
      <c r="K1127" s="3"/>
    </row>
    <row r="1128" spans="1:11" x14ac:dyDescent="0.25">
      <c r="A1128" s="20">
        <v>42107</v>
      </c>
      <c r="B1128" s="183">
        <v>17665</v>
      </c>
      <c r="C1128" s="14" t="s">
        <v>53</v>
      </c>
      <c r="D1128" s="105">
        <v>915.2</v>
      </c>
      <c r="E1128" s="23">
        <v>42107</v>
      </c>
      <c r="F1128" s="106">
        <v>915.2</v>
      </c>
      <c r="G1128" s="31">
        <f t="shared" si="17"/>
        <v>0</v>
      </c>
      <c r="H1128" s="39" t="s">
        <v>59</v>
      </c>
      <c r="I1128" s="3"/>
      <c r="J1128" s="42"/>
      <c r="K1128" s="3"/>
    </row>
    <row r="1129" spans="1:11" x14ac:dyDescent="0.25">
      <c r="A1129" s="20">
        <v>42107</v>
      </c>
      <c r="B1129" s="183">
        <v>17666</v>
      </c>
      <c r="C1129" s="14" t="s">
        <v>81</v>
      </c>
      <c r="D1129" s="105">
        <v>1717.2</v>
      </c>
      <c r="E1129" s="23">
        <v>42107</v>
      </c>
      <c r="F1129" s="106">
        <v>1717.2</v>
      </c>
      <c r="G1129" s="31">
        <f t="shared" si="17"/>
        <v>0</v>
      </c>
      <c r="H1129" s="39" t="s">
        <v>59</v>
      </c>
      <c r="I1129" s="3"/>
      <c r="J1129" s="42"/>
      <c r="K1129" s="3"/>
    </row>
    <row r="1130" spans="1:11" x14ac:dyDescent="0.25">
      <c r="A1130" s="20">
        <v>42107</v>
      </c>
      <c r="B1130" s="183">
        <v>17667</v>
      </c>
      <c r="C1130" s="14" t="s">
        <v>239</v>
      </c>
      <c r="D1130" s="105">
        <v>649.6</v>
      </c>
      <c r="E1130" s="23">
        <v>42107</v>
      </c>
      <c r="F1130" s="106">
        <v>649.6</v>
      </c>
      <c r="G1130" s="31">
        <f t="shared" si="17"/>
        <v>0</v>
      </c>
      <c r="H1130" s="39" t="s">
        <v>9</v>
      </c>
      <c r="I1130" s="3"/>
      <c r="J1130" s="42"/>
      <c r="K1130" s="3"/>
    </row>
    <row r="1131" spans="1:11" x14ac:dyDescent="0.25">
      <c r="A1131" s="20">
        <v>42107</v>
      </c>
      <c r="B1131" s="183">
        <v>17668</v>
      </c>
      <c r="C1131" s="14" t="s">
        <v>167</v>
      </c>
      <c r="D1131" s="105">
        <v>568.79999999999995</v>
      </c>
      <c r="E1131" s="23">
        <v>42107</v>
      </c>
      <c r="F1131" s="106">
        <v>568.79999999999995</v>
      </c>
      <c r="G1131" s="31">
        <f t="shared" si="17"/>
        <v>0</v>
      </c>
      <c r="H1131" s="39" t="s">
        <v>59</v>
      </c>
      <c r="I1131" s="3"/>
      <c r="J1131" s="42"/>
      <c r="K1131" s="3"/>
    </row>
    <row r="1132" spans="1:11" x14ac:dyDescent="0.25">
      <c r="A1132" s="20">
        <v>42107</v>
      </c>
      <c r="B1132" s="183">
        <v>17669</v>
      </c>
      <c r="C1132" s="14" t="s">
        <v>45</v>
      </c>
      <c r="D1132" s="105">
        <v>9680</v>
      </c>
      <c r="E1132" s="23">
        <v>42117</v>
      </c>
      <c r="F1132" s="106">
        <v>9680</v>
      </c>
      <c r="G1132" s="31">
        <f t="shared" si="17"/>
        <v>0</v>
      </c>
      <c r="H1132" s="39" t="s">
        <v>59</v>
      </c>
      <c r="I1132" s="3"/>
      <c r="J1132" s="42"/>
      <c r="K1132" s="3"/>
    </row>
    <row r="1133" spans="1:11" x14ac:dyDescent="0.25">
      <c r="A1133" s="20">
        <v>42107</v>
      </c>
      <c r="B1133" s="183">
        <v>17670</v>
      </c>
      <c r="C1133" s="14" t="s">
        <v>125</v>
      </c>
      <c r="D1133" s="105">
        <v>7557.6</v>
      </c>
      <c r="E1133" s="23">
        <v>42107</v>
      </c>
      <c r="F1133" s="106">
        <v>7557.6</v>
      </c>
      <c r="G1133" s="31">
        <f t="shared" si="17"/>
        <v>0</v>
      </c>
      <c r="H1133" s="39" t="s">
        <v>94</v>
      </c>
      <c r="I1133" s="3"/>
      <c r="J1133" s="42"/>
      <c r="K1133" s="3"/>
    </row>
    <row r="1134" spans="1:11" x14ac:dyDescent="0.25">
      <c r="A1134" s="20">
        <v>42107</v>
      </c>
      <c r="B1134" s="183">
        <v>17671</v>
      </c>
      <c r="C1134" s="14" t="s">
        <v>82</v>
      </c>
      <c r="D1134" s="105">
        <v>1887</v>
      </c>
      <c r="E1134" s="23">
        <v>42107</v>
      </c>
      <c r="F1134" s="106">
        <v>1887</v>
      </c>
      <c r="G1134" s="31">
        <f t="shared" si="17"/>
        <v>0</v>
      </c>
      <c r="H1134" s="19" t="s">
        <v>59</v>
      </c>
      <c r="I1134" s="3"/>
      <c r="J1134" s="42"/>
      <c r="K1134" s="3"/>
    </row>
    <row r="1135" spans="1:11" x14ac:dyDescent="0.25">
      <c r="A1135" s="20">
        <v>42107</v>
      </c>
      <c r="B1135" s="183">
        <v>17672</v>
      </c>
      <c r="C1135" s="14" t="s">
        <v>120</v>
      </c>
      <c r="D1135" s="105">
        <v>1535.5</v>
      </c>
      <c r="E1135" s="23">
        <v>42107</v>
      </c>
      <c r="F1135" s="106">
        <v>1535.5</v>
      </c>
      <c r="G1135" s="31">
        <f t="shared" si="17"/>
        <v>0</v>
      </c>
      <c r="H1135" s="19" t="s">
        <v>9</v>
      </c>
      <c r="I1135" s="3"/>
      <c r="J1135" s="42"/>
      <c r="K1135" s="3"/>
    </row>
    <row r="1136" spans="1:11" x14ac:dyDescent="0.25">
      <c r="A1136" s="20">
        <v>42107</v>
      </c>
      <c r="B1136" s="183">
        <v>17673</v>
      </c>
      <c r="C1136" s="14" t="s">
        <v>664</v>
      </c>
      <c r="D1136" s="105">
        <v>1532</v>
      </c>
      <c r="E1136" s="23">
        <v>42107</v>
      </c>
      <c r="F1136" s="106">
        <v>1532</v>
      </c>
      <c r="G1136" s="31">
        <f t="shared" si="17"/>
        <v>0</v>
      </c>
      <c r="H1136" s="19" t="s">
        <v>59</v>
      </c>
      <c r="I1136" s="3"/>
      <c r="J1136" s="42"/>
      <c r="K1136" s="3"/>
    </row>
    <row r="1137" spans="1:11" x14ac:dyDescent="0.25">
      <c r="A1137" s="20">
        <v>42107</v>
      </c>
      <c r="B1137" s="183">
        <v>17674</v>
      </c>
      <c r="C1137" s="14" t="s">
        <v>664</v>
      </c>
      <c r="D1137" s="105">
        <v>728</v>
      </c>
      <c r="E1137" s="23">
        <v>42107</v>
      </c>
      <c r="F1137" s="106">
        <v>728</v>
      </c>
      <c r="G1137" s="31">
        <f t="shared" si="17"/>
        <v>0</v>
      </c>
      <c r="H1137" s="19" t="s">
        <v>59</v>
      </c>
      <c r="I1137" s="3"/>
      <c r="J1137" s="42"/>
      <c r="K1137" s="3"/>
    </row>
    <row r="1138" spans="1:11" x14ac:dyDescent="0.25">
      <c r="A1138" s="20">
        <v>42107</v>
      </c>
      <c r="B1138" s="183">
        <v>17675</v>
      </c>
      <c r="C1138" s="110">
        <v>105</v>
      </c>
      <c r="D1138" s="105">
        <v>1365</v>
      </c>
      <c r="E1138" s="23">
        <v>42107</v>
      </c>
      <c r="F1138" s="106">
        <v>1365</v>
      </c>
      <c r="G1138" s="31">
        <f t="shared" si="17"/>
        <v>0</v>
      </c>
      <c r="H1138" s="19" t="s">
        <v>59</v>
      </c>
      <c r="I1138" s="3"/>
      <c r="J1138" s="42"/>
      <c r="K1138" s="3"/>
    </row>
    <row r="1139" spans="1:11" x14ac:dyDescent="0.25">
      <c r="A1139" s="20">
        <v>42107</v>
      </c>
      <c r="B1139" s="183">
        <v>17676</v>
      </c>
      <c r="C1139" s="14" t="s">
        <v>25</v>
      </c>
      <c r="D1139" s="105">
        <v>878.3</v>
      </c>
      <c r="E1139" s="23">
        <v>42107</v>
      </c>
      <c r="F1139" s="106">
        <v>878.3</v>
      </c>
      <c r="G1139" s="31">
        <f t="shared" si="17"/>
        <v>0</v>
      </c>
      <c r="H1139" s="19" t="s">
        <v>9</v>
      </c>
      <c r="J1139" s="107"/>
      <c r="K1139" s="3"/>
    </row>
    <row r="1140" spans="1:11" x14ac:dyDescent="0.25">
      <c r="A1140" s="20">
        <v>42107</v>
      </c>
      <c r="B1140" s="183">
        <v>17677</v>
      </c>
      <c r="C1140" s="14" t="s">
        <v>426</v>
      </c>
      <c r="D1140" s="105">
        <v>25635</v>
      </c>
      <c r="E1140" s="23">
        <v>42107</v>
      </c>
      <c r="F1140" s="106">
        <v>25635</v>
      </c>
      <c r="G1140" s="31">
        <f t="shared" si="17"/>
        <v>0</v>
      </c>
      <c r="H1140" s="19" t="s">
        <v>9</v>
      </c>
      <c r="K1140" s="3"/>
    </row>
    <row r="1141" spans="1:11" x14ac:dyDescent="0.25">
      <c r="A1141" s="20">
        <v>42107</v>
      </c>
      <c r="B1141" s="183">
        <v>17678</v>
      </c>
      <c r="C1141" s="14" t="s">
        <v>214</v>
      </c>
      <c r="D1141" s="105">
        <v>1750</v>
      </c>
      <c r="E1141" s="23">
        <v>42107</v>
      </c>
      <c r="F1141" s="106">
        <v>1750</v>
      </c>
      <c r="G1141" s="31">
        <f t="shared" si="17"/>
        <v>0</v>
      </c>
      <c r="H1141" s="19" t="s">
        <v>59</v>
      </c>
      <c r="K1141" s="3"/>
    </row>
    <row r="1142" spans="1:11" x14ac:dyDescent="0.25">
      <c r="A1142" s="20">
        <v>42107</v>
      </c>
      <c r="B1142" s="183">
        <v>17679</v>
      </c>
      <c r="C1142" s="14" t="s">
        <v>57</v>
      </c>
      <c r="D1142" s="105">
        <v>1333.5</v>
      </c>
      <c r="E1142" s="23">
        <v>42107</v>
      </c>
      <c r="F1142" s="106">
        <v>1333.5</v>
      </c>
      <c r="G1142" s="31">
        <f t="shared" si="17"/>
        <v>0</v>
      </c>
      <c r="H1142" s="19" t="s">
        <v>59</v>
      </c>
      <c r="K1142" s="3"/>
    </row>
    <row r="1143" spans="1:11" x14ac:dyDescent="0.25">
      <c r="A1143" s="20">
        <v>42107</v>
      </c>
      <c r="B1143" s="183">
        <v>17680</v>
      </c>
      <c r="C1143" s="14" t="s">
        <v>135</v>
      </c>
      <c r="D1143" s="105">
        <v>12881.4</v>
      </c>
      <c r="E1143" s="23">
        <v>42107</v>
      </c>
      <c r="F1143" s="106">
        <v>12881.4</v>
      </c>
      <c r="G1143" s="31">
        <f t="shared" si="17"/>
        <v>0</v>
      </c>
      <c r="H1143" s="19" t="s">
        <v>9</v>
      </c>
      <c r="K1143" s="3"/>
    </row>
    <row r="1144" spans="1:11" x14ac:dyDescent="0.25">
      <c r="A1144" s="20">
        <v>42107</v>
      </c>
      <c r="B1144" s="183">
        <v>17681</v>
      </c>
      <c r="C1144" s="14" t="s">
        <v>161</v>
      </c>
      <c r="D1144" s="105">
        <v>2553.1999999999998</v>
      </c>
      <c r="E1144" s="23">
        <v>42107</v>
      </c>
      <c r="F1144" s="106">
        <v>2553.1999999999998</v>
      </c>
      <c r="G1144" s="31">
        <f t="shared" si="17"/>
        <v>0</v>
      </c>
      <c r="H1144" s="19" t="s">
        <v>9</v>
      </c>
      <c r="K1144" s="3"/>
    </row>
    <row r="1145" spans="1:11" x14ac:dyDescent="0.25">
      <c r="A1145" s="20">
        <v>42107</v>
      </c>
      <c r="B1145" s="183">
        <v>17682</v>
      </c>
      <c r="C1145" s="14" t="s">
        <v>43</v>
      </c>
      <c r="D1145" s="105">
        <v>14303.7</v>
      </c>
      <c r="E1145" s="23">
        <v>42107</v>
      </c>
      <c r="F1145" s="106">
        <v>14303.7</v>
      </c>
      <c r="G1145" s="48">
        <f t="shared" si="17"/>
        <v>0</v>
      </c>
      <c r="H1145" s="19" t="s">
        <v>9</v>
      </c>
      <c r="K1145" s="3"/>
    </row>
    <row r="1146" spans="1:11" x14ac:dyDescent="0.25">
      <c r="A1146" s="20">
        <v>42107</v>
      </c>
      <c r="B1146" s="183">
        <v>17683</v>
      </c>
      <c r="C1146" s="14" t="s">
        <v>55</v>
      </c>
      <c r="D1146" s="105">
        <v>228</v>
      </c>
      <c r="E1146" s="23">
        <v>42107</v>
      </c>
      <c r="F1146" s="106">
        <v>228</v>
      </c>
      <c r="G1146" s="31">
        <f t="shared" si="17"/>
        <v>0</v>
      </c>
      <c r="H1146" s="19" t="s">
        <v>9</v>
      </c>
      <c r="K1146" s="3"/>
    </row>
    <row r="1147" spans="1:11" x14ac:dyDescent="0.25">
      <c r="A1147" s="20">
        <v>42107</v>
      </c>
      <c r="B1147" s="183">
        <v>17684</v>
      </c>
      <c r="C1147" s="14" t="s">
        <v>112</v>
      </c>
      <c r="D1147" s="105">
        <v>468</v>
      </c>
      <c r="E1147" s="23">
        <v>42107</v>
      </c>
      <c r="F1147" s="106">
        <v>468</v>
      </c>
      <c r="G1147" s="31">
        <f t="shared" si="17"/>
        <v>0</v>
      </c>
      <c r="H1147" s="19" t="s">
        <v>9</v>
      </c>
      <c r="K1147" s="3"/>
    </row>
    <row r="1148" spans="1:11" x14ac:dyDescent="0.25">
      <c r="A1148" s="20">
        <v>42107</v>
      </c>
      <c r="B1148" s="183">
        <v>17685</v>
      </c>
      <c r="C1148" s="14" t="s">
        <v>137</v>
      </c>
      <c r="D1148" s="105">
        <v>2849.6</v>
      </c>
      <c r="E1148" s="23">
        <v>42107</v>
      </c>
      <c r="F1148" s="106">
        <v>2849.6</v>
      </c>
      <c r="G1148" s="31">
        <f t="shared" si="17"/>
        <v>0</v>
      </c>
      <c r="H1148" s="19" t="s">
        <v>9</v>
      </c>
      <c r="K1148" s="3"/>
    </row>
    <row r="1149" spans="1:11" x14ac:dyDescent="0.25">
      <c r="A1149" s="20">
        <v>42107</v>
      </c>
      <c r="B1149" s="183">
        <v>17686</v>
      </c>
      <c r="C1149" s="14" t="s">
        <v>97</v>
      </c>
      <c r="D1149" s="105">
        <v>3138.3</v>
      </c>
      <c r="E1149" s="23">
        <v>42107</v>
      </c>
      <c r="F1149" s="106">
        <v>3138.3</v>
      </c>
      <c r="G1149" s="48">
        <f t="shared" si="17"/>
        <v>0</v>
      </c>
      <c r="H1149" s="19" t="s">
        <v>9</v>
      </c>
      <c r="K1149" s="3"/>
    </row>
    <row r="1150" spans="1:11" x14ac:dyDescent="0.25">
      <c r="A1150" s="20">
        <v>42107</v>
      </c>
      <c r="B1150" s="183">
        <v>17687</v>
      </c>
      <c r="C1150" s="14" t="s">
        <v>818</v>
      </c>
      <c r="D1150" s="105">
        <v>9426</v>
      </c>
      <c r="E1150" s="23">
        <v>42107</v>
      </c>
      <c r="F1150" s="106">
        <v>9426</v>
      </c>
      <c r="G1150" s="31">
        <f t="shared" si="17"/>
        <v>0</v>
      </c>
      <c r="H1150" s="19" t="s">
        <v>9</v>
      </c>
      <c r="K1150" s="3"/>
    </row>
    <row r="1151" spans="1:11" x14ac:dyDescent="0.25">
      <c r="A1151" s="20">
        <v>42107</v>
      </c>
      <c r="B1151" s="183">
        <v>17688</v>
      </c>
      <c r="C1151" s="14" t="s">
        <v>151</v>
      </c>
      <c r="D1151" s="105">
        <v>1135</v>
      </c>
      <c r="E1151" s="23">
        <v>42107</v>
      </c>
      <c r="F1151" s="106">
        <v>1135</v>
      </c>
      <c r="G1151" s="31">
        <f t="shared" si="17"/>
        <v>0</v>
      </c>
      <c r="H1151" s="19" t="s">
        <v>9</v>
      </c>
      <c r="K1151" s="3"/>
    </row>
    <row r="1152" spans="1:11" x14ac:dyDescent="0.25">
      <c r="A1152" s="20">
        <v>42107</v>
      </c>
      <c r="B1152" s="183">
        <v>17689</v>
      </c>
      <c r="C1152" s="14" t="s">
        <v>38</v>
      </c>
      <c r="D1152" s="105">
        <v>32589</v>
      </c>
      <c r="E1152" s="23" t="s">
        <v>1093</v>
      </c>
      <c r="F1152" s="106">
        <f>1087+31502</f>
        <v>32589</v>
      </c>
      <c r="G1152" s="31">
        <f t="shared" si="17"/>
        <v>0</v>
      </c>
      <c r="H1152" s="19" t="s">
        <v>149</v>
      </c>
      <c r="K1152" s="3"/>
    </row>
    <row r="1153" spans="1:11" x14ac:dyDescent="0.25">
      <c r="A1153" s="20">
        <v>42107</v>
      </c>
      <c r="B1153" s="183">
        <v>17690</v>
      </c>
      <c r="C1153" s="14" t="s">
        <v>125</v>
      </c>
      <c r="D1153" s="105">
        <v>14328.8</v>
      </c>
      <c r="E1153" s="23">
        <v>42107</v>
      </c>
      <c r="F1153" s="106">
        <v>14328.8</v>
      </c>
      <c r="G1153" s="31">
        <f t="shared" si="17"/>
        <v>0</v>
      </c>
      <c r="H1153" s="19" t="s">
        <v>9</v>
      </c>
      <c r="K1153" s="3"/>
    </row>
    <row r="1154" spans="1:11" x14ac:dyDescent="0.25">
      <c r="A1154" s="20">
        <v>42107</v>
      </c>
      <c r="B1154" s="183">
        <v>17691</v>
      </c>
      <c r="C1154" s="14" t="s">
        <v>151</v>
      </c>
      <c r="D1154" s="105">
        <v>7936.2</v>
      </c>
      <c r="E1154" s="23">
        <v>42107</v>
      </c>
      <c r="F1154" s="106">
        <v>7936.2</v>
      </c>
      <c r="G1154" s="31">
        <f t="shared" si="17"/>
        <v>0</v>
      </c>
      <c r="H1154" s="19" t="s">
        <v>9</v>
      </c>
      <c r="K1154" s="3"/>
    </row>
    <row r="1155" spans="1:11" x14ac:dyDescent="0.25">
      <c r="A1155" s="20">
        <v>42107</v>
      </c>
      <c r="B1155" s="183">
        <v>17692</v>
      </c>
      <c r="C1155" s="14" t="s">
        <v>236</v>
      </c>
      <c r="D1155" s="105">
        <v>35064</v>
      </c>
      <c r="E1155" s="23" t="s">
        <v>1094</v>
      </c>
      <c r="F1155" s="106">
        <f>3817.46+31246.54</f>
        <v>35064</v>
      </c>
      <c r="G1155" s="48">
        <f t="shared" ref="G1155:G1218" si="18">D1155-F1155</f>
        <v>0</v>
      </c>
      <c r="H1155" s="19" t="s">
        <v>19</v>
      </c>
      <c r="K1155" s="3"/>
    </row>
    <row r="1156" spans="1:11" x14ac:dyDescent="0.25">
      <c r="A1156" s="20">
        <v>42107</v>
      </c>
      <c r="B1156" s="183">
        <v>17693</v>
      </c>
      <c r="C1156" s="14" t="s">
        <v>169</v>
      </c>
      <c r="D1156" s="105">
        <v>2062.5</v>
      </c>
      <c r="E1156" s="23">
        <v>42110</v>
      </c>
      <c r="F1156" s="106">
        <v>2062.5</v>
      </c>
      <c r="G1156" s="31">
        <f t="shared" si="18"/>
        <v>0</v>
      </c>
      <c r="H1156" s="19" t="s">
        <v>59</v>
      </c>
      <c r="K1156" s="3"/>
    </row>
    <row r="1157" spans="1:11" x14ac:dyDescent="0.25">
      <c r="A1157" s="20">
        <v>42107</v>
      </c>
      <c r="B1157" s="183">
        <v>17694</v>
      </c>
      <c r="C1157" s="14" t="s">
        <v>169</v>
      </c>
      <c r="D1157" s="105">
        <v>490</v>
      </c>
      <c r="E1157" s="23">
        <v>42107</v>
      </c>
      <c r="F1157" s="106">
        <v>490</v>
      </c>
      <c r="G1157" s="31">
        <f t="shared" si="18"/>
        <v>0</v>
      </c>
      <c r="H1157" s="19" t="s">
        <v>59</v>
      </c>
      <c r="K1157" s="3"/>
    </row>
    <row r="1158" spans="1:11" x14ac:dyDescent="0.25">
      <c r="A1158" s="20">
        <v>42107</v>
      </c>
      <c r="B1158" s="183">
        <v>17695</v>
      </c>
      <c r="C1158" s="14" t="s">
        <v>699</v>
      </c>
      <c r="D1158" s="105">
        <v>2074</v>
      </c>
      <c r="E1158" s="23">
        <v>42114</v>
      </c>
      <c r="F1158" s="106">
        <v>2074</v>
      </c>
      <c r="G1158" s="31">
        <f t="shared" si="18"/>
        <v>0</v>
      </c>
      <c r="H1158" s="19" t="s">
        <v>9</v>
      </c>
      <c r="K1158" s="3"/>
    </row>
    <row r="1159" spans="1:11" x14ac:dyDescent="0.25">
      <c r="A1159" s="20">
        <v>42107</v>
      </c>
      <c r="B1159" s="183">
        <v>17696</v>
      </c>
      <c r="C1159" s="14" t="s">
        <v>165</v>
      </c>
      <c r="D1159" s="105">
        <v>2088.1999999999998</v>
      </c>
      <c r="E1159" s="23">
        <v>42107</v>
      </c>
      <c r="F1159" s="106">
        <v>2088.1999999999998</v>
      </c>
      <c r="G1159" s="31">
        <f t="shared" si="18"/>
        <v>0</v>
      </c>
      <c r="H1159" s="19" t="s">
        <v>17</v>
      </c>
      <c r="K1159" s="3"/>
    </row>
    <row r="1160" spans="1:11" x14ac:dyDescent="0.25">
      <c r="A1160" s="20">
        <v>42107</v>
      </c>
      <c r="B1160" s="183">
        <v>17697</v>
      </c>
      <c r="C1160" s="14" t="s">
        <v>127</v>
      </c>
      <c r="D1160" s="105">
        <v>5762.2</v>
      </c>
      <c r="E1160" s="23">
        <v>42107</v>
      </c>
      <c r="F1160" s="106">
        <v>5762.2</v>
      </c>
      <c r="G1160" s="31">
        <f t="shared" si="18"/>
        <v>0</v>
      </c>
      <c r="H1160" s="19" t="s">
        <v>9</v>
      </c>
      <c r="J1160" s="107"/>
      <c r="K1160" s="3"/>
    </row>
    <row r="1161" spans="1:11" x14ac:dyDescent="0.25">
      <c r="A1161" s="20">
        <v>42107</v>
      </c>
      <c r="B1161" s="183">
        <v>17698</v>
      </c>
      <c r="C1161" s="14" t="s">
        <v>900</v>
      </c>
      <c r="D1161" s="105">
        <v>4440</v>
      </c>
      <c r="E1161" s="23">
        <v>42107</v>
      </c>
      <c r="F1161" s="106">
        <v>4440</v>
      </c>
      <c r="G1161" s="31">
        <f t="shared" si="18"/>
        <v>0</v>
      </c>
      <c r="H1161" s="19" t="s">
        <v>9</v>
      </c>
      <c r="K1161" s="3"/>
    </row>
    <row r="1162" spans="1:11" x14ac:dyDescent="0.25">
      <c r="A1162" s="20">
        <v>42107</v>
      </c>
      <c r="B1162" s="183">
        <v>17699</v>
      </c>
      <c r="C1162" s="14" t="s">
        <v>34</v>
      </c>
      <c r="D1162" s="105">
        <v>7251.2</v>
      </c>
      <c r="E1162" s="23">
        <v>42107</v>
      </c>
      <c r="F1162" s="106">
        <v>7251.2</v>
      </c>
      <c r="G1162" s="31">
        <f t="shared" si="18"/>
        <v>0</v>
      </c>
      <c r="H1162" s="19" t="s">
        <v>9</v>
      </c>
      <c r="K1162" s="3"/>
    </row>
    <row r="1163" spans="1:11" x14ac:dyDescent="0.25">
      <c r="A1163" s="20">
        <v>42107</v>
      </c>
      <c r="B1163" s="183">
        <v>17700</v>
      </c>
      <c r="C1163" s="14" t="s">
        <v>130</v>
      </c>
      <c r="D1163" s="105">
        <v>4905.95</v>
      </c>
      <c r="E1163" s="23">
        <v>42107</v>
      </c>
      <c r="F1163" s="106">
        <v>4905.95</v>
      </c>
      <c r="G1163" s="31">
        <f t="shared" si="18"/>
        <v>0</v>
      </c>
      <c r="H1163" s="19" t="s">
        <v>17</v>
      </c>
      <c r="K1163" s="3"/>
    </row>
    <row r="1164" spans="1:11" x14ac:dyDescent="0.25">
      <c r="A1164" s="20">
        <v>42107</v>
      </c>
      <c r="B1164" s="183">
        <v>17701</v>
      </c>
      <c r="C1164" s="14" t="s">
        <v>131</v>
      </c>
      <c r="D1164" s="105">
        <v>6859.55</v>
      </c>
      <c r="E1164" s="23">
        <v>42111</v>
      </c>
      <c r="F1164" s="106">
        <v>6859.55</v>
      </c>
      <c r="G1164" s="31">
        <f t="shared" si="18"/>
        <v>0</v>
      </c>
      <c r="H1164" s="19" t="s">
        <v>17</v>
      </c>
      <c r="K1164" s="3"/>
    </row>
    <row r="1165" spans="1:11" x14ac:dyDescent="0.25">
      <c r="A1165" s="20">
        <v>42107</v>
      </c>
      <c r="B1165" s="183">
        <v>17702</v>
      </c>
      <c r="C1165" s="14" t="s">
        <v>128</v>
      </c>
      <c r="D1165" s="105">
        <v>2548.4</v>
      </c>
      <c r="E1165" s="23">
        <v>42107</v>
      </c>
      <c r="F1165" s="106">
        <v>2548.4</v>
      </c>
      <c r="G1165" s="31">
        <f t="shared" si="18"/>
        <v>0</v>
      </c>
      <c r="H1165" s="19" t="s">
        <v>17</v>
      </c>
      <c r="K1165" s="3"/>
    </row>
    <row r="1166" spans="1:11" x14ac:dyDescent="0.25">
      <c r="A1166" s="20">
        <v>42107</v>
      </c>
      <c r="B1166" s="183">
        <v>17703</v>
      </c>
      <c r="C1166" s="14" t="s">
        <v>891</v>
      </c>
      <c r="D1166" s="105">
        <v>4659.2</v>
      </c>
      <c r="E1166" s="23">
        <v>42107</v>
      </c>
      <c r="F1166" s="106">
        <v>4659.2</v>
      </c>
      <c r="G1166" s="31">
        <f t="shared" si="18"/>
        <v>0</v>
      </c>
      <c r="H1166" s="19" t="s">
        <v>17</v>
      </c>
      <c r="K1166" s="3"/>
    </row>
    <row r="1167" spans="1:11" x14ac:dyDescent="0.25">
      <c r="A1167" s="20">
        <v>42107</v>
      </c>
      <c r="B1167" s="183">
        <v>17704</v>
      </c>
      <c r="C1167" s="14" t="s">
        <v>881</v>
      </c>
      <c r="D1167" s="105">
        <v>226.6</v>
      </c>
      <c r="E1167" s="23">
        <v>42107</v>
      </c>
      <c r="F1167" s="106">
        <v>226.6</v>
      </c>
      <c r="G1167" s="31">
        <f t="shared" si="18"/>
        <v>0</v>
      </c>
      <c r="H1167" s="19" t="s">
        <v>9</v>
      </c>
      <c r="K1167" s="3"/>
    </row>
    <row r="1168" spans="1:11" x14ac:dyDescent="0.25">
      <c r="A1168" s="20">
        <v>42107</v>
      </c>
      <c r="B1168" s="183">
        <v>17705</v>
      </c>
      <c r="C1168" s="14" t="s">
        <v>26</v>
      </c>
      <c r="D1168" s="105">
        <v>1088</v>
      </c>
      <c r="E1168" s="23">
        <v>42107</v>
      </c>
      <c r="F1168" s="106">
        <v>1088</v>
      </c>
      <c r="G1168" s="31">
        <f t="shared" si="18"/>
        <v>0</v>
      </c>
      <c r="H1168" s="19" t="s">
        <v>27</v>
      </c>
      <c r="K1168" s="3"/>
    </row>
    <row r="1169" spans="1:11" x14ac:dyDescent="0.25">
      <c r="A1169" s="20">
        <v>42107</v>
      </c>
      <c r="B1169" s="183">
        <v>17706</v>
      </c>
      <c r="C1169" s="14" t="s">
        <v>738</v>
      </c>
      <c r="D1169" s="105">
        <v>20081.8</v>
      </c>
      <c r="E1169" s="23">
        <v>42107</v>
      </c>
      <c r="F1169" s="106">
        <v>20081.8</v>
      </c>
      <c r="G1169" s="31">
        <f t="shared" si="18"/>
        <v>0</v>
      </c>
      <c r="H1169" s="19" t="s">
        <v>1013</v>
      </c>
      <c r="K1169" s="3"/>
    </row>
    <row r="1170" spans="1:11" x14ac:dyDescent="0.25">
      <c r="A1170" s="20">
        <v>42107</v>
      </c>
      <c r="B1170" s="183">
        <v>17707</v>
      </c>
      <c r="C1170" s="14" t="s">
        <v>1095</v>
      </c>
      <c r="D1170" s="105">
        <v>4510.3999999999996</v>
      </c>
      <c r="E1170" s="23">
        <v>42107</v>
      </c>
      <c r="F1170" s="106">
        <v>4510.3999999999996</v>
      </c>
      <c r="G1170" s="31">
        <f t="shared" si="18"/>
        <v>0</v>
      </c>
      <c r="H1170" s="19" t="s">
        <v>9</v>
      </c>
      <c r="K1170" s="3"/>
    </row>
    <row r="1171" spans="1:11" x14ac:dyDescent="0.25">
      <c r="A1171" s="20">
        <v>42107</v>
      </c>
      <c r="B1171" s="183">
        <v>17708</v>
      </c>
      <c r="C1171" s="14" t="s">
        <v>185</v>
      </c>
      <c r="D1171" s="105">
        <v>35963.199999999997</v>
      </c>
      <c r="E1171" s="23">
        <v>42107</v>
      </c>
      <c r="F1171" s="106">
        <v>35963.199999999997</v>
      </c>
      <c r="G1171" s="31">
        <f t="shared" si="18"/>
        <v>0</v>
      </c>
      <c r="H1171" s="19" t="s">
        <v>1013</v>
      </c>
      <c r="K1171" s="3"/>
    </row>
    <row r="1172" spans="1:11" x14ac:dyDescent="0.25">
      <c r="A1172" s="20">
        <v>42107</v>
      </c>
      <c r="B1172" s="183">
        <v>17709</v>
      </c>
      <c r="C1172" s="14" t="s">
        <v>49</v>
      </c>
      <c r="D1172" s="105">
        <v>1448</v>
      </c>
      <c r="E1172" s="23">
        <v>42107</v>
      </c>
      <c r="F1172" s="106">
        <v>1448</v>
      </c>
      <c r="G1172" s="31">
        <f t="shared" si="18"/>
        <v>0</v>
      </c>
      <c r="H1172" s="19" t="s">
        <v>27</v>
      </c>
      <c r="J1172" s="107"/>
      <c r="K1172" s="3"/>
    </row>
    <row r="1173" spans="1:11" x14ac:dyDescent="0.25">
      <c r="A1173" s="20">
        <v>42107</v>
      </c>
      <c r="B1173" s="183">
        <v>17710</v>
      </c>
      <c r="C1173" s="14" t="s">
        <v>78</v>
      </c>
      <c r="D1173" s="105">
        <v>6664.2</v>
      </c>
      <c r="E1173" s="23">
        <v>42109</v>
      </c>
      <c r="F1173" s="106">
        <v>6664.2</v>
      </c>
      <c r="G1173" s="31">
        <f t="shared" si="18"/>
        <v>0</v>
      </c>
      <c r="H1173" s="19" t="s">
        <v>62</v>
      </c>
      <c r="K1173" s="3"/>
    </row>
    <row r="1174" spans="1:11" x14ac:dyDescent="0.25">
      <c r="A1174" s="20">
        <v>42107</v>
      </c>
      <c r="B1174" s="183">
        <v>17711</v>
      </c>
      <c r="C1174" s="14" t="s">
        <v>67</v>
      </c>
      <c r="D1174" s="105">
        <v>2784.8</v>
      </c>
      <c r="E1174" s="23">
        <v>42109</v>
      </c>
      <c r="F1174" s="106">
        <v>2784.8</v>
      </c>
      <c r="G1174" s="31">
        <f t="shared" si="18"/>
        <v>0</v>
      </c>
      <c r="H1174" s="19" t="s">
        <v>62</v>
      </c>
      <c r="K1174" s="3"/>
    </row>
    <row r="1175" spans="1:11" x14ac:dyDescent="0.25">
      <c r="A1175" s="20">
        <v>42107</v>
      </c>
      <c r="B1175" s="183">
        <v>17712</v>
      </c>
      <c r="C1175" s="14" t="s">
        <v>604</v>
      </c>
      <c r="D1175" s="105">
        <v>2220.4</v>
      </c>
      <c r="E1175" s="23">
        <v>42107</v>
      </c>
      <c r="F1175" s="106">
        <v>2220.4</v>
      </c>
      <c r="G1175" s="31">
        <f t="shared" si="18"/>
        <v>0</v>
      </c>
      <c r="H1175" s="19" t="s">
        <v>9</v>
      </c>
      <c r="K1175" s="3"/>
    </row>
    <row r="1176" spans="1:11" x14ac:dyDescent="0.25">
      <c r="A1176" s="20">
        <v>42107</v>
      </c>
      <c r="B1176" s="183">
        <v>17713</v>
      </c>
      <c r="C1176" s="14" t="s">
        <v>170</v>
      </c>
      <c r="D1176" s="105">
        <v>4524.8</v>
      </c>
      <c r="E1176" s="23">
        <v>42109</v>
      </c>
      <c r="F1176" s="106">
        <v>4524.8</v>
      </c>
      <c r="G1176" s="31">
        <f t="shared" si="18"/>
        <v>0</v>
      </c>
      <c r="H1176" s="19" t="s">
        <v>62</v>
      </c>
      <c r="K1176" s="3"/>
    </row>
    <row r="1177" spans="1:11" x14ac:dyDescent="0.25">
      <c r="A1177" s="20">
        <v>42107</v>
      </c>
      <c r="B1177" s="183">
        <v>17714</v>
      </c>
      <c r="C1177" s="14" t="s">
        <v>158</v>
      </c>
      <c r="D1177" s="105">
        <v>8031</v>
      </c>
      <c r="E1177" s="23">
        <v>42107</v>
      </c>
      <c r="F1177" s="106">
        <v>8031</v>
      </c>
      <c r="G1177" s="31">
        <f t="shared" si="18"/>
        <v>0</v>
      </c>
      <c r="H1177" s="19" t="s">
        <v>9</v>
      </c>
      <c r="K1177" s="3"/>
    </row>
    <row r="1178" spans="1:11" x14ac:dyDescent="0.25">
      <c r="A1178" s="20">
        <v>42107</v>
      </c>
      <c r="B1178" s="183">
        <v>17715</v>
      </c>
      <c r="C1178" s="14" t="s">
        <v>264</v>
      </c>
      <c r="D1178" s="105">
        <v>780</v>
      </c>
      <c r="E1178" s="23">
        <v>42107</v>
      </c>
      <c r="F1178" s="106">
        <v>780</v>
      </c>
      <c r="G1178" s="31">
        <f t="shared" si="18"/>
        <v>0</v>
      </c>
      <c r="H1178" s="19" t="s">
        <v>9</v>
      </c>
      <c r="K1178" s="3"/>
    </row>
    <row r="1179" spans="1:11" x14ac:dyDescent="0.25">
      <c r="A1179" s="20">
        <v>42107</v>
      </c>
      <c r="B1179" s="183">
        <v>17716</v>
      </c>
      <c r="C1179" s="14" t="s">
        <v>213</v>
      </c>
      <c r="D1179" s="105">
        <v>4274.3999999999996</v>
      </c>
      <c r="E1179" s="23">
        <v>42107</v>
      </c>
      <c r="F1179" s="106">
        <v>4274.3999999999996</v>
      </c>
      <c r="G1179" s="31">
        <f t="shared" si="18"/>
        <v>0</v>
      </c>
      <c r="H1179" s="19" t="s">
        <v>773</v>
      </c>
      <c r="K1179" s="3"/>
    </row>
    <row r="1180" spans="1:11" x14ac:dyDescent="0.25">
      <c r="A1180" s="20">
        <v>42107</v>
      </c>
      <c r="B1180" s="183">
        <v>17717</v>
      </c>
      <c r="C1180" s="14" t="s">
        <v>89</v>
      </c>
      <c r="D1180" s="105">
        <v>1406.4</v>
      </c>
      <c r="E1180" s="23">
        <v>42107</v>
      </c>
      <c r="F1180" s="106">
        <v>1406.4</v>
      </c>
      <c r="G1180" s="31">
        <f t="shared" si="18"/>
        <v>0</v>
      </c>
      <c r="H1180" s="19" t="s">
        <v>9</v>
      </c>
      <c r="K1180" s="3"/>
    </row>
    <row r="1181" spans="1:11" x14ac:dyDescent="0.25">
      <c r="A1181" s="20">
        <v>42107</v>
      </c>
      <c r="B1181" s="183">
        <v>17718</v>
      </c>
      <c r="C1181" s="14" t="s">
        <v>141</v>
      </c>
      <c r="D1181" s="105">
        <v>18924</v>
      </c>
      <c r="E1181" s="184" t="s">
        <v>1096</v>
      </c>
      <c r="F1181" s="106">
        <f>8000+5000+5924</f>
        <v>18924</v>
      </c>
      <c r="G1181" s="31">
        <f t="shared" si="18"/>
        <v>0</v>
      </c>
      <c r="H1181" s="19" t="s">
        <v>19</v>
      </c>
      <c r="K1181" s="3"/>
    </row>
    <row r="1182" spans="1:11" x14ac:dyDescent="0.25">
      <c r="A1182" s="20">
        <v>42107</v>
      </c>
      <c r="B1182" s="183">
        <v>17719</v>
      </c>
      <c r="C1182" s="14" t="s">
        <v>136</v>
      </c>
      <c r="D1182" s="105">
        <v>540</v>
      </c>
      <c r="E1182" s="23">
        <v>42107</v>
      </c>
      <c r="F1182" s="106">
        <v>540</v>
      </c>
      <c r="G1182" s="31">
        <f t="shared" si="18"/>
        <v>0</v>
      </c>
      <c r="H1182" s="19" t="s">
        <v>9</v>
      </c>
      <c r="K1182" s="3"/>
    </row>
    <row r="1183" spans="1:11" x14ac:dyDescent="0.25">
      <c r="A1183" s="20">
        <v>42107</v>
      </c>
      <c r="B1183" s="183">
        <v>17720</v>
      </c>
      <c r="C1183" s="14" t="s">
        <v>335</v>
      </c>
      <c r="D1183" s="105">
        <v>684.6</v>
      </c>
      <c r="E1183" s="23">
        <v>42107</v>
      </c>
      <c r="F1183" s="106">
        <v>684.6</v>
      </c>
      <c r="G1183" s="31">
        <f t="shared" si="18"/>
        <v>0</v>
      </c>
      <c r="H1183" s="19" t="s">
        <v>9</v>
      </c>
      <c r="K1183" s="3"/>
    </row>
    <row r="1184" spans="1:11" x14ac:dyDescent="0.25">
      <c r="A1184" s="20">
        <v>42107</v>
      </c>
      <c r="B1184" s="183">
        <v>17721</v>
      </c>
      <c r="C1184" s="14" t="s">
        <v>791</v>
      </c>
      <c r="D1184" s="105">
        <v>2345.25</v>
      </c>
      <c r="E1184" s="23">
        <v>42109</v>
      </c>
      <c r="F1184" s="106">
        <v>2345.25</v>
      </c>
      <c r="G1184" s="31">
        <f t="shared" si="18"/>
        <v>0</v>
      </c>
      <c r="H1184" s="19" t="s">
        <v>9</v>
      </c>
      <c r="K1184" s="3"/>
    </row>
    <row r="1185" spans="1:11" x14ac:dyDescent="0.25">
      <c r="A1185" s="20">
        <v>42107</v>
      </c>
      <c r="B1185" s="183">
        <v>17722</v>
      </c>
      <c r="C1185" s="14" t="s">
        <v>24</v>
      </c>
      <c r="D1185" s="105">
        <v>270</v>
      </c>
      <c r="E1185" s="30">
        <v>42138</v>
      </c>
      <c r="F1185" s="144">
        <v>270</v>
      </c>
      <c r="G1185" s="31">
        <f t="shared" si="18"/>
        <v>0</v>
      </c>
      <c r="H1185" s="19" t="s">
        <v>9</v>
      </c>
      <c r="K1185" s="3"/>
    </row>
    <row r="1186" spans="1:11" x14ac:dyDescent="0.25">
      <c r="A1186" s="20">
        <v>42107</v>
      </c>
      <c r="B1186" s="183">
        <v>17723</v>
      </c>
      <c r="C1186" s="14" t="s">
        <v>32</v>
      </c>
      <c r="D1186" s="105">
        <v>25908</v>
      </c>
      <c r="E1186" s="23">
        <v>42115</v>
      </c>
      <c r="F1186" s="106">
        <v>25908</v>
      </c>
      <c r="G1186" s="31">
        <f t="shared" si="18"/>
        <v>0</v>
      </c>
      <c r="H1186" s="19" t="s">
        <v>9</v>
      </c>
      <c r="K1186" s="3"/>
    </row>
    <row r="1187" spans="1:11" x14ac:dyDescent="0.25">
      <c r="A1187" s="20">
        <v>42107</v>
      </c>
      <c r="B1187" s="183">
        <v>17724</v>
      </c>
      <c r="C1187" s="14" t="s">
        <v>110</v>
      </c>
      <c r="D1187" s="105">
        <v>34876.9</v>
      </c>
      <c r="E1187" s="30" t="s">
        <v>1204</v>
      </c>
      <c r="F1187" s="144">
        <f>15093.84+19783.06</f>
        <v>34876.9</v>
      </c>
      <c r="G1187" s="31">
        <f t="shared" si="18"/>
        <v>0</v>
      </c>
      <c r="H1187" s="19" t="s">
        <v>94</v>
      </c>
      <c r="I1187" s="3"/>
      <c r="J1187" s="42"/>
      <c r="K1187" s="3"/>
    </row>
    <row r="1188" spans="1:11" x14ac:dyDescent="0.25">
      <c r="A1188" s="20">
        <v>42107</v>
      </c>
      <c r="B1188" s="183">
        <v>17725</v>
      </c>
      <c r="C1188" s="14" t="s">
        <v>180</v>
      </c>
      <c r="D1188" s="105">
        <v>5450.1</v>
      </c>
      <c r="E1188" s="23">
        <v>42107</v>
      </c>
      <c r="F1188" s="106">
        <v>5450.1</v>
      </c>
      <c r="G1188" s="31">
        <f t="shared" si="18"/>
        <v>0</v>
      </c>
      <c r="H1188" s="19" t="s">
        <v>9</v>
      </c>
      <c r="I1188" s="3"/>
      <c r="J1188" s="42"/>
      <c r="K1188" s="3"/>
    </row>
    <row r="1189" spans="1:11" x14ac:dyDescent="0.25">
      <c r="A1189" s="20">
        <v>42107</v>
      </c>
      <c r="B1189" s="183">
        <v>17726</v>
      </c>
      <c r="C1189" s="14" t="s">
        <v>332</v>
      </c>
      <c r="D1189" s="105">
        <v>688.5</v>
      </c>
      <c r="E1189" s="23">
        <v>42107</v>
      </c>
      <c r="F1189" s="106">
        <v>688.5</v>
      </c>
      <c r="G1189" s="31">
        <f t="shared" si="18"/>
        <v>0</v>
      </c>
      <c r="H1189" s="19" t="s">
        <v>62</v>
      </c>
      <c r="I1189" s="3"/>
      <c r="J1189" s="42"/>
      <c r="K1189" s="3"/>
    </row>
    <row r="1190" spans="1:11" x14ac:dyDescent="0.25">
      <c r="A1190" s="20">
        <v>42107</v>
      </c>
      <c r="B1190" s="183">
        <v>17727</v>
      </c>
      <c r="C1190" s="14" t="s">
        <v>66</v>
      </c>
      <c r="D1190" s="105">
        <v>2140.6</v>
      </c>
      <c r="E1190" s="23">
        <v>42107</v>
      </c>
      <c r="F1190" s="106">
        <v>2140.6</v>
      </c>
      <c r="G1190" s="31">
        <f t="shared" si="18"/>
        <v>0</v>
      </c>
      <c r="H1190" s="19" t="s">
        <v>9</v>
      </c>
      <c r="I1190" s="3"/>
      <c r="J1190" s="42"/>
      <c r="K1190" s="3"/>
    </row>
    <row r="1191" spans="1:11" x14ac:dyDescent="0.25">
      <c r="A1191" s="20">
        <v>42107</v>
      </c>
      <c r="B1191" s="183">
        <v>17728</v>
      </c>
      <c r="C1191" s="14" t="s">
        <v>228</v>
      </c>
      <c r="D1191" s="105">
        <v>8420</v>
      </c>
      <c r="E1191" s="23">
        <v>42107</v>
      </c>
      <c r="F1191" s="106">
        <v>8420</v>
      </c>
      <c r="G1191" s="31">
        <f t="shared" si="18"/>
        <v>0</v>
      </c>
      <c r="H1191" s="19" t="s">
        <v>9</v>
      </c>
      <c r="I1191" s="3"/>
      <c r="J1191" s="42"/>
      <c r="K1191" s="3"/>
    </row>
    <row r="1192" spans="1:11" x14ac:dyDescent="0.25">
      <c r="A1192" s="20">
        <v>42107</v>
      </c>
      <c r="B1192" s="183">
        <v>17729</v>
      </c>
      <c r="C1192" s="14" t="s">
        <v>440</v>
      </c>
      <c r="D1192" s="105">
        <v>9610</v>
      </c>
      <c r="E1192" s="23">
        <v>42107</v>
      </c>
      <c r="F1192" s="106">
        <v>9610</v>
      </c>
      <c r="G1192" s="31">
        <f t="shared" si="18"/>
        <v>0</v>
      </c>
      <c r="H1192" s="19" t="s">
        <v>9</v>
      </c>
      <c r="I1192" s="3"/>
      <c r="J1192" s="42"/>
      <c r="K1192" s="3"/>
    </row>
    <row r="1193" spans="1:11" x14ac:dyDescent="0.25">
      <c r="A1193" s="20">
        <v>42107</v>
      </c>
      <c r="B1193" s="183">
        <v>17730</v>
      </c>
      <c r="C1193" s="14" t="s">
        <v>75</v>
      </c>
      <c r="D1193" s="105">
        <v>17212</v>
      </c>
      <c r="E1193" s="51">
        <v>42109</v>
      </c>
      <c r="F1193" s="106">
        <v>17212</v>
      </c>
      <c r="G1193" s="31">
        <f t="shared" si="18"/>
        <v>0</v>
      </c>
      <c r="H1193" s="19" t="s">
        <v>62</v>
      </c>
      <c r="I1193" s="3"/>
      <c r="J1193" s="42"/>
      <c r="K1193" s="3"/>
    </row>
    <row r="1194" spans="1:11" x14ac:dyDescent="0.25">
      <c r="A1194" s="20">
        <v>42107</v>
      </c>
      <c r="B1194" s="183">
        <v>17731</v>
      </c>
      <c r="C1194" s="14" t="s">
        <v>173</v>
      </c>
      <c r="D1194" s="105">
        <v>19396</v>
      </c>
      <c r="E1194" s="30" t="s">
        <v>1216</v>
      </c>
      <c r="F1194" s="144">
        <v>19396</v>
      </c>
      <c r="G1194" s="31">
        <f t="shared" si="18"/>
        <v>0</v>
      </c>
      <c r="H1194" s="19" t="s">
        <v>62</v>
      </c>
      <c r="I1194" s="3"/>
      <c r="J1194" s="42"/>
      <c r="K1194" s="3"/>
    </row>
    <row r="1195" spans="1:11" x14ac:dyDescent="0.25">
      <c r="A1195" s="20">
        <v>42107</v>
      </c>
      <c r="B1195" s="183">
        <v>17732</v>
      </c>
      <c r="C1195" s="110" t="s">
        <v>72</v>
      </c>
      <c r="D1195" s="105">
        <v>15233.7</v>
      </c>
      <c r="E1195" s="30" t="s">
        <v>1241</v>
      </c>
      <c r="F1195" s="144">
        <v>15233.7</v>
      </c>
      <c r="G1195" s="31">
        <f t="shared" si="18"/>
        <v>0</v>
      </c>
      <c r="H1195" s="19" t="s">
        <v>62</v>
      </c>
      <c r="I1195" s="3"/>
      <c r="J1195" s="42"/>
      <c r="K1195" s="3"/>
    </row>
    <row r="1196" spans="1:11" x14ac:dyDescent="0.25">
      <c r="A1196" s="20">
        <v>42107</v>
      </c>
      <c r="B1196" s="183">
        <v>17733</v>
      </c>
      <c r="C1196" s="14" t="s">
        <v>84</v>
      </c>
      <c r="D1196" s="105">
        <v>32127</v>
      </c>
      <c r="E1196" s="30" t="s">
        <v>1097</v>
      </c>
      <c r="F1196" s="106">
        <v>32127</v>
      </c>
      <c r="G1196" s="31">
        <f t="shared" si="18"/>
        <v>0</v>
      </c>
      <c r="H1196" s="19" t="s">
        <v>62</v>
      </c>
      <c r="I1196" s="3"/>
      <c r="J1196" s="42"/>
      <c r="K1196" s="3"/>
    </row>
    <row r="1197" spans="1:11" x14ac:dyDescent="0.25">
      <c r="A1197" s="20">
        <v>42107</v>
      </c>
      <c r="B1197" s="183">
        <v>17734</v>
      </c>
      <c r="C1197" s="14" t="s">
        <v>79</v>
      </c>
      <c r="D1197" s="105">
        <v>1252.1199999999999</v>
      </c>
      <c r="E1197" s="23">
        <v>42109</v>
      </c>
      <c r="F1197" s="106">
        <v>1252.1199999999999</v>
      </c>
      <c r="G1197" s="31">
        <f t="shared" si="18"/>
        <v>0</v>
      </c>
      <c r="H1197" s="19" t="s">
        <v>62</v>
      </c>
      <c r="I1197" s="3"/>
      <c r="J1197" s="42"/>
      <c r="K1197" s="3"/>
    </row>
    <row r="1198" spans="1:11" x14ac:dyDescent="0.25">
      <c r="A1198" s="20">
        <v>42107</v>
      </c>
      <c r="B1198" s="183">
        <v>17735</v>
      </c>
      <c r="C1198" s="14" t="s">
        <v>176</v>
      </c>
      <c r="D1198" s="105">
        <v>9972.9</v>
      </c>
      <c r="E1198" s="30" t="s">
        <v>1098</v>
      </c>
      <c r="F1198" s="106">
        <v>9972.9</v>
      </c>
      <c r="G1198" s="31">
        <f t="shared" si="18"/>
        <v>0</v>
      </c>
      <c r="H1198" s="19" t="s">
        <v>62</v>
      </c>
      <c r="I1198" s="3"/>
      <c r="J1198" s="42"/>
      <c r="K1198" s="3"/>
    </row>
    <row r="1199" spans="1:11" x14ac:dyDescent="0.25">
      <c r="A1199" s="20">
        <v>42107</v>
      </c>
      <c r="B1199" s="183">
        <v>17736</v>
      </c>
      <c r="C1199" s="14" t="s">
        <v>61</v>
      </c>
      <c r="D1199" s="105">
        <v>3959.8</v>
      </c>
      <c r="E1199" s="23">
        <v>42109</v>
      </c>
      <c r="F1199" s="106">
        <v>3959.8</v>
      </c>
      <c r="G1199" s="31">
        <f t="shared" si="18"/>
        <v>0</v>
      </c>
      <c r="H1199" s="19" t="s">
        <v>62</v>
      </c>
      <c r="I1199" s="3"/>
      <c r="J1199" s="42"/>
      <c r="K1199" s="3"/>
    </row>
    <row r="1200" spans="1:11" x14ac:dyDescent="0.25">
      <c r="A1200" s="20">
        <v>42107</v>
      </c>
      <c r="B1200" s="183">
        <v>17737</v>
      </c>
      <c r="C1200" s="14" t="s">
        <v>55</v>
      </c>
      <c r="D1200" s="105">
        <v>21118.6</v>
      </c>
      <c r="E1200" s="23">
        <v>42107</v>
      </c>
      <c r="F1200" s="106">
        <v>21118.6</v>
      </c>
      <c r="G1200" s="31">
        <f t="shared" si="18"/>
        <v>0</v>
      </c>
      <c r="H1200" s="19" t="s">
        <v>773</v>
      </c>
      <c r="I1200" s="3"/>
      <c r="J1200" s="42"/>
      <c r="K1200" s="3"/>
    </row>
    <row r="1201" spans="1:11" x14ac:dyDescent="0.25">
      <c r="A1201" s="20">
        <v>42107</v>
      </c>
      <c r="B1201" s="183">
        <v>17738</v>
      </c>
      <c r="C1201" s="14" t="s">
        <v>24</v>
      </c>
      <c r="D1201" s="105">
        <v>99700.1</v>
      </c>
      <c r="E1201" s="30">
        <v>42138</v>
      </c>
      <c r="F1201" s="144">
        <v>99700.1</v>
      </c>
      <c r="G1201" s="31">
        <f t="shared" si="18"/>
        <v>0</v>
      </c>
      <c r="H1201" s="19" t="s">
        <v>19</v>
      </c>
      <c r="I1201" s="3"/>
      <c r="J1201" s="42"/>
      <c r="K1201" s="3"/>
    </row>
    <row r="1202" spans="1:11" x14ac:dyDescent="0.25">
      <c r="A1202" s="20">
        <v>42107</v>
      </c>
      <c r="B1202" s="183">
        <v>17739</v>
      </c>
      <c r="C1202" s="14" t="s">
        <v>406</v>
      </c>
      <c r="D1202" s="105">
        <v>20900.099999999999</v>
      </c>
      <c r="E1202" s="23">
        <v>42107</v>
      </c>
      <c r="F1202" s="106">
        <v>20900.099999999999</v>
      </c>
      <c r="G1202" s="31">
        <f t="shared" si="18"/>
        <v>0</v>
      </c>
      <c r="H1202" s="19" t="s">
        <v>773</v>
      </c>
      <c r="I1202" s="3"/>
      <c r="J1202" s="42"/>
      <c r="K1202" s="3"/>
    </row>
    <row r="1203" spans="1:11" x14ac:dyDescent="0.25">
      <c r="A1203" s="20">
        <v>42107</v>
      </c>
      <c r="B1203" s="183">
        <v>17740</v>
      </c>
      <c r="C1203" s="14" t="s">
        <v>256</v>
      </c>
      <c r="D1203" s="105">
        <v>3981.6</v>
      </c>
      <c r="E1203" s="23">
        <v>42107</v>
      </c>
      <c r="F1203" s="106">
        <v>3981.6</v>
      </c>
      <c r="G1203" s="31">
        <f t="shared" si="18"/>
        <v>0</v>
      </c>
      <c r="H1203" s="19" t="s">
        <v>773</v>
      </c>
      <c r="K1203" s="3"/>
    </row>
    <row r="1204" spans="1:11" x14ac:dyDescent="0.25">
      <c r="A1204" s="20">
        <v>42107</v>
      </c>
      <c r="B1204" s="183">
        <v>17741</v>
      </c>
      <c r="C1204" s="14" t="s">
        <v>93</v>
      </c>
      <c r="D1204" s="105">
        <v>1504</v>
      </c>
      <c r="E1204" s="23">
        <v>42108</v>
      </c>
      <c r="F1204" s="106">
        <v>1504</v>
      </c>
      <c r="G1204" s="31">
        <f t="shared" si="18"/>
        <v>0</v>
      </c>
      <c r="H1204" s="19" t="s">
        <v>94</v>
      </c>
      <c r="K1204" s="3"/>
    </row>
    <row r="1205" spans="1:11" x14ac:dyDescent="0.25">
      <c r="A1205" s="20">
        <v>42107</v>
      </c>
      <c r="B1205" s="183">
        <v>17742</v>
      </c>
      <c r="C1205" s="14" t="s">
        <v>98</v>
      </c>
      <c r="D1205" s="105">
        <v>1886.9</v>
      </c>
      <c r="E1205" s="23">
        <v>42108</v>
      </c>
      <c r="F1205" s="106">
        <v>1886.9</v>
      </c>
      <c r="G1205" s="31">
        <f t="shared" si="18"/>
        <v>0</v>
      </c>
      <c r="H1205" s="19" t="s">
        <v>94</v>
      </c>
      <c r="K1205" s="3"/>
    </row>
    <row r="1206" spans="1:11" x14ac:dyDescent="0.25">
      <c r="A1206" s="20">
        <v>42107</v>
      </c>
      <c r="B1206" s="183">
        <v>17743</v>
      </c>
      <c r="C1206" s="14" t="s">
        <v>104</v>
      </c>
      <c r="D1206" s="105">
        <v>12068.7</v>
      </c>
      <c r="E1206" s="23">
        <v>42108</v>
      </c>
      <c r="F1206" s="106">
        <v>12068.7</v>
      </c>
      <c r="G1206" s="31">
        <f t="shared" si="18"/>
        <v>0</v>
      </c>
      <c r="H1206" s="19" t="s">
        <v>94</v>
      </c>
      <c r="K1206" s="3"/>
    </row>
    <row r="1207" spans="1:11" x14ac:dyDescent="0.25">
      <c r="A1207" s="20">
        <v>42107</v>
      </c>
      <c r="B1207" s="183">
        <v>17744</v>
      </c>
      <c r="C1207" s="14" t="s">
        <v>108</v>
      </c>
      <c r="D1207" s="105">
        <v>9236</v>
      </c>
      <c r="E1207" s="30" t="s">
        <v>1213</v>
      </c>
      <c r="F1207" s="144">
        <f>476+8760</f>
        <v>9236</v>
      </c>
      <c r="G1207" s="31">
        <f t="shared" si="18"/>
        <v>0</v>
      </c>
      <c r="H1207" s="19" t="s">
        <v>17</v>
      </c>
      <c r="K1207" s="3"/>
    </row>
    <row r="1208" spans="1:11" x14ac:dyDescent="0.25">
      <c r="A1208" s="20">
        <v>42107</v>
      </c>
      <c r="B1208" s="183">
        <v>17745</v>
      </c>
      <c r="C1208" s="14" t="s">
        <v>1099</v>
      </c>
      <c r="D1208" s="105">
        <v>3414.04</v>
      </c>
      <c r="E1208" s="23">
        <v>42108</v>
      </c>
      <c r="F1208" s="106">
        <v>3414.04</v>
      </c>
      <c r="G1208" s="31">
        <f t="shared" si="18"/>
        <v>0</v>
      </c>
      <c r="H1208" s="19" t="s">
        <v>94</v>
      </c>
      <c r="J1208" s="107"/>
      <c r="K1208" s="3"/>
    </row>
    <row r="1209" spans="1:11" x14ac:dyDescent="0.25">
      <c r="A1209" s="20">
        <v>42107</v>
      </c>
      <c r="B1209" s="183">
        <v>17746</v>
      </c>
      <c r="C1209" s="14" t="s">
        <v>24</v>
      </c>
      <c r="D1209" s="105">
        <v>15221.7</v>
      </c>
      <c r="E1209" s="30">
        <v>42138</v>
      </c>
      <c r="F1209" s="144">
        <v>15221.7</v>
      </c>
      <c r="G1209" s="31">
        <f t="shared" si="18"/>
        <v>0</v>
      </c>
      <c r="H1209" s="19" t="s">
        <v>9</v>
      </c>
      <c r="K1209" s="3"/>
    </row>
    <row r="1210" spans="1:11" x14ac:dyDescent="0.25">
      <c r="A1210" s="20">
        <v>42107</v>
      </c>
      <c r="B1210" s="183">
        <v>17747</v>
      </c>
      <c r="C1210" s="150" t="s">
        <v>471</v>
      </c>
      <c r="D1210" s="105">
        <v>16203.2</v>
      </c>
      <c r="E1210" s="23">
        <v>42109</v>
      </c>
      <c r="F1210" s="106">
        <v>16203.2</v>
      </c>
      <c r="G1210" s="31">
        <f t="shared" si="18"/>
        <v>0</v>
      </c>
      <c r="H1210" s="19" t="s">
        <v>149</v>
      </c>
      <c r="K1210" s="3"/>
    </row>
    <row r="1211" spans="1:11" x14ac:dyDescent="0.25">
      <c r="A1211" s="20">
        <v>42107</v>
      </c>
      <c r="B1211" s="183">
        <v>17748</v>
      </c>
      <c r="C1211" s="14" t="s">
        <v>206</v>
      </c>
      <c r="D1211" s="105">
        <v>31585.8</v>
      </c>
      <c r="E1211" s="23">
        <v>42116</v>
      </c>
      <c r="F1211" s="106">
        <v>31585.8</v>
      </c>
      <c r="G1211" s="31">
        <f t="shared" si="18"/>
        <v>0</v>
      </c>
      <c r="H1211" s="19" t="s">
        <v>149</v>
      </c>
      <c r="K1211" s="3"/>
    </row>
    <row r="1212" spans="1:11" x14ac:dyDescent="0.25">
      <c r="A1212" s="20">
        <v>42107</v>
      </c>
      <c r="B1212" s="183">
        <v>17749</v>
      </c>
      <c r="C1212" s="14" t="s">
        <v>207</v>
      </c>
      <c r="D1212" s="105">
        <v>21958.38</v>
      </c>
      <c r="E1212" s="23">
        <v>42112</v>
      </c>
      <c r="F1212" s="106">
        <v>21958.38</v>
      </c>
      <c r="G1212" s="31">
        <f t="shared" si="18"/>
        <v>0</v>
      </c>
      <c r="H1212" s="19" t="s">
        <v>149</v>
      </c>
      <c r="K1212" s="3"/>
    </row>
    <row r="1213" spans="1:11" x14ac:dyDescent="0.25">
      <c r="A1213" s="20">
        <v>42107</v>
      </c>
      <c r="B1213" s="183">
        <v>17750</v>
      </c>
      <c r="C1213" s="14" t="s">
        <v>68</v>
      </c>
      <c r="D1213" s="105">
        <v>6277</v>
      </c>
      <c r="E1213" s="23">
        <v>42109</v>
      </c>
      <c r="F1213" s="106">
        <v>6277</v>
      </c>
      <c r="G1213" s="31">
        <f t="shared" si="18"/>
        <v>0</v>
      </c>
      <c r="H1213" s="19" t="s">
        <v>149</v>
      </c>
      <c r="K1213" s="3"/>
    </row>
    <row r="1214" spans="1:11" x14ac:dyDescent="0.25">
      <c r="A1214" s="20">
        <v>42107</v>
      </c>
      <c r="B1214" s="183">
        <v>17751</v>
      </c>
      <c r="C1214" s="14" t="s">
        <v>126</v>
      </c>
      <c r="D1214" s="105">
        <v>22111.15</v>
      </c>
      <c r="E1214" s="23">
        <v>42107</v>
      </c>
      <c r="F1214" s="106">
        <v>22111.15</v>
      </c>
      <c r="G1214" s="31">
        <f t="shared" si="18"/>
        <v>0</v>
      </c>
      <c r="H1214" s="19" t="s">
        <v>19</v>
      </c>
      <c r="K1214" s="3"/>
    </row>
    <row r="1215" spans="1:11" x14ac:dyDescent="0.25">
      <c r="A1215" s="20">
        <v>42107</v>
      </c>
      <c r="B1215" s="183">
        <v>17752</v>
      </c>
      <c r="C1215" s="14" t="s">
        <v>14</v>
      </c>
      <c r="D1215" s="105">
        <v>42591.4</v>
      </c>
      <c r="E1215" s="23">
        <v>42117</v>
      </c>
      <c r="F1215" s="106">
        <v>42591.4</v>
      </c>
      <c r="G1215" s="31">
        <f t="shared" si="18"/>
        <v>0</v>
      </c>
      <c r="H1215" s="19" t="s">
        <v>19</v>
      </c>
      <c r="K1215" s="3"/>
    </row>
    <row r="1216" spans="1:11" x14ac:dyDescent="0.25">
      <c r="A1216" s="20">
        <v>42107</v>
      </c>
      <c r="B1216" s="183">
        <v>17753</v>
      </c>
      <c r="C1216" s="14" t="s">
        <v>571</v>
      </c>
      <c r="D1216" s="105">
        <v>20364.75</v>
      </c>
      <c r="E1216" s="23">
        <v>42107</v>
      </c>
      <c r="F1216" s="106">
        <v>20364.75</v>
      </c>
      <c r="G1216" s="31">
        <f t="shared" si="18"/>
        <v>0</v>
      </c>
      <c r="H1216" s="19" t="s">
        <v>19</v>
      </c>
      <c r="K1216" s="3"/>
    </row>
    <row r="1217" spans="1:11" x14ac:dyDescent="0.25">
      <c r="A1217" s="20">
        <v>42107</v>
      </c>
      <c r="B1217" s="183">
        <v>17754</v>
      </c>
      <c r="C1217" s="14" t="s">
        <v>617</v>
      </c>
      <c r="D1217" s="105">
        <v>16405.84</v>
      </c>
      <c r="E1217" s="23">
        <v>42114</v>
      </c>
      <c r="F1217" s="106">
        <v>16405.84</v>
      </c>
      <c r="G1217" s="31">
        <f t="shared" si="18"/>
        <v>0</v>
      </c>
      <c r="H1217" s="19" t="s">
        <v>149</v>
      </c>
      <c r="K1217" s="3"/>
    </row>
    <row r="1218" spans="1:11" x14ac:dyDescent="0.25">
      <c r="A1218" s="20">
        <v>42107</v>
      </c>
      <c r="B1218" s="183">
        <v>17755</v>
      </c>
      <c r="C1218" s="14" t="s">
        <v>617</v>
      </c>
      <c r="D1218" s="105">
        <v>850</v>
      </c>
      <c r="E1218" s="23">
        <v>42114</v>
      </c>
      <c r="F1218" s="106">
        <v>850</v>
      </c>
      <c r="G1218" s="31">
        <f t="shared" si="18"/>
        <v>0</v>
      </c>
      <c r="H1218" s="19" t="s">
        <v>149</v>
      </c>
      <c r="K1218" s="3"/>
    </row>
    <row r="1219" spans="1:11" x14ac:dyDescent="0.25">
      <c r="A1219" s="20">
        <v>42107</v>
      </c>
      <c r="B1219" s="183">
        <v>17756</v>
      </c>
      <c r="C1219" s="14" t="s">
        <v>200</v>
      </c>
      <c r="D1219" s="105">
        <v>2312.4</v>
      </c>
      <c r="E1219" s="23">
        <v>42109</v>
      </c>
      <c r="F1219" s="106">
        <v>2312.4</v>
      </c>
      <c r="G1219" s="31">
        <f t="shared" ref="G1219:G1282" si="19">D1219-F1219</f>
        <v>0</v>
      </c>
      <c r="H1219" s="19" t="s">
        <v>149</v>
      </c>
      <c r="K1219" s="3"/>
    </row>
    <row r="1220" spans="1:11" x14ac:dyDescent="0.25">
      <c r="A1220" s="20">
        <v>42107</v>
      </c>
      <c r="B1220" s="183">
        <v>17757</v>
      </c>
      <c r="C1220" s="14" t="s">
        <v>199</v>
      </c>
      <c r="D1220" s="105">
        <v>15305.3</v>
      </c>
      <c r="E1220" s="23">
        <v>42109</v>
      </c>
      <c r="F1220" s="106">
        <v>15305.3</v>
      </c>
      <c r="G1220" s="31">
        <f t="shared" si="19"/>
        <v>0</v>
      </c>
      <c r="H1220" s="19" t="s">
        <v>149</v>
      </c>
      <c r="K1220" s="3"/>
    </row>
    <row r="1221" spans="1:11" x14ac:dyDescent="0.25">
      <c r="A1221" s="20">
        <v>42107</v>
      </c>
      <c r="B1221" s="183">
        <v>17758</v>
      </c>
      <c r="C1221" s="14" t="s">
        <v>111</v>
      </c>
      <c r="D1221" s="105">
        <v>82565</v>
      </c>
      <c r="E1221" s="23">
        <v>42108</v>
      </c>
      <c r="F1221" s="106">
        <v>82565</v>
      </c>
      <c r="G1221" s="31">
        <f t="shared" si="19"/>
        <v>0</v>
      </c>
      <c r="H1221" s="19" t="s">
        <v>9</v>
      </c>
      <c r="K1221" s="3"/>
    </row>
    <row r="1222" spans="1:11" x14ac:dyDescent="0.25">
      <c r="A1222" s="20">
        <v>42107</v>
      </c>
      <c r="B1222" s="183">
        <v>17759</v>
      </c>
      <c r="C1222" s="14" t="s">
        <v>198</v>
      </c>
      <c r="D1222" s="105">
        <v>10039.200000000001</v>
      </c>
      <c r="E1222" s="23">
        <v>42109</v>
      </c>
      <c r="F1222" s="106">
        <v>10039.200000000001</v>
      </c>
      <c r="G1222" s="31">
        <f t="shared" si="19"/>
        <v>0</v>
      </c>
      <c r="H1222" s="19" t="s">
        <v>149</v>
      </c>
      <c r="K1222" s="3"/>
    </row>
    <row r="1223" spans="1:11" x14ac:dyDescent="0.25">
      <c r="A1223" s="20">
        <v>42107</v>
      </c>
      <c r="B1223" s="183">
        <v>17760</v>
      </c>
      <c r="C1223" s="14" t="s">
        <v>733</v>
      </c>
      <c r="D1223" s="105">
        <v>4687.8</v>
      </c>
      <c r="E1223" s="23">
        <v>42109</v>
      </c>
      <c r="F1223" s="106">
        <v>4687.8</v>
      </c>
      <c r="G1223" s="31">
        <f t="shared" si="19"/>
        <v>0</v>
      </c>
      <c r="H1223" s="19" t="s">
        <v>149</v>
      </c>
      <c r="J1223" s="107"/>
      <c r="K1223" s="3"/>
    </row>
    <row r="1224" spans="1:11" x14ac:dyDescent="0.25">
      <c r="A1224" s="20">
        <v>42107</v>
      </c>
      <c r="B1224" s="183">
        <v>17761</v>
      </c>
      <c r="C1224" s="14" t="s">
        <v>829</v>
      </c>
      <c r="D1224" s="105">
        <v>9028.2999999999993</v>
      </c>
      <c r="E1224" s="23">
        <v>42107</v>
      </c>
      <c r="F1224" s="106">
        <v>9028.2999999999993</v>
      </c>
      <c r="G1224" s="31">
        <f t="shared" si="19"/>
        <v>0</v>
      </c>
      <c r="H1224" s="19" t="s">
        <v>9</v>
      </c>
      <c r="K1224" s="3"/>
    </row>
    <row r="1225" spans="1:11" x14ac:dyDescent="0.25">
      <c r="A1225" s="20">
        <v>42107</v>
      </c>
      <c r="B1225" s="183">
        <v>17762</v>
      </c>
      <c r="C1225" s="14" t="s">
        <v>47</v>
      </c>
      <c r="D1225" s="105">
        <v>6300</v>
      </c>
      <c r="E1225" s="23">
        <v>42111</v>
      </c>
      <c r="F1225" s="106">
        <v>6300</v>
      </c>
      <c r="G1225" s="31">
        <f t="shared" si="19"/>
        <v>0</v>
      </c>
      <c r="H1225" s="19" t="s">
        <v>9</v>
      </c>
      <c r="K1225" s="3"/>
    </row>
    <row r="1226" spans="1:11" x14ac:dyDescent="0.25">
      <c r="A1226" s="20">
        <v>42107</v>
      </c>
      <c r="B1226" s="183">
        <v>17763</v>
      </c>
      <c r="C1226" s="14" t="s">
        <v>261</v>
      </c>
      <c r="D1226" s="105">
        <v>16586.599999999999</v>
      </c>
      <c r="E1226" s="23">
        <v>42109</v>
      </c>
      <c r="F1226" s="106">
        <v>16586.599999999999</v>
      </c>
      <c r="G1226" s="31">
        <f t="shared" si="19"/>
        <v>0</v>
      </c>
      <c r="H1226" s="39" t="s">
        <v>149</v>
      </c>
      <c r="K1226" s="3"/>
    </row>
    <row r="1227" spans="1:11" x14ac:dyDescent="0.25">
      <c r="A1227" s="20">
        <v>42107</v>
      </c>
      <c r="B1227" s="183">
        <v>17764</v>
      </c>
      <c r="C1227" s="14" t="s">
        <v>829</v>
      </c>
      <c r="D1227" s="105">
        <v>2059.1999999999998</v>
      </c>
      <c r="E1227" s="23">
        <v>42107</v>
      </c>
      <c r="F1227" s="106">
        <v>2059.1999999999998</v>
      </c>
      <c r="G1227" s="31">
        <f t="shared" si="19"/>
        <v>0</v>
      </c>
      <c r="H1227" s="39" t="s">
        <v>9</v>
      </c>
      <c r="K1227" s="3"/>
    </row>
    <row r="1228" spans="1:11" x14ac:dyDescent="0.25">
      <c r="A1228" s="20">
        <v>42107</v>
      </c>
      <c r="B1228" s="183">
        <v>17765</v>
      </c>
      <c r="C1228" s="14" t="s">
        <v>571</v>
      </c>
      <c r="D1228" s="105">
        <v>10110.6</v>
      </c>
      <c r="E1228" s="23">
        <v>42107</v>
      </c>
      <c r="F1228" s="106">
        <v>10110.6</v>
      </c>
      <c r="G1228" s="31">
        <f t="shared" si="19"/>
        <v>0</v>
      </c>
      <c r="H1228" s="39" t="s">
        <v>1013</v>
      </c>
      <c r="K1228" s="3"/>
    </row>
    <row r="1229" spans="1:11" x14ac:dyDescent="0.25">
      <c r="A1229" s="20">
        <v>42107</v>
      </c>
      <c r="B1229" s="183">
        <v>17766</v>
      </c>
      <c r="C1229" s="14" t="s">
        <v>1050</v>
      </c>
      <c r="D1229" s="105">
        <v>10564.76</v>
      </c>
      <c r="E1229" s="30" t="s">
        <v>1100</v>
      </c>
      <c r="F1229" s="106">
        <v>10564.76</v>
      </c>
      <c r="G1229" s="31">
        <f t="shared" si="19"/>
        <v>0</v>
      </c>
      <c r="H1229" s="39" t="s">
        <v>9</v>
      </c>
      <c r="K1229" s="3"/>
    </row>
    <row r="1230" spans="1:11" x14ac:dyDescent="0.25">
      <c r="A1230" s="20">
        <v>42107</v>
      </c>
      <c r="B1230" s="183">
        <v>17767</v>
      </c>
      <c r="C1230" s="14" t="s">
        <v>237</v>
      </c>
      <c r="D1230" s="105">
        <v>590</v>
      </c>
      <c r="E1230" s="23">
        <v>42107</v>
      </c>
      <c r="F1230" s="106">
        <v>590</v>
      </c>
      <c r="G1230" s="31">
        <f t="shared" si="19"/>
        <v>0</v>
      </c>
      <c r="H1230" s="39" t="s">
        <v>9</v>
      </c>
      <c r="K1230" s="3"/>
    </row>
    <row r="1231" spans="1:11" x14ac:dyDescent="0.25">
      <c r="A1231" s="20">
        <v>42107</v>
      </c>
      <c r="B1231" s="183">
        <v>17768</v>
      </c>
      <c r="C1231" s="14" t="s">
        <v>420</v>
      </c>
      <c r="D1231" s="105">
        <v>13615.2</v>
      </c>
      <c r="E1231" s="23">
        <v>42109</v>
      </c>
      <c r="F1231" s="106">
        <v>13615.2</v>
      </c>
      <c r="G1231" s="31">
        <f t="shared" si="19"/>
        <v>0</v>
      </c>
      <c r="H1231" s="39" t="s">
        <v>9</v>
      </c>
      <c r="K1231" s="3"/>
    </row>
    <row r="1232" spans="1:11" x14ac:dyDescent="0.25">
      <c r="A1232" s="20">
        <v>42107</v>
      </c>
      <c r="B1232" s="183">
        <v>17769</v>
      </c>
      <c r="C1232" s="26" t="s">
        <v>218</v>
      </c>
      <c r="D1232" s="108">
        <v>0</v>
      </c>
      <c r="E1232" s="23"/>
      <c r="F1232" s="106"/>
      <c r="G1232" s="31">
        <f t="shared" si="19"/>
        <v>0</v>
      </c>
      <c r="H1232" s="39" t="s">
        <v>13</v>
      </c>
      <c r="K1232" s="3"/>
    </row>
    <row r="1233" spans="1:11" x14ac:dyDescent="0.25">
      <c r="A1233" s="20">
        <v>42107</v>
      </c>
      <c r="B1233" s="183">
        <v>17770</v>
      </c>
      <c r="C1233" s="14" t="s">
        <v>1101</v>
      </c>
      <c r="D1233" s="105">
        <v>198.8</v>
      </c>
      <c r="E1233" s="23">
        <v>42107</v>
      </c>
      <c r="F1233" s="106">
        <v>198.8</v>
      </c>
      <c r="G1233" s="31">
        <f t="shared" si="19"/>
        <v>0</v>
      </c>
      <c r="H1233" s="39" t="s">
        <v>9</v>
      </c>
      <c r="K1233" s="3"/>
    </row>
    <row r="1234" spans="1:11" x14ac:dyDescent="0.25">
      <c r="A1234" s="20">
        <v>42107</v>
      </c>
      <c r="B1234" s="183">
        <v>17771</v>
      </c>
      <c r="C1234" s="14" t="s">
        <v>90</v>
      </c>
      <c r="D1234" s="105">
        <v>840</v>
      </c>
      <c r="E1234" s="23">
        <v>42107</v>
      </c>
      <c r="F1234" s="106">
        <v>840</v>
      </c>
      <c r="G1234" s="31">
        <f t="shared" si="19"/>
        <v>0</v>
      </c>
      <c r="H1234" s="39" t="s">
        <v>9</v>
      </c>
      <c r="K1234" s="3"/>
    </row>
    <row r="1235" spans="1:11" x14ac:dyDescent="0.25">
      <c r="A1235" s="20">
        <v>42107</v>
      </c>
      <c r="B1235" s="183">
        <v>17772</v>
      </c>
      <c r="C1235" s="14" t="s">
        <v>1077</v>
      </c>
      <c r="D1235" s="105">
        <v>111.8</v>
      </c>
      <c r="E1235" s="23">
        <v>42107</v>
      </c>
      <c r="F1235" s="106">
        <v>111.8</v>
      </c>
      <c r="G1235" s="31">
        <f t="shared" si="19"/>
        <v>0</v>
      </c>
      <c r="H1235" s="39" t="s">
        <v>17</v>
      </c>
      <c r="I1235" s="3"/>
      <c r="J1235" s="42"/>
      <c r="K1235" s="3"/>
    </row>
    <row r="1236" spans="1:11" x14ac:dyDescent="0.25">
      <c r="A1236" s="20">
        <v>42107</v>
      </c>
      <c r="B1236" s="183">
        <v>17773</v>
      </c>
      <c r="C1236" s="14" t="s">
        <v>834</v>
      </c>
      <c r="D1236" s="105">
        <v>2743.6</v>
      </c>
      <c r="E1236" s="23">
        <v>42107</v>
      </c>
      <c r="F1236" s="106">
        <v>2743.6</v>
      </c>
      <c r="G1236" s="31">
        <f t="shared" si="19"/>
        <v>0</v>
      </c>
      <c r="H1236" s="39" t="s">
        <v>9</v>
      </c>
      <c r="I1236" s="3"/>
      <c r="J1236" s="42"/>
      <c r="K1236" s="3"/>
    </row>
    <row r="1237" spans="1:11" x14ac:dyDescent="0.25">
      <c r="A1237" s="20">
        <v>42107</v>
      </c>
      <c r="B1237" s="183">
        <v>17774</v>
      </c>
      <c r="C1237" s="14" t="s">
        <v>789</v>
      </c>
      <c r="D1237" s="105">
        <v>3126.4</v>
      </c>
      <c r="E1237" s="23">
        <v>42107</v>
      </c>
      <c r="F1237" s="106">
        <v>3126.4</v>
      </c>
      <c r="G1237" s="31">
        <f t="shared" si="19"/>
        <v>0</v>
      </c>
      <c r="H1237" s="39" t="s">
        <v>9</v>
      </c>
      <c r="I1237" s="3"/>
      <c r="J1237" s="42"/>
      <c r="K1237" s="3"/>
    </row>
    <row r="1238" spans="1:11" x14ac:dyDescent="0.25">
      <c r="A1238" s="20">
        <v>42107</v>
      </c>
      <c r="B1238" s="183">
        <v>17775</v>
      </c>
      <c r="C1238" s="14" t="s">
        <v>454</v>
      </c>
      <c r="D1238" s="105">
        <v>2347.8000000000002</v>
      </c>
      <c r="E1238" s="23">
        <v>42107</v>
      </c>
      <c r="F1238" s="106">
        <v>2347.8000000000002</v>
      </c>
      <c r="G1238" s="31">
        <f t="shared" si="19"/>
        <v>0</v>
      </c>
      <c r="H1238" s="39" t="s">
        <v>9</v>
      </c>
      <c r="I1238" s="3"/>
      <c r="J1238" s="42"/>
      <c r="K1238" s="3"/>
    </row>
    <row r="1239" spans="1:11" x14ac:dyDescent="0.25">
      <c r="A1239" s="20">
        <v>42107</v>
      </c>
      <c r="B1239" s="183">
        <v>17776</v>
      </c>
      <c r="C1239" s="14" t="s">
        <v>454</v>
      </c>
      <c r="D1239" s="105">
        <v>3420.4</v>
      </c>
      <c r="E1239" s="23">
        <v>42109</v>
      </c>
      <c r="F1239" s="106">
        <v>3420.4</v>
      </c>
      <c r="G1239" s="31">
        <f t="shared" si="19"/>
        <v>0</v>
      </c>
      <c r="H1239" s="39" t="s">
        <v>17</v>
      </c>
      <c r="I1239" s="3"/>
      <c r="J1239" s="42"/>
      <c r="K1239" s="3"/>
    </row>
    <row r="1240" spans="1:11" x14ac:dyDescent="0.25">
      <c r="A1240" s="20">
        <v>42107</v>
      </c>
      <c r="B1240" s="183">
        <v>17777</v>
      </c>
      <c r="C1240" s="14" t="s">
        <v>851</v>
      </c>
      <c r="D1240" s="105">
        <v>2189.6</v>
      </c>
      <c r="E1240" s="23">
        <v>42108</v>
      </c>
      <c r="F1240" s="106">
        <v>2189.6</v>
      </c>
      <c r="G1240" s="31">
        <f t="shared" si="19"/>
        <v>0</v>
      </c>
      <c r="H1240" s="39" t="s">
        <v>59</v>
      </c>
      <c r="I1240" s="3"/>
      <c r="J1240" s="42"/>
      <c r="K1240" s="3"/>
    </row>
    <row r="1241" spans="1:11" x14ac:dyDescent="0.25">
      <c r="A1241" s="20">
        <v>42107</v>
      </c>
      <c r="B1241" s="183">
        <v>17778</v>
      </c>
      <c r="C1241" s="14" t="s">
        <v>195</v>
      </c>
      <c r="D1241" s="105">
        <v>113004.12</v>
      </c>
      <c r="E1241" s="30" t="s">
        <v>1102</v>
      </c>
      <c r="F1241" s="106">
        <v>113004.12</v>
      </c>
      <c r="G1241" s="31">
        <f t="shared" si="19"/>
        <v>0</v>
      </c>
      <c r="H1241" s="39" t="s">
        <v>9</v>
      </c>
      <c r="I1241" s="3"/>
      <c r="J1241" s="42"/>
      <c r="K1241" s="3"/>
    </row>
    <row r="1242" spans="1:11" x14ac:dyDescent="0.25">
      <c r="A1242" s="20">
        <v>42107</v>
      </c>
      <c r="B1242" s="183">
        <v>17779</v>
      </c>
      <c r="C1242" s="14" t="s">
        <v>32</v>
      </c>
      <c r="D1242" s="105">
        <v>8427.75</v>
      </c>
      <c r="E1242" s="23">
        <v>42115</v>
      </c>
      <c r="F1242" s="106">
        <v>8427.75</v>
      </c>
      <c r="G1242" s="31">
        <f t="shared" si="19"/>
        <v>0</v>
      </c>
      <c r="H1242" s="39" t="s">
        <v>62</v>
      </c>
      <c r="I1242" s="3"/>
      <c r="J1242" s="42"/>
      <c r="K1242" s="3"/>
    </row>
    <row r="1243" spans="1:11" x14ac:dyDescent="0.25">
      <c r="A1243" s="20">
        <v>42107</v>
      </c>
      <c r="B1243" s="183">
        <v>17780</v>
      </c>
      <c r="C1243" s="14" t="s">
        <v>203</v>
      </c>
      <c r="D1243" s="105">
        <v>5189.6000000000004</v>
      </c>
      <c r="E1243" s="23">
        <v>42109</v>
      </c>
      <c r="F1243" s="106">
        <v>5189.6000000000004</v>
      </c>
      <c r="G1243" s="31">
        <f t="shared" si="19"/>
        <v>0</v>
      </c>
      <c r="H1243" s="39" t="s">
        <v>149</v>
      </c>
      <c r="I1243" s="3"/>
      <c r="J1243" s="42"/>
      <c r="K1243" s="3"/>
    </row>
    <row r="1244" spans="1:11" x14ac:dyDescent="0.25">
      <c r="A1244" s="20">
        <v>42107</v>
      </c>
      <c r="B1244" s="183">
        <v>17781</v>
      </c>
      <c r="C1244" s="14" t="s">
        <v>552</v>
      </c>
      <c r="D1244" s="105">
        <v>6608.1</v>
      </c>
      <c r="E1244" s="23">
        <v>42109</v>
      </c>
      <c r="F1244" s="106">
        <v>6608.1</v>
      </c>
      <c r="G1244" s="31">
        <f t="shared" si="19"/>
        <v>0</v>
      </c>
      <c r="H1244" s="39" t="s">
        <v>149</v>
      </c>
      <c r="I1244" s="3"/>
      <c r="J1244" s="42"/>
      <c r="K1244" s="3"/>
    </row>
    <row r="1245" spans="1:11" x14ac:dyDescent="0.25">
      <c r="A1245" s="20">
        <v>42107</v>
      </c>
      <c r="B1245" s="183">
        <v>17782</v>
      </c>
      <c r="C1245" s="14" t="s">
        <v>1103</v>
      </c>
      <c r="D1245" s="105">
        <v>18149</v>
      </c>
      <c r="E1245" s="23">
        <v>42109</v>
      </c>
      <c r="F1245" s="106">
        <v>18149</v>
      </c>
      <c r="G1245" s="31">
        <f t="shared" si="19"/>
        <v>0</v>
      </c>
      <c r="H1245" s="39" t="s">
        <v>149</v>
      </c>
      <c r="I1245" s="3"/>
      <c r="J1245" s="42"/>
      <c r="K1245" s="3"/>
    </row>
    <row r="1246" spans="1:11" x14ac:dyDescent="0.25">
      <c r="A1246" s="20">
        <v>42107</v>
      </c>
      <c r="B1246" s="183">
        <v>17783</v>
      </c>
      <c r="C1246" s="14" t="s">
        <v>732</v>
      </c>
      <c r="D1246" s="105">
        <v>31417.05</v>
      </c>
      <c r="E1246" s="23">
        <v>42109</v>
      </c>
      <c r="F1246" s="106">
        <v>31417.05</v>
      </c>
      <c r="G1246" s="31">
        <f t="shared" si="19"/>
        <v>0</v>
      </c>
      <c r="H1246" s="39" t="s">
        <v>149</v>
      </c>
      <c r="I1246" s="3"/>
      <c r="J1246" s="42"/>
      <c r="K1246" s="3"/>
    </row>
    <row r="1247" spans="1:11" x14ac:dyDescent="0.25">
      <c r="A1247" s="20">
        <v>42107</v>
      </c>
      <c r="B1247" s="183">
        <v>17784</v>
      </c>
      <c r="C1247" s="14" t="s">
        <v>262</v>
      </c>
      <c r="D1247" s="105">
        <v>26766.6</v>
      </c>
      <c r="E1247" s="23">
        <v>42116</v>
      </c>
      <c r="F1247" s="106">
        <v>26766.6</v>
      </c>
      <c r="G1247" s="31">
        <f t="shared" si="19"/>
        <v>0</v>
      </c>
      <c r="H1247" s="39" t="s">
        <v>149</v>
      </c>
      <c r="I1247" s="3"/>
      <c r="J1247" s="42"/>
      <c r="K1247" s="3"/>
    </row>
    <row r="1248" spans="1:11" x14ac:dyDescent="0.25">
      <c r="A1248" s="20">
        <v>42107</v>
      </c>
      <c r="B1248" s="183">
        <v>17785</v>
      </c>
      <c r="C1248" s="14" t="s">
        <v>198</v>
      </c>
      <c r="D1248" s="105">
        <v>10218</v>
      </c>
      <c r="E1248" s="23">
        <v>42109</v>
      </c>
      <c r="F1248" s="106">
        <v>10218</v>
      </c>
      <c r="G1248" s="31">
        <f t="shared" si="19"/>
        <v>0</v>
      </c>
      <c r="H1248" s="39" t="s">
        <v>149</v>
      </c>
      <c r="I1248" s="3"/>
      <c r="J1248" s="42"/>
      <c r="K1248" s="3"/>
    </row>
    <row r="1249" spans="1:11" x14ac:dyDescent="0.25">
      <c r="A1249" s="20">
        <v>42107</v>
      </c>
      <c r="B1249" s="183">
        <v>17786</v>
      </c>
      <c r="C1249" s="14" t="s">
        <v>350</v>
      </c>
      <c r="D1249" s="105">
        <v>1908.4</v>
      </c>
      <c r="E1249" s="23">
        <v>42109</v>
      </c>
      <c r="F1249" s="106">
        <v>1908.4</v>
      </c>
      <c r="G1249" s="31">
        <f t="shared" si="19"/>
        <v>0</v>
      </c>
      <c r="H1249" s="39" t="s">
        <v>149</v>
      </c>
      <c r="I1249" s="3"/>
      <c r="J1249" s="42"/>
      <c r="K1249" s="3"/>
    </row>
    <row r="1250" spans="1:11" x14ac:dyDescent="0.25">
      <c r="A1250" s="20">
        <v>42108</v>
      </c>
      <c r="B1250" s="183">
        <v>17787</v>
      </c>
      <c r="C1250" s="14" t="s">
        <v>112</v>
      </c>
      <c r="D1250" s="105">
        <v>13488</v>
      </c>
      <c r="E1250" s="23" t="s">
        <v>1104</v>
      </c>
      <c r="F1250" s="106">
        <f>2600+10888</f>
        <v>13488</v>
      </c>
      <c r="G1250" s="31">
        <f t="shared" si="19"/>
        <v>0</v>
      </c>
      <c r="H1250" s="39" t="s">
        <v>9</v>
      </c>
      <c r="I1250" s="3"/>
      <c r="J1250" s="42"/>
      <c r="K1250" s="3"/>
    </row>
    <row r="1251" spans="1:11" x14ac:dyDescent="0.25">
      <c r="A1251" s="20">
        <v>42108</v>
      </c>
      <c r="B1251" s="183">
        <v>17788</v>
      </c>
      <c r="C1251" s="14" t="s">
        <v>21</v>
      </c>
      <c r="D1251" s="105">
        <v>3833.9</v>
      </c>
      <c r="E1251" s="23">
        <v>42108</v>
      </c>
      <c r="F1251" s="106">
        <v>3833.9</v>
      </c>
      <c r="G1251" s="31">
        <f t="shared" si="19"/>
        <v>0</v>
      </c>
      <c r="H1251" s="39" t="s">
        <v>9</v>
      </c>
      <c r="I1251" s="3"/>
      <c r="J1251" s="42"/>
      <c r="K1251" s="3"/>
    </row>
    <row r="1252" spans="1:11" x14ac:dyDescent="0.25">
      <c r="A1252" s="20">
        <v>42108</v>
      </c>
      <c r="B1252" s="183">
        <v>17789</v>
      </c>
      <c r="C1252" s="14" t="s">
        <v>211</v>
      </c>
      <c r="D1252" s="105">
        <v>74587.899999999994</v>
      </c>
      <c r="E1252" s="23">
        <v>42111</v>
      </c>
      <c r="F1252" s="106">
        <v>74587.899999999994</v>
      </c>
      <c r="G1252" s="31">
        <f t="shared" si="19"/>
        <v>0</v>
      </c>
      <c r="H1252" s="39" t="s">
        <v>9</v>
      </c>
      <c r="I1252" s="3"/>
      <c r="J1252" s="42"/>
      <c r="K1252" s="3"/>
    </row>
    <row r="1253" spans="1:11" x14ac:dyDescent="0.25">
      <c r="A1253" s="20">
        <v>42108</v>
      </c>
      <c r="B1253" s="183">
        <v>17790</v>
      </c>
      <c r="C1253" s="14" t="s">
        <v>14</v>
      </c>
      <c r="D1253" s="105">
        <v>11888.1</v>
      </c>
      <c r="E1253" s="23">
        <v>42117</v>
      </c>
      <c r="F1253" s="106">
        <v>11888.1</v>
      </c>
      <c r="G1253" s="31">
        <f t="shared" si="19"/>
        <v>0</v>
      </c>
      <c r="H1253" s="39" t="s">
        <v>15</v>
      </c>
      <c r="I1253" s="3"/>
      <c r="J1253" s="42"/>
      <c r="K1253" s="3"/>
    </row>
    <row r="1254" spans="1:11" x14ac:dyDescent="0.25">
      <c r="A1254" s="20">
        <v>42108</v>
      </c>
      <c r="B1254" s="183">
        <v>17791</v>
      </c>
      <c r="C1254" s="14" t="s">
        <v>121</v>
      </c>
      <c r="D1254" s="105">
        <v>3082.4</v>
      </c>
      <c r="E1254" s="23">
        <v>42108</v>
      </c>
      <c r="F1254" s="106">
        <v>3082.4</v>
      </c>
      <c r="G1254" s="31">
        <f t="shared" si="19"/>
        <v>0</v>
      </c>
      <c r="H1254" s="39" t="s">
        <v>9</v>
      </c>
      <c r="I1254" s="3"/>
      <c r="J1254" s="42"/>
      <c r="K1254" s="3"/>
    </row>
    <row r="1255" spans="1:11" x14ac:dyDescent="0.25">
      <c r="A1255" s="20">
        <v>42108</v>
      </c>
      <c r="B1255" s="183">
        <v>17792</v>
      </c>
      <c r="C1255" s="14" t="s">
        <v>18</v>
      </c>
      <c r="D1255" s="105">
        <v>1828.5</v>
      </c>
      <c r="E1255" s="23">
        <v>42108</v>
      </c>
      <c r="F1255" s="106">
        <v>1828.5</v>
      </c>
      <c r="G1255" s="31">
        <f t="shared" si="19"/>
        <v>0</v>
      </c>
      <c r="H1255" s="39" t="s">
        <v>9</v>
      </c>
      <c r="I1255" s="3"/>
      <c r="J1255" s="42"/>
      <c r="K1255" s="3"/>
    </row>
    <row r="1256" spans="1:11" x14ac:dyDescent="0.25">
      <c r="A1256" s="20">
        <v>42108</v>
      </c>
      <c r="B1256" s="183">
        <v>17793</v>
      </c>
      <c r="C1256" s="14" t="s">
        <v>16</v>
      </c>
      <c r="D1256" s="105">
        <v>5220</v>
      </c>
      <c r="E1256" s="23">
        <v>42108</v>
      </c>
      <c r="F1256" s="106">
        <v>5220</v>
      </c>
      <c r="G1256" s="31">
        <f t="shared" si="19"/>
        <v>0</v>
      </c>
      <c r="H1256" s="39" t="s">
        <v>17</v>
      </c>
      <c r="I1256" s="3"/>
      <c r="J1256" s="42"/>
      <c r="K1256" s="3"/>
    </row>
    <row r="1257" spans="1:11" x14ac:dyDescent="0.25">
      <c r="A1257" s="20">
        <v>42108</v>
      </c>
      <c r="B1257" s="183">
        <v>17794</v>
      </c>
      <c r="C1257" s="14" t="s">
        <v>20</v>
      </c>
      <c r="D1257" s="105">
        <v>10957.35</v>
      </c>
      <c r="E1257" s="23">
        <v>42108</v>
      </c>
      <c r="F1257" s="106">
        <v>10957.35</v>
      </c>
      <c r="G1257" s="31">
        <f t="shared" si="19"/>
        <v>0</v>
      </c>
      <c r="H1257" s="39" t="s">
        <v>17</v>
      </c>
      <c r="I1257" s="3"/>
      <c r="J1257" s="42"/>
      <c r="K1257" s="3"/>
    </row>
    <row r="1258" spans="1:11" x14ac:dyDescent="0.25">
      <c r="A1258" s="20">
        <v>42108</v>
      </c>
      <c r="B1258" s="183">
        <v>17795</v>
      </c>
      <c r="C1258" s="14" t="s">
        <v>720</v>
      </c>
      <c r="D1258" s="105">
        <v>9918.7000000000007</v>
      </c>
      <c r="E1258" s="23">
        <v>42108</v>
      </c>
      <c r="F1258" s="106">
        <v>9918.7000000000007</v>
      </c>
      <c r="G1258" s="31">
        <f t="shared" si="19"/>
        <v>0</v>
      </c>
      <c r="H1258" s="39" t="s">
        <v>9</v>
      </c>
      <c r="I1258" s="3"/>
      <c r="J1258" s="42"/>
      <c r="K1258" s="3"/>
    </row>
    <row r="1259" spans="1:11" x14ac:dyDescent="0.25">
      <c r="A1259" s="20">
        <v>42108</v>
      </c>
      <c r="B1259" s="183">
        <v>17796</v>
      </c>
      <c r="C1259" s="14" t="s">
        <v>114</v>
      </c>
      <c r="D1259" s="105">
        <v>1012.8</v>
      </c>
      <c r="E1259" s="23">
        <v>42108</v>
      </c>
      <c r="F1259" s="106">
        <v>1012.8</v>
      </c>
      <c r="G1259" s="31">
        <f t="shared" si="19"/>
        <v>0</v>
      </c>
      <c r="H1259" s="39" t="s">
        <v>46</v>
      </c>
      <c r="I1259" s="3"/>
      <c r="J1259" s="42"/>
      <c r="K1259" s="3"/>
    </row>
    <row r="1260" spans="1:11" x14ac:dyDescent="0.25">
      <c r="A1260" s="20">
        <v>42108</v>
      </c>
      <c r="B1260" s="183">
        <v>17797</v>
      </c>
      <c r="C1260" s="14" t="s">
        <v>45</v>
      </c>
      <c r="D1260" s="105">
        <v>10329.6</v>
      </c>
      <c r="E1260" s="23">
        <v>42117</v>
      </c>
      <c r="F1260" s="106">
        <v>10329.6</v>
      </c>
      <c r="G1260" s="31">
        <f t="shared" si="19"/>
        <v>0</v>
      </c>
      <c r="H1260" s="39" t="s">
        <v>59</v>
      </c>
      <c r="I1260" s="3"/>
      <c r="J1260" s="42"/>
      <c r="K1260" s="3"/>
    </row>
    <row r="1261" spans="1:11" x14ac:dyDescent="0.25">
      <c r="A1261" s="20">
        <v>42108</v>
      </c>
      <c r="B1261" s="183">
        <v>17798</v>
      </c>
      <c r="C1261" s="14" t="s">
        <v>32</v>
      </c>
      <c r="D1261" s="105">
        <v>78578.25</v>
      </c>
      <c r="E1261" s="23">
        <v>42115</v>
      </c>
      <c r="F1261" s="106">
        <v>78578.25</v>
      </c>
      <c r="G1261" s="31">
        <f t="shared" si="19"/>
        <v>0</v>
      </c>
      <c r="H1261" s="39" t="s">
        <v>19</v>
      </c>
      <c r="I1261" s="3"/>
      <c r="J1261" s="42"/>
      <c r="K1261" s="3"/>
    </row>
    <row r="1262" spans="1:11" x14ac:dyDescent="0.25">
      <c r="A1262" s="20">
        <v>42108</v>
      </c>
      <c r="B1262" s="183">
        <v>17799</v>
      </c>
      <c r="C1262" s="14" t="s">
        <v>854</v>
      </c>
      <c r="D1262" s="105">
        <v>1913.3</v>
      </c>
      <c r="E1262" s="23">
        <v>42108</v>
      </c>
      <c r="F1262" s="106">
        <v>1913.3</v>
      </c>
      <c r="G1262" s="31">
        <f t="shared" si="19"/>
        <v>0</v>
      </c>
      <c r="H1262" s="39" t="s">
        <v>9</v>
      </c>
      <c r="I1262" s="3"/>
      <c r="J1262" s="42"/>
      <c r="K1262" s="3"/>
    </row>
    <row r="1263" spans="1:11" x14ac:dyDescent="0.25">
      <c r="A1263" s="20">
        <v>42108</v>
      </c>
      <c r="B1263" s="183">
        <v>17800</v>
      </c>
      <c r="C1263" s="14" t="s">
        <v>91</v>
      </c>
      <c r="D1263" s="105">
        <v>21233.599999999999</v>
      </c>
      <c r="E1263" s="23">
        <v>42108</v>
      </c>
      <c r="F1263" s="106">
        <v>21233.599999999999</v>
      </c>
      <c r="G1263" s="31">
        <f t="shared" si="19"/>
        <v>0</v>
      </c>
      <c r="H1263" s="39" t="s">
        <v>59</v>
      </c>
      <c r="I1263" s="3"/>
      <c r="J1263" s="42"/>
      <c r="K1263" s="3"/>
    </row>
    <row r="1264" spans="1:11" x14ac:dyDescent="0.25">
      <c r="A1264" s="20">
        <v>42108</v>
      </c>
      <c r="B1264" s="183">
        <v>17801</v>
      </c>
      <c r="C1264" s="14" t="s">
        <v>169</v>
      </c>
      <c r="D1264" s="105">
        <v>2607</v>
      </c>
      <c r="E1264" s="51">
        <v>42108</v>
      </c>
      <c r="F1264" s="106">
        <v>2607</v>
      </c>
      <c r="G1264" s="31">
        <f t="shared" si="19"/>
        <v>0</v>
      </c>
      <c r="H1264" s="39" t="s">
        <v>9</v>
      </c>
      <c r="I1264" s="3"/>
      <c r="J1264" s="42"/>
      <c r="K1264" s="3"/>
    </row>
    <row r="1265" spans="1:11" x14ac:dyDescent="0.25">
      <c r="A1265" s="20">
        <v>42108</v>
      </c>
      <c r="B1265" s="183">
        <v>17802</v>
      </c>
      <c r="C1265" s="14" t="s">
        <v>81</v>
      </c>
      <c r="D1265" s="105">
        <v>1399.2</v>
      </c>
      <c r="E1265" s="23">
        <v>42108</v>
      </c>
      <c r="F1265" s="106">
        <v>1399.2</v>
      </c>
      <c r="G1265" s="31">
        <f t="shared" si="19"/>
        <v>0</v>
      </c>
      <c r="H1265" s="39" t="s">
        <v>59</v>
      </c>
      <c r="I1265" s="3"/>
      <c r="J1265" s="42"/>
      <c r="K1265" s="3"/>
    </row>
    <row r="1266" spans="1:11" x14ac:dyDescent="0.25">
      <c r="A1266" s="20">
        <v>42108</v>
      </c>
      <c r="B1266" s="183">
        <v>17803</v>
      </c>
      <c r="C1266" s="14" t="s">
        <v>53</v>
      </c>
      <c r="D1266" s="105">
        <v>617.6</v>
      </c>
      <c r="E1266" s="23">
        <v>42108</v>
      </c>
      <c r="F1266" s="106">
        <v>617.6</v>
      </c>
      <c r="G1266" s="31">
        <f t="shared" si="19"/>
        <v>0</v>
      </c>
      <c r="H1266" s="39" t="s">
        <v>59</v>
      </c>
      <c r="I1266" s="3"/>
      <c r="J1266" s="42"/>
      <c r="K1266" s="3"/>
    </row>
    <row r="1267" spans="1:11" x14ac:dyDescent="0.25">
      <c r="A1267" s="20">
        <v>42108</v>
      </c>
      <c r="B1267" s="183">
        <v>17804</v>
      </c>
      <c r="C1267" s="14" t="s">
        <v>57</v>
      </c>
      <c r="D1267" s="105">
        <v>525</v>
      </c>
      <c r="E1267" s="23">
        <v>42108</v>
      </c>
      <c r="F1267" s="106">
        <v>525</v>
      </c>
      <c r="G1267" s="31">
        <f t="shared" si="19"/>
        <v>0</v>
      </c>
      <c r="H1267" s="39" t="s">
        <v>59</v>
      </c>
      <c r="I1267" s="3"/>
      <c r="J1267" s="42"/>
      <c r="K1267" s="3"/>
    </row>
    <row r="1268" spans="1:11" x14ac:dyDescent="0.25">
      <c r="A1268" s="20">
        <v>42108</v>
      </c>
      <c r="B1268" s="183">
        <v>17805</v>
      </c>
      <c r="C1268" s="14" t="s">
        <v>214</v>
      </c>
      <c r="D1268" s="105">
        <v>1750</v>
      </c>
      <c r="E1268" s="23">
        <v>42111</v>
      </c>
      <c r="F1268" s="106">
        <v>1750</v>
      </c>
      <c r="G1268" s="31">
        <f t="shared" si="19"/>
        <v>0</v>
      </c>
      <c r="H1268" s="39" t="s">
        <v>59</v>
      </c>
      <c r="I1268" s="3"/>
      <c r="J1268" s="42"/>
      <c r="K1268" s="3"/>
    </row>
    <row r="1269" spans="1:11" x14ac:dyDescent="0.25">
      <c r="A1269" s="20">
        <v>42108</v>
      </c>
      <c r="B1269" s="183">
        <v>17806</v>
      </c>
      <c r="C1269" s="14" t="s">
        <v>855</v>
      </c>
      <c r="D1269" s="105">
        <v>3249.6</v>
      </c>
      <c r="E1269" s="23">
        <v>42108</v>
      </c>
      <c r="F1269" s="106">
        <v>3249.6</v>
      </c>
      <c r="G1269" s="31">
        <f t="shared" si="19"/>
        <v>0</v>
      </c>
      <c r="H1269" s="39" t="s">
        <v>9</v>
      </c>
      <c r="I1269" s="3"/>
      <c r="J1269" s="42"/>
      <c r="K1269" s="3"/>
    </row>
    <row r="1270" spans="1:11" x14ac:dyDescent="0.25">
      <c r="A1270" s="20">
        <v>42108</v>
      </c>
      <c r="B1270" s="183">
        <v>17807</v>
      </c>
      <c r="C1270" s="150" t="s">
        <v>24</v>
      </c>
      <c r="D1270" s="105">
        <v>55046.7</v>
      </c>
      <c r="E1270" s="30">
        <v>42138</v>
      </c>
      <c r="F1270" s="144">
        <v>55046.7</v>
      </c>
      <c r="G1270" s="31">
        <f t="shared" si="19"/>
        <v>0</v>
      </c>
      <c r="H1270" s="39" t="s">
        <v>59</v>
      </c>
      <c r="I1270" s="3"/>
      <c r="J1270" s="42"/>
      <c r="K1270" s="3"/>
    </row>
    <row r="1271" spans="1:11" x14ac:dyDescent="0.25">
      <c r="A1271" s="20">
        <v>42108</v>
      </c>
      <c r="B1271" s="183">
        <v>17808</v>
      </c>
      <c r="C1271" s="14" t="s">
        <v>83</v>
      </c>
      <c r="D1271" s="105">
        <v>1632</v>
      </c>
      <c r="E1271" s="23">
        <v>42108</v>
      </c>
      <c r="F1271" s="106">
        <v>1632</v>
      </c>
      <c r="G1271" s="31">
        <f t="shared" si="19"/>
        <v>0</v>
      </c>
      <c r="H1271" s="39" t="s">
        <v>59</v>
      </c>
      <c r="I1271" s="3"/>
      <c r="J1271" s="42"/>
      <c r="K1271" s="3"/>
    </row>
    <row r="1272" spans="1:11" x14ac:dyDescent="0.25">
      <c r="A1272" s="20">
        <v>42108</v>
      </c>
      <c r="B1272" s="183">
        <v>17809</v>
      </c>
      <c r="C1272" s="14" t="s">
        <v>151</v>
      </c>
      <c r="D1272" s="105">
        <v>3168.8</v>
      </c>
      <c r="E1272" s="23">
        <v>42109</v>
      </c>
      <c r="F1272" s="106">
        <v>3168.8</v>
      </c>
      <c r="G1272" s="31">
        <f t="shared" si="19"/>
        <v>0</v>
      </c>
      <c r="H1272" s="39" t="s">
        <v>9</v>
      </c>
      <c r="I1272" s="3"/>
      <c r="J1272" s="42"/>
      <c r="K1272" s="3"/>
    </row>
    <row r="1273" spans="1:11" x14ac:dyDescent="0.25">
      <c r="A1273" s="20">
        <v>42108</v>
      </c>
      <c r="B1273" s="183">
        <v>17810</v>
      </c>
      <c r="C1273" s="14" t="s">
        <v>225</v>
      </c>
      <c r="D1273" s="105">
        <v>2234.1</v>
      </c>
      <c r="E1273" s="23">
        <v>42108</v>
      </c>
      <c r="F1273" s="106">
        <v>2234.1</v>
      </c>
      <c r="G1273" s="31">
        <f t="shared" si="19"/>
        <v>0</v>
      </c>
      <c r="H1273" s="39" t="s">
        <v>9</v>
      </c>
      <c r="I1273" s="3"/>
      <c r="J1273" s="42"/>
      <c r="K1273" s="3"/>
    </row>
    <row r="1274" spans="1:11" x14ac:dyDescent="0.25">
      <c r="A1274" s="20">
        <v>42108</v>
      </c>
      <c r="B1274" s="183">
        <v>17811</v>
      </c>
      <c r="C1274" s="14" t="s">
        <v>102</v>
      </c>
      <c r="D1274" s="105">
        <v>1050.8</v>
      </c>
      <c r="E1274" s="23">
        <v>42108</v>
      </c>
      <c r="F1274" s="106">
        <v>1050.8</v>
      </c>
      <c r="G1274" s="31">
        <f t="shared" si="19"/>
        <v>0</v>
      </c>
      <c r="H1274" s="39" t="s">
        <v>9</v>
      </c>
      <c r="I1274" s="3"/>
      <c r="J1274" s="42"/>
      <c r="K1274" s="3"/>
    </row>
    <row r="1275" spans="1:11" x14ac:dyDescent="0.25">
      <c r="A1275" s="20">
        <v>42108</v>
      </c>
      <c r="B1275" s="183">
        <v>17812</v>
      </c>
      <c r="C1275" s="14" t="s">
        <v>131</v>
      </c>
      <c r="D1275" s="105">
        <v>7405.2</v>
      </c>
      <c r="E1275" s="23">
        <v>42108</v>
      </c>
      <c r="F1275" s="106">
        <v>7405.2</v>
      </c>
      <c r="G1275" s="31">
        <f t="shared" si="19"/>
        <v>0</v>
      </c>
      <c r="H1275" s="39" t="s">
        <v>9</v>
      </c>
      <c r="I1275" s="3"/>
      <c r="J1275" s="42"/>
      <c r="K1275" s="3"/>
    </row>
    <row r="1276" spans="1:11" x14ac:dyDescent="0.25">
      <c r="A1276" s="20">
        <v>42108</v>
      </c>
      <c r="B1276" s="183">
        <v>17813</v>
      </c>
      <c r="C1276" s="14" t="s">
        <v>571</v>
      </c>
      <c r="D1276" s="105">
        <v>23201.9</v>
      </c>
      <c r="E1276" s="23" t="s">
        <v>999</v>
      </c>
      <c r="F1276" s="106">
        <f>7701.9+15500</f>
        <v>23201.9</v>
      </c>
      <c r="G1276" s="31">
        <f t="shared" si="19"/>
        <v>0</v>
      </c>
      <c r="H1276" s="39" t="s">
        <v>46</v>
      </c>
      <c r="I1276" s="3"/>
      <c r="J1276" s="42"/>
      <c r="K1276" s="3"/>
    </row>
    <row r="1277" spans="1:11" x14ac:dyDescent="0.25">
      <c r="A1277" s="20">
        <v>42108</v>
      </c>
      <c r="B1277" s="183">
        <v>17814</v>
      </c>
      <c r="C1277" s="14" t="s">
        <v>128</v>
      </c>
      <c r="D1277" s="105">
        <v>6918.4</v>
      </c>
      <c r="E1277" s="23">
        <v>42110</v>
      </c>
      <c r="F1277" s="106">
        <v>6918.4</v>
      </c>
      <c r="G1277" s="31">
        <f t="shared" si="19"/>
        <v>0</v>
      </c>
      <c r="H1277" s="39" t="s">
        <v>17</v>
      </c>
      <c r="I1277" s="3"/>
      <c r="J1277" s="42"/>
      <c r="K1277" s="3"/>
    </row>
    <row r="1278" spans="1:11" x14ac:dyDescent="0.25">
      <c r="A1278" s="20">
        <v>42108</v>
      </c>
      <c r="B1278" s="183">
        <v>17815</v>
      </c>
      <c r="C1278" s="14" t="s">
        <v>482</v>
      </c>
      <c r="D1278" s="105">
        <v>247</v>
      </c>
      <c r="E1278" s="23">
        <v>42108</v>
      </c>
      <c r="F1278" s="106">
        <v>247</v>
      </c>
      <c r="G1278" s="31">
        <f t="shared" si="19"/>
        <v>0</v>
      </c>
      <c r="H1278" s="39" t="s">
        <v>9</v>
      </c>
      <c r="I1278" s="3"/>
      <c r="J1278" s="42"/>
      <c r="K1278" s="3"/>
    </row>
    <row r="1279" spans="1:11" x14ac:dyDescent="0.25">
      <c r="A1279" s="20">
        <v>42108</v>
      </c>
      <c r="B1279" s="183">
        <v>17816</v>
      </c>
      <c r="C1279" s="14" t="s">
        <v>226</v>
      </c>
      <c r="D1279" s="105">
        <v>660</v>
      </c>
      <c r="E1279" s="23">
        <v>42109</v>
      </c>
      <c r="F1279" s="106">
        <v>660</v>
      </c>
      <c r="G1279" s="31">
        <f t="shared" si="19"/>
        <v>0</v>
      </c>
      <c r="H1279" s="39" t="s">
        <v>15</v>
      </c>
      <c r="I1279" s="3"/>
      <c r="J1279" s="42"/>
      <c r="K1279" s="3"/>
    </row>
    <row r="1280" spans="1:11" x14ac:dyDescent="0.25">
      <c r="A1280" s="20">
        <v>42108</v>
      </c>
      <c r="B1280" s="183">
        <v>17817</v>
      </c>
      <c r="C1280" s="14" t="s">
        <v>99</v>
      </c>
      <c r="D1280" s="105">
        <v>1012</v>
      </c>
      <c r="E1280" s="23">
        <v>42109</v>
      </c>
      <c r="F1280" s="106">
        <v>1012</v>
      </c>
      <c r="G1280" s="31">
        <f t="shared" si="19"/>
        <v>0</v>
      </c>
      <c r="H1280" s="39" t="s">
        <v>15</v>
      </c>
      <c r="I1280" s="3"/>
      <c r="J1280" s="42"/>
      <c r="K1280" s="3"/>
    </row>
    <row r="1281" spans="1:11" x14ac:dyDescent="0.25">
      <c r="A1281" s="20">
        <v>42108</v>
      </c>
      <c r="B1281" s="183">
        <v>17818</v>
      </c>
      <c r="C1281" s="14" t="s">
        <v>14</v>
      </c>
      <c r="D1281" s="105">
        <v>5115.2</v>
      </c>
      <c r="E1281" s="23">
        <v>42117</v>
      </c>
      <c r="F1281" s="106">
        <v>5115.2</v>
      </c>
      <c r="G1281" s="31">
        <f t="shared" si="19"/>
        <v>0</v>
      </c>
      <c r="H1281" s="39" t="s">
        <v>15</v>
      </c>
      <c r="I1281" s="3"/>
      <c r="J1281" s="42"/>
      <c r="K1281" s="3"/>
    </row>
    <row r="1282" spans="1:11" x14ac:dyDescent="0.25">
      <c r="A1282" s="20">
        <v>42108</v>
      </c>
      <c r="B1282" s="183">
        <v>17819</v>
      </c>
      <c r="C1282" s="14" t="s">
        <v>881</v>
      </c>
      <c r="D1282" s="105">
        <v>2236.6</v>
      </c>
      <c r="E1282" s="23">
        <v>42109</v>
      </c>
      <c r="F1282" s="106">
        <v>2236.6</v>
      </c>
      <c r="G1282" s="31">
        <f t="shared" si="19"/>
        <v>0</v>
      </c>
      <c r="H1282" s="39" t="s">
        <v>17</v>
      </c>
      <c r="I1282" s="3"/>
      <c r="J1282" s="42"/>
      <c r="K1282" s="3"/>
    </row>
    <row r="1283" spans="1:11" x14ac:dyDescent="0.25">
      <c r="A1283" s="20">
        <v>42108</v>
      </c>
      <c r="B1283" s="183">
        <v>17820</v>
      </c>
      <c r="C1283" s="14" t="s">
        <v>213</v>
      </c>
      <c r="D1283" s="105">
        <v>21974</v>
      </c>
      <c r="E1283" s="23">
        <v>42108</v>
      </c>
      <c r="F1283" s="106">
        <v>21974</v>
      </c>
      <c r="G1283" s="31">
        <f t="shared" ref="G1283:G1346" si="20">D1283-F1283</f>
        <v>0</v>
      </c>
      <c r="H1283" s="39" t="s">
        <v>46</v>
      </c>
      <c r="I1283" s="3"/>
      <c r="J1283" s="42"/>
      <c r="K1283" s="3"/>
    </row>
    <row r="1284" spans="1:11" x14ac:dyDescent="0.25">
      <c r="A1284" s="20">
        <v>42108</v>
      </c>
      <c r="B1284" s="183">
        <v>17821</v>
      </c>
      <c r="C1284" s="14" t="s">
        <v>130</v>
      </c>
      <c r="D1284" s="105">
        <v>6941.8</v>
      </c>
      <c r="E1284" s="23" t="s">
        <v>1105</v>
      </c>
      <c r="F1284" s="106">
        <f>4718.2+2223.6</f>
        <v>6941.7999999999993</v>
      </c>
      <c r="G1284" s="31">
        <f t="shared" si="20"/>
        <v>0</v>
      </c>
      <c r="H1284" s="39" t="s">
        <v>17</v>
      </c>
      <c r="I1284" s="3"/>
      <c r="J1284" s="42"/>
      <c r="K1284" s="3"/>
    </row>
    <row r="1285" spans="1:11" x14ac:dyDescent="0.25">
      <c r="A1285" s="20">
        <v>42108</v>
      </c>
      <c r="B1285" s="183">
        <v>17822</v>
      </c>
      <c r="C1285" s="14" t="s">
        <v>1058</v>
      </c>
      <c r="D1285" s="105">
        <v>1985.2</v>
      </c>
      <c r="E1285" s="23">
        <v>42108</v>
      </c>
      <c r="F1285" s="106">
        <v>1985.2</v>
      </c>
      <c r="G1285" s="31">
        <f t="shared" si="20"/>
        <v>0</v>
      </c>
      <c r="H1285" s="39" t="s">
        <v>9</v>
      </c>
      <c r="I1285" s="3"/>
      <c r="J1285" s="42"/>
      <c r="K1285" s="3"/>
    </row>
    <row r="1286" spans="1:11" x14ac:dyDescent="0.25">
      <c r="A1286" s="20">
        <v>42108</v>
      </c>
      <c r="B1286" s="183">
        <v>17823</v>
      </c>
      <c r="C1286" s="14" t="s">
        <v>50</v>
      </c>
      <c r="D1286" s="105">
        <v>1645.2</v>
      </c>
      <c r="E1286" s="23">
        <v>42108</v>
      </c>
      <c r="F1286" s="106">
        <v>1645.2</v>
      </c>
      <c r="G1286" s="31">
        <f t="shared" si="20"/>
        <v>0</v>
      </c>
      <c r="H1286" s="39" t="s">
        <v>27</v>
      </c>
      <c r="I1286" s="3"/>
      <c r="J1286" s="42"/>
      <c r="K1286" s="3"/>
    </row>
    <row r="1287" spans="1:11" x14ac:dyDescent="0.25">
      <c r="A1287" s="20">
        <v>42108</v>
      </c>
      <c r="B1287" s="183">
        <v>17824</v>
      </c>
      <c r="C1287" s="14" t="s">
        <v>26</v>
      </c>
      <c r="D1287" s="105">
        <v>1632</v>
      </c>
      <c r="E1287" s="23">
        <v>42108</v>
      </c>
      <c r="F1287" s="106">
        <v>1632</v>
      </c>
      <c r="G1287" s="31">
        <f t="shared" si="20"/>
        <v>0</v>
      </c>
      <c r="H1287" s="39" t="s">
        <v>27</v>
      </c>
      <c r="I1287" s="3"/>
      <c r="J1287" s="42"/>
      <c r="K1287" s="3"/>
    </row>
    <row r="1288" spans="1:11" x14ac:dyDescent="0.25">
      <c r="A1288" s="20">
        <v>42108</v>
      </c>
      <c r="B1288" s="183">
        <v>17825</v>
      </c>
      <c r="C1288" s="14" t="s">
        <v>332</v>
      </c>
      <c r="D1288" s="105">
        <v>2084.4</v>
      </c>
      <c r="E1288" s="23">
        <v>42108</v>
      </c>
      <c r="F1288" s="106">
        <v>2084.4</v>
      </c>
      <c r="G1288" s="31">
        <f t="shared" si="20"/>
        <v>0</v>
      </c>
      <c r="H1288" s="39" t="s">
        <v>9</v>
      </c>
      <c r="I1288" s="3"/>
      <c r="J1288" s="42"/>
      <c r="K1288" s="3"/>
    </row>
    <row r="1289" spans="1:11" x14ac:dyDescent="0.25">
      <c r="A1289" s="20">
        <v>42108</v>
      </c>
      <c r="B1289" s="183">
        <v>17826</v>
      </c>
      <c r="C1289" s="14" t="s">
        <v>604</v>
      </c>
      <c r="D1289" s="105">
        <v>1768.5</v>
      </c>
      <c r="E1289" s="23">
        <v>42108</v>
      </c>
      <c r="F1289" s="106">
        <v>1768.5</v>
      </c>
      <c r="G1289" s="31">
        <f t="shared" si="20"/>
        <v>0</v>
      </c>
      <c r="H1289" s="39" t="s">
        <v>9</v>
      </c>
      <c r="I1289" s="3"/>
      <c r="J1289" s="42"/>
      <c r="K1289" s="3"/>
    </row>
    <row r="1290" spans="1:11" x14ac:dyDescent="0.25">
      <c r="A1290" s="20">
        <v>42108</v>
      </c>
      <c r="B1290" s="183">
        <v>17827</v>
      </c>
      <c r="C1290" s="14" t="s">
        <v>24</v>
      </c>
      <c r="D1290" s="105">
        <v>2781</v>
      </c>
      <c r="E1290" s="30">
        <v>42138</v>
      </c>
      <c r="F1290" s="144">
        <v>2781</v>
      </c>
      <c r="G1290" s="31">
        <f t="shared" si="20"/>
        <v>0</v>
      </c>
      <c r="H1290" s="39" t="s">
        <v>9</v>
      </c>
      <c r="I1290" s="3"/>
      <c r="J1290" s="42"/>
      <c r="K1290" s="3"/>
    </row>
    <row r="1291" spans="1:11" x14ac:dyDescent="0.25">
      <c r="A1291" s="20">
        <v>42108</v>
      </c>
      <c r="B1291" s="183">
        <v>17828</v>
      </c>
      <c r="C1291" s="14" t="s">
        <v>228</v>
      </c>
      <c r="D1291" s="105">
        <v>1952.6</v>
      </c>
      <c r="E1291" s="23">
        <v>42108</v>
      </c>
      <c r="F1291" s="106">
        <v>1952.6</v>
      </c>
      <c r="G1291" s="31">
        <f t="shared" si="20"/>
        <v>0</v>
      </c>
      <c r="H1291" s="39" t="s">
        <v>9</v>
      </c>
      <c r="I1291" s="3"/>
      <c r="J1291" s="42"/>
      <c r="K1291" s="3"/>
    </row>
    <row r="1292" spans="1:11" x14ac:dyDescent="0.25">
      <c r="A1292" s="20">
        <v>42108</v>
      </c>
      <c r="B1292" s="183">
        <v>17829</v>
      </c>
      <c r="C1292" s="14" t="s">
        <v>24</v>
      </c>
      <c r="D1292" s="105">
        <v>2250.3000000000002</v>
      </c>
      <c r="E1292" s="30">
        <v>42144</v>
      </c>
      <c r="F1292" s="144">
        <v>2250.3000000000002</v>
      </c>
      <c r="G1292" s="31">
        <f t="shared" si="20"/>
        <v>0</v>
      </c>
      <c r="H1292" s="39" t="s">
        <v>9</v>
      </c>
      <c r="I1292" s="3"/>
      <c r="J1292" s="42"/>
      <c r="K1292" s="3"/>
    </row>
    <row r="1293" spans="1:11" x14ac:dyDescent="0.25">
      <c r="A1293" s="20">
        <v>42108</v>
      </c>
      <c r="B1293" s="183">
        <v>17830</v>
      </c>
      <c r="C1293" s="14" t="s">
        <v>1077</v>
      </c>
      <c r="D1293" s="105">
        <v>2896</v>
      </c>
      <c r="E1293" s="23">
        <v>42108</v>
      </c>
      <c r="F1293" s="106">
        <v>2896</v>
      </c>
      <c r="G1293" s="31">
        <f t="shared" si="20"/>
        <v>0</v>
      </c>
      <c r="H1293" s="39" t="s">
        <v>9</v>
      </c>
      <c r="I1293" s="3"/>
      <c r="J1293" s="42"/>
      <c r="K1293" s="3"/>
    </row>
    <row r="1294" spans="1:11" x14ac:dyDescent="0.25">
      <c r="A1294" s="20">
        <v>42108</v>
      </c>
      <c r="B1294" s="183">
        <v>17831</v>
      </c>
      <c r="C1294" s="14" t="s">
        <v>89</v>
      </c>
      <c r="D1294" s="105">
        <v>2810.9</v>
      </c>
      <c r="E1294" s="23">
        <v>42108</v>
      </c>
      <c r="F1294" s="106">
        <v>2810.9</v>
      </c>
      <c r="G1294" s="31">
        <f t="shared" si="20"/>
        <v>0</v>
      </c>
      <c r="H1294" s="39" t="s">
        <v>9</v>
      </c>
      <c r="I1294" s="3"/>
      <c r="J1294" s="42"/>
      <c r="K1294" s="3"/>
    </row>
    <row r="1295" spans="1:11" x14ac:dyDescent="0.25">
      <c r="A1295" s="20">
        <v>42108</v>
      </c>
      <c r="B1295" s="183">
        <v>17832</v>
      </c>
      <c r="C1295" s="14" t="s">
        <v>1069</v>
      </c>
      <c r="D1295" s="105">
        <v>3773.88</v>
      </c>
      <c r="E1295" s="23">
        <v>42108</v>
      </c>
      <c r="F1295" s="106">
        <v>3773.88</v>
      </c>
      <c r="G1295" s="31">
        <f t="shared" si="20"/>
        <v>0</v>
      </c>
      <c r="H1295" s="39" t="s">
        <v>9</v>
      </c>
      <c r="I1295" s="3"/>
      <c r="J1295" s="42"/>
      <c r="K1295" s="3"/>
    </row>
    <row r="1296" spans="1:11" x14ac:dyDescent="0.25">
      <c r="A1296" s="20">
        <v>42108</v>
      </c>
      <c r="B1296" s="183">
        <v>17833</v>
      </c>
      <c r="C1296" s="14" t="s">
        <v>335</v>
      </c>
      <c r="D1296" s="105">
        <v>1135</v>
      </c>
      <c r="E1296" s="23">
        <v>42108</v>
      </c>
      <c r="F1296" s="106">
        <v>1135</v>
      </c>
      <c r="G1296" s="31">
        <f t="shared" si="20"/>
        <v>0</v>
      </c>
      <c r="H1296" s="39" t="s">
        <v>9</v>
      </c>
      <c r="I1296" s="3"/>
      <c r="J1296" s="42"/>
      <c r="K1296" s="3"/>
    </row>
    <row r="1297" spans="1:11" x14ac:dyDescent="0.25">
      <c r="A1297" s="20">
        <v>42108</v>
      </c>
      <c r="B1297" s="183">
        <v>17834</v>
      </c>
      <c r="C1297" s="14" t="s">
        <v>571</v>
      </c>
      <c r="D1297" s="105">
        <v>16822</v>
      </c>
      <c r="E1297" s="23" t="s">
        <v>1106</v>
      </c>
      <c r="F1297" s="106">
        <f>10822+6000</f>
        <v>16822</v>
      </c>
      <c r="G1297" s="31">
        <f t="shared" si="20"/>
        <v>0</v>
      </c>
      <c r="H1297" s="39" t="s">
        <v>9</v>
      </c>
      <c r="I1297" s="3"/>
      <c r="J1297" s="42"/>
      <c r="K1297" s="3"/>
    </row>
    <row r="1298" spans="1:11" x14ac:dyDescent="0.25">
      <c r="A1298" s="20">
        <v>42108</v>
      </c>
      <c r="B1298" s="183">
        <v>17835</v>
      </c>
      <c r="C1298" s="14" t="s">
        <v>1107</v>
      </c>
      <c r="D1298" s="105">
        <v>10635.6</v>
      </c>
      <c r="E1298" s="23">
        <v>42108</v>
      </c>
      <c r="F1298" s="106">
        <v>10635.6</v>
      </c>
      <c r="G1298" s="31">
        <f t="shared" si="20"/>
        <v>0</v>
      </c>
      <c r="H1298" s="39" t="s">
        <v>9</v>
      </c>
      <c r="I1298" s="3"/>
      <c r="J1298" s="42"/>
      <c r="K1298" s="3"/>
    </row>
    <row r="1299" spans="1:11" x14ac:dyDescent="0.25">
      <c r="A1299" s="20">
        <v>42108</v>
      </c>
      <c r="B1299" s="183">
        <v>17836</v>
      </c>
      <c r="C1299" s="14" t="s">
        <v>110</v>
      </c>
      <c r="D1299" s="105">
        <v>4078.25</v>
      </c>
      <c r="E1299" s="23">
        <v>42117</v>
      </c>
      <c r="F1299" s="106">
        <v>4078.25</v>
      </c>
      <c r="G1299" s="31">
        <f t="shared" si="20"/>
        <v>0</v>
      </c>
      <c r="H1299" s="39" t="s">
        <v>9</v>
      </c>
      <c r="I1299" s="3"/>
      <c r="J1299" s="42"/>
      <c r="K1299" s="3"/>
    </row>
    <row r="1300" spans="1:11" x14ac:dyDescent="0.25">
      <c r="A1300" s="20">
        <v>42108</v>
      </c>
      <c r="B1300" s="183">
        <v>17837</v>
      </c>
      <c r="C1300" s="14" t="s">
        <v>1077</v>
      </c>
      <c r="D1300" s="105">
        <v>1800</v>
      </c>
      <c r="E1300" s="51">
        <v>42109</v>
      </c>
      <c r="F1300" s="106">
        <v>1800</v>
      </c>
      <c r="G1300" s="31">
        <f t="shared" si="20"/>
        <v>0</v>
      </c>
      <c r="H1300" s="39" t="s">
        <v>19</v>
      </c>
      <c r="I1300" s="3"/>
      <c r="J1300" s="42"/>
      <c r="K1300" s="3"/>
    </row>
    <row r="1301" spans="1:11" x14ac:dyDescent="0.25">
      <c r="A1301" s="20">
        <v>42108</v>
      </c>
      <c r="B1301" s="183">
        <v>17838</v>
      </c>
      <c r="C1301" s="14" t="s">
        <v>56</v>
      </c>
      <c r="D1301" s="105">
        <v>11961.6</v>
      </c>
      <c r="E1301" s="23">
        <v>42108</v>
      </c>
      <c r="F1301" s="106">
        <v>11961.6</v>
      </c>
      <c r="G1301" s="31">
        <f t="shared" si="20"/>
        <v>0</v>
      </c>
      <c r="H1301" s="39" t="s">
        <v>94</v>
      </c>
      <c r="I1301" s="3"/>
      <c r="J1301" s="42"/>
      <c r="K1301" s="3"/>
    </row>
    <row r="1302" spans="1:11" x14ac:dyDescent="0.25">
      <c r="A1302" s="20">
        <v>42108</v>
      </c>
      <c r="B1302" s="183">
        <v>17839</v>
      </c>
      <c r="C1302" s="14" t="s">
        <v>1101</v>
      </c>
      <c r="D1302" s="105">
        <v>1105.5</v>
      </c>
      <c r="E1302" s="23" t="s">
        <v>1104</v>
      </c>
      <c r="F1302" s="106">
        <f>800+305.5</f>
        <v>1105.5</v>
      </c>
      <c r="G1302" s="31">
        <f t="shared" si="20"/>
        <v>0</v>
      </c>
      <c r="H1302" s="39" t="s">
        <v>9</v>
      </c>
      <c r="I1302" s="3"/>
      <c r="J1302" s="42"/>
      <c r="K1302" s="3"/>
    </row>
    <row r="1303" spans="1:11" x14ac:dyDescent="0.25">
      <c r="A1303" s="20">
        <v>42108</v>
      </c>
      <c r="B1303" s="183">
        <v>17840</v>
      </c>
      <c r="C1303" s="14" t="s">
        <v>136</v>
      </c>
      <c r="D1303" s="105">
        <v>540</v>
      </c>
      <c r="E1303" s="23">
        <v>42108</v>
      </c>
      <c r="F1303" s="106">
        <v>540</v>
      </c>
      <c r="G1303" s="31">
        <f t="shared" si="20"/>
        <v>0</v>
      </c>
      <c r="H1303" s="39" t="s">
        <v>9</v>
      </c>
      <c r="I1303" s="3"/>
      <c r="J1303" s="42"/>
      <c r="K1303" s="3"/>
    </row>
    <row r="1304" spans="1:11" x14ac:dyDescent="0.25">
      <c r="A1304" s="20">
        <v>42108</v>
      </c>
      <c r="B1304" s="183">
        <v>17841</v>
      </c>
      <c r="C1304" s="14" t="s">
        <v>256</v>
      </c>
      <c r="D1304" s="105">
        <v>4731.3999999999996</v>
      </c>
      <c r="E1304" s="23">
        <v>42108</v>
      </c>
      <c r="F1304" s="106">
        <v>4731.3999999999996</v>
      </c>
      <c r="G1304" s="31">
        <f t="shared" si="20"/>
        <v>0</v>
      </c>
      <c r="H1304" s="39" t="s">
        <v>94</v>
      </c>
      <c r="I1304" s="3"/>
      <c r="J1304" s="42"/>
      <c r="K1304" s="3"/>
    </row>
    <row r="1305" spans="1:11" x14ac:dyDescent="0.25">
      <c r="A1305" s="20">
        <v>42108</v>
      </c>
      <c r="B1305" s="183">
        <v>17842</v>
      </c>
      <c r="C1305" s="14" t="s">
        <v>738</v>
      </c>
      <c r="D1305" s="105">
        <v>24472.7</v>
      </c>
      <c r="E1305" s="23">
        <v>42108</v>
      </c>
      <c r="F1305" s="106">
        <v>24472.7</v>
      </c>
      <c r="G1305" s="31">
        <f t="shared" si="20"/>
        <v>0</v>
      </c>
      <c r="H1305" s="39" t="s">
        <v>46</v>
      </c>
      <c r="I1305" s="3"/>
      <c r="J1305" s="42"/>
      <c r="K1305" s="3"/>
    </row>
    <row r="1306" spans="1:11" x14ac:dyDescent="0.25">
      <c r="A1306" s="20">
        <v>42108</v>
      </c>
      <c r="B1306" s="183">
        <v>17843</v>
      </c>
      <c r="C1306" s="14" t="s">
        <v>285</v>
      </c>
      <c r="D1306" s="105">
        <v>367</v>
      </c>
      <c r="E1306" s="23">
        <v>42109</v>
      </c>
      <c r="F1306" s="106">
        <v>367</v>
      </c>
      <c r="G1306" s="31">
        <f t="shared" si="20"/>
        <v>0</v>
      </c>
      <c r="H1306" s="39" t="s">
        <v>19</v>
      </c>
      <c r="I1306" s="3"/>
      <c r="J1306" s="42"/>
      <c r="K1306" s="3"/>
    </row>
    <row r="1307" spans="1:11" x14ac:dyDescent="0.25">
      <c r="A1307" s="20">
        <v>42108</v>
      </c>
      <c r="B1307" s="183">
        <v>17844</v>
      </c>
      <c r="C1307" s="14" t="s">
        <v>98</v>
      </c>
      <c r="D1307" s="105">
        <v>2216.1</v>
      </c>
      <c r="E1307" s="23">
        <v>42109</v>
      </c>
      <c r="F1307" s="106">
        <v>2216.1</v>
      </c>
      <c r="G1307" s="31">
        <f t="shared" si="20"/>
        <v>0</v>
      </c>
      <c r="H1307" s="39" t="s">
        <v>19</v>
      </c>
      <c r="I1307" s="3"/>
      <c r="J1307" s="42"/>
      <c r="K1307" s="3"/>
    </row>
    <row r="1308" spans="1:11" x14ac:dyDescent="0.25">
      <c r="A1308" s="20">
        <v>42108</v>
      </c>
      <c r="B1308" s="183">
        <v>17845</v>
      </c>
      <c r="C1308" s="14" t="s">
        <v>104</v>
      </c>
      <c r="D1308" s="105">
        <v>1198.56</v>
      </c>
      <c r="E1308" s="23">
        <v>42109</v>
      </c>
      <c r="F1308" s="106">
        <v>1198.56</v>
      </c>
      <c r="G1308" s="31">
        <f t="shared" si="20"/>
        <v>0</v>
      </c>
      <c r="H1308" s="39" t="s">
        <v>19</v>
      </c>
      <c r="I1308" s="3"/>
      <c r="J1308" s="42"/>
      <c r="K1308" s="3"/>
    </row>
    <row r="1309" spans="1:11" x14ac:dyDescent="0.25">
      <c r="A1309" s="20">
        <v>42108</v>
      </c>
      <c r="B1309" s="183">
        <v>17846</v>
      </c>
      <c r="C1309" s="14" t="s">
        <v>190</v>
      </c>
      <c r="D1309" s="105">
        <v>4756.8</v>
      </c>
      <c r="E1309" s="23">
        <v>42109</v>
      </c>
      <c r="F1309" s="106">
        <v>4756.8</v>
      </c>
      <c r="G1309" s="31">
        <f t="shared" si="20"/>
        <v>0</v>
      </c>
      <c r="H1309" s="39" t="s">
        <v>19</v>
      </c>
      <c r="I1309" s="3"/>
      <c r="J1309" s="42"/>
      <c r="K1309" s="3"/>
    </row>
    <row r="1310" spans="1:11" x14ac:dyDescent="0.25">
      <c r="A1310" s="20">
        <v>42108</v>
      </c>
      <c r="B1310" s="183">
        <v>17847</v>
      </c>
      <c r="C1310" s="14" t="s">
        <v>106</v>
      </c>
      <c r="D1310" s="105">
        <v>27084.400000000001</v>
      </c>
      <c r="E1310" s="23" t="s">
        <v>1105</v>
      </c>
      <c r="F1310" s="106">
        <f>15000+12084.4</f>
        <v>27084.400000000001</v>
      </c>
      <c r="G1310" s="31">
        <f t="shared" si="20"/>
        <v>0</v>
      </c>
      <c r="H1310" s="39" t="s">
        <v>19</v>
      </c>
      <c r="I1310" s="3"/>
      <c r="J1310" s="42"/>
      <c r="K1310" s="3"/>
    </row>
    <row r="1311" spans="1:11" x14ac:dyDescent="0.25">
      <c r="A1311" s="20">
        <v>42108</v>
      </c>
      <c r="B1311" s="183">
        <v>17848</v>
      </c>
      <c r="C1311" s="14" t="s">
        <v>106</v>
      </c>
      <c r="D1311" s="105">
        <v>2276.1</v>
      </c>
      <c r="E1311" s="23">
        <v>42109</v>
      </c>
      <c r="F1311" s="106">
        <v>2276.1</v>
      </c>
      <c r="G1311" s="31">
        <f t="shared" si="20"/>
        <v>0</v>
      </c>
      <c r="H1311" s="19" t="s">
        <v>19</v>
      </c>
      <c r="I1311" s="3"/>
      <c r="J1311" s="42"/>
      <c r="K1311" s="3"/>
    </row>
    <row r="1312" spans="1:11" x14ac:dyDescent="0.25">
      <c r="A1312" s="20">
        <v>42108</v>
      </c>
      <c r="B1312" s="183">
        <v>17849</v>
      </c>
      <c r="C1312" s="14" t="s">
        <v>71</v>
      </c>
      <c r="D1312" s="105">
        <v>1349.7</v>
      </c>
      <c r="E1312" s="23">
        <v>42108</v>
      </c>
      <c r="F1312" s="106">
        <v>1349</v>
      </c>
      <c r="G1312" s="31">
        <f t="shared" si="20"/>
        <v>0.70000000000004547</v>
      </c>
      <c r="H1312" s="57" t="s">
        <v>9</v>
      </c>
      <c r="I1312" s="3"/>
      <c r="J1312" s="42"/>
      <c r="K1312" s="3"/>
    </row>
    <row r="1313" spans="1:11" x14ac:dyDescent="0.25">
      <c r="A1313" s="20">
        <v>42108</v>
      </c>
      <c r="B1313" s="183">
        <v>17850</v>
      </c>
      <c r="C1313" s="14" t="s">
        <v>118</v>
      </c>
      <c r="D1313" s="105">
        <v>1663.8</v>
      </c>
      <c r="E1313" s="23">
        <v>42108</v>
      </c>
      <c r="F1313" s="106">
        <v>1663.8</v>
      </c>
      <c r="G1313" s="31">
        <f t="shared" si="20"/>
        <v>0</v>
      </c>
      <c r="H1313" s="19" t="s">
        <v>9</v>
      </c>
      <c r="I1313" s="3"/>
      <c r="J1313" s="42"/>
      <c r="K1313" s="3"/>
    </row>
    <row r="1314" spans="1:11" x14ac:dyDescent="0.25">
      <c r="A1314" s="20">
        <v>42108</v>
      </c>
      <c r="B1314" s="183">
        <v>17851</v>
      </c>
      <c r="C1314" s="14" t="s">
        <v>1077</v>
      </c>
      <c r="D1314" s="105">
        <v>6.9</v>
      </c>
      <c r="E1314" s="23">
        <v>42108</v>
      </c>
      <c r="F1314" s="106">
        <v>6.9</v>
      </c>
      <c r="G1314" s="31">
        <f t="shared" si="20"/>
        <v>0</v>
      </c>
      <c r="H1314" s="19" t="s">
        <v>9</v>
      </c>
      <c r="I1314" s="3"/>
      <c r="J1314" s="42"/>
      <c r="K1314" s="3"/>
    </row>
    <row r="1315" spans="1:11" x14ac:dyDescent="0.25">
      <c r="A1315" s="20">
        <v>42108</v>
      </c>
      <c r="B1315" s="183">
        <v>17852</v>
      </c>
      <c r="C1315" s="14" t="s">
        <v>136</v>
      </c>
      <c r="D1315" s="105">
        <v>31459</v>
      </c>
      <c r="E1315" s="23" t="s">
        <v>1105</v>
      </c>
      <c r="F1315" s="106">
        <f>20000+11459</f>
        <v>31459</v>
      </c>
      <c r="G1315" s="31">
        <f t="shared" si="20"/>
        <v>0</v>
      </c>
      <c r="H1315" s="19" t="s">
        <v>9</v>
      </c>
      <c r="I1315" s="3"/>
      <c r="J1315" s="42"/>
      <c r="K1315" s="3"/>
    </row>
    <row r="1316" spans="1:11" x14ac:dyDescent="0.25">
      <c r="A1316" s="20">
        <v>42108</v>
      </c>
      <c r="B1316" s="183">
        <v>17853</v>
      </c>
      <c r="C1316" s="14" t="s">
        <v>158</v>
      </c>
      <c r="D1316" s="105">
        <v>6028</v>
      </c>
      <c r="E1316" s="23">
        <v>42108</v>
      </c>
      <c r="F1316" s="106">
        <v>6028</v>
      </c>
      <c r="G1316" s="31">
        <f t="shared" si="20"/>
        <v>0</v>
      </c>
      <c r="H1316" s="19" t="s">
        <v>9</v>
      </c>
      <c r="I1316" s="3"/>
      <c r="J1316" s="42"/>
      <c r="K1316" s="3"/>
    </row>
    <row r="1317" spans="1:11" x14ac:dyDescent="0.25">
      <c r="A1317" s="20">
        <v>42108</v>
      </c>
      <c r="B1317" s="183">
        <v>17854</v>
      </c>
      <c r="C1317" s="14" t="s">
        <v>235</v>
      </c>
      <c r="D1317" s="105">
        <v>2020.2</v>
      </c>
      <c r="E1317" s="23">
        <v>42109</v>
      </c>
      <c r="F1317" s="106">
        <v>2020.2</v>
      </c>
      <c r="G1317" s="31">
        <f t="shared" si="20"/>
        <v>0</v>
      </c>
      <c r="H1317" s="19" t="s">
        <v>17</v>
      </c>
      <c r="I1317" s="3"/>
      <c r="J1317" s="42"/>
      <c r="K1317" s="3"/>
    </row>
    <row r="1318" spans="1:11" x14ac:dyDescent="0.25">
      <c r="A1318" s="20">
        <v>42108</v>
      </c>
      <c r="B1318" s="183">
        <v>17855</v>
      </c>
      <c r="C1318" s="14" t="s">
        <v>143</v>
      </c>
      <c r="D1318" s="105">
        <v>14861</v>
      </c>
      <c r="E1318" s="23">
        <v>42109</v>
      </c>
      <c r="F1318" s="106">
        <v>14861</v>
      </c>
      <c r="G1318" s="31">
        <f t="shared" si="20"/>
        <v>0</v>
      </c>
      <c r="H1318" s="19" t="s">
        <v>17</v>
      </c>
      <c r="I1318" s="3"/>
      <c r="J1318" s="42"/>
      <c r="K1318" s="3"/>
    </row>
    <row r="1319" spans="1:11" x14ac:dyDescent="0.25">
      <c r="A1319" s="20">
        <v>42108</v>
      </c>
      <c r="B1319" s="183">
        <v>17856</v>
      </c>
      <c r="C1319" s="14" t="s">
        <v>35</v>
      </c>
      <c r="D1319" s="105">
        <v>20775.349999999999</v>
      </c>
      <c r="E1319" s="23">
        <v>42108</v>
      </c>
      <c r="F1319" s="106">
        <v>20775.349999999999</v>
      </c>
      <c r="G1319" s="31">
        <f t="shared" si="20"/>
        <v>0</v>
      </c>
      <c r="H1319" s="19" t="s">
        <v>187</v>
      </c>
      <c r="I1319" s="3"/>
      <c r="J1319" s="42"/>
      <c r="K1319" s="3"/>
    </row>
    <row r="1320" spans="1:11" x14ac:dyDescent="0.25">
      <c r="A1320" s="20">
        <v>42108</v>
      </c>
      <c r="B1320" s="183">
        <v>17857</v>
      </c>
      <c r="C1320" s="14" t="s">
        <v>24</v>
      </c>
      <c r="D1320" s="105">
        <v>130286.43</v>
      </c>
      <c r="E1320" s="30">
        <v>42138</v>
      </c>
      <c r="F1320" s="144">
        <v>130286.43</v>
      </c>
      <c r="G1320" s="31">
        <f t="shared" si="20"/>
        <v>0</v>
      </c>
      <c r="H1320" s="19" t="s">
        <v>1013</v>
      </c>
      <c r="I1320" s="3"/>
      <c r="J1320" s="42"/>
      <c r="K1320" s="3"/>
    </row>
    <row r="1321" spans="1:11" x14ac:dyDescent="0.25">
      <c r="A1321" s="20">
        <v>42108</v>
      </c>
      <c r="B1321" s="183">
        <v>17858</v>
      </c>
      <c r="C1321" s="14" t="s">
        <v>74</v>
      </c>
      <c r="D1321" s="105">
        <v>2819.8</v>
      </c>
      <c r="E1321" s="23">
        <v>42108</v>
      </c>
      <c r="F1321" s="106">
        <v>2819.8</v>
      </c>
      <c r="G1321" s="31">
        <f t="shared" si="20"/>
        <v>0</v>
      </c>
      <c r="H1321" s="19" t="s">
        <v>9</v>
      </c>
      <c r="I1321" s="3"/>
      <c r="J1321" s="42"/>
      <c r="K1321" s="3"/>
    </row>
    <row r="1322" spans="1:11" x14ac:dyDescent="0.25">
      <c r="A1322" s="20">
        <v>42108</v>
      </c>
      <c r="B1322" s="183">
        <v>17859</v>
      </c>
      <c r="C1322" s="14" t="s">
        <v>1060</v>
      </c>
      <c r="D1322" s="105">
        <v>88186.6</v>
      </c>
      <c r="E1322" s="30">
        <v>42128</v>
      </c>
      <c r="F1322" s="144">
        <v>88186.6</v>
      </c>
      <c r="G1322" s="31">
        <f t="shared" si="20"/>
        <v>0</v>
      </c>
      <c r="H1322" s="19" t="s">
        <v>94</v>
      </c>
      <c r="I1322" s="3"/>
      <c r="J1322" s="42"/>
      <c r="K1322" s="3"/>
    </row>
    <row r="1323" spans="1:11" x14ac:dyDescent="0.25">
      <c r="A1323" s="20">
        <v>42108</v>
      </c>
      <c r="B1323" s="183">
        <v>17860</v>
      </c>
      <c r="C1323" s="14" t="s">
        <v>110</v>
      </c>
      <c r="D1323" s="105">
        <v>43380.3</v>
      </c>
      <c r="E1323" s="23">
        <v>42117</v>
      </c>
      <c r="F1323" s="106">
        <v>43380.3</v>
      </c>
      <c r="G1323" s="31">
        <f t="shared" si="20"/>
        <v>0</v>
      </c>
      <c r="H1323" s="19" t="s">
        <v>59</v>
      </c>
      <c r="I1323" s="3"/>
      <c r="J1323" s="42"/>
      <c r="K1323" s="3"/>
    </row>
    <row r="1324" spans="1:11" x14ac:dyDescent="0.25">
      <c r="A1324" s="20">
        <v>42108</v>
      </c>
      <c r="B1324" s="183">
        <v>17861</v>
      </c>
      <c r="C1324" s="14" t="s">
        <v>697</v>
      </c>
      <c r="D1324" s="105">
        <v>43640.2</v>
      </c>
      <c r="E1324" s="30" t="s">
        <v>1108</v>
      </c>
      <c r="F1324" s="106">
        <v>43640.2</v>
      </c>
      <c r="G1324" s="31">
        <f t="shared" si="20"/>
        <v>0</v>
      </c>
      <c r="H1324" s="19" t="s">
        <v>9</v>
      </c>
      <c r="I1324" s="3"/>
      <c r="J1324" s="42"/>
      <c r="K1324" s="3"/>
    </row>
    <row r="1325" spans="1:11" x14ac:dyDescent="0.25">
      <c r="A1325" s="20">
        <v>42108</v>
      </c>
      <c r="B1325" s="183">
        <v>17862</v>
      </c>
      <c r="C1325" s="14" t="s">
        <v>185</v>
      </c>
      <c r="D1325" s="105">
        <v>80508.14</v>
      </c>
      <c r="E1325" s="23">
        <v>42115</v>
      </c>
      <c r="F1325" s="106">
        <v>80508.14</v>
      </c>
      <c r="G1325" s="31">
        <f t="shared" si="20"/>
        <v>0</v>
      </c>
      <c r="H1325" s="19" t="s">
        <v>1013</v>
      </c>
      <c r="I1325" s="3"/>
      <c r="J1325" s="42"/>
      <c r="K1325" s="3"/>
    </row>
    <row r="1326" spans="1:11" x14ac:dyDescent="0.25">
      <c r="A1326" s="20">
        <v>42108</v>
      </c>
      <c r="B1326" s="183">
        <v>17863</v>
      </c>
      <c r="C1326" s="14" t="s">
        <v>45</v>
      </c>
      <c r="D1326" s="105">
        <v>78752.92</v>
      </c>
      <c r="E1326" s="23">
        <v>42117</v>
      </c>
      <c r="F1326" s="106">
        <v>78752.92</v>
      </c>
      <c r="G1326" s="31">
        <f t="shared" si="20"/>
        <v>0</v>
      </c>
      <c r="H1326" s="19" t="s">
        <v>46</v>
      </c>
      <c r="I1326" s="3"/>
      <c r="J1326" s="42"/>
      <c r="K1326" s="3"/>
    </row>
    <row r="1327" spans="1:11" x14ac:dyDescent="0.25">
      <c r="A1327" s="20">
        <v>42108</v>
      </c>
      <c r="B1327" s="183">
        <v>17864</v>
      </c>
      <c r="C1327" s="14" t="s">
        <v>45</v>
      </c>
      <c r="D1327" s="105">
        <v>1963</v>
      </c>
      <c r="E1327" s="23">
        <v>42117</v>
      </c>
      <c r="F1327" s="106">
        <v>1953</v>
      </c>
      <c r="G1327" s="31">
        <f t="shared" si="20"/>
        <v>10</v>
      </c>
      <c r="H1327" s="19" t="s">
        <v>46</v>
      </c>
      <c r="I1327" s="3"/>
      <c r="J1327" s="42"/>
      <c r="K1327" s="3"/>
    </row>
    <row r="1328" spans="1:11" x14ac:dyDescent="0.25">
      <c r="A1328" s="20">
        <v>42108</v>
      </c>
      <c r="B1328" s="183">
        <v>17865</v>
      </c>
      <c r="C1328" s="14" t="s">
        <v>59</v>
      </c>
      <c r="D1328" s="105">
        <v>137.6</v>
      </c>
      <c r="E1328" s="23">
        <v>42109</v>
      </c>
      <c r="F1328" s="106">
        <v>137.6</v>
      </c>
      <c r="G1328" s="31">
        <f t="shared" si="20"/>
        <v>0</v>
      </c>
      <c r="H1328" s="19" t="s">
        <v>59</v>
      </c>
      <c r="I1328" s="3"/>
      <c r="J1328" s="42"/>
      <c r="K1328" s="3"/>
    </row>
    <row r="1329" spans="1:11" x14ac:dyDescent="0.25">
      <c r="A1329" s="20">
        <v>42108</v>
      </c>
      <c r="B1329" s="183">
        <v>17866</v>
      </c>
      <c r="C1329" s="14" t="s">
        <v>35</v>
      </c>
      <c r="D1329" s="105">
        <v>175</v>
      </c>
      <c r="E1329" s="23">
        <v>42109</v>
      </c>
      <c r="F1329" s="106">
        <v>175</v>
      </c>
      <c r="G1329" s="31">
        <f t="shared" si="20"/>
        <v>0</v>
      </c>
      <c r="H1329" s="19" t="s">
        <v>9</v>
      </c>
      <c r="I1329" s="3"/>
      <c r="J1329" s="42"/>
      <c r="K1329" s="3"/>
    </row>
    <row r="1330" spans="1:11" x14ac:dyDescent="0.25">
      <c r="A1330" s="20">
        <v>42109</v>
      </c>
      <c r="B1330" s="183">
        <v>17867</v>
      </c>
      <c r="C1330" s="14" t="s">
        <v>151</v>
      </c>
      <c r="D1330" s="105">
        <v>5904.5</v>
      </c>
      <c r="E1330" s="23">
        <v>42109</v>
      </c>
      <c r="F1330" s="106">
        <v>5904.5</v>
      </c>
      <c r="G1330" s="31">
        <f t="shared" si="20"/>
        <v>0</v>
      </c>
      <c r="H1330" s="19" t="s">
        <v>9</v>
      </c>
      <c r="I1330" s="3"/>
      <c r="J1330" s="42"/>
      <c r="K1330" s="3"/>
    </row>
    <row r="1331" spans="1:11" x14ac:dyDescent="0.25">
      <c r="A1331" s="20">
        <v>42109</v>
      </c>
      <c r="B1331" s="183">
        <v>17868</v>
      </c>
      <c r="C1331" s="14" t="s">
        <v>16</v>
      </c>
      <c r="D1331" s="105">
        <v>6171.2</v>
      </c>
      <c r="E1331" s="23">
        <v>42109</v>
      </c>
      <c r="F1331" s="106">
        <v>6171.2</v>
      </c>
      <c r="G1331" s="31">
        <f t="shared" si="20"/>
        <v>0</v>
      </c>
      <c r="H1331" s="19" t="s">
        <v>17</v>
      </c>
      <c r="K1331" s="3"/>
    </row>
    <row r="1332" spans="1:11" x14ac:dyDescent="0.25">
      <c r="A1332" s="20">
        <v>42109</v>
      </c>
      <c r="B1332" s="183">
        <v>17869</v>
      </c>
      <c r="C1332" s="14" t="s">
        <v>16</v>
      </c>
      <c r="D1332" s="105">
        <v>190.8</v>
      </c>
      <c r="E1332" s="23">
        <v>42109</v>
      </c>
      <c r="F1332" s="106">
        <v>190.8</v>
      </c>
      <c r="G1332" s="31">
        <f t="shared" si="20"/>
        <v>0</v>
      </c>
      <c r="H1332" s="19" t="s">
        <v>17</v>
      </c>
      <c r="K1332" s="3"/>
    </row>
    <row r="1333" spans="1:11" x14ac:dyDescent="0.25">
      <c r="A1333" s="20">
        <v>42109</v>
      </c>
      <c r="B1333" s="183">
        <v>17870</v>
      </c>
      <c r="C1333" s="14" t="s">
        <v>103</v>
      </c>
      <c r="D1333" s="105">
        <v>36576.980000000003</v>
      </c>
      <c r="E1333" s="23">
        <v>42109</v>
      </c>
      <c r="F1333" s="106">
        <v>36576.980000000003</v>
      </c>
      <c r="G1333" s="31">
        <f t="shared" si="20"/>
        <v>0</v>
      </c>
      <c r="H1333" s="19" t="s">
        <v>773</v>
      </c>
      <c r="K1333" s="3"/>
    </row>
    <row r="1334" spans="1:11" x14ac:dyDescent="0.25">
      <c r="A1334" s="20">
        <v>42109</v>
      </c>
      <c r="B1334" s="183">
        <v>17871</v>
      </c>
      <c r="C1334" s="14" t="s">
        <v>1026</v>
      </c>
      <c r="D1334" s="105">
        <v>2432</v>
      </c>
      <c r="E1334" s="23">
        <v>42109</v>
      </c>
      <c r="F1334" s="106">
        <v>2432</v>
      </c>
      <c r="G1334" s="31">
        <f t="shared" si="20"/>
        <v>0</v>
      </c>
      <c r="H1334" s="19" t="s">
        <v>17</v>
      </c>
      <c r="K1334" s="3"/>
    </row>
    <row r="1335" spans="1:11" x14ac:dyDescent="0.25">
      <c r="A1335" s="20">
        <v>42109</v>
      </c>
      <c r="B1335" s="183">
        <v>17872</v>
      </c>
      <c r="C1335" s="14" t="s">
        <v>21</v>
      </c>
      <c r="D1335" s="105">
        <v>6689.9</v>
      </c>
      <c r="E1335" s="23">
        <v>42109</v>
      </c>
      <c r="F1335" s="106">
        <v>6689.9</v>
      </c>
      <c r="G1335" s="31">
        <f t="shared" si="20"/>
        <v>0</v>
      </c>
      <c r="H1335" s="19" t="s">
        <v>9</v>
      </c>
      <c r="K1335" s="3"/>
    </row>
    <row r="1336" spans="1:11" x14ac:dyDescent="0.25">
      <c r="A1336" s="20">
        <v>42109</v>
      </c>
      <c r="B1336" s="183">
        <v>17873</v>
      </c>
      <c r="C1336" s="14" t="s">
        <v>121</v>
      </c>
      <c r="D1336" s="105">
        <v>2332</v>
      </c>
      <c r="E1336" s="23">
        <v>42109</v>
      </c>
      <c r="F1336" s="106">
        <v>2332</v>
      </c>
      <c r="G1336" s="31">
        <f t="shared" si="20"/>
        <v>0</v>
      </c>
      <c r="H1336" s="19" t="s">
        <v>9</v>
      </c>
      <c r="K1336" s="3"/>
    </row>
    <row r="1337" spans="1:11" x14ac:dyDescent="0.25">
      <c r="A1337" s="20">
        <v>42109</v>
      </c>
      <c r="B1337" s="183">
        <v>17874</v>
      </c>
      <c r="C1337" s="14" t="s">
        <v>14</v>
      </c>
      <c r="D1337" s="105">
        <v>22829.3</v>
      </c>
      <c r="E1337" s="23">
        <v>42117</v>
      </c>
      <c r="F1337" s="106">
        <v>22829.3</v>
      </c>
      <c r="G1337" s="31">
        <f t="shared" si="20"/>
        <v>0</v>
      </c>
      <c r="H1337" s="19" t="s">
        <v>62</v>
      </c>
      <c r="K1337" s="3"/>
    </row>
    <row r="1338" spans="1:11" x14ac:dyDescent="0.25">
      <c r="A1338" s="20">
        <v>42109</v>
      </c>
      <c r="B1338" s="183">
        <v>17875</v>
      </c>
      <c r="C1338" s="14" t="s">
        <v>587</v>
      </c>
      <c r="D1338" s="105">
        <v>40402.5</v>
      </c>
      <c r="E1338" s="23">
        <v>42109</v>
      </c>
      <c r="F1338" s="106">
        <v>40402.5</v>
      </c>
      <c r="G1338" s="31">
        <f t="shared" si="20"/>
        <v>0</v>
      </c>
      <c r="H1338" s="19" t="s">
        <v>9</v>
      </c>
      <c r="K1338" s="3"/>
    </row>
    <row r="1339" spans="1:11" x14ac:dyDescent="0.25">
      <c r="A1339" s="20">
        <v>42109</v>
      </c>
      <c r="B1339" s="183">
        <v>17876</v>
      </c>
      <c r="C1339" s="14" t="s">
        <v>720</v>
      </c>
      <c r="D1339" s="105">
        <v>7197.5</v>
      </c>
      <c r="E1339" s="23">
        <v>42109</v>
      </c>
      <c r="F1339" s="106">
        <v>7197.5</v>
      </c>
      <c r="G1339" s="31">
        <f t="shared" si="20"/>
        <v>0</v>
      </c>
      <c r="H1339" s="19" t="s">
        <v>9</v>
      </c>
      <c r="K1339" s="3"/>
    </row>
    <row r="1340" spans="1:11" x14ac:dyDescent="0.25">
      <c r="A1340" s="20">
        <v>42109</v>
      </c>
      <c r="B1340" s="183">
        <v>17877</v>
      </c>
      <c r="C1340" s="14" t="s">
        <v>116</v>
      </c>
      <c r="D1340" s="105">
        <v>8466</v>
      </c>
      <c r="E1340" s="23">
        <v>42109</v>
      </c>
      <c r="F1340" s="106">
        <v>8466</v>
      </c>
      <c r="G1340" s="31">
        <f t="shared" si="20"/>
        <v>0</v>
      </c>
      <c r="H1340" s="19" t="s">
        <v>9</v>
      </c>
      <c r="K1340" s="3"/>
    </row>
    <row r="1341" spans="1:11" x14ac:dyDescent="0.25">
      <c r="A1341" s="20">
        <v>42109</v>
      </c>
      <c r="B1341" s="183">
        <v>17878</v>
      </c>
      <c r="C1341" s="14" t="s">
        <v>464</v>
      </c>
      <c r="D1341" s="105">
        <v>1670</v>
      </c>
      <c r="E1341" s="23">
        <v>42109</v>
      </c>
      <c r="F1341" s="106">
        <v>1670</v>
      </c>
      <c r="G1341" s="31">
        <f t="shared" si="20"/>
        <v>0</v>
      </c>
      <c r="H1341" s="19" t="s">
        <v>9</v>
      </c>
      <c r="K1341" s="3"/>
    </row>
    <row r="1342" spans="1:11" x14ac:dyDescent="0.25">
      <c r="A1342" s="20">
        <v>42109</v>
      </c>
      <c r="B1342" s="183">
        <v>17879</v>
      </c>
      <c r="C1342" s="14" t="s">
        <v>333</v>
      </c>
      <c r="D1342" s="105">
        <v>6640</v>
      </c>
      <c r="E1342" s="23">
        <v>42109</v>
      </c>
      <c r="F1342" s="106">
        <v>6640</v>
      </c>
      <c r="G1342" s="31">
        <f t="shared" si="20"/>
        <v>0</v>
      </c>
      <c r="H1342" s="19" t="s">
        <v>94</v>
      </c>
      <c r="K1342" s="3"/>
    </row>
    <row r="1343" spans="1:11" x14ac:dyDescent="0.25">
      <c r="A1343" s="20">
        <v>42109</v>
      </c>
      <c r="B1343" s="183">
        <v>17880</v>
      </c>
      <c r="C1343" s="14" t="s">
        <v>114</v>
      </c>
      <c r="D1343" s="105">
        <v>624</v>
      </c>
      <c r="E1343" s="23">
        <v>42109</v>
      </c>
      <c r="F1343" s="106">
        <v>624</v>
      </c>
      <c r="G1343" s="31">
        <f t="shared" si="20"/>
        <v>0</v>
      </c>
      <c r="H1343" s="19" t="s">
        <v>9</v>
      </c>
      <c r="K1343" s="3"/>
    </row>
    <row r="1344" spans="1:11" x14ac:dyDescent="0.25">
      <c r="A1344" s="20">
        <v>42109</v>
      </c>
      <c r="B1344" s="183">
        <v>17881</v>
      </c>
      <c r="C1344" s="14" t="s">
        <v>215</v>
      </c>
      <c r="D1344" s="105">
        <v>49708.28</v>
      </c>
      <c r="E1344" s="23">
        <v>42109</v>
      </c>
      <c r="F1344" s="106">
        <v>49708.28</v>
      </c>
      <c r="G1344" s="31">
        <f t="shared" si="20"/>
        <v>0</v>
      </c>
      <c r="H1344" s="19" t="s">
        <v>19</v>
      </c>
      <c r="K1344" s="3"/>
    </row>
    <row r="1345" spans="1:11" x14ac:dyDescent="0.25">
      <c r="A1345" s="20">
        <v>42109</v>
      </c>
      <c r="B1345" s="183">
        <v>17882</v>
      </c>
      <c r="C1345" s="14" t="s">
        <v>49</v>
      </c>
      <c r="D1345" s="105">
        <v>1544</v>
      </c>
      <c r="E1345" s="23">
        <v>42109</v>
      </c>
      <c r="F1345" s="106">
        <v>1544</v>
      </c>
      <c r="G1345" s="31">
        <f t="shared" si="20"/>
        <v>0</v>
      </c>
      <c r="H1345" s="19" t="s">
        <v>94</v>
      </c>
      <c r="J1345" s="107"/>
      <c r="K1345" s="3"/>
    </row>
    <row r="1346" spans="1:11" x14ac:dyDescent="0.25">
      <c r="A1346" s="20">
        <v>42109</v>
      </c>
      <c r="B1346" s="183">
        <v>17883</v>
      </c>
      <c r="C1346" s="14" t="s">
        <v>604</v>
      </c>
      <c r="D1346" s="105">
        <v>2735.2</v>
      </c>
      <c r="E1346" s="23">
        <v>42109</v>
      </c>
      <c r="F1346" s="106">
        <v>2735.2</v>
      </c>
      <c r="G1346" s="31">
        <f t="shared" si="20"/>
        <v>0</v>
      </c>
      <c r="H1346" s="19" t="s">
        <v>9</v>
      </c>
      <c r="J1346" s="107"/>
      <c r="K1346" s="3"/>
    </row>
    <row r="1347" spans="1:11" x14ac:dyDescent="0.25">
      <c r="A1347" s="20">
        <v>42109</v>
      </c>
      <c r="B1347" s="183">
        <v>17884</v>
      </c>
      <c r="C1347" s="14" t="s">
        <v>125</v>
      </c>
      <c r="D1347" s="105">
        <v>35846.69</v>
      </c>
      <c r="E1347" s="23" t="s">
        <v>1105</v>
      </c>
      <c r="F1347" s="106">
        <f>28000+7846.69</f>
        <v>35846.69</v>
      </c>
      <c r="G1347" s="48">
        <f t="shared" ref="G1347:G1410" si="21">D1347-F1347</f>
        <v>0</v>
      </c>
      <c r="H1347" s="19" t="s">
        <v>94</v>
      </c>
      <c r="J1347" s="107"/>
      <c r="K1347" s="3"/>
    </row>
    <row r="1348" spans="1:11" x14ac:dyDescent="0.25">
      <c r="A1348" s="20">
        <v>42109</v>
      </c>
      <c r="B1348" s="183">
        <v>17885</v>
      </c>
      <c r="C1348" s="14" t="s">
        <v>66</v>
      </c>
      <c r="D1348" s="105">
        <v>551.1</v>
      </c>
      <c r="E1348" s="23">
        <v>42109</v>
      </c>
      <c r="F1348" s="106">
        <v>551.1</v>
      </c>
      <c r="G1348" s="31">
        <f t="shared" si="21"/>
        <v>0</v>
      </c>
      <c r="H1348" s="19" t="s">
        <v>9</v>
      </c>
      <c r="J1348" s="107"/>
      <c r="K1348" s="3"/>
    </row>
    <row r="1349" spans="1:11" x14ac:dyDescent="0.25">
      <c r="A1349" s="20">
        <v>42109</v>
      </c>
      <c r="B1349" s="183">
        <v>17886</v>
      </c>
      <c r="C1349" s="14" t="s">
        <v>135</v>
      </c>
      <c r="D1349" s="105">
        <v>12570.6</v>
      </c>
      <c r="E1349" s="23">
        <v>42109</v>
      </c>
      <c r="F1349" s="106">
        <v>12570.6</v>
      </c>
      <c r="G1349" s="31">
        <f t="shared" si="21"/>
        <v>0</v>
      </c>
      <c r="H1349" s="19" t="s">
        <v>9</v>
      </c>
      <c r="J1349" s="107"/>
      <c r="K1349" s="3"/>
    </row>
    <row r="1350" spans="1:11" x14ac:dyDescent="0.25">
      <c r="A1350" s="20">
        <v>42109</v>
      </c>
      <c r="B1350" s="183">
        <v>17887</v>
      </c>
      <c r="C1350" s="14" t="s">
        <v>83</v>
      </c>
      <c r="D1350" s="105">
        <v>4089.6</v>
      </c>
      <c r="E1350" s="23">
        <v>42109</v>
      </c>
      <c r="F1350" s="106">
        <v>4089.6</v>
      </c>
      <c r="G1350" s="31">
        <f t="shared" si="21"/>
        <v>0</v>
      </c>
      <c r="H1350" s="19" t="s">
        <v>9</v>
      </c>
      <c r="K1350" s="3"/>
    </row>
    <row r="1351" spans="1:11" x14ac:dyDescent="0.25">
      <c r="A1351" s="20">
        <v>42109</v>
      </c>
      <c r="B1351" s="183">
        <v>17888</v>
      </c>
      <c r="C1351" s="14" t="s">
        <v>854</v>
      </c>
      <c r="D1351" s="105">
        <v>2432.1999999999998</v>
      </c>
      <c r="E1351" s="23">
        <v>42109</v>
      </c>
      <c r="F1351" s="106">
        <v>2432.1999999999998</v>
      </c>
      <c r="G1351" s="31">
        <f t="shared" si="21"/>
        <v>0</v>
      </c>
      <c r="H1351" s="19" t="s">
        <v>9</v>
      </c>
      <c r="K1351" s="3"/>
    </row>
    <row r="1352" spans="1:11" x14ac:dyDescent="0.25">
      <c r="A1352" s="20">
        <v>42109</v>
      </c>
      <c r="B1352" s="183">
        <v>17889</v>
      </c>
      <c r="C1352" s="14" t="s">
        <v>720</v>
      </c>
      <c r="D1352" s="105">
        <v>1592</v>
      </c>
      <c r="E1352" s="23">
        <v>42109</v>
      </c>
      <c r="F1352" s="106">
        <v>1592</v>
      </c>
      <c r="G1352" s="31">
        <f t="shared" si="21"/>
        <v>0</v>
      </c>
      <c r="H1352" s="19" t="s">
        <v>94</v>
      </c>
      <c r="K1352" s="3"/>
    </row>
    <row r="1353" spans="1:11" x14ac:dyDescent="0.25">
      <c r="A1353" s="20">
        <v>42109</v>
      </c>
      <c r="B1353" s="183">
        <v>17890</v>
      </c>
      <c r="C1353" s="14" t="s">
        <v>151</v>
      </c>
      <c r="D1353" s="105">
        <v>1985.6</v>
      </c>
      <c r="E1353" s="23">
        <v>42110</v>
      </c>
      <c r="F1353" s="106">
        <v>1985.6</v>
      </c>
      <c r="G1353" s="31">
        <f t="shared" si="21"/>
        <v>0</v>
      </c>
      <c r="H1353" s="19" t="s">
        <v>9</v>
      </c>
      <c r="K1353" s="3"/>
    </row>
    <row r="1354" spans="1:11" x14ac:dyDescent="0.25">
      <c r="A1354" s="20">
        <v>42109</v>
      </c>
      <c r="B1354" s="183">
        <v>17891</v>
      </c>
      <c r="C1354" s="14" t="s">
        <v>157</v>
      </c>
      <c r="D1354" s="105">
        <v>1921.2</v>
      </c>
      <c r="E1354" s="23">
        <v>42109</v>
      </c>
      <c r="F1354" s="106">
        <v>1921.2</v>
      </c>
      <c r="G1354" s="31">
        <f t="shared" si="21"/>
        <v>0</v>
      </c>
      <c r="H1354" s="19" t="s">
        <v>9</v>
      </c>
      <c r="K1354" s="3"/>
    </row>
    <row r="1355" spans="1:11" x14ac:dyDescent="0.25">
      <c r="A1355" s="20">
        <v>42109</v>
      </c>
      <c r="B1355" s="183">
        <v>17892</v>
      </c>
      <c r="C1355" s="150" t="s">
        <v>33</v>
      </c>
      <c r="D1355" s="105">
        <v>13453</v>
      </c>
      <c r="E1355" s="23">
        <v>42109</v>
      </c>
      <c r="F1355" s="106">
        <v>13453</v>
      </c>
      <c r="G1355" s="31">
        <f t="shared" si="21"/>
        <v>0</v>
      </c>
      <c r="H1355" s="19" t="s">
        <v>9</v>
      </c>
      <c r="K1355" s="3"/>
    </row>
    <row r="1356" spans="1:11" x14ac:dyDescent="0.25">
      <c r="A1356" s="20">
        <v>42109</v>
      </c>
      <c r="B1356" s="183">
        <v>17893</v>
      </c>
      <c r="C1356" s="14" t="s">
        <v>24</v>
      </c>
      <c r="D1356" s="105">
        <v>53172.9</v>
      </c>
      <c r="E1356" s="30">
        <v>42138</v>
      </c>
      <c r="F1356" s="144">
        <v>53172.9</v>
      </c>
      <c r="G1356" s="31">
        <f t="shared" si="21"/>
        <v>0</v>
      </c>
      <c r="H1356" s="19" t="s">
        <v>1013</v>
      </c>
      <c r="K1356" s="3"/>
    </row>
    <row r="1357" spans="1:11" x14ac:dyDescent="0.25">
      <c r="A1357" s="20">
        <v>42109</v>
      </c>
      <c r="B1357" s="183">
        <v>17894</v>
      </c>
      <c r="C1357" s="14" t="s">
        <v>571</v>
      </c>
      <c r="D1357" s="105">
        <v>70530.8</v>
      </c>
      <c r="E1357" s="23">
        <v>42115</v>
      </c>
      <c r="F1357" s="106">
        <v>70530.8</v>
      </c>
      <c r="G1357" s="31">
        <f t="shared" si="21"/>
        <v>0</v>
      </c>
      <c r="H1357" s="19" t="s">
        <v>1013</v>
      </c>
      <c r="K1357" s="3"/>
    </row>
    <row r="1358" spans="1:11" x14ac:dyDescent="0.25">
      <c r="A1358" s="20">
        <v>42109</v>
      </c>
      <c r="B1358" s="183">
        <v>17895</v>
      </c>
      <c r="C1358" s="14" t="s">
        <v>164</v>
      </c>
      <c r="D1358" s="105">
        <v>2252</v>
      </c>
      <c r="E1358" s="23">
        <v>42109</v>
      </c>
      <c r="F1358" s="106">
        <v>2252</v>
      </c>
      <c r="G1358" s="31">
        <f t="shared" si="21"/>
        <v>0</v>
      </c>
      <c r="H1358" s="19" t="s">
        <v>9</v>
      </c>
      <c r="K1358" s="3"/>
    </row>
    <row r="1359" spans="1:11" x14ac:dyDescent="0.25">
      <c r="A1359" s="20">
        <v>42109</v>
      </c>
      <c r="B1359" s="183">
        <v>17896</v>
      </c>
      <c r="C1359" s="14" t="s">
        <v>131</v>
      </c>
      <c r="D1359" s="105">
        <v>5379.5</v>
      </c>
      <c r="E1359" s="23">
        <v>42109</v>
      </c>
      <c r="F1359" s="106">
        <v>5379.5</v>
      </c>
      <c r="G1359" s="31">
        <f t="shared" si="21"/>
        <v>0</v>
      </c>
      <c r="H1359" s="19" t="s">
        <v>9</v>
      </c>
      <c r="K1359" s="3"/>
    </row>
    <row r="1360" spans="1:11" x14ac:dyDescent="0.25">
      <c r="A1360" s="20">
        <v>42109</v>
      </c>
      <c r="B1360" s="183">
        <v>17897</v>
      </c>
      <c r="C1360" s="14" t="s">
        <v>116</v>
      </c>
      <c r="D1360" s="105">
        <v>790</v>
      </c>
      <c r="E1360" s="23">
        <v>42109</v>
      </c>
      <c r="F1360" s="106">
        <v>790</v>
      </c>
      <c r="G1360" s="31">
        <f t="shared" si="21"/>
        <v>0</v>
      </c>
      <c r="H1360" s="19" t="s">
        <v>9</v>
      </c>
      <c r="K1360" s="3"/>
    </row>
    <row r="1361" spans="1:11" x14ac:dyDescent="0.25">
      <c r="A1361" s="20">
        <v>42109</v>
      </c>
      <c r="B1361" s="183">
        <v>17898</v>
      </c>
      <c r="C1361" s="14" t="s">
        <v>137</v>
      </c>
      <c r="D1361" s="105">
        <v>418</v>
      </c>
      <c r="E1361" s="23">
        <v>42109</v>
      </c>
      <c r="F1361" s="106">
        <v>418</v>
      </c>
      <c r="G1361" s="31">
        <f t="shared" si="21"/>
        <v>0</v>
      </c>
      <c r="H1361" s="19" t="s">
        <v>9</v>
      </c>
      <c r="K1361" s="3"/>
    </row>
    <row r="1362" spans="1:11" x14ac:dyDescent="0.25">
      <c r="A1362" s="20">
        <v>42109</v>
      </c>
      <c r="B1362" s="183">
        <v>17899</v>
      </c>
      <c r="C1362" s="14" t="s">
        <v>47</v>
      </c>
      <c r="D1362" s="105">
        <v>52784</v>
      </c>
      <c r="E1362" s="23" t="s">
        <v>1109</v>
      </c>
      <c r="F1362" s="106">
        <f>50000+2784</f>
        <v>52784</v>
      </c>
      <c r="G1362" s="31">
        <f t="shared" si="21"/>
        <v>0</v>
      </c>
      <c r="H1362" s="19" t="s">
        <v>9</v>
      </c>
      <c r="K1362" s="3"/>
    </row>
    <row r="1363" spans="1:11" x14ac:dyDescent="0.25">
      <c r="A1363" s="20">
        <v>42109</v>
      </c>
      <c r="B1363" s="183">
        <v>17900</v>
      </c>
      <c r="C1363" s="14" t="s">
        <v>829</v>
      </c>
      <c r="D1363" s="105">
        <v>7572.5</v>
      </c>
      <c r="E1363" s="23" t="s">
        <v>1105</v>
      </c>
      <c r="F1363" s="106">
        <f>7372.5+200</f>
        <v>7572.5</v>
      </c>
      <c r="G1363" s="31">
        <f t="shared" si="21"/>
        <v>0</v>
      </c>
      <c r="H1363" s="19" t="s">
        <v>9</v>
      </c>
      <c r="I1363" s="3"/>
      <c r="J1363" s="42"/>
      <c r="K1363" s="3"/>
    </row>
    <row r="1364" spans="1:11" x14ac:dyDescent="0.25">
      <c r="A1364" s="20">
        <v>42109</v>
      </c>
      <c r="B1364" s="183">
        <v>17901</v>
      </c>
      <c r="C1364" s="14" t="s">
        <v>34</v>
      </c>
      <c r="D1364" s="105">
        <v>5542.8</v>
      </c>
      <c r="E1364" s="23">
        <v>42109</v>
      </c>
      <c r="F1364" s="106">
        <v>5542.8</v>
      </c>
      <c r="G1364" s="31">
        <f t="shared" si="21"/>
        <v>0</v>
      </c>
      <c r="H1364" s="19" t="s">
        <v>9</v>
      </c>
      <c r="I1364" s="3"/>
      <c r="J1364" s="42"/>
      <c r="K1364" s="3"/>
    </row>
    <row r="1365" spans="1:11" x14ac:dyDescent="0.25">
      <c r="A1365" s="20">
        <v>42109</v>
      </c>
      <c r="B1365" s="183">
        <v>17902</v>
      </c>
      <c r="C1365" s="14" t="s">
        <v>47</v>
      </c>
      <c r="D1365" s="105">
        <v>3541.2</v>
      </c>
      <c r="E1365" s="23">
        <v>42112</v>
      </c>
      <c r="F1365" s="106">
        <v>3541.2</v>
      </c>
      <c r="G1365" s="31">
        <f t="shared" si="21"/>
        <v>0</v>
      </c>
      <c r="H1365" s="19" t="s">
        <v>9</v>
      </c>
      <c r="I1365" s="3"/>
      <c r="J1365" s="42"/>
      <c r="K1365" s="3"/>
    </row>
    <row r="1366" spans="1:11" x14ac:dyDescent="0.25">
      <c r="A1366" s="20">
        <v>42109</v>
      </c>
      <c r="B1366" s="183">
        <v>17903</v>
      </c>
      <c r="C1366" s="14" t="s">
        <v>239</v>
      </c>
      <c r="D1366" s="105">
        <v>1613.6</v>
      </c>
      <c r="E1366" s="23">
        <v>42109</v>
      </c>
      <c r="F1366" s="106">
        <v>1613.6</v>
      </c>
      <c r="G1366" s="31">
        <f t="shared" si="21"/>
        <v>0</v>
      </c>
      <c r="H1366" s="19" t="s">
        <v>9</v>
      </c>
      <c r="I1366" s="3"/>
      <c r="J1366" s="42"/>
      <c r="K1366" s="3"/>
    </row>
    <row r="1367" spans="1:11" x14ac:dyDescent="0.25">
      <c r="A1367" s="20">
        <v>42109</v>
      </c>
      <c r="B1367" s="183">
        <v>17904</v>
      </c>
      <c r="C1367" s="14" t="s">
        <v>26</v>
      </c>
      <c r="D1367" s="105">
        <v>1088</v>
      </c>
      <c r="E1367" s="23">
        <v>42109</v>
      </c>
      <c r="F1367" s="106">
        <v>1088</v>
      </c>
      <c r="G1367" s="31">
        <f t="shared" si="21"/>
        <v>0</v>
      </c>
      <c r="H1367" s="19" t="s">
        <v>27</v>
      </c>
      <c r="I1367" s="3"/>
      <c r="J1367" s="42"/>
      <c r="K1367" s="3"/>
    </row>
    <row r="1368" spans="1:11" x14ac:dyDescent="0.25">
      <c r="A1368" s="20">
        <v>42109</v>
      </c>
      <c r="B1368" s="183">
        <v>17905</v>
      </c>
      <c r="C1368" s="14" t="s">
        <v>891</v>
      </c>
      <c r="D1368" s="105">
        <v>15224.6</v>
      </c>
      <c r="E1368" s="23">
        <v>42110</v>
      </c>
      <c r="F1368" s="106">
        <v>15224.6</v>
      </c>
      <c r="G1368" s="31">
        <f t="shared" si="21"/>
        <v>0</v>
      </c>
      <c r="H1368" s="19" t="s">
        <v>17</v>
      </c>
      <c r="I1368" s="3"/>
      <c r="J1368" s="42"/>
      <c r="K1368" s="3"/>
    </row>
    <row r="1369" spans="1:11" x14ac:dyDescent="0.25">
      <c r="A1369" s="20">
        <v>42109</v>
      </c>
      <c r="B1369" s="183">
        <v>17906</v>
      </c>
      <c r="C1369" s="14" t="s">
        <v>152</v>
      </c>
      <c r="D1369" s="105">
        <v>3262.8</v>
      </c>
      <c r="E1369" s="23">
        <v>42109</v>
      </c>
      <c r="F1369" s="106">
        <v>3262.8</v>
      </c>
      <c r="G1369" s="31">
        <f t="shared" si="21"/>
        <v>0</v>
      </c>
      <c r="H1369" s="19" t="s">
        <v>17</v>
      </c>
      <c r="I1369" s="3"/>
      <c r="J1369" s="42"/>
      <c r="K1369" s="3"/>
    </row>
    <row r="1370" spans="1:11" x14ac:dyDescent="0.25">
      <c r="A1370" s="20">
        <v>42109</v>
      </c>
      <c r="B1370" s="183">
        <v>17907</v>
      </c>
      <c r="C1370" s="14" t="s">
        <v>57</v>
      </c>
      <c r="D1370" s="105">
        <v>1330</v>
      </c>
      <c r="E1370" s="23">
        <v>42109</v>
      </c>
      <c r="F1370" s="106">
        <v>1330</v>
      </c>
      <c r="G1370" s="31">
        <f t="shared" si="21"/>
        <v>0</v>
      </c>
      <c r="H1370" s="19" t="s">
        <v>17</v>
      </c>
      <c r="I1370" s="3"/>
      <c r="J1370" s="42"/>
      <c r="K1370" s="3"/>
    </row>
    <row r="1371" spans="1:11" x14ac:dyDescent="0.25">
      <c r="A1371" s="20">
        <v>42109</v>
      </c>
      <c r="B1371" s="183">
        <v>17908</v>
      </c>
      <c r="C1371" s="14" t="s">
        <v>226</v>
      </c>
      <c r="D1371" s="105">
        <v>2263.8000000000002</v>
      </c>
      <c r="E1371" s="23">
        <v>42109</v>
      </c>
      <c r="F1371" s="106">
        <v>2263.8000000000002</v>
      </c>
      <c r="G1371" s="31">
        <f t="shared" si="21"/>
        <v>0</v>
      </c>
      <c r="H1371" s="19" t="s">
        <v>9</v>
      </c>
      <c r="I1371" s="3"/>
      <c r="J1371" s="42"/>
      <c r="K1371" s="3"/>
    </row>
    <row r="1372" spans="1:11" x14ac:dyDescent="0.25">
      <c r="A1372" s="20">
        <v>42109</v>
      </c>
      <c r="B1372" s="183">
        <v>17909</v>
      </c>
      <c r="C1372" s="14" t="s">
        <v>99</v>
      </c>
      <c r="D1372" s="105">
        <v>2819.1</v>
      </c>
      <c r="E1372" s="23">
        <v>42109</v>
      </c>
      <c r="F1372" s="106">
        <v>2819.1</v>
      </c>
      <c r="G1372" s="31">
        <f t="shared" si="21"/>
        <v>0</v>
      </c>
      <c r="H1372" s="19" t="s">
        <v>46</v>
      </c>
      <c r="I1372" s="3"/>
      <c r="J1372" s="42"/>
      <c r="K1372" s="3"/>
    </row>
    <row r="1373" spans="1:11" x14ac:dyDescent="0.25">
      <c r="A1373" s="20">
        <v>42109</v>
      </c>
      <c r="B1373" s="183">
        <v>17910</v>
      </c>
      <c r="C1373" s="14" t="s">
        <v>226</v>
      </c>
      <c r="D1373" s="105">
        <v>103.4</v>
      </c>
      <c r="E1373" s="23">
        <v>42109</v>
      </c>
      <c r="F1373" s="106">
        <v>103.4</v>
      </c>
      <c r="G1373" s="31">
        <f t="shared" si="21"/>
        <v>0</v>
      </c>
      <c r="H1373" s="19" t="s">
        <v>46</v>
      </c>
      <c r="I1373" s="3"/>
      <c r="J1373" s="42"/>
      <c r="K1373" s="3"/>
    </row>
    <row r="1374" spans="1:11" x14ac:dyDescent="0.25">
      <c r="A1374" s="20">
        <v>42109</v>
      </c>
      <c r="B1374" s="183">
        <v>17911</v>
      </c>
      <c r="C1374" s="14" t="s">
        <v>14</v>
      </c>
      <c r="D1374" s="105">
        <v>214716.5</v>
      </c>
      <c r="E1374" s="23">
        <v>42117</v>
      </c>
      <c r="F1374" s="106">
        <v>214716.5</v>
      </c>
      <c r="G1374" s="31">
        <f t="shared" si="21"/>
        <v>0</v>
      </c>
      <c r="H1374" s="19" t="s">
        <v>9</v>
      </c>
      <c r="I1374" s="3"/>
      <c r="J1374" s="42"/>
      <c r="K1374" s="3"/>
    </row>
    <row r="1375" spans="1:11" x14ac:dyDescent="0.25">
      <c r="A1375" s="20">
        <v>42109</v>
      </c>
      <c r="B1375" s="183">
        <v>17912</v>
      </c>
      <c r="C1375" s="14" t="s">
        <v>915</v>
      </c>
      <c r="D1375" s="105">
        <v>1259.5999999999999</v>
      </c>
      <c r="E1375" s="23">
        <v>42109</v>
      </c>
      <c r="F1375" s="106">
        <v>1259.5999999999999</v>
      </c>
      <c r="G1375" s="31">
        <f t="shared" si="21"/>
        <v>0</v>
      </c>
      <c r="H1375" s="19" t="s">
        <v>17</v>
      </c>
      <c r="I1375" s="3"/>
      <c r="J1375" s="42"/>
      <c r="K1375" s="3"/>
    </row>
    <row r="1376" spans="1:11" x14ac:dyDescent="0.25">
      <c r="A1376" s="20">
        <v>42109</v>
      </c>
      <c r="B1376" s="183">
        <v>17913</v>
      </c>
      <c r="C1376" s="14" t="s">
        <v>169</v>
      </c>
      <c r="D1376" s="105">
        <v>1456</v>
      </c>
      <c r="E1376" s="23">
        <v>42109</v>
      </c>
      <c r="F1376" s="106">
        <v>1456</v>
      </c>
      <c r="G1376" s="31">
        <f t="shared" si="21"/>
        <v>0</v>
      </c>
      <c r="H1376" s="19" t="s">
        <v>17</v>
      </c>
      <c r="I1376" s="3"/>
      <c r="J1376" s="42"/>
      <c r="K1376" s="3"/>
    </row>
    <row r="1377" spans="1:11" x14ac:dyDescent="0.25">
      <c r="A1377" s="20">
        <v>42109</v>
      </c>
      <c r="B1377" s="183">
        <v>17914</v>
      </c>
      <c r="C1377" s="14" t="s">
        <v>81</v>
      </c>
      <c r="D1377" s="105">
        <v>1430.4</v>
      </c>
      <c r="E1377" s="23">
        <v>42109</v>
      </c>
      <c r="F1377" s="106">
        <v>1430.4</v>
      </c>
      <c r="G1377" s="31">
        <f t="shared" si="21"/>
        <v>0</v>
      </c>
      <c r="H1377" s="19" t="s">
        <v>17</v>
      </c>
      <c r="I1377" s="3"/>
      <c r="J1377" s="42"/>
      <c r="K1377" s="3"/>
    </row>
    <row r="1378" spans="1:11" x14ac:dyDescent="0.25">
      <c r="A1378" s="20">
        <v>42109</v>
      </c>
      <c r="B1378" s="183">
        <v>17915</v>
      </c>
      <c r="C1378" s="14" t="s">
        <v>1088</v>
      </c>
      <c r="D1378" s="105">
        <v>1040</v>
      </c>
      <c r="E1378" s="23">
        <v>42109</v>
      </c>
      <c r="F1378" s="106">
        <v>1040</v>
      </c>
      <c r="G1378" s="31">
        <f t="shared" si="21"/>
        <v>0</v>
      </c>
      <c r="H1378" s="19" t="s">
        <v>17</v>
      </c>
      <c r="I1378" s="3"/>
      <c r="J1378" s="42"/>
      <c r="K1378" s="3"/>
    </row>
    <row r="1379" spans="1:11" x14ac:dyDescent="0.25">
      <c r="A1379" s="20">
        <v>42109</v>
      </c>
      <c r="B1379" s="183">
        <v>17916</v>
      </c>
      <c r="C1379" s="14" t="s">
        <v>53</v>
      </c>
      <c r="D1379" s="105">
        <v>908.8</v>
      </c>
      <c r="E1379" s="23">
        <v>42109</v>
      </c>
      <c r="F1379" s="106">
        <v>908.8</v>
      </c>
      <c r="G1379" s="31">
        <f t="shared" si="21"/>
        <v>0</v>
      </c>
      <c r="H1379" s="19" t="s">
        <v>17</v>
      </c>
      <c r="K1379" s="3"/>
    </row>
    <row r="1380" spans="1:11" x14ac:dyDescent="0.25">
      <c r="A1380" s="20">
        <v>42109</v>
      </c>
      <c r="B1380" s="183">
        <v>17917</v>
      </c>
      <c r="C1380" s="14" t="s">
        <v>118</v>
      </c>
      <c r="D1380" s="105">
        <v>6338</v>
      </c>
      <c r="E1380" s="30" t="s">
        <v>1110</v>
      </c>
      <c r="F1380" s="106">
        <v>6338</v>
      </c>
      <c r="G1380" s="31">
        <f t="shared" si="21"/>
        <v>0</v>
      </c>
      <c r="H1380" s="19" t="s">
        <v>17</v>
      </c>
      <c r="K1380" s="3"/>
    </row>
    <row r="1381" spans="1:11" x14ac:dyDescent="0.25">
      <c r="A1381" s="20">
        <v>42109</v>
      </c>
      <c r="B1381" s="183">
        <v>17918</v>
      </c>
      <c r="C1381" s="14" t="s">
        <v>332</v>
      </c>
      <c r="D1381" s="105">
        <v>2330.1</v>
      </c>
      <c r="E1381" s="23">
        <v>42109</v>
      </c>
      <c r="F1381" s="106">
        <v>2330.1</v>
      </c>
      <c r="G1381" s="31">
        <f t="shared" si="21"/>
        <v>0</v>
      </c>
      <c r="H1381" s="19" t="s">
        <v>9</v>
      </c>
      <c r="K1381" s="3"/>
    </row>
    <row r="1382" spans="1:11" x14ac:dyDescent="0.25">
      <c r="A1382" s="20">
        <v>42109</v>
      </c>
      <c r="B1382" s="183">
        <v>17919</v>
      </c>
      <c r="C1382" s="14" t="s">
        <v>169</v>
      </c>
      <c r="D1382" s="105">
        <v>2659.8</v>
      </c>
      <c r="E1382" s="23">
        <v>42109</v>
      </c>
      <c r="F1382" s="106">
        <v>2659.8</v>
      </c>
      <c r="G1382" s="31">
        <f t="shared" si="21"/>
        <v>0</v>
      </c>
      <c r="H1382" s="19" t="s">
        <v>17</v>
      </c>
      <c r="K1382" s="3"/>
    </row>
    <row r="1383" spans="1:11" x14ac:dyDescent="0.25">
      <c r="A1383" s="20">
        <v>42109</v>
      </c>
      <c r="B1383" s="183">
        <v>17920</v>
      </c>
      <c r="C1383" s="14" t="s">
        <v>881</v>
      </c>
      <c r="D1383" s="105">
        <v>2019.3</v>
      </c>
      <c r="E1383" s="23">
        <v>42109</v>
      </c>
      <c r="F1383" s="106">
        <v>2019.3</v>
      </c>
      <c r="G1383" s="31">
        <f t="shared" si="21"/>
        <v>0</v>
      </c>
      <c r="H1383" s="19" t="s">
        <v>17</v>
      </c>
      <c r="J1383" s="107"/>
      <c r="K1383" s="3"/>
    </row>
    <row r="1384" spans="1:11" x14ac:dyDescent="0.25">
      <c r="A1384" s="20">
        <v>42109</v>
      </c>
      <c r="B1384" s="183">
        <v>17921</v>
      </c>
      <c r="C1384" s="14" t="s">
        <v>131</v>
      </c>
      <c r="D1384" s="105">
        <v>314.60000000000002</v>
      </c>
      <c r="E1384" s="23">
        <v>42109</v>
      </c>
      <c r="F1384" s="106">
        <v>314.60000000000002</v>
      </c>
      <c r="G1384" s="31">
        <f t="shared" si="21"/>
        <v>0</v>
      </c>
      <c r="H1384" s="19" t="s">
        <v>17</v>
      </c>
      <c r="K1384" s="3"/>
    </row>
    <row r="1385" spans="1:11" x14ac:dyDescent="0.25">
      <c r="A1385" s="20">
        <v>42109</v>
      </c>
      <c r="B1385" s="183">
        <v>17922</v>
      </c>
      <c r="C1385" s="14" t="s">
        <v>130</v>
      </c>
      <c r="D1385" s="105">
        <v>2741.7</v>
      </c>
      <c r="E1385" s="23">
        <v>42109</v>
      </c>
      <c r="F1385" s="106">
        <v>2741.7</v>
      </c>
      <c r="G1385" s="31">
        <f t="shared" si="21"/>
        <v>0</v>
      </c>
      <c r="H1385" s="19" t="s">
        <v>17</v>
      </c>
      <c r="K1385" s="3"/>
    </row>
    <row r="1386" spans="1:11" x14ac:dyDescent="0.25">
      <c r="A1386" s="20">
        <v>42109</v>
      </c>
      <c r="B1386" s="183">
        <v>17923</v>
      </c>
      <c r="C1386" s="14" t="s">
        <v>136</v>
      </c>
      <c r="D1386" s="105">
        <v>21396.2</v>
      </c>
      <c r="E1386" s="23">
        <v>42110</v>
      </c>
      <c r="F1386" s="106">
        <v>21396.2</v>
      </c>
      <c r="G1386" s="31">
        <f t="shared" si="21"/>
        <v>0</v>
      </c>
      <c r="H1386" s="19" t="s">
        <v>9</v>
      </c>
      <c r="K1386" s="3"/>
    </row>
    <row r="1387" spans="1:11" x14ac:dyDescent="0.25">
      <c r="A1387" s="20">
        <v>42109</v>
      </c>
      <c r="B1387" s="183">
        <v>17924</v>
      </c>
      <c r="C1387" s="14" t="s">
        <v>118</v>
      </c>
      <c r="D1387" s="105">
        <v>19599.23</v>
      </c>
      <c r="E1387" s="23" t="s">
        <v>1111</v>
      </c>
      <c r="F1387" s="106">
        <f>257.8+19341.43</f>
        <v>19599.23</v>
      </c>
      <c r="G1387" s="31">
        <f t="shared" si="21"/>
        <v>0</v>
      </c>
      <c r="H1387" s="19" t="s">
        <v>9</v>
      </c>
      <c r="K1387" s="3"/>
    </row>
    <row r="1388" spans="1:11" x14ac:dyDescent="0.25">
      <c r="A1388" s="20">
        <v>42109</v>
      </c>
      <c r="B1388" s="183">
        <v>17925</v>
      </c>
      <c r="C1388" s="14" t="s">
        <v>14</v>
      </c>
      <c r="D1388" s="105">
        <v>14064</v>
      </c>
      <c r="E1388" s="23">
        <v>42117</v>
      </c>
      <c r="F1388" s="106">
        <v>14064</v>
      </c>
      <c r="G1388" s="31">
        <f t="shared" si="21"/>
        <v>0</v>
      </c>
      <c r="H1388" s="19" t="s">
        <v>9</v>
      </c>
      <c r="J1388" s="107"/>
      <c r="K1388" s="3"/>
    </row>
    <row r="1389" spans="1:11" x14ac:dyDescent="0.25">
      <c r="A1389" s="20">
        <v>42109</v>
      </c>
      <c r="B1389" s="183">
        <v>17926</v>
      </c>
      <c r="C1389" s="14" t="s">
        <v>75</v>
      </c>
      <c r="D1389" s="105">
        <v>17502.599999999999</v>
      </c>
      <c r="E1389" s="23">
        <v>42110</v>
      </c>
      <c r="F1389" s="106">
        <v>17502.599999999999</v>
      </c>
      <c r="G1389" s="31">
        <f t="shared" si="21"/>
        <v>0</v>
      </c>
      <c r="H1389" s="19" t="s">
        <v>62</v>
      </c>
      <c r="K1389" s="3"/>
    </row>
    <row r="1390" spans="1:11" x14ac:dyDescent="0.25">
      <c r="A1390" s="20">
        <v>42109</v>
      </c>
      <c r="B1390" s="183">
        <v>17927</v>
      </c>
      <c r="C1390" s="14" t="s">
        <v>564</v>
      </c>
      <c r="D1390" s="105">
        <v>2284.56</v>
      </c>
      <c r="E1390" s="30" t="s">
        <v>1112</v>
      </c>
      <c r="F1390" s="106">
        <v>2284.56</v>
      </c>
      <c r="G1390" s="31">
        <f t="shared" si="21"/>
        <v>0</v>
      </c>
      <c r="H1390" s="19" t="s">
        <v>9</v>
      </c>
      <c r="K1390" s="3"/>
    </row>
    <row r="1391" spans="1:11" x14ac:dyDescent="0.25">
      <c r="A1391" s="20">
        <v>42109</v>
      </c>
      <c r="B1391" s="183">
        <v>17928</v>
      </c>
      <c r="C1391" s="14" t="s">
        <v>67</v>
      </c>
      <c r="D1391" s="105">
        <v>3148.8</v>
      </c>
      <c r="E1391" s="23">
        <v>42110</v>
      </c>
      <c r="F1391" s="106">
        <v>3148.8</v>
      </c>
      <c r="G1391" s="31">
        <f t="shared" si="21"/>
        <v>0</v>
      </c>
      <c r="H1391" s="19" t="s">
        <v>62</v>
      </c>
      <c r="K1391" s="3"/>
    </row>
    <row r="1392" spans="1:11" x14ac:dyDescent="0.25">
      <c r="A1392" s="20">
        <v>42109</v>
      </c>
      <c r="B1392" s="183">
        <v>17929</v>
      </c>
      <c r="C1392" s="14" t="s">
        <v>78</v>
      </c>
      <c r="D1392" s="105">
        <v>4780.8</v>
      </c>
      <c r="E1392" s="23">
        <v>42110</v>
      </c>
      <c r="F1392" s="106">
        <v>4780.8</v>
      </c>
      <c r="G1392" s="31">
        <f t="shared" si="21"/>
        <v>0</v>
      </c>
      <c r="H1392" s="19" t="s">
        <v>62</v>
      </c>
      <c r="K1392" s="3"/>
    </row>
    <row r="1393" spans="1:11" x14ac:dyDescent="0.25">
      <c r="A1393" s="20">
        <v>42109</v>
      </c>
      <c r="B1393" s="183">
        <v>17930</v>
      </c>
      <c r="C1393" s="14" t="s">
        <v>170</v>
      </c>
      <c r="D1393" s="105">
        <v>6944</v>
      </c>
      <c r="E1393" s="23">
        <v>42110</v>
      </c>
      <c r="F1393" s="106">
        <v>6944</v>
      </c>
      <c r="G1393" s="31">
        <f t="shared" si="21"/>
        <v>0</v>
      </c>
      <c r="H1393" s="19" t="s">
        <v>62</v>
      </c>
      <c r="K1393" s="3"/>
    </row>
    <row r="1394" spans="1:11" x14ac:dyDescent="0.25">
      <c r="A1394" s="20">
        <v>42109</v>
      </c>
      <c r="B1394" s="183">
        <v>17931</v>
      </c>
      <c r="C1394" s="14" t="s">
        <v>61</v>
      </c>
      <c r="D1394" s="105">
        <v>10774.08</v>
      </c>
      <c r="E1394" s="23">
        <v>42110</v>
      </c>
      <c r="F1394" s="106">
        <v>10774.08</v>
      </c>
      <c r="G1394" s="31">
        <f t="shared" si="21"/>
        <v>0</v>
      </c>
      <c r="H1394" s="19" t="s">
        <v>62</v>
      </c>
      <c r="K1394" s="3"/>
    </row>
    <row r="1395" spans="1:11" x14ac:dyDescent="0.25">
      <c r="A1395" s="20">
        <v>42109</v>
      </c>
      <c r="B1395" s="183">
        <v>17932</v>
      </c>
      <c r="C1395" s="14" t="s">
        <v>173</v>
      </c>
      <c r="D1395" s="105">
        <v>15547.4</v>
      </c>
      <c r="E1395" s="30" t="s">
        <v>1217</v>
      </c>
      <c r="F1395" s="144">
        <v>15547.4</v>
      </c>
      <c r="G1395" s="31">
        <f t="shared" si="21"/>
        <v>0</v>
      </c>
      <c r="H1395" s="19" t="s">
        <v>62</v>
      </c>
      <c r="K1395" s="3"/>
    </row>
    <row r="1396" spans="1:11" x14ac:dyDescent="0.25">
      <c r="A1396" s="20">
        <v>42109</v>
      </c>
      <c r="B1396" s="183">
        <v>17933</v>
      </c>
      <c r="C1396" s="14" t="s">
        <v>32</v>
      </c>
      <c r="D1396" s="105">
        <v>40439.300000000003</v>
      </c>
      <c r="E1396" s="23">
        <v>42115</v>
      </c>
      <c r="F1396" s="106">
        <v>40439.300000000003</v>
      </c>
      <c r="G1396" s="31">
        <f t="shared" si="21"/>
        <v>0</v>
      </c>
      <c r="H1396" s="19" t="s">
        <v>9</v>
      </c>
      <c r="K1396" s="3"/>
    </row>
    <row r="1397" spans="1:11" x14ac:dyDescent="0.25">
      <c r="A1397" s="20">
        <v>42109</v>
      </c>
      <c r="B1397" s="183">
        <v>17934</v>
      </c>
      <c r="C1397" s="14" t="s">
        <v>127</v>
      </c>
      <c r="D1397" s="105">
        <v>7896.4</v>
      </c>
      <c r="E1397" s="23">
        <v>42109</v>
      </c>
      <c r="F1397" s="106">
        <v>7896.4</v>
      </c>
      <c r="G1397" s="31">
        <f t="shared" si="21"/>
        <v>0</v>
      </c>
      <c r="H1397" s="19" t="s">
        <v>9</v>
      </c>
      <c r="K1397" s="3"/>
    </row>
    <row r="1398" spans="1:11" x14ac:dyDescent="0.25">
      <c r="A1398" s="20">
        <v>42109</v>
      </c>
      <c r="B1398" s="183">
        <v>17935</v>
      </c>
      <c r="C1398" s="14" t="s">
        <v>426</v>
      </c>
      <c r="D1398" s="105">
        <v>1897.4</v>
      </c>
      <c r="E1398" s="23">
        <v>42110</v>
      </c>
      <c r="F1398" s="106">
        <v>1897.4</v>
      </c>
      <c r="G1398" s="31">
        <f t="shared" si="21"/>
        <v>0</v>
      </c>
      <c r="H1398" s="19" t="s">
        <v>62</v>
      </c>
      <c r="K1398" s="3"/>
    </row>
    <row r="1399" spans="1:11" x14ac:dyDescent="0.25">
      <c r="A1399" s="20">
        <v>42109</v>
      </c>
      <c r="B1399" s="183">
        <v>17936</v>
      </c>
      <c r="C1399" s="26" t="s">
        <v>218</v>
      </c>
      <c r="D1399" s="108">
        <v>0</v>
      </c>
      <c r="E1399" s="23"/>
      <c r="F1399" s="106"/>
      <c r="G1399" s="31">
        <f t="shared" si="21"/>
        <v>0</v>
      </c>
      <c r="H1399" s="19" t="s">
        <v>13</v>
      </c>
      <c r="K1399" s="3"/>
    </row>
    <row r="1400" spans="1:11" x14ac:dyDescent="0.25">
      <c r="A1400" s="20">
        <v>42109</v>
      </c>
      <c r="B1400" s="183">
        <v>17937</v>
      </c>
      <c r="C1400" s="14" t="s">
        <v>93</v>
      </c>
      <c r="D1400" s="105">
        <v>1248</v>
      </c>
      <c r="E1400" s="23">
        <v>42110</v>
      </c>
      <c r="F1400" s="106">
        <v>1248</v>
      </c>
      <c r="G1400" s="31">
        <f t="shared" si="21"/>
        <v>0</v>
      </c>
      <c r="H1400" s="19" t="s">
        <v>19</v>
      </c>
      <c r="K1400" s="3"/>
    </row>
    <row r="1401" spans="1:11" x14ac:dyDescent="0.25">
      <c r="A1401" s="20">
        <v>42109</v>
      </c>
      <c r="B1401" s="183">
        <v>17938</v>
      </c>
      <c r="C1401" s="14" t="s">
        <v>136</v>
      </c>
      <c r="D1401" s="105">
        <v>540</v>
      </c>
      <c r="E1401" s="23">
        <v>42109</v>
      </c>
      <c r="F1401" s="106">
        <v>540</v>
      </c>
      <c r="G1401" s="31">
        <f t="shared" si="21"/>
        <v>0</v>
      </c>
      <c r="H1401" s="19" t="s">
        <v>9</v>
      </c>
      <c r="K1401" s="3"/>
    </row>
    <row r="1402" spans="1:11" x14ac:dyDescent="0.25">
      <c r="A1402" s="20">
        <v>42109</v>
      </c>
      <c r="B1402" s="183">
        <v>17939</v>
      </c>
      <c r="C1402" s="14" t="s">
        <v>95</v>
      </c>
      <c r="D1402" s="105">
        <v>3011.2</v>
      </c>
      <c r="E1402" s="23">
        <v>42110</v>
      </c>
      <c r="F1402" s="106">
        <v>3011.2</v>
      </c>
      <c r="G1402" s="31">
        <f t="shared" si="21"/>
        <v>0</v>
      </c>
      <c r="H1402" s="19" t="s">
        <v>19</v>
      </c>
      <c r="K1402" s="3"/>
    </row>
    <row r="1403" spans="1:11" x14ac:dyDescent="0.25">
      <c r="A1403" s="20">
        <v>42109</v>
      </c>
      <c r="B1403" s="183">
        <v>17940</v>
      </c>
      <c r="C1403" s="150" t="s">
        <v>106</v>
      </c>
      <c r="D1403" s="105">
        <v>3519.6</v>
      </c>
      <c r="E1403" s="23">
        <v>42110</v>
      </c>
      <c r="F1403" s="106">
        <v>3519.6</v>
      </c>
      <c r="G1403" s="31">
        <f t="shared" si="21"/>
        <v>0</v>
      </c>
      <c r="H1403" s="19" t="s">
        <v>19</v>
      </c>
      <c r="J1403" s="107"/>
      <c r="K1403" s="3"/>
    </row>
    <row r="1404" spans="1:11" x14ac:dyDescent="0.25">
      <c r="A1404" s="20">
        <v>42109</v>
      </c>
      <c r="B1404" s="183">
        <v>17941</v>
      </c>
      <c r="C1404" s="14" t="s">
        <v>96</v>
      </c>
      <c r="D1404" s="105">
        <v>3247</v>
      </c>
      <c r="E1404" s="23">
        <v>42110</v>
      </c>
      <c r="F1404" s="106">
        <v>3247</v>
      </c>
      <c r="G1404" s="48">
        <f t="shared" si="21"/>
        <v>0</v>
      </c>
      <c r="H1404" s="19" t="s">
        <v>19</v>
      </c>
      <c r="K1404" s="3"/>
    </row>
    <row r="1405" spans="1:11" x14ac:dyDescent="0.25">
      <c r="A1405" s="20">
        <v>42109</v>
      </c>
      <c r="B1405" s="183">
        <v>17942</v>
      </c>
      <c r="C1405" s="14" t="s">
        <v>912</v>
      </c>
      <c r="D1405" s="105">
        <v>5043</v>
      </c>
      <c r="E1405" s="23">
        <v>42110</v>
      </c>
      <c r="F1405" s="106">
        <v>5043</v>
      </c>
      <c r="G1405" s="31">
        <f t="shared" si="21"/>
        <v>0</v>
      </c>
      <c r="H1405" s="19" t="s">
        <v>19</v>
      </c>
      <c r="K1405" s="3"/>
    </row>
    <row r="1406" spans="1:11" x14ac:dyDescent="0.25">
      <c r="A1406" s="20">
        <v>42109</v>
      </c>
      <c r="B1406" s="183">
        <v>17943</v>
      </c>
      <c r="C1406" s="14" t="s">
        <v>104</v>
      </c>
      <c r="D1406" s="105">
        <v>2509.1999999999998</v>
      </c>
      <c r="E1406" s="23">
        <v>42110</v>
      </c>
      <c r="F1406" s="106">
        <v>2509.1999999999998</v>
      </c>
      <c r="G1406" s="31">
        <f t="shared" si="21"/>
        <v>0</v>
      </c>
      <c r="H1406" s="19" t="s">
        <v>19</v>
      </c>
      <c r="K1406" s="3"/>
    </row>
    <row r="1407" spans="1:11" x14ac:dyDescent="0.25">
      <c r="A1407" s="20">
        <v>42109</v>
      </c>
      <c r="B1407" s="183">
        <v>17944</v>
      </c>
      <c r="C1407" s="14" t="s">
        <v>256</v>
      </c>
      <c r="D1407" s="105">
        <v>3479.4</v>
      </c>
      <c r="E1407" s="23">
        <v>42110</v>
      </c>
      <c r="F1407" s="106">
        <v>3479.4</v>
      </c>
      <c r="G1407" s="31">
        <f t="shared" si="21"/>
        <v>0</v>
      </c>
      <c r="H1407" s="19" t="s">
        <v>773</v>
      </c>
      <c r="K1407" s="3"/>
    </row>
    <row r="1408" spans="1:11" x14ac:dyDescent="0.25">
      <c r="A1408" s="20">
        <v>42109</v>
      </c>
      <c r="B1408" s="183">
        <v>17945</v>
      </c>
      <c r="C1408" s="14" t="s">
        <v>237</v>
      </c>
      <c r="D1408" s="105">
        <v>500</v>
      </c>
      <c r="E1408" s="23">
        <v>42109</v>
      </c>
      <c r="F1408" s="106">
        <v>500</v>
      </c>
      <c r="G1408" s="31">
        <f t="shared" si="21"/>
        <v>0</v>
      </c>
      <c r="H1408" s="19" t="s">
        <v>9</v>
      </c>
      <c r="K1408" s="3"/>
    </row>
    <row r="1409" spans="1:11" x14ac:dyDescent="0.25">
      <c r="A1409" s="20">
        <v>42109</v>
      </c>
      <c r="B1409" s="183">
        <v>17946</v>
      </c>
      <c r="C1409" s="14" t="s">
        <v>28</v>
      </c>
      <c r="D1409" s="105">
        <v>3615.6</v>
      </c>
      <c r="E1409" s="23">
        <v>42110</v>
      </c>
      <c r="F1409" s="106">
        <v>3615.6</v>
      </c>
      <c r="G1409" s="31">
        <f t="shared" si="21"/>
        <v>0</v>
      </c>
      <c r="H1409" s="19" t="s">
        <v>773</v>
      </c>
      <c r="K1409" s="3"/>
    </row>
    <row r="1410" spans="1:11" x14ac:dyDescent="0.25">
      <c r="A1410" s="20">
        <v>42109</v>
      </c>
      <c r="B1410" s="183">
        <v>17947</v>
      </c>
      <c r="C1410" s="14" t="s">
        <v>1053</v>
      </c>
      <c r="D1410" s="105">
        <v>38857.599999999999</v>
      </c>
      <c r="E1410" s="23">
        <v>42112</v>
      </c>
      <c r="F1410" s="106">
        <v>38857.599999999999</v>
      </c>
      <c r="G1410" s="31">
        <f t="shared" si="21"/>
        <v>0</v>
      </c>
      <c r="H1410" s="19" t="s">
        <v>773</v>
      </c>
      <c r="K1410" s="3"/>
    </row>
    <row r="1411" spans="1:11" x14ac:dyDescent="0.25">
      <c r="A1411" s="20">
        <v>42109</v>
      </c>
      <c r="B1411" s="183">
        <v>17948</v>
      </c>
      <c r="C1411" s="14" t="s">
        <v>110</v>
      </c>
      <c r="D1411" s="105">
        <v>10767.3</v>
      </c>
      <c r="E1411" s="23">
        <v>42117</v>
      </c>
      <c r="F1411" s="106">
        <v>10767.3</v>
      </c>
      <c r="G1411" s="31">
        <f t="shared" ref="G1411:G1474" si="22">D1411-F1411</f>
        <v>0</v>
      </c>
      <c r="H1411" s="19" t="s">
        <v>19</v>
      </c>
      <c r="K1411" s="3"/>
    </row>
    <row r="1412" spans="1:11" x14ac:dyDescent="0.25">
      <c r="A1412" s="20">
        <v>42109</v>
      </c>
      <c r="B1412" s="183">
        <v>17949</v>
      </c>
      <c r="C1412" s="14" t="s">
        <v>233</v>
      </c>
      <c r="D1412" s="105">
        <v>5320.8</v>
      </c>
      <c r="E1412" s="23">
        <v>42110</v>
      </c>
      <c r="F1412" s="106">
        <v>5320.8</v>
      </c>
      <c r="G1412" s="31">
        <f t="shared" si="22"/>
        <v>0</v>
      </c>
      <c r="H1412" s="19" t="s">
        <v>41</v>
      </c>
      <c r="K1412" s="3"/>
    </row>
    <row r="1413" spans="1:11" x14ac:dyDescent="0.25">
      <c r="A1413" s="20">
        <v>42109</v>
      </c>
      <c r="B1413" s="183">
        <v>17950</v>
      </c>
      <c r="C1413" s="14" t="s">
        <v>89</v>
      </c>
      <c r="D1413" s="105">
        <v>3857.1</v>
      </c>
      <c r="E1413" s="23">
        <v>42109</v>
      </c>
      <c r="F1413" s="106">
        <v>3857.1</v>
      </c>
      <c r="G1413" s="31">
        <f t="shared" si="22"/>
        <v>0</v>
      </c>
      <c r="H1413" s="19" t="s">
        <v>9</v>
      </c>
      <c r="K1413" s="3"/>
    </row>
    <row r="1414" spans="1:11" x14ac:dyDescent="0.25">
      <c r="A1414" s="20">
        <v>42109</v>
      </c>
      <c r="B1414" s="183">
        <v>17951</v>
      </c>
      <c r="C1414" s="14" t="s">
        <v>854</v>
      </c>
      <c r="D1414" s="105">
        <v>2147.1</v>
      </c>
      <c r="E1414" s="23">
        <v>42109</v>
      </c>
      <c r="F1414" s="106">
        <v>2147.1</v>
      </c>
      <c r="G1414" s="31">
        <f t="shared" si="22"/>
        <v>0</v>
      </c>
      <c r="H1414" s="19" t="s">
        <v>9</v>
      </c>
      <c r="K1414" s="3"/>
    </row>
    <row r="1415" spans="1:11" x14ac:dyDescent="0.25">
      <c r="A1415" s="20">
        <v>42109</v>
      </c>
      <c r="B1415" s="183">
        <v>17952</v>
      </c>
      <c r="C1415" s="14" t="s">
        <v>65</v>
      </c>
      <c r="D1415" s="105">
        <v>17862.400000000001</v>
      </c>
      <c r="E1415" s="23">
        <v>42110</v>
      </c>
      <c r="F1415" s="106">
        <v>17862.400000000001</v>
      </c>
      <c r="G1415" s="31">
        <f t="shared" si="22"/>
        <v>0</v>
      </c>
      <c r="H1415" s="19" t="s">
        <v>62</v>
      </c>
      <c r="K1415" s="3"/>
    </row>
    <row r="1416" spans="1:11" x14ac:dyDescent="0.25">
      <c r="A1416" s="20">
        <v>42109</v>
      </c>
      <c r="B1416" s="183">
        <v>17953</v>
      </c>
      <c r="C1416" s="14" t="s">
        <v>411</v>
      </c>
      <c r="D1416" s="105">
        <v>2331</v>
      </c>
      <c r="E1416" s="23">
        <v>42109</v>
      </c>
      <c r="F1416" s="106">
        <v>2331</v>
      </c>
      <c r="G1416" s="31">
        <f t="shared" si="22"/>
        <v>0</v>
      </c>
      <c r="H1416" s="19" t="s">
        <v>9</v>
      </c>
      <c r="K1416" s="3"/>
    </row>
    <row r="1417" spans="1:11" x14ac:dyDescent="0.25">
      <c r="A1417" s="20">
        <v>42109</v>
      </c>
      <c r="B1417" s="183">
        <v>17954</v>
      </c>
      <c r="C1417" s="14" t="s">
        <v>112</v>
      </c>
      <c r="D1417" s="105">
        <v>13960.8</v>
      </c>
      <c r="E1417" s="23">
        <v>42110</v>
      </c>
      <c r="F1417" s="106">
        <v>13960.8</v>
      </c>
      <c r="G1417" s="31">
        <f t="shared" si="22"/>
        <v>0</v>
      </c>
      <c r="H1417" s="19" t="s">
        <v>9</v>
      </c>
      <c r="K1417" s="3"/>
    </row>
    <row r="1418" spans="1:11" x14ac:dyDescent="0.25">
      <c r="A1418" s="20">
        <v>42109</v>
      </c>
      <c r="B1418" s="183">
        <v>17955</v>
      </c>
      <c r="C1418" s="14" t="s">
        <v>108</v>
      </c>
      <c r="D1418" s="105">
        <v>29783.15</v>
      </c>
      <c r="E1418" s="23">
        <v>42121</v>
      </c>
      <c r="F1418" s="106">
        <v>29783.15</v>
      </c>
      <c r="G1418" s="31">
        <f t="shared" si="22"/>
        <v>0</v>
      </c>
      <c r="H1418" s="19" t="s">
        <v>94</v>
      </c>
      <c r="J1418" s="119"/>
      <c r="K1418" s="3"/>
    </row>
    <row r="1419" spans="1:11" x14ac:dyDescent="0.25">
      <c r="A1419" s="20">
        <v>42109</v>
      </c>
      <c r="B1419" s="183">
        <v>17956</v>
      </c>
      <c r="C1419" s="14" t="s">
        <v>111</v>
      </c>
      <c r="D1419" s="105">
        <v>128918</v>
      </c>
      <c r="E1419" s="23">
        <v>42111</v>
      </c>
      <c r="F1419" s="106">
        <v>128918</v>
      </c>
      <c r="G1419" s="31">
        <f t="shared" si="22"/>
        <v>0</v>
      </c>
      <c r="H1419" s="19" t="s">
        <v>9</v>
      </c>
      <c r="J1419" s="107"/>
      <c r="K1419" s="3"/>
    </row>
    <row r="1420" spans="1:11" x14ac:dyDescent="0.25">
      <c r="A1420" s="20">
        <v>42109</v>
      </c>
      <c r="B1420" s="183">
        <v>17957</v>
      </c>
      <c r="C1420" s="14" t="s">
        <v>111</v>
      </c>
      <c r="D1420" s="105">
        <v>131760</v>
      </c>
      <c r="E1420" s="23">
        <v>42111</v>
      </c>
      <c r="F1420" s="106">
        <v>131760</v>
      </c>
      <c r="G1420" s="31">
        <f t="shared" si="22"/>
        <v>0</v>
      </c>
      <c r="H1420" s="19"/>
      <c r="K1420" s="3"/>
    </row>
    <row r="1421" spans="1:11" x14ac:dyDescent="0.25">
      <c r="A1421" s="20">
        <v>42109</v>
      </c>
      <c r="B1421" s="183">
        <v>17958</v>
      </c>
      <c r="C1421" s="14" t="s">
        <v>694</v>
      </c>
      <c r="D1421" s="105">
        <v>1288</v>
      </c>
      <c r="E1421" s="23">
        <v>42109</v>
      </c>
      <c r="F1421" s="106">
        <v>1288</v>
      </c>
      <c r="G1421" s="31">
        <f t="shared" si="22"/>
        <v>0</v>
      </c>
      <c r="H1421" s="19" t="s">
        <v>9</v>
      </c>
      <c r="K1421" s="3"/>
    </row>
    <row r="1422" spans="1:11" x14ac:dyDescent="0.25">
      <c r="A1422" s="20">
        <v>42109</v>
      </c>
      <c r="B1422" s="183">
        <v>17959</v>
      </c>
      <c r="C1422" s="26" t="s">
        <v>218</v>
      </c>
      <c r="D1422" s="108">
        <v>0</v>
      </c>
      <c r="E1422" s="23"/>
      <c r="F1422" s="106"/>
      <c r="G1422" s="31">
        <f t="shared" si="22"/>
        <v>0</v>
      </c>
      <c r="H1422" s="19" t="s">
        <v>13</v>
      </c>
      <c r="K1422" s="3"/>
    </row>
    <row r="1423" spans="1:11" x14ac:dyDescent="0.25">
      <c r="A1423" s="20">
        <v>42109</v>
      </c>
      <c r="B1423" s="183">
        <v>17960</v>
      </c>
      <c r="C1423" s="14" t="s">
        <v>111</v>
      </c>
      <c r="D1423" s="105">
        <v>144792</v>
      </c>
      <c r="E1423" s="23">
        <v>42111</v>
      </c>
      <c r="F1423" s="106">
        <v>144792</v>
      </c>
      <c r="G1423" s="31">
        <f t="shared" si="22"/>
        <v>0</v>
      </c>
      <c r="H1423" s="19" t="s">
        <v>9</v>
      </c>
      <c r="K1423" s="3"/>
    </row>
    <row r="1424" spans="1:11" x14ac:dyDescent="0.25">
      <c r="A1424" s="20">
        <v>42109</v>
      </c>
      <c r="B1424" s="183">
        <v>17961</v>
      </c>
      <c r="C1424" s="14" t="s">
        <v>128</v>
      </c>
      <c r="D1424" s="105">
        <v>8528.4</v>
      </c>
      <c r="E1424" s="23">
        <v>42109</v>
      </c>
      <c r="F1424" s="106">
        <v>8528.4</v>
      </c>
      <c r="G1424" s="31">
        <f t="shared" si="22"/>
        <v>0</v>
      </c>
      <c r="H1424" s="19" t="s">
        <v>9</v>
      </c>
      <c r="K1424" s="3"/>
    </row>
    <row r="1425" spans="1:11" x14ac:dyDescent="0.25">
      <c r="A1425" s="20">
        <v>42109</v>
      </c>
      <c r="B1425" s="183">
        <v>17962</v>
      </c>
      <c r="C1425" s="14" t="s">
        <v>834</v>
      </c>
      <c r="D1425" s="105">
        <v>1335</v>
      </c>
      <c r="E1425" s="23">
        <v>42109</v>
      </c>
      <c r="F1425" s="106">
        <v>1335</v>
      </c>
      <c r="G1425" s="48">
        <f t="shared" si="22"/>
        <v>0</v>
      </c>
      <c r="H1425" s="19" t="s">
        <v>9</v>
      </c>
      <c r="K1425" s="3"/>
    </row>
    <row r="1426" spans="1:11" x14ac:dyDescent="0.25">
      <c r="A1426" s="20">
        <v>42109</v>
      </c>
      <c r="B1426" s="183">
        <v>17963</v>
      </c>
      <c r="C1426" s="14" t="s">
        <v>336</v>
      </c>
      <c r="D1426" s="105">
        <v>984.2</v>
      </c>
      <c r="E1426" s="23">
        <v>42109</v>
      </c>
      <c r="F1426" s="106">
        <v>984.2</v>
      </c>
      <c r="G1426" s="48">
        <f t="shared" si="22"/>
        <v>0</v>
      </c>
      <c r="H1426" s="19" t="s">
        <v>9</v>
      </c>
      <c r="K1426" s="3"/>
    </row>
    <row r="1427" spans="1:11" x14ac:dyDescent="0.25">
      <c r="A1427" s="20">
        <v>42109</v>
      </c>
      <c r="B1427" s="183">
        <v>17964</v>
      </c>
      <c r="C1427" s="150" t="s">
        <v>571</v>
      </c>
      <c r="D1427" s="105">
        <v>32039.7</v>
      </c>
      <c r="E1427" s="29" t="s">
        <v>1113</v>
      </c>
      <c r="F1427" s="106">
        <f>406+31633.7</f>
        <v>32039.7</v>
      </c>
      <c r="G1427" s="48">
        <f t="shared" si="22"/>
        <v>0</v>
      </c>
      <c r="H1427" s="19" t="s">
        <v>773</v>
      </c>
      <c r="I1427" s="3"/>
      <c r="J1427" s="42"/>
      <c r="K1427" s="3"/>
    </row>
    <row r="1428" spans="1:11" x14ac:dyDescent="0.25">
      <c r="A1428" s="20">
        <v>42109</v>
      </c>
      <c r="B1428" s="183">
        <v>17965</v>
      </c>
      <c r="C1428" s="14" t="s">
        <v>38</v>
      </c>
      <c r="D1428" s="105">
        <v>30105</v>
      </c>
      <c r="E1428" s="30">
        <v>42130</v>
      </c>
      <c r="F1428" s="144">
        <v>30105</v>
      </c>
      <c r="G1428" s="48">
        <f t="shared" si="22"/>
        <v>0</v>
      </c>
      <c r="H1428" s="19" t="s">
        <v>94</v>
      </c>
      <c r="I1428" s="3"/>
      <c r="J1428" s="42"/>
      <c r="K1428" s="3"/>
    </row>
    <row r="1429" spans="1:11" x14ac:dyDescent="0.25">
      <c r="A1429" s="20">
        <v>42109</v>
      </c>
      <c r="B1429" s="183">
        <v>17966</v>
      </c>
      <c r="C1429" s="14" t="s">
        <v>454</v>
      </c>
      <c r="D1429" s="105">
        <v>2943</v>
      </c>
      <c r="E1429" s="23">
        <v>42110</v>
      </c>
      <c r="F1429" s="106">
        <v>2943</v>
      </c>
      <c r="G1429" s="48">
        <f t="shared" si="22"/>
        <v>0</v>
      </c>
      <c r="H1429" s="19" t="s">
        <v>94</v>
      </c>
      <c r="I1429" s="3"/>
      <c r="J1429" s="42"/>
      <c r="K1429" s="3"/>
    </row>
    <row r="1430" spans="1:11" x14ac:dyDescent="0.25">
      <c r="A1430" s="20">
        <v>42109</v>
      </c>
      <c r="B1430" s="183">
        <v>17967</v>
      </c>
      <c r="C1430" s="14" t="s">
        <v>249</v>
      </c>
      <c r="D1430" s="105">
        <v>2816.8</v>
      </c>
      <c r="E1430" s="23">
        <v>42110</v>
      </c>
      <c r="F1430" s="106">
        <v>2816.8</v>
      </c>
      <c r="G1430" s="48">
        <f t="shared" si="22"/>
        <v>0</v>
      </c>
      <c r="H1430" s="19" t="s">
        <v>1013</v>
      </c>
      <c r="I1430" s="3"/>
      <c r="J1430" s="42"/>
      <c r="K1430" s="3"/>
    </row>
    <row r="1431" spans="1:11" x14ac:dyDescent="0.25">
      <c r="A1431" s="20">
        <v>42109</v>
      </c>
      <c r="B1431" s="183">
        <v>17968</v>
      </c>
      <c r="C1431" s="14" t="s">
        <v>1020</v>
      </c>
      <c r="D1431" s="105">
        <v>1831.2</v>
      </c>
      <c r="E1431" s="23">
        <v>42109</v>
      </c>
      <c r="F1431" s="106">
        <v>1831.2</v>
      </c>
      <c r="G1431" s="48">
        <f t="shared" si="22"/>
        <v>0</v>
      </c>
      <c r="H1431" s="19" t="s">
        <v>9</v>
      </c>
      <c r="I1431" s="3"/>
      <c r="J1431" s="42"/>
      <c r="K1431" s="3"/>
    </row>
    <row r="1432" spans="1:11" x14ac:dyDescent="0.25">
      <c r="A1432" s="20">
        <v>42109</v>
      </c>
      <c r="B1432" s="183">
        <v>17969</v>
      </c>
      <c r="C1432" s="14" t="s">
        <v>1101</v>
      </c>
      <c r="D1432" s="105">
        <v>676</v>
      </c>
      <c r="E1432" s="23" t="s">
        <v>1105</v>
      </c>
      <c r="F1432" s="106">
        <f>400+276</f>
        <v>676</v>
      </c>
      <c r="G1432" s="48">
        <f t="shared" si="22"/>
        <v>0</v>
      </c>
      <c r="H1432" s="19" t="s">
        <v>9</v>
      </c>
      <c r="I1432" s="3"/>
      <c r="J1432" s="42"/>
      <c r="K1432" s="3"/>
    </row>
    <row r="1433" spans="1:11" x14ac:dyDescent="0.25">
      <c r="A1433" s="20">
        <v>42109</v>
      </c>
      <c r="B1433" s="183">
        <v>17970</v>
      </c>
      <c r="C1433" s="14" t="s">
        <v>24</v>
      </c>
      <c r="D1433" s="105">
        <v>240323.18</v>
      </c>
      <c r="E1433" s="30">
        <v>42138</v>
      </c>
      <c r="F1433" s="144">
        <v>240323.18</v>
      </c>
      <c r="G1433" s="48">
        <f t="shared" si="22"/>
        <v>0</v>
      </c>
      <c r="H1433" s="19" t="s">
        <v>9</v>
      </c>
      <c r="I1433" s="3"/>
      <c r="J1433" s="42"/>
      <c r="K1433" s="3"/>
    </row>
    <row r="1434" spans="1:11" x14ac:dyDescent="0.25">
      <c r="A1434" s="20">
        <v>42109</v>
      </c>
      <c r="B1434" s="183">
        <v>17971</v>
      </c>
      <c r="C1434" s="14" t="s">
        <v>74</v>
      </c>
      <c r="D1434" s="105">
        <v>947.6</v>
      </c>
      <c r="E1434" s="23">
        <v>42109</v>
      </c>
      <c r="F1434" s="106">
        <v>947.6</v>
      </c>
      <c r="G1434" s="48">
        <f t="shared" si="22"/>
        <v>0</v>
      </c>
      <c r="H1434" s="19" t="s">
        <v>9</v>
      </c>
      <c r="I1434" s="3"/>
      <c r="J1434" s="42"/>
      <c r="K1434" s="3"/>
    </row>
    <row r="1435" spans="1:11" x14ac:dyDescent="0.25">
      <c r="A1435" s="20">
        <v>42109</v>
      </c>
      <c r="B1435" s="183">
        <v>17972</v>
      </c>
      <c r="C1435" s="14" t="s">
        <v>24</v>
      </c>
      <c r="D1435" s="105">
        <v>16338.4</v>
      </c>
      <c r="E1435" s="30">
        <v>42138</v>
      </c>
      <c r="F1435" s="144">
        <v>16338.4</v>
      </c>
      <c r="G1435" s="48">
        <f t="shared" si="22"/>
        <v>0</v>
      </c>
      <c r="H1435" s="19" t="s">
        <v>46</v>
      </c>
      <c r="I1435" s="3"/>
      <c r="J1435" s="42"/>
      <c r="K1435" s="3"/>
    </row>
    <row r="1436" spans="1:11" x14ac:dyDescent="0.25">
      <c r="A1436" s="20">
        <v>42110</v>
      </c>
      <c r="B1436" s="183">
        <v>17973</v>
      </c>
      <c r="C1436" s="14" t="s">
        <v>18</v>
      </c>
      <c r="D1436" s="105">
        <v>2118.4</v>
      </c>
      <c r="E1436" s="23">
        <v>42110</v>
      </c>
      <c r="F1436" s="106">
        <v>2118.4</v>
      </c>
      <c r="G1436" s="48">
        <f t="shared" si="22"/>
        <v>0</v>
      </c>
      <c r="H1436" s="19" t="s">
        <v>9</v>
      </c>
      <c r="I1436" s="3"/>
      <c r="J1436" s="42"/>
      <c r="K1436" s="3"/>
    </row>
    <row r="1437" spans="1:11" x14ac:dyDescent="0.25">
      <c r="A1437" s="20">
        <v>42110</v>
      </c>
      <c r="B1437" s="183">
        <v>17974</v>
      </c>
      <c r="C1437" s="14" t="s">
        <v>211</v>
      </c>
      <c r="D1437" s="105">
        <v>56872.9</v>
      </c>
      <c r="E1437" s="23">
        <v>42115</v>
      </c>
      <c r="F1437" s="106">
        <v>56872.9</v>
      </c>
      <c r="G1437" s="48">
        <f t="shared" si="22"/>
        <v>0</v>
      </c>
      <c r="H1437" s="19" t="s">
        <v>9</v>
      </c>
      <c r="I1437" s="3"/>
      <c r="J1437" s="42"/>
      <c r="K1437" s="3"/>
    </row>
    <row r="1438" spans="1:11" x14ac:dyDescent="0.25">
      <c r="A1438" s="20">
        <v>42110</v>
      </c>
      <c r="B1438" s="183">
        <v>17975</v>
      </c>
      <c r="C1438" s="14" t="s">
        <v>16</v>
      </c>
      <c r="D1438" s="105">
        <v>11031.6</v>
      </c>
      <c r="E1438" s="23">
        <v>42110</v>
      </c>
      <c r="F1438" s="106">
        <v>11031.6</v>
      </c>
      <c r="G1438" s="48">
        <f t="shared" si="22"/>
        <v>0</v>
      </c>
      <c r="H1438" s="19" t="s">
        <v>17</v>
      </c>
      <c r="I1438" s="3"/>
      <c r="J1438" s="42"/>
      <c r="K1438" s="3"/>
    </row>
    <row r="1439" spans="1:11" x14ac:dyDescent="0.25">
      <c r="A1439" s="20">
        <v>42110</v>
      </c>
      <c r="B1439" s="183">
        <v>17976</v>
      </c>
      <c r="C1439" s="14" t="s">
        <v>21</v>
      </c>
      <c r="D1439" s="105">
        <v>10997.3</v>
      </c>
      <c r="E1439" s="23">
        <v>42110</v>
      </c>
      <c r="F1439" s="106">
        <v>10997.3</v>
      </c>
      <c r="G1439" s="48">
        <f t="shared" si="22"/>
        <v>0</v>
      </c>
      <c r="H1439" s="19" t="s">
        <v>9</v>
      </c>
      <c r="I1439" s="3"/>
      <c r="J1439" s="42"/>
      <c r="K1439" s="3"/>
    </row>
    <row r="1440" spans="1:11" x14ac:dyDescent="0.25">
      <c r="A1440" s="20">
        <v>42110</v>
      </c>
      <c r="B1440" s="183">
        <v>17977</v>
      </c>
      <c r="C1440" s="14" t="s">
        <v>383</v>
      </c>
      <c r="D1440" s="105">
        <v>2476</v>
      </c>
      <c r="E1440" s="23">
        <v>42110</v>
      </c>
      <c r="F1440" s="106">
        <v>2476</v>
      </c>
      <c r="G1440" s="48">
        <f t="shared" si="22"/>
        <v>0</v>
      </c>
      <c r="H1440" s="39" t="s">
        <v>9</v>
      </c>
      <c r="I1440" s="3"/>
      <c r="J1440" s="42"/>
      <c r="K1440" s="3"/>
    </row>
    <row r="1441" spans="1:11" x14ac:dyDescent="0.25">
      <c r="A1441" s="20">
        <v>42110</v>
      </c>
      <c r="B1441" s="183">
        <v>17978</v>
      </c>
      <c r="C1441" s="14" t="s">
        <v>21</v>
      </c>
      <c r="D1441" s="105">
        <v>242.2</v>
      </c>
      <c r="E1441" s="23">
        <v>42110</v>
      </c>
      <c r="F1441" s="106">
        <v>242.2</v>
      </c>
      <c r="G1441" s="48">
        <f t="shared" si="22"/>
        <v>0</v>
      </c>
      <c r="H1441" s="39" t="s">
        <v>9</v>
      </c>
      <c r="I1441" s="3"/>
      <c r="J1441" s="42"/>
      <c r="K1441" s="3"/>
    </row>
    <row r="1442" spans="1:11" x14ac:dyDescent="0.25">
      <c r="A1442" s="20">
        <v>42110</v>
      </c>
      <c r="B1442" s="183">
        <v>17979</v>
      </c>
      <c r="C1442" s="14" t="s">
        <v>863</v>
      </c>
      <c r="D1442" s="105">
        <v>10653.1</v>
      </c>
      <c r="E1442" s="23">
        <v>42110</v>
      </c>
      <c r="F1442" s="106">
        <v>10653.1</v>
      </c>
      <c r="G1442" s="48">
        <f t="shared" si="22"/>
        <v>0</v>
      </c>
      <c r="H1442" s="39" t="s">
        <v>9</v>
      </c>
      <c r="I1442" s="3"/>
      <c r="J1442" s="42"/>
      <c r="K1442" s="3"/>
    </row>
    <row r="1443" spans="1:11" x14ac:dyDescent="0.25">
      <c r="A1443" s="20">
        <v>42110</v>
      </c>
      <c r="B1443" s="183">
        <v>17980</v>
      </c>
      <c r="C1443" s="14" t="s">
        <v>43</v>
      </c>
      <c r="D1443" s="105">
        <v>13856.4</v>
      </c>
      <c r="E1443" s="23">
        <v>42110</v>
      </c>
      <c r="F1443" s="106">
        <v>13856.4</v>
      </c>
      <c r="G1443" s="48">
        <f t="shared" si="22"/>
        <v>0</v>
      </c>
      <c r="H1443" s="39" t="s">
        <v>9</v>
      </c>
      <c r="I1443" s="3"/>
      <c r="J1443" s="42"/>
      <c r="K1443" s="3"/>
    </row>
    <row r="1444" spans="1:11" x14ac:dyDescent="0.25">
      <c r="A1444" s="20">
        <v>42110</v>
      </c>
      <c r="B1444" s="183">
        <v>17981</v>
      </c>
      <c r="C1444" s="14" t="s">
        <v>121</v>
      </c>
      <c r="D1444" s="105">
        <v>2106.8000000000002</v>
      </c>
      <c r="E1444" s="23">
        <v>42110</v>
      </c>
      <c r="F1444" s="106">
        <v>2106.8000000000002</v>
      </c>
      <c r="G1444" s="48">
        <f t="shared" si="22"/>
        <v>0</v>
      </c>
      <c r="H1444" s="39" t="s">
        <v>9</v>
      </c>
      <c r="I1444" s="3"/>
      <c r="J1444" s="42"/>
      <c r="K1444" s="3"/>
    </row>
    <row r="1445" spans="1:11" x14ac:dyDescent="0.25">
      <c r="A1445" s="20">
        <v>42110</v>
      </c>
      <c r="B1445" s="183">
        <v>17982</v>
      </c>
      <c r="C1445" s="14" t="s">
        <v>252</v>
      </c>
      <c r="D1445" s="105">
        <v>563.20000000000005</v>
      </c>
      <c r="E1445" s="23">
        <v>42110</v>
      </c>
      <c r="F1445" s="106">
        <v>563.20000000000005</v>
      </c>
      <c r="G1445" s="48">
        <f t="shared" si="22"/>
        <v>0</v>
      </c>
      <c r="H1445" s="39" t="s">
        <v>9</v>
      </c>
      <c r="I1445" s="3"/>
      <c r="J1445" s="42"/>
      <c r="K1445" s="3"/>
    </row>
    <row r="1446" spans="1:11" x14ac:dyDescent="0.25">
      <c r="A1446" s="20">
        <v>42110</v>
      </c>
      <c r="B1446" s="183">
        <v>17983</v>
      </c>
      <c r="C1446" s="14" t="s">
        <v>14</v>
      </c>
      <c r="D1446" s="105">
        <v>21915.599999999999</v>
      </c>
      <c r="E1446" s="23">
        <v>42117</v>
      </c>
      <c r="F1446" s="106">
        <v>21915.599999999999</v>
      </c>
      <c r="G1446" s="48">
        <f t="shared" si="22"/>
        <v>0</v>
      </c>
      <c r="H1446" s="39" t="s">
        <v>9</v>
      </c>
      <c r="I1446" s="3"/>
      <c r="J1446" s="42"/>
      <c r="K1446" s="3"/>
    </row>
    <row r="1447" spans="1:11" x14ac:dyDescent="0.25">
      <c r="A1447" s="20">
        <v>42110</v>
      </c>
      <c r="B1447" s="183">
        <v>17984</v>
      </c>
      <c r="C1447" s="14" t="s">
        <v>20</v>
      </c>
      <c r="D1447" s="105">
        <v>10699.8</v>
      </c>
      <c r="E1447" s="23">
        <v>42110</v>
      </c>
      <c r="F1447" s="106">
        <v>10699.8</v>
      </c>
      <c r="G1447" s="48">
        <f t="shared" si="22"/>
        <v>0</v>
      </c>
      <c r="H1447" s="39" t="s">
        <v>94</v>
      </c>
      <c r="I1447" s="3"/>
      <c r="J1447" s="42"/>
      <c r="K1447" s="3"/>
    </row>
    <row r="1448" spans="1:11" x14ac:dyDescent="0.25">
      <c r="A1448" s="20">
        <v>42110</v>
      </c>
      <c r="B1448" s="183">
        <v>17985</v>
      </c>
      <c r="C1448" s="14" t="s">
        <v>829</v>
      </c>
      <c r="D1448" s="105">
        <v>4473.8</v>
      </c>
      <c r="E1448" s="23">
        <v>42110</v>
      </c>
      <c r="F1448" s="106">
        <v>4473.8</v>
      </c>
      <c r="G1448" s="48">
        <f t="shared" si="22"/>
        <v>0</v>
      </c>
      <c r="H1448" s="39" t="s">
        <v>9</v>
      </c>
      <c r="I1448" s="3"/>
      <c r="J1448" s="42"/>
      <c r="K1448" s="3"/>
    </row>
    <row r="1449" spans="1:11" x14ac:dyDescent="0.25">
      <c r="A1449" s="20">
        <v>42110</v>
      </c>
      <c r="B1449" s="183">
        <v>17986</v>
      </c>
      <c r="C1449" s="14" t="s">
        <v>114</v>
      </c>
      <c r="D1449" s="105">
        <v>777.6</v>
      </c>
      <c r="E1449" s="23">
        <v>42110</v>
      </c>
      <c r="F1449" s="106">
        <v>777.6</v>
      </c>
      <c r="G1449" s="48">
        <f t="shared" si="22"/>
        <v>0</v>
      </c>
      <c r="H1449" s="39" t="s">
        <v>9</v>
      </c>
      <c r="I1449" s="3"/>
      <c r="J1449" s="42"/>
      <c r="K1449" s="3"/>
    </row>
    <row r="1450" spans="1:11" x14ac:dyDescent="0.25">
      <c r="A1450" s="20">
        <v>42110</v>
      </c>
      <c r="B1450" s="183">
        <v>17987</v>
      </c>
      <c r="C1450" s="14" t="s">
        <v>151</v>
      </c>
      <c r="D1450" s="105">
        <v>1953.2</v>
      </c>
      <c r="E1450" s="23">
        <v>42111</v>
      </c>
      <c r="F1450" s="106">
        <v>1953.2</v>
      </c>
      <c r="G1450" s="48">
        <f t="shared" si="22"/>
        <v>0</v>
      </c>
      <c r="H1450" s="39" t="s">
        <v>9</v>
      </c>
      <c r="I1450" s="3"/>
      <c r="J1450" s="42"/>
      <c r="K1450" s="3"/>
    </row>
    <row r="1451" spans="1:11" x14ac:dyDescent="0.25">
      <c r="A1451" s="20">
        <v>42110</v>
      </c>
      <c r="B1451" s="183">
        <v>17988</v>
      </c>
      <c r="C1451" s="14" t="s">
        <v>854</v>
      </c>
      <c r="D1451" s="105">
        <v>2459.1999999999998</v>
      </c>
      <c r="E1451" s="23" t="s">
        <v>1114</v>
      </c>
      <c r="F1451" s="106">
        <f>1700+759.2</f>
        <v>2459.1999999999998</v>
      </c>
      <c r="G1451" s="48">
        <f t="shared" si="22"/>
        <v>0</v>
      </c>
      <c r="H1451" s="39" t="s">
        <v>9</v>
      </c>
      <c r="I1451" s="3"/>
      <c r="J1451" s="42"/>
      <c r="K1451" s="3"/>
    </row>
    <row r="1452" spans="1:11" x14ac:dyDescent="0.25">
      <c r="A1452" s="20">
        <v>42110</v>
      </c>
      <c r="B1452" s="183">
        <v>17989</v>
      </c>
      <c r="C1452" s="14" t="s">
        <v>24</v>
      </c>
      <c r="D1452" s="105">
        <v>53206.2</v>
      </c>
      <c r="E1452" s="30">
        <v>42138</v>
      </c>
      <c r="F1452" s="144">
        <v>53206.2</v>
      </c>
      <c r="G1452" s="48">
        <f t="shared" si="22"/>
        <v>0</v>
      </c>
      <c r="H1452" s="39" t="s">
        <v>9</v>
      </c>
      <c r="I1452" s="3"/>
      <c r="J1452" s="42"/>
      <c r="K1452" s="3"/>
    </row>
    <row r="1453" spans="1:11" x14ac:dyDescent="0.25">
      <c r="A1453" s="20">
        <v>42110</v>
      </c>
      <c r="B1453" s="183">
        <v>17990</v>
      </c>
      <c r="C1453" s="14" t="s">
        <v>135</v>
      </c>
      <c r="D1453" s="105">
        <v>9499.2000000000007</v>
      </c>
      <c r="E1453" s="23">
        <v>42110</v>
      </c>
      <c r="F1453" s="106">
        <v>9499.2000000000007</v>
      </c>
      <c r="G1453" s="48">
        <f t="shared" si="22"/>
        <v>0</v>
      </c>
      <c r="H1453" s="39" t="s">
        <v>9</v>
      </c>
      <c r="I1453" s="3"/>
      <c r="J1453" s="42"/>
      <c r="K1453" s="3"/>
    </row>
    <row r="1454" spans="1:11" x14ac:dyDescent="0.25">
      <c r="A1454" s="20">
        <v>42110</v>
      </c>
      <c r="B1454" s="183">
        <v>17991</v>
      </c>
      <c r="C1454" s="14" t="s">
        <v>97</v>
      </c>
      <c r="D1454" s="105">
        <v>6116.6</v>
      </c>
      <c r="E1454" s="23">
        <v>42110</v>
      </c>
      <c r="F1454" s="106">
        <v>6116.6</v>
      </c>
      <c r="G1454" s="48">
        <f t="shared" si="22"/>
        <v>0</v>
      </c>
      <c r="H1454" s="39" t="s">
        <v>9</v>
      </c>
      <c r="I1454" s="3"/>
      <c r="J1454" s="42"/>
      <c r="K1454" s="3"/>
    </row>
    <row r="1455" spans="1:11" x14ac:dyDescent="0.25">
      <c r="A1455" s="20">
        <v>42110</v>
      </c>
      <c r="B1455" s="183">
        <v>17992</v>
      </c>
      <c r="C1455" s="14" t="s">
        <v>23</v>
      </c>
      <c r="D1455" s="105">
        <v>4111</v>
      </c>
      <c r="E1455" s="23">
        <v>42110</v>
      </c>
      <c r="F1455" s="106">
        <v>4111</v>
      </c>
      <c r="G1455" s="48">
        <f t="shared" si="22"/>
        <v>0</v>
      </c>
      <c r="H1455" s="39" t="s">
        <v>9</v>
      </c>
      <c r="I1455" s="3"/>
      <c r="J1455" s="42"/>
      <c r="K1455" s="3"/>
    </row>
    <row r="1456" spans="1:11" x14ac:dyDescent="0.25">
      <c r="A1456" s="20">
        <v>42110</v>
      </c>
      <c r="B1456" s="183">
        <v>17993</v>
      </c>
      <c r="C1456" s="14" t="s">
        <v>254</v>
      </c>
      <c r="D1456" s="105">
        <v>1660</v>
      </c>
      <c r="E1456" s="23">
        <v>42110</v>
      </c>
      <c r="F1456" s="106">
        <v>1660</v>
      </c>
      <c r="G1456" s="48">
        <f t="shared" si="22"/>
        <v>0</v>
      </c>
      <c r="H1456" s="39" t="s">
        <v>9</v>
      </c>
      <c r="I1456" s="3"/>
      <c r="J1456" s="42"/>
      <c r="K1456" s="3"/>
    </row>
    <row r="1457" spans="1:11" x14ac:dyDescent="0.25">
      <c r="A1457" s="20">
        <v>42110</v>
      </c>
      <c r="B1457" s="183">
        <v>17994</v>
      </c>
      <c r="C1457" s="14" t="s">
        <v>254</v>
      </c>
      <c r="D1457" s="105">
        <v>5206</v>
      </c>
      <c r="E1457" s="23">
        <v>42110</v>
      </c>
      <c r="F1457" s="106">
        <v>5206</v>
      </c>
      <c r="G1457" s="48">
        <f t="shared" si="22"/>
        <v>0</v>
      </c>
      <c r="H1457" s="39" t="s">
        <v>9</v>
      </c>
      <c r="I1457" s="3"/>
      <c r="J1457" s="42"/>
      <c r="K1457" s="3"/>
    </row>
    <row r="1458" spans="1:11" x14ac:dyDescent="0.25">
      <c r="A1458" s="20">
        <v>42110</v>
      </c>
      <c r="B1458" s="183">
        <v>17995</v>
      </c>
      <c r="C1458" s="14" t="s">
        <v>125</v>
      </c>
      <c r="D1458" s="105">
        <v>11143.5</v>
      </c>
      <c r="E1458" s="23">
        <v>42110</v>
      </c>
      <c r="F1458" s="106">
        <v>11143.5</v>
      </c>
      <c r="G1458" s="48">
        <f t="shared" si="22"/>
        <v>0</v>
      </c>
      <c r="H1458" s="39" t="s">
        <v>9</v>
      </c>
      <c r="I1458" s="3"/>
      <c r="J1458" s="42"/>
      <c r="K1458" s="3"/>
    </row>
    <row r="1459" spans="1:11" x14ac:dyDescent="0.25">
      <c r="A1459" s="20">
        <v>42110</v>
      </c>
      <c r="B1459" s="183">
        <v>17996</v>
      </c>
      <c r="C1459" s="14" t="s">
        <v>161</v>
      </c>
      <c r="D1459" s="105">
        <v>20233.919999999998</v>
      </c>
      <c r="E1459" s="23">
        <v>42110</v>
      </c>
      <c r="F1459" s="106">
        <v>20233.919999999998</v>
      </c>
      <c r="G1459" s="48">
        <f t="shared" si="22"/>
        <v>0</v>
      </c>
      <c r="H1459" s="39" t="s">
        <v>9</v>
      </c>
      <c r="J1459" s="107"/>
      <c r="K1459" s="3"/>
    </row>
    <row r="1460" spans="1:11" x14ac:dyDescent="0.25">
      <c r="A1460" s="20">
        <v>42110</v>
      </c>
      <c r="B1460" s="183">
        <v>17997</v>
      </c>
      <c r="C1460" s="14" t="s">
        <v>110</v>
      </c>
      <c r="D1460" s="105">
        <v>47428.67</v>
      </c>
      <c r="E1460" s="30">
        <v>42126</v>
      </c>
      <c r="F1460" s="144">
        <v>47428.67</v>
      </c>
      <c r="G1460" s="48">
        <f t="shared" si="22"/>
        <v>0</v>
      </c>
      <c r="H1460" s="39" t="s">
        <v>1013</v>
      </c>
      <c r="K1460" s="3"/>
    </row>
    <row r="1461" spans="1:11" x14ac:dyDescent="0.25">
      <c r="A1461" s="20">
        <v>42110</v>
      </c>
      <c r="B1461" s="183">
        <v>17998</v>
      </c>
      <c r="C1461" s="185" t="s">
        <v>218</v>
      </c>
      <c r="D1461" s="108">
        <v>0</v>
      </c>
      <c r="E1461" s="23"/>
      <c r="F1461" s="106"/>
      <c r="G1461" s="48">
        <f t="shared" si="22"/>
        <v>0</v>
      </c>
      <c r="H1461" s="39" t="s">
        <v>13</v>
      </c>
      <c r="K1461" s="3"/>
    </row>
    <row r="1462" spans="1:11" x14ac:dyDescent="0.25">
      <c r="A1462" s="20">
        <v>42110</v>
      </c>
      <c r="B1462" s="183">
        <v>17999</v>
      </c>
      <c r="C1462" s="14" t="s">
        <v>375</v>
      </c>
      <c r="D1462" s="105">
        <v>2051.1</v>
      </c>
      <c r="E1462" s="23">
        <v>42110</v>
      </c>
      <c r="F1462" s="106">
        <v>2051.1</v>
      </c>
      <c r="G1462" s="48">
        <f t="shared" si="22"/>
        <v>0</v>
      </c>
      <c r="H1462" s="39" t="s">
        <v>9</v>
      </c>
      <c r="K1462" s="3"/>
    </row>
    <row r="1463" spans="1:11" x14ac:dyDescent="0.25">
      <c r="A1463" s="20">
        <v>42110</v>
      </c>
      <c r="B1463" s="183">
        <v>18000</v>
      </c>
      <c r="C1463" s="14" t="s">
        <v>32</v>
      </c>
      <c r="D1463" s="105">
        <v>161307.9</v>
      </c>
      <c r="E1463" s="23">
        <v>42115</v>
      </c>
      <c r="F1463" s="106">
        <v>161307.9</v>
      </c>
      <c r="G1463" s="48">
        <f t="shared" si="22"/>
        <v>0</v>
      </c>
      <c r="H1463" s="39" t="s">
        <v>149</v>
      </c>
      <c r="K1463" s="3"/>
    </row>
    <row r="1464" spans="1:11" x14ac:dyDescent="0.25">
      <c r="A1464" s="20">
        <v>42110</v>
      </c>
      <c r="B1464" s="183">
        <v>18001</v>
      </c>
      <c r="C1464" s="14" t="s">
        <v>34</v>
      </c>
      <c r="D1464" s="105">
        <v>5474.6</v>
      </c>
      <c r="E1464" s="23">
        <v>42110</v>
      </c>
      <c r="F1464" s="106">
        <v>5474.6</v>
      </c>
      <c r="G1464" s="48">
        <f t="shared" si="22"/>
        <v>0</v>
      </c>
      <c r="H1464" s="39" t="s">
        <v>9</v>
      </c>
      <c r="K1464" s="3"/>
    </row>
    <row r="1465" spans="1:11" x14ac:dyDescent="0.25">
      <c r="A1465" s="20">
        <v>42110</v>
      </c>
      <c r="B1465" s="183">
        <v>18002</v>
      </c>
      <c r="C1465" s="14" t="s">
        <v>1058</v>
      </c>
      <c r="D1465" s="105">
        <v>4884.8999999999996</v>
      </c>
      <c r="E1465" s="23">
        <v>42110</v>
      </c>
      <c r="F1465" s="106">
        <v>4884.8999999999996</v>
      </c>
      <c r="G1465" s="48">
        <f t="shared" si="22"/>
        <v>0</v>
      </c>
      <c r="H1465" s="39" t="s">
        <v>9</v>
      </c>
      <c r="K1465" s="3"/>
    </row>
    <row r="1466" spans="1:11" x14ac:dyDescent="0.25">
      <c r="A1466" s="20">
        <v>42110</v>
      </c>
      <c r="B1466" s="183">
        <v>18003</v>
      </c>
      <c r="C1466" s="14" t="s">
        <v>108</v>
      </c>
      <c r="D1466" s="105">
        <v>20142.79</v>
      </c>
      <c r="E1466" s="23">
        <v>42110</v>
      </c>
      <c r="F1466" s="106">
        <v>20142.79</v>
      </c>
      <c r="G1466" s="48">
        <f t="shared" si="22"/>
        <v>0</v>
      </c>
      <c r="H1466" s="39" t="s">
        <v>9</v>
      </c>
      <c r="K1466" s="3"/>
    </row>
    <row r="1467" spans="1:11" x14ac:dyDescent="0.25">
      <c r="A1467" s="20">
        <v>42110</v>
      </c>
      <c r="B1467" s="183">
        <v>18004</v>
      </c>
      <c r="C1467" s="14" t="s">
        <v>239</v>
      </c>
      <c r="D1467" s="105">
        <v>442</v>
      </c>
      <c r="E1467" s="23">
        <v>42110</v>
      </c>
      <c r="F1467" s="106">
        <v>442</v>
      </c>
      <c r="G1467" s="48">
        <f t="shared" si="22"/>
        <v>0</v>
      </c>
      <c r="H1467" s="39" t="s">
        <v>9</v>
      </c>
      <c r="K1467" s="3"/>
    </row>
    <row r="1468" spans="1:11" x14ac:dyDescent="0.25">
      <c r="A1468" s="20">
        <v>42110</v>
      </c>
      <c r="B1468" s="183">
        <v>18005</v>
      </c>
      <c r="C1468" s="14" t="s">
        <v>285</v>
      </c>
      <c r="D1468" s="105">
        <v>575.4</v>
      </c>
      <c r="E1468" s="51">
        <v>42111</v>
      </c>
      <c r="F1468" s="106">
        <v>575.4</v>
      </c>
      <c r="G1468" s="48">
        <f t="shared" si="22"/>
        <v>0</v>
      </c>
      <c r="H1468" s="39" t="s">
        <v>15</v>
      </c>
      <c r="K1468" s="3"/>
    </row>
    <row r="1469" spans="1:11" x14ac:dyDescent="0.25">
      <c r="A1469" s="20">
        <v>42110</v>
      </c>
      <c r="B1469" s="183">
        <v>18006</v>
      </c>
      <c r="C1469" s="14" t="s">
        <v>179</v>
      </c>
      <c r="D1469" s="105">
        <v>3839.7</v>
      </c>
      <c r="E1469" s="23">
        <v>42111</v>
      </c>
      <c r="F1469" s="106">
        <v>3839.7</v>
      </c>
      <c r="G1469" s="48">
        <f t="shared" si="22"/>
        <v>0</v>
      </c>
      <c r="H1469" s="39" t="s">
        <v>15</v>
      </c>
      <c r="K1469" s="3"/>
    </row>
    <row r="1470" spans="1:11" x14ac:dyDescent="0.25">
      <c r="A1470" s="20">
        <v>42110</v>
      </c>
      <c r="B1470" s="183">
        <v>18007</v>
      </c>
      <c r="C1470" s="14" t="s">
        <v>213</v>
      </c>
      <c r="D1470" s="105">
        <v>4082.4</v>
      </c>
      <c r="E1470" s="23">
        <v>42111</v>
      </c>
      <c r="F1470" s="106">
        <v>4082.4</v>
      </c>
      <c r="G1470" s="48">
        <f t="shared" si="22"/>
        <v>0</v>
      </c>
      <c r="H1470" s="39" t="s">
        <v>15</v>
      </c>
      <c r="K1470" s="3"/>
    </row>
    <row r="1471" spans="1:11" x14ac:dyDescent="0.25">
      <c r="A1471" s="20">
        <v>42110</v>
      </c>
      <c r="B1471" s="183">
        <v>18008</v>
      </c>
      <c r="C1471" s="14" t="s">
        <v>14</v>
      </c>
      <c r="D1471" s="105">
        <v>160300.76</v>
      </c>
      <c r="E1471" s="23">
        <v>42117</v>
      </c>
      <c r="F1471" s="106">
        <v>160300.76</v>
      </c>
      <c r="G1471" s="48">
        <f t="shared" si="22"/>
        <v>0</v>
      </c>
      <c r="H1471" s="39" t="s">
        <v>46</v>
      </c>
      <c r="K1471" s="3"/>
    </row>
    <row r="1472" spans="1:11" x14ac:dyDescent="0.25">
      <c r="A1472" s="20">
        <v>42110</v>
      </c>
      <c r="B1472" s="183">
        <v>18009</v>
      </c>
      <c r="C1472" s="14" t="s">
        <v>169</v>
      </c>
      <c r="D1472" s="105">
        <v>2135.1</v>
      </c>
      <c r="E1472" s="23">
        <v>42110</v>
      </c>
      <c r="F1472" s="106">
        <v>2135.1</v>
      </c>
      <c r="G1472" s="48">
        <f t="shared" si="22"/>
        <v>0</v>
      </c>
      <c r="H1472" s="39" t="s">
        <v>59</v>
      </c>
      <c r="K1472" s="3"/>
    </row>
    <row r="1473" spans="1:11" x14ac:dyDescent="0.25">
      <c r="A1473" s="20">
        <v>42110</v>
      </c>
      <c r="B1473" s="183">
        <v>18010</v>
      </c>
      <c r="C1473" s="14" t="s">
        <v>26</v>
      </c>
      <c r="D1473" s="105">
        <v>1904</v>
      </c>
      <c r="E1473" s="23">
        <v>42110</v>
      </c>
      <c r="F1473" s="106">
        <v>1904</v>
      </c>
      <c r="G1473" s="48">
        <f t="shared" si="22"/>
        <v>0</v>
      </c>
      <c r="H1473" s="39" t="s">
        <v>27</v>
      </c>
      <c r="K1473" s="3"/>
    </row>
    <row r="1474" spans="1:11" x14ac:dyDescent="0.25">
      <c r="A1474" s="20">
        <v>42110</v>
      </c>
      <c r="B1474" s="183">
        <v>18011</v>
      </c>
      <c r="C1474" s="14" t="s">
        <v>53</v>
      </c>
      <c r="D1474" s="105">
        <v>924.8</v>
      </c>
      <c r="E1474" s="23">
        <v>42110</v>
      </c>
      <c r="F1474" s="106">
        <v>924.8</v>
      </c>
      <c r="G1474" s="48">
        <f t="shared" si="22"/>
        <v>0</v>
      </c>
      <c r="H1474" s="39" t="s">
        <v>19</v>
      </c>
      <c r="K1474" s="3"/>
    </row>
    <row r="1475" spans="1:11" x14ac:dyDescent="0.25">
      <c r="A1475" s="20">
        <v>42110</v>
      </c>
      <c r="B1475" s="183">
        <v>18012</v>
      </c>
      <c r="C1475" s="14" t="s">
        <v>45</v>
      </c>
      <c r="D1475" s="105">
        <v>14403.5</v>
      </c>
      <c r="E1475" s="23">
        <v>42117</v>
      </c>
      <c r="F1475" s="106">
        <v>14403.5</v>
      </c>
      <c r="G1475" s="48">
        <f t="shared" ref="G1475:G1538" si="23">D1475-F1475</f>
        <v>0</v>
      </c>
      <c r="H1475" s="39" t="s">
        <v>59</v>
      </c>
      <c r="I1475" s="3"/>
      <c r="J1475" s="42"/>
      <c r="K1475" s="3"/>
    </row>
    <row r="1476" spans="1:11" x14ac:dyDescent="0.25">
      <c r="A1476" s="20">
        <v>42110</v>
      </c>
      <c r="B1476" s="183">
        <v>18013</v>
      </c>
      <c r="C1476" s="14" t="s">
        <v>81</v>
      </c>
      <c r="D1476" s="105">
        <v>2210.4</v>
      </c>
      <c r="E1476" s="23">
        <v>42110</v>
      </c>
      <c r="F1476" s="106">
        <v>2210.4</v>
      </c>
      <c r="G1476" s="48">
        <f t="shared" si="23"/>
        <v>0</v>
      </c>
      <c r="H1476" s="39" t="s">
        <v>59</v>
      </c>
      <c r="I1476" s="3"/>
      <c r="J1476" s="42"/>
      <c r="K1476" s="3"/>
    </row>
    <row r="1477" spans="1:11" x14ac:dyDescent="0.25">
      <c r="A1477" s="20">
        <v>42110</v>
      </c>
      <c r="B1477" s="183">
        <v>18014</v>
      </c>
      <c r="C1477" s="14" t="s">
        <v>82</v>
      </c>
      <c r="D1477" s="105">
        <v>5104.8999999999996</v>
      </c>
      <c r="E1477" s="23">
        <v>42110</v>
      </c>
      <c r="F1477" s="106">
        <v>5104.8999999999996</v>
      </c>
      <c r="G1477" s="48">
        <f t="shared" si="23"/>
        <v>0</v>
      </c>
      <c r="H1477" s="39" t="s">
        <v>59</v>
      </c>
      <c r="I1477" s="3"/>
      <c r="J1477" s="42"/>
      <c r="K1477" s="3"/>
    </row>
    <row r="1478" spans="1:11" x14ac:dyDescent="0.25">
      <c r="A1478" s="20">
        <v>42110</v>
      </c>
      <c r="B1478" s="183">
        <v>18015</v>
      </c>
      <c r="C1478" s="14" t="s">
        <v>32</v>
      </c>
      <c r="D1478" s="105">
        <v>63677.1</v>
      </c>
      <c r="E1478" s="23">
        <v>42115</v>
      </c>
      <c r="F1478" s="106">
        <v>63677.1</v>
      </c>
      <c r="G1478" s="48">
        <f t="shared" si="23"/>
        <v>0</v>
      </c>
      <c r="H1478" s="39" t="s">
        <v>9</v>
      </c>
      <c r="I1478" s="3"/>
      <c r="J1478" s="42"/>
      <c r="K1478" s="3"/>
    </row>
    <row r="1479" spans="1:11" x14ac:dyDescent="0.25">
      <c r="A1479" s="20">
        <v>42110</v>
      </c>
      <c r="B1479" s="183">
        <v>18016</v>
      </c>
      <c r="C1479" s="14" t="s">
        <v>729</v>
      </c>
      <c r="D1479" s="105">
        <v>1483.7</v>
      </c>
      <c r="E1479" s="23">
        <v>42110</v>
      </c>
      <c r="F1479" s="106">
        <v>1483.7</v>
      </c>
      <c r="G1479" s="48">
        <f t="shared" si="23"/>
        <v>0</v>
      </c>
      <c r="H1479" s="39" t="s">
        <v>59</v>
      </c>
      <c r="I1479" s="3"/>
      <c r="J1479" s="42"/>
      <c r="K1479" s="3"/>
    </row>
    <row r="1480" spans="1:11" x14ac:dyDescent="0.25">
      <c r="A1480" s="20">
        <v>42110</v>
      </c>
      <c r="B1480" s="183">
        <v>18017</v>
      </c>
      <c r="C1480" s="14" t="s">
        <v>128</v>
      </c>
      <c r="D1480" s="105">
        <v>9595.6</v>
      </c>
      <c r="E1480" s="23">
        <v>42110</v>
      </c>
      <c r="F1480" s="106">
        <v>9595.6</v>
      </c>
      <c r="G1480" s="48">
        <f t="shared" si="23"/>
        <v>0</v>
      </c>
      <c r="H1480" s="39" t="s">
        <v>17</v>
      </c>
      <c r="I1480" s="3"/>
      <c r="J1480" s="42"/>
      <c r="K1480" s="3"/>
    </row>
    <row r="1481" spans="1:11" x14ac:dyDescent="0.25">
      <c r="A1481" s="20">
        <v>42110</v>
      </c>
      <c r="B1481" s="183">
        <v>18018</v>
      </c>
      <c r="C1481" s="14" t="s">
        <v>155</v>
      </c>
      <c r="D1481" s="105">
        <v>1662.6</v>
      </c>
      <c r="E1481" s="23">
        <v>42110</v>
      </c>
      <c r="F1481" s="106">
        <v>1662.6</v>
      </c>
      <c r="G1481" s="48">
        <f t="shared" si="23"/>
        <v>0</v>
      </c>
      <c r="H1481" s="39" t="s">
        <v>59</v>
      </c>
      <c r="I1481" s="3"/>
      <c r="J1481" s="42"/>
      <c r="K1481" s="3"/>
    </row>
    <row r="1482" spans="1:11" x14ac:dyDescent="0.25">
      <c r="A1482" s="20">
        <v>42110</v>
      </c>
      <c r="B1482" s="183">
        <v>18019</v>
      </c>
      <c r="C1482" s="14" t="s">
        <v>57</v>
      </c>
      <c r="D1482" s="105">
        <v>1575</v>
      </c>
      <c r="E1482" s="23">
        <v>42110</v>
      </c>
      <c r="F1482" s="106">
        <v>1575</v>
      </c>
      <c r="G1482" s="48">
        <f t="shared" si="23"/>
        <v>0</v>
      </c>
      <c r="H1482" s="39" t="s">
        <v>59</v>
      </c>
      <c r="I1482" s="3"/>
      <c r="J1482" s="42"/>
      <c r="K1482" s="3"/>
    </row>
    <row r="1483" spans="1:11" x14ac:dyDescent="0.25">
      <c r="A1483" s="20">
        <v>42110</v>
      </c>
      <c r="B1483" s="183">
        <v>18020</v>
      </c>
      <c r="C1483" s="14" t="s">
        <v>125</v>
      </c>
      <c r="D1483" s="105">
        <v>10754.5</v>
      </c>
      <c r="E1483" s="23">
        <v>42119</v>
      </c>
      <c r="F1483" s="106">
        <v>10754.5</v>
      </c>
      <c r="G1483" s="48">
        <f t="shared" si="23"/>
        <v>0</v>
      </c>
      <c r="H1483" s="39" t="s">
        <v>17</v>
      </c>
      <c r="I1483" s="3"/>
      <c r="J1483" s="42"/>
      <c r="K1483" s="3"/>
    </row>
    <row r="1484" spans="1:11" x14ac:dyDescent="0.25">
      <c r="A1484" s="20">
        <v>42110</v>
      </c>
      <c r="B1484" s="183">
        <v>18021</v>
      </c>
      <c r="C1484" s="14" t="s">
        <v>229</v>
      </c>
      <c r="D1484" s="105">
        <v>5282</v>
      </c>
      <c r="E1484" s="23">
        <v>42110</v>
      </c>
      <c r="F1484" s="106">
        <v>5282</v>
      </c>
      <c r="G1484" s="48">
        <f t="shared" si="23"/>
        <v>0</v>
      </c>
      <c r="H1484" s="39" t="s">
        <v>9</v>
      </c>
      <c r="I1484" s="3"/>
      <c r="J1484" s="42"/>
      <c r="K1484" s="3"/>
    </row>
    <row r="1485" spans="1:11" x14ac:dyDescent="0.25">
      <c r="A1485" s="20">
        <v>42110</v>
      </c>
      <c r="B1485" s="183">
        <v>18022</v>
      </c>
      <c r="C1485" s="110">
        <v>105</v>
      </c>
      <c r="D1485" s="105">
        <v>1470</v>
      </c>
      <c r="E1485" s="23">
        <v>42110</v>
      </c>
      <c r="F1485" s="106">
        <v>1470</v>
      </c>
      <c r="G1485" s="48">
        <f t="shared" si="23"/>
        <v>0</v>
      </c>
      <c r="H1485" s="39" t="s">
        <v>59</v>
      </c>
      <c r="I1485" s="3"/>
      <c r="J1485" s="42"/>
      <c r="K1485" s="3"/>
    </row>
    <row r="1486" spans="1:11" x14ac:dyDescent="0.25">
      <c r="A1486" s="20">
        <v>42110</v>
      </c>
      <c r="B1486" s="183">
        <v>18023</v>
      </c>
      <c r="C1486" s="14" t="s">
        <v>74</v>
      </c>
      <c r="D1486" s="105">
        <v>1600.8</v>
      </c>
      <c r="E1486" s="51">
        <v>42110</v>
      </c>
      <c r="F1486" s="106">
        <v>1600.8</v>
      </c>
      <c r="G1486" s="48">
        <f t="shared" si="23"/>
        <v>0</v>
      </c>
      <c r="H1486" s="39" t="s">
        <v>9</v>
      </c>
      <c r="I1486" s="3"/>
      <c r="J1486" s="42"/>
      <c r="K1486" s="3"/>
    </row>
    <row r="1487" spans="1:11" x14ac:dyDescent="0.25">
      <c r="A1487" s="20">
        <v>42110</v>
      </c>
      <c r="B1487" s="183">
        <v>18024</v>
      </c>
      <c r="C1487" s="14" t="s">
        <v>130</v>
      </c>
      <c r="D1487" s="105">
        <v>10809.3</v>
      </c>
      <c r="E1487" s="23" t="s">
        <v>1115</v>
      </c>
      <c r="F1487" s="106">
        <f>2259.3+1800+6750</f>
        <v>10809.3</v>
      </c>
      <c r="G1487" s="48">
        <f t="shared" si="23"/>
        <v>0</v>
      </c>
      <c r="H1487" s="39" t="s">
        <v>17</v>
      </c>
      <c r="I1487" s="3"/>
      <c r="J1487" s="42"/>
      <c r="K1487" s="3"/>
    </row>
    <row r="1488" spans="1:11" x14ac:dyDescent="0.25">
      <c r="A1488" s="20">
        <v>42110</v>
      </c>
      <c r="B1488" s="183">
        <v>18025</v>
      </c>
      <c r="C1488" s="14" t="s">
        <v>131</v>
      </c>
      <c r="D1488" s="105">
        <v>7059.7</v>
      </c>
      <c r="E1488" s="23">
        <v>42110</v>
      </c>
      <c r="F1488" s="106">
        <v>7059.7</v>
      </c>
      <c r="G1488" s="48">
        <f t="shared" si="23"/>
        <v>0</v>
      </c>
      <c r="H1488" s="39" t="s">
        <v>17</v>
      </c>
      <c r="I1488" s="3"/>
      <c r="J1488" s="42"/>
      <c r="K1488" s="3"/>
    </row>
    <row r="1489" spans="1:11" x14ac:dyDescent="0.25">
      <c r="A1489" s="20">
        <v>42110</v>
      </c>
      <c r="B1489" s="183">
        <v>18026</v>
      </c>
      <c r="C1489" s="14" t="s">
        <v>130</v>
      </c>
      <c r="D1489" s="105">
        <v>3017.1</v>
      </c>
      <c r="E1489" s="23">
        <v>42110</v>
      </c>
      <c r="F1489" s="106">
        <v>3017.1</v>
      </c>
      <c r="G1489" s="48">
        <f t="shared" si="23"/>
        <v>0</v>
      </c>
      <c r="H1489" s="39" t="s">
        <v>17</v>
      </c>
      <c r="I1489" s="3"/>
      <c r="J1489" s="42"/>
      <c r="K1489" s="3"/>
    </row>
    <row r="1490" spans="1:11" x14ac:dyDescent="0.25">
      <c r="A1490" s="20">
        <v>42110</v>
      </c>
      <c r="B1490" s="183">
        <v>18027</v>
      </c>
      <c r="C1490" s="14" t="s">
        <v>71</v>
      </c>
      <c r="D1490" s="105">
        <v>7381.6</v>
      </c>
      <c r="E1490" s="23">
        <v>42110</v>
      </c>
      <c r="F1490" s="106">
        <v>7381.6</v>
      </c>
      <c r="G1490" s="48">
        <f t="shared" si="23"/>
        <v>0</v>
      </c>
      <c r="H1490" s="39" t="s">
        <v>9</v>
      </c>
      <c r="I1490" s="3"/>
      <c r="J1490" s="42"/>
      <c r="K1490" s="3"/>
    </row>
    <row r="1491" spans="1:11" x14ac:dyDescent="0.25">
      <c r="A1491" s="20">
        <v>42110</v>
      </c>
      <c r="B1491" s="183">
        <v>18028</v>
      </c>
      <c r="C1491" s="14" t="s">
        <v>104</v>
      </c>
      <c r="D1491" s="105">
        <v>620</v>
      </c>
      <c r="E1491" s="23">
        <v>42111</v>
      </c>
      <c r="F1491" s="106">
        <v>620</v>
      </c>
      <c r="G1491" s="48">
        <f t="shared" si="23"/>
        <v>0</v>
      </c>
      <c r="H1491" s="39" t="s">
        <v>94</v>
      </c>
      <c r="I1491" s="3"/>
      <c r="J1491" s="42"/>
      <c r="K1491" s="3"/>
    </row>
    <row r="1492" spans="1:11" x14ac:dyDescent="0.25">
      <c r="A1492" s="20">
        <v>42110</v>
      </c>
      <c r="B1492" s="183">
        <v>18029</v>
      </c>
      <c r="C1492" s="14" t="s">
        <v>50</v>
      </c>
      <c r="D1492" s="105">
        <v>2855.2</v>
      </c>
      <c r="E1492" s="23">
        <v>42110</v>
      </c>
      <c r="F1492" s="106">
        <v>2855.2</v>
      </c>
      <c r="G1492" s="48">
        <f t="shared" si="23"/>
        <v>0</v>
      </c>
      <c r="H1492" s="39" t="s">
        <v>9</v>
      </c>
      <c r="I1492" s="3"/>
      <c r="J1492" s="42"/>
      <c r="K1492" s="3"/>
    </row>
    <row r="1493" spans="1:11" x14ac:dyDescent="0.25">
      <c r="A1493" s="20">
        <v>42110</v>
      </c>
      <c r="B1493" s="183">
        <v>18030</v>
      </c>
      <c r="C1493" s="14" t="s">
        <v>136</v>
      </c>
      <c r="D1493" s="105">
        <v>2352.9</v>
      </c>
      <c r="E1493" s="23">
        <v>42110</v>
      </c>
      <c r="F1493" s="106">
        <v>2352.9</v>
      </c>
      <c r="G1493" s="48">
        <f t="shared" si="23"/>
        <v>0</v>
      </c>
      <c r="H1493" s="39" t="s">
        <v>9</v>
      </c>
      <c r="I1493" s="3"/>
      <c r="J1493" s="42"/>
      <c r="K1493" s="3"/>
    </row>
    <row r="1494" spans="1:11" x14ac:dyDescent="0.25">
      <c r="A1494" s="20">
        <v>42110</v>
      </c>
      <c r="B1494" s="183">
        <v>18031</v>
      </c>
      <c r="C1494" s="14" t="s">
        <v>224</v>
      </c>
      <c r="D1494" s="105">
        <v>4487.66</v>
      </c>
      <c r="E1494" s="23">
        <v>42111</v>
      </c>
      <c r="F1494" s="106">
        <v>4487.66</v>
      </c>
      <c r="G1494" s="48">
        <f t="shared" si="23"/>
        <v>0</v>
      </c>
      <c r="H1494" s="39" t="s">
        <v>94</v>
      </c>
      <c r="I1494" s="3"/>
      <c r="J1494" s="42"/>
      <c r="K1494" s="3"/>
    </row>
    <row r="1495" spans="1:11" x14ac:dyDescent="0.25">
      <c r="A1495" s="20">
        <v>42110</v>
      </c>
      <c r="B1495" s="183">
        <v>18032</v>
      </c>
      <c r="C1495" s="14" t="s">
        <v>215</v>
      </c>
      <c r="D1495" s="105">
        <v>11133.8</v>
      </c>
      <c r="E1495" s="23">
        <v>42110</v>
      </c>
      <c r="F1495" s="106">
        <v>11133.8</v>
      </c>
      <c r="G1495" s="48">
        <f t="shared" si="23"/>
        <v>0</v>
      </c>
      <c r="H1495" s="39" t="s">
        <v>62</v>
      </c>
      <c r="I1495" s="3"/>
      <c r="J1495" s="42"/>
      <c r="K1495" s="3"/>
    </row>
    <row r="1496" spans="1:11" x14ac:dyDescent="0.25">
      <c r="A1496" s="20">
        <v>42110</v>
      </c>
      <c r="B1496" s="183">
        <v>18033</v>
      </c>
      <c r="C1496" s="14" t="s">
        <v>250</v>
      </c>
      <c r="D1496" s="105">
        <v>1198.56</v>
      </c>
      <c r="E1496" s="23">
        <v>42111</v>
      </c>
      <c r="F1496" s="106">
        <v>1198.56</v>
      </c>
      <c r="G1496" s="48">
        <f t="shared" si="23"/>
        <v>0</v>
      </c>
      <c r="H1496" s="39" t="s">
        <v>94</v>
      </c>
      <c r="I1496" s="3"/>
      <c r="J1496" s="42"/>
      <c r="K1496" s="3"/>
    </row>
    <row r="1497" spans="1:11" x14ac:dyDescent="0.25">
      <c r="A1497" s="20">
        <v>42110</v>
      </c>
      <c r="B1497" s="183">
        <v>18034</v>
      </c>
      <c r="C1497" s="14" t="s">
        <v>791</v>
      </c>
      <c r="D1497" s="105">
        <v>2350.5500000000002</v>
      </c>
      <c r="E1497" s="23">
        <v>42115</v>
      </c>
      <c r="F1497" s="106">
        <v>2350.5500000000002</v>
      </c>
      <c r="G1497" s="48">
        <f t="shared" si="23"/>
        <v>0</v>
      </c>
      <c r="H1497" s="39" t="s">
        <v>9</v>
      </c>
      <c r="I1497" s="3"/>
      <c r="J1497" s="42"/>
      <c r="K1497" s="3"/>
    </row>
    <row r="1498" spans="1:11" x14ac:dyDescent="0.25">
      <c r="A1498" s="20">
        <v>42110</v>
      </c>
      <c r="B1498" s="183">
        <v>18035</v>
      </c>
      <c r="C1498" s="14" t="s">
        <v>1116</v>
      </c>
      <c r="D1498" s="105">
        <v>3205.3</v>
      </c>
      <c r="E1498" s="23">
        <v>42111</v>
      </c>
      <c r="F1498" s="106">
        <v>3205.3</v>
      </c>
      <c r="G1498" s="48">
        <f t="shared" si="23"/>
        <v>0</v>
      </c>
      <c r="H1498" s="39" t="s">
        <v>94</v>
      </c>
      <c r="I1498" s="3"/>
      <c r="J1498" s="42"/>
      <c r="K1498" s="3"/>
    </row>
    <row r="1499" spans="1:11" x14ac:dyDescent="0.25">
      <c r="A1499" s="20">
        <v>42110</v>
      </c>
      <c r="B1499" s="183">
        <v>18036</v>
      </c>
      <c r="C1499" s="14" t="s">
        <v>474</v>
      </c>
      <c r="D1499" s="105">
        <v>355.2</v>
      </c>
      <c r="E1499" s="23">
        <v>42110</v>
      </c>
      <c r="F1499" s="106">
        <v>355.2</v>
      </c>
      <c r="G1499" s="48">
        <f t="shared" si="23"/>
        <v>0</v>
      </c>
      <c r="H1499" s="39" t="s">
        <v>9</v>
      </c>
      <c r="I1499" s="3"/>
      <c r="J1499" s="42"/>
      <c r="K1499" s="3"/>
    </row>
    <row r="1500" spans="1:11" x14ac:dyDescent="0.25">
      <c r="A1500" s="20">
        <v>42110</v>
      </c>
      <c r="B1500" s="183">
        <v>18037</v>
      </c>
      <c r="C1500" s="14" t="s">
        <v>66</v>
      </c>
      <c r="D1500" s="105">
        <v>1179.5999999999999</v>
      </c>
      <c r="E1500" s="23">
        <v>42110</v>
      </c>
      <c r="F1500" s="106">
        <v>1179.5999999999999</v>
      </c>
      <c r="G1500" s="48">
        <f t="shared" si="23"/>
        <v>0</v>
      </c>
      <c r="H1500" s="39" t="s">
        <v>9</v>
      </c>
      <c r="I1500" s="3"/>
      <c r="J1500" s="42"/>
      <c r="K1500" s="3"/>
    </row>
    <row r="1501" spans="1:11" x14ac:dyDescent="0.25">
      <c r="A1501" s="20">
        <v>42110</v>
      </c>
      <c r="B1501" s="183">
        <v>18038</v>
      </c>
      <c r="C1501" s="14" t="s">
        <v>1117</v>
      </c>
      <c r="D1501" s="105">
        <v>1863</v>
      </c>
      <c r="E1501" s="23">
        <v>42110</v>
      </c>
      <c r="F1501" s="106">
        <v>1863</v>
      </c>
      <c r="G1501" s="48">
        <f t="shared" si="23"/>
        <v>0</v>
      </c>
      <c r="H1501" s="39" t="s">
        <v>9</v>
      </c>
      <c r="I1501" s="3"/>
      <c r="J1501" s="42"/>
      <c r="K1501" s="3"/>
    </row>
    <row r="1502" spans="1:11" x14ac:dyDescent="0.25">
      <c r="A1502" s="20">
        <v>42110</v>
      </c>
      <c r="B1502" s="183">
        <v>18039</v>
      </c>
      <c r="C1502" s="14" t="s">
        <v>35</v>
      </c>
      <c r="D1502" s="105">
        <v>19247.669999999998</v>
      </c>
      <c r="E1502" s="23">
        <v>42110</v>
      </c>
      <c r="F1502" s="106">
        <v>19247.669999999998</v>
      </c>
      <c r="G1502" s="48">
        <f t="shared" si="23"/>
        <v>0</v>
      </c>
      <c r="H1502" s="39" t="s">
        <v>773</v>
      </c>
      <c r="I1502" s="3"/>
      <c r="J1502" s="42"/>
      <c r="K1502" s="3"/>
    </row>
    <row r="1503" spans="1:11" x14ac:dyDescent="0.25">
      <c r="A1503" s="20">
        <v>42110</v>
      </c>
      <c r="B1503" s="183">
        <v>18040</v>
      </c>
      <c r="C1503" s="14" t="s">
        <v>136</v>
      </c>
      <c r="D1503" s="105">
        <v>540</v>
      </c>
      <c r="E1503" s="23">
        <v>42110</v>
      </c>
      <c r="F1503" s="106">
        <v>540</v>
      </c>
      <c r="G1503" s="48">
        <f t="shared" si="23"/>
        <v>0</v>
      </c>
      <c r="H1503" s="39" t="s">
        <v>9</v>
      </c>
      <c r="I1503" s="3"/>
      <c r="J1503" s="42"/>
      <c r="K1503" s="3"/>
    </row>
    <row r="1504" spans="1:11" x14ac:dyDescent="0.25">
      <c r="A1504" s="20">
        <v>42110</v>
      </c>
      <c r="B1504" s="183">
        <v>18041</v>
      </c>
      <c r="C1504" s="14" t="s">
        <v>791</v>
      </c>
      <c r="D1504" s="105">
        <v>3222.2</v>
      </c>
      <c r="E1504" s="23">
        <v>42122</v>
      </c>
      <c r="F1504" s="106">
        <v>3222.2</v>
      </c>
      <c r="G1504" s="48">
        <f t="shared" si="23"/>
        <v>0</v>
      </c>
      <c r="H1504" s="39" t="s">
        <v>773</v>
      </c>
      <c r="I1504" s="3"/>
      <c r="J1504" s="42"/>
      <c r="K1504" s="3"/>
    </row>
    <row r="1505" spans="1:11" x14ac:dyDescent="0.25">
      <c r="A1505" s="20">
        <v>42110</v>
      </c>
      <c r="B1505" s="183">
        <v>18042</v>
      </c>
      <c r="C1505" s="14" t="s">
        <v>89</v>
      </c>
      <c r="D1505" s="105">
        <v>2374.4</v>
      </c>
      <c r="E1505" s="23">
        <v>42110</v>
      </c>
      <c r="F1505" s="106">
        <v>2374.4</v>
      </c>
      <c r="G1505" s="48">
        <f t="shared" si="23"/>
        <v>0</v>
      </c>
      <c r="H1505" s="39" t="s">
        <v>9</v>
      </c>
      <c r="I1505" s="3"/>
      <c r="J1505" s="42"/>
      <c r="K1505" s="3"/>
    </row>
    <row r="1506" spans="1:11" x14ac:dyDescent="0.25">
      <c r="A1506" s="20">
        <v>42110</v>
      </c>
      <c r="B1506" s="183">
        <v>18043</v>
      </c>
      <c r="C1506" s="14" t="s">
        <v>251</v>
      </c>
      <c r="D1506" s="105">
        <v>19280.8</v>
      </c>
      <c r="E1506" s="23">
        <v>42111</v>
      </c>
      <c r="F1506" s="106">
        <v>19280.8</v>
      </c>
      <c r="G1506" s="48">
        <f t="shared" si="23"/>
        <v>0</v>
      </c>
      <c r="H1506" s="39" t="s">
        <v>94</v>
      </c>
      <c r="I1506" s="3"/>
      <c r="J1506" s="42"/>
      <c r="K1506" s="3"/>
    </row>
    <row r="1507" spans="1:11" x14ac:dyDescent="0.25">
      <c r="A1507" s="20">
        <v>42110</v>
      </c>
      <c r="B1507" s="183">
        <v>18044</v>
      </c>
      <c r="C1507" s="14" t="s">
        <v>256</v>
      </c>
      <c r="D1507" s="105">
        <v>4948.2</v>
      </c>
      <c r="E1507" s="23">
        <v>42110</v>
      </c>
      <c r="F1507" s="106">
        <v>4948.2</v>
      </c>
      <c r="G1507" s="48">
        <f t="shared" si="23"/>
        <v>0</v>
      </c>
      <c r="H1507" s="39" t="s">
        <v>773</v>
      </c>
      <c r="K1507" s="3"/>
    </row>
    <row r="1508" spans="1:11" x14ac:dyDescent="0.25">
      <c r="A1508" s="20">
        <v>42110</v>
      </c>
      <c r="B1508" s="183">
        <v>18045</v>
      </c>
      <c r="C1508" s="14" t="s">
        <v>47</v>
      </c>
      <c r="D1508" s="105">
        <v>20040.8</v>
      </c>
      <c r="E1508" s="23">
        <v>42112</v>
      </c>
      <c r="F1508" s="106">
        <v>20040.8</v>
      </c>
      <c r="G1508" s="48">
        <f t="shared" si="23"/>
        <v>0</v>
      </c>
      <c r="H1508" s="39" t="s">
        <v>773</v>
      </c>
      <c r="K1508" s="3"/>
    </row>
    <row r="1509" spans="1:11" x14ac:dyDescent="0.25">
      <c r="A1509" s="20">
        <v>42110</v>
      </c>
      <c r="B1509" s="183">
        <v>18046</v>
      </c>
      <c r="C1509" s="14" t="s">
        <v>334</v>
      </c>
      <c r="D1509" s="105">
        <v>2714</v>
      </c>
      <c r="E1509" s="23">
        <v>42110</v>
      </c>
      <c r="F1509" s="106">
        <v>2714</v>
      </c>
      <c r="G1509" s="48">
        <f t="shared" si="23"/>
        <v>0</v>
      </c>
      <c r="H1509" s="39" t="s">
        <v>773</v>
      </c>
      <c r="K1509" s="3"/>
    </row>
    <row r="1510" spans="1:11" x14ac:dyDescent="0.25">
      <c r="A1510" s="20">
        <v>42110</v>
      </c>
      <c r="B1510" s="183">
        <v>18047</v>
      </c>
      <c r="C1510" s="14" t="s">
        <v>247</v>
      </c>
      <c r="D1510" s="105">
        <v>5666.4</v>
      </c>
      <c r="E1510" s="23">
        <v>42110</v>
      </c>
      <c r="F1510" s="106">
        <v>5666.4</v>
      </c>
      <c r="G1510" s="48">
        <f t="shared" si="23"/>
        <v>0</v>
      </c>
      <c r="H1510" s="39" t="s">
        <v>41</v>
      </c>
      <c r="K1510" s="3"/>
    </row>
    <row r="1511" spans="1:11" x14ac:dyDescent="0.25">
      <c r="A1511" s="20">
        <v>42110</v>
      </c>
      <c r="B1511" s="183">
        <v>18048</v>
      </c>
      <c r="C1511" s="14" t="s">
        <v>95</v>
      </c>
      <c r="D1511" s="105">
        <v>1888</v>
      </c>
      <c r="E1511" s="23">
        <v>42111</v>
      </c>
      <c r="F1511" s="106">
        <v>1888</v>
      </c>
      <c r="G1511" s="48">
        <f t="shared" si="23"/>
        <v>0</v>
      </c>
      <c r="H1511" s="39" t="s">
        <v>94</v>
      </c>
      <c r="K1511" s="3"/>
    </row>
    <row r="1512" spans="1:11" x14ac:dyDescent="0.25">
      <c r="A1512" s="20">
        <v>42110</v>
      </c>
      <c r="B1512" s="183">
        <v>18049</v>
      </c>
      <c r="C1512" s="14" t="s">
        <v>134</v>
      </c>
      <c r="D1512" s="105">
        <v>652.20000000000005</v>
      </c>
      <c r="E1512" s="23">
        <v>42110</v>
      </c>
      <c r="F1512" s="106">
        <v>652.20000000000005</v>
      </c>
      <c r="G1512" s="48">
        <f t="shared" si="23"/>
        <v>0</v>
      </c>
      <c r="H1512" s="39" t="s">
        <v>773</v>
      </c>
      <c r="K1512" s="3"/>
    </row>
    <row r="1513" spans="1:11" x14ac:dyDescent="0.25">
      <c r="A1513" s="20">
        <v>42110</v>
      </c>
      <c r="B1513" s="183">
        <v>18050</v>
      </c>
      <c r="C1513" s="14" t="s">
        <v>98</v>
      </c>
      <c r="D1513" s="105">
        <v>900</v>
      </c>
      <c r="E1513" s="23">
        <v>42111</v>
      </c>
      <c r="F1513" s="106">
        <v>900</v>
      </c>
      <c r="G1513" s="48">
        <f t="shared" si="23"/>
        <v>0</v>
      </c>
      <c r="H1513" s="39" t="s">
        <v>94</v>
      </c>
      <c r="K1513" s="3"/>
    </row>
    <row r="1514" spans="1:11" x14ac:dyDescent="0.25">
      <c r="A1514" s="20">
        <v>42110</v>
      </c>
      <c r="B1514" s="183">
        <v>18051</v>
      </c>
      <c r="C1514" s="14" t="s">
        <v>126</v>
      </c>
      <c r="D1514" s="105">
        <v>2821.6</v>
      </c>
      <c r="E1514" s="23">
        <v>42110</v>
      </c>
      <c r="F1514" s="106">
        <v>2821.6</v>
      </c>
      <c r="G1514" s="48">
        <f t="shared" si="23"/>
        <v>0</v>
      </c>
      <c r="H1514" s="39" t="s">
        <v>41</v>
      </c>
      <c r="J1514" s="107"/>
      <c r="K1514" s="3"/>
    </row>
    <row r="1515" spans="1:11" x14ac:dyDescent="0.25">
      <c r="A1515" s="20">
        <v>42110</v>
      </c>
      <c r="B1515" s="183">
        <v>18052</v>
      </c>
      <c r="C1515" s="14" t="s">
        <v>141</v>
      </c>
      <c r="D1515" s="105">
        <v>5318.2</v>
      </c>
      <c r="E1515" s="23" t="s">
        <v>1118</v>
      </c>
      <c r="F1515" s="106">
        <f>4318.2+1000</f>
        <v>5318.2</v>
      </c>
      <c r="G1515" s="48">
        <f t="shared" si="23"/>
        <v>0</v>
      </c>
      <c r="H1515" s="39" t="s">
        <v>41</v>
      </c>
      <c r="K1515" s="3"/>
    </row>
    <row r="1516" spans="1:11" x14ac:dyDescent="0.25">
      <c r="A1516" s="20">
        <v>42110</v>
      </c>
      <c r="B1516" s="183">
        <v>18053</v>
      </c>
      <c r="C1516" s="14" t="s">
        <v>24</v>
      </c>
      <c r="D1516" s="105">
        <v>109959.16</v>
      </c>
      <c r="E1516" s="30">
        <v>42138</v>
      </c>
      <c r="F1516" s="144">
        <v>109959.16</v>
      </c>
      <c r="G1516" s="48">
        <f t="shared" si="23"/>
        <v>0</v>
      </c>
      <c r="H1516" s="39" t="s">
        <v>41</v>
      </c>
      <c r="K1516" s="3"/>
    </row>
    <row r="1517" spans="1:11" x14ac:dyDescent="0.25">
      <c r="A1517" s="20">
        <v>42110</v>
      </c>
      <c r="B1517" s="183">
        <v>18054</v>
      </c>
      <c r="C1517" s="26" t="s">
        <v>218</v>
      </c>
      <c r="D1517" s="108">
        <v>0</v>
      </c>
      <c r="E1517" s="23"/>
      <c r="F1517" s="106"/>
      <c r="G1517" s="48">
        <f t="shared" si="23"/>
        <v>0</v>
      </c>
      <c r="H1517" s="39" t="s">
        <v>13</v>
      </c>
      <c r="K1517" s="3"/>
    </row>
    <row r="1518" spans="1:11" x14ac:dyDescent="0.25">
      <c r="A1518" s="20">
        <v>42110</v>
      </c>
      <c r="B1518" s="183">
        <v>18055</v>
      </c>
      <c r="C1518" s="14" t="s">
        <v>180</v>
      </c>
      <c r="D1518" s="105">
        <v>2489.4</v>
      </c>
      <c r="E1518" s="23">
        <v>42110</v>
      </c>
      <c r="F1518" s="106">
        <v>2489.4</v>
      </c>
      <c r="G1518" s="48">
        <f t="shared" si="23"/>
        <v>0</v>
      </c>
      <c r="H1518" s="39" t="s">
        <v>9</v>
      </c>
      <c r="K1518" s="3"/>
    </row>
    <row r="1519" spans="1:11" x14ac:dyDescent="0.25">
      <c r="A1519" s="20">
        <v>42110</v>
      </c>
      <c r="B1519" s="183">
        <v>18056</v>
      </c>
      <c r="C1519" s="14" t="s">
        <v>136</v>
      </c>
      <c r="D1519" s="105">
        <v>28947.8</v>
      </c>
      <c r="E1519" s="23" t="s">
        <v>1119</v>
      </c>
      <c r="F1519" s="106">
        <f>4000+24947.8</f>
        <v>28947.8</v>
      </c>
      <c r="G1519" s="48">
        <f t="shared" si="23"/>
        <v>0</v>
      </c>
      <c r="H1519" s="39" t="s">
        <v>9</v>
      </c>
      <c r="K1519" s="3"/>
    </row>
    <row r="1520" spans="1:11" x14ac:dyDescent="0.25">
      <c r="A1520" s="20">
        <v>42110</v>
      </c>
      <c r="B1520" s="183">
        <v>18057</v>
      </c>
      <c r="C1520" s="14" t="s">
        <v>24</v>
      </c>
      <c r="D1520" s="105">
        <v>8840.4</v>
      </c>
      <c r="E1520" s="30">
        <v>42138</v>
      </c>
      <c r="F1520" s="144">
        <v>8840.4</v>
      </c>
      <c r="G1520" s="48">
        <f t="shared" si="23"/>
        <v>0</v>
      </c>
      <c r="H1520" s="39" t="s">
        <v>9</v>
      </c>
      <c r="K1520" s="3"/>
    </row>
    <row r="1521" spans="1:11" x14ac:dyDescent="0.25">
      <c r="A1521" s="20">
        <v>42110</v>
      </c>
      <c r="B1521" s="183">
        <v>18058</v>
      </c>
      <c r="C1521" s="14" t="s">
        <v>24</v>
      </c>
      <c r="D1521" s="105">
        <v>2898</v>
      </c>
      <c r="E1521" s="30">
        <v>42138</v>
      </c>
      <c r="F1521" s="144">
        <v>2898</v>
      </c>
      <c r="G1521" s="48">
        <f t="shared" si="23"/>
        <v>0</v>
      </c>
      <c r="H1521" s="39" t="s">
        <v>19</v>
      </c>
      <c r="K1521" s="3"/>
    </row>
    <row r="1522" spans="1:11" x14ac:dyDescent="0.25">
      <c r="A1522" s="20">
        <v>42110</v>
      </c>
      <c r="B1522" s="183">
        <v>18059</v>
      </c>
      <c r="C1522" s="14" t="s">
        <v>107</v>
      </c>
      <c r="D1522" s="105">
        <v>3995.2</v>
      </c>
      <c r="E1522" s="23">
        <v>42110</v>
      </c>
      <c r="F1522" s="106">
        <v>3995.2</v>
      </c>
      <c r="G1522" s="48">
        <f t="shared" si="23"/>
        <v>0</v>
      </c>
      <c r="H1522" s="39" t="s">
        <v>9</v>
      </c>
      <c r="J1522" s="107"/>
      <c r="K1522" s="3"/>
    </row>
    <row r="1523" spans="1:11" x14ac:dyDescent="0.25">
      <c r="A1523" s="20">
        <v>42110</v>
      </c>
      <c r="B1523" s="183">
        <v>18060</v>
      </c>
      <c r="C1523" s="14" t="s">
        <v>158</v>
      </c>
      <c r="D1523" s="105">
        <v>5869.6</v>
      </c>
      <c r="E1523" s="23">
        <v>42110</v>
      </c>
      <c r="F1523" s="106">
        <v>5869.6</v>
      </c>
      <c r="G1523" s="48">
        <f t="shared" si="23"/>
        <v>0</v>
      </c>
      <c r="H1523" s="39" t="s">
        <v>9</v>
      </c>
      <c r="J1523" s="107"/>
      <c r="K1523" s="3"/>
    </row>
    <row r="1524" spans="1:11" x14ac:dyDescent="0.25">
      <c r="A1524" s="20">
        <v>42110</v>
      </c>
      <c r="B1524" s="183">
        <v>18061</v>
      </c>
      <c r="C1524" s="14" t="s">
        <v>675</v>
      </c>
      <c r="D1524" s="105">
        <v>659.2</v>
      </c>
      <c r="E1524" s="23">
        <v>42110</v>
      </c>
      <c r="F1524" s="106">
        <v>659.2</v>
      </c>
      <c r="G1524" s="48">
        <f t="shared" si="23"/>
        <v>0</v>
      </c>
      <c r="H1524" s="39" t="s">
        <v>9</v>
      </c>
      <c r="K1524" s="3"/>
    </row>
    <row r="1525" spans="1:11" x14ac:dyDescent="0.25">
      <c r="A1525" s="20">
        <v>42110</v>
      </c>
      <c r="B1525" s="183">
        <v>18062</v>
      </c>
      <c r="C1525" s="14" t="s">
        <v>294</v>
      </c>
      <c r="D1525" s="105">
        <v>195</v>
      </c>
      <c r="E1525" s="23">
        <v>42110</v>
      </c>
      <c r="F1525" s="106">
        <v>195</v>
      </c>
      <c r="G1525" s="48">
        <f t="shared" si="23"/>
        <v>0</v>
      </c>
      <c r="H1525" s="39" t="s">
        <v>9</v>
      </c>
      <c r="K1525" s="3"/>
    </row>
    <row r="1526" spans="1:11" x14ac:dyDescent="0.25">
      <c r="A1526" s="20">
        <v>42110</v>
      </c>
      <c r="B1526" s="183">
        <v>18063</v>
      </c>
      <c r="C1526" s="14" t="s">
        <v>336</v>
      </c>
      <c r="D1526" s="105">
        <v>2444.4</v>
      </c>
      <c r="E1526" s="23">
        <v>42110</v>
      </c>
      <c r="F1526" s="106">
        <v>2444.4</v>
      </c>
      <c r="G1526" s="48">
        <f t="shared" si="23"/>
        <v>0</v>
      </c>
      <c r="H1526" s="39" t="s">
        <v>9</v>
      </c>
      <c r="K1526" s="3"/>
    </row>
    <row r="1527" spans="1:11" x14ac:dyDescent="0.25">
      <c r="A1527" s="20">
        <v>42110</v>
      </c>
      <c r="B1527" s="183">
        <v>18064</v>
      </c>
      <c r="C1527" s="14" t="s">
        <v>336</v>
      </c>
      <c r="D1527" s="105">
        <v>6395</v>
      </c>
      <c r="E1527" s="23">
        <v>42110</v>
      </c>
      <c r="F1527" s="106">
        <v>6395</v>
      </c>
      <c r="G1527" s="48">
        <f t="shared" si="23"/>
        <v>0</v>
      </c>
      <c r="H1527" s="39" t="s">
        <v>9</v>
      </c>
      <c r="K1527" s="3"/>
    </row>
    <row r="1528" spans="1:11" x14ac:dyDescent="0.25">
      <c r="A1528" s="20">
        <v>42110</v>
      </c>
      <c r="B1528" s="183">
        <v>18065</v>
      </c>
      <c r="C1528" s="14" t="s">
        <v>1101</v>
      </c>
      <c r="D1528" s="105">
        <v>40</v>
      </c>
      <c r="E1528" s="23">
        <v>42110</v>
      </c>
      <c r="F1528" s="106">
        <v>40</v>
      </c>
      <c r="G1528" s="48">
        <f t="shared" si="23"/>
        <v>0</v>
      </c>
      <c r="H1528" s="39" t="s">
        <v>9</v>
      </c>
      <c r="K1528" s="3"/>
    </row>
    <row r="1529" spans="1:11" x14ac:dyDescent="0.25">
      <c r="A1529" s="20">
        <v>42110</v>
      </c>
      <c r="B1529" s="183">
        <v>18066</v>
      </c>
      <c r="C1529" s="14" t="s">
        <v>732</v>
      </c>
      <c r="D1529" s="105">
        <v>21322.1</v>
      </c>
      <c r="E1529" s="23">
        <v>42112</v>
      </c>
      <c r="F1529" s="106">
        <v>21322.1</v>
      </c>
      <c r="G1529" s="48">
        <f t="shared" si="23"/>
        <v>0</v>
      </c>
      <c r="H1529" s="39" t="s">
        <v>149</v>
      </c>
      <c r="K1529" s="3"/>
    </row>
    <row r="1530" spans="1:11" x14ac:dyDescent="0.25">
      <c r="A1530" s="20">
        <v>42110</v>
      </c>
      <c r="B1530" s="183">
        <v>18067</v>
      </c>
      <c r="C1530" s="14" t="s">
        <v>207</v>
      </c>
      <c r="D1530" s="105">
        <v>39455.53</v>
      </c>
      <c r="E1530" s="23">
        <v>42116</v>
      </c>
      <c r="F1530" s="106">
        <v>39455.53</v>
      </c>
      <c r="G1530" s="48">
        <f t="shared" si="23"/>
        <v>0</v>
      </c>
      <c r="H1530" s="39" t="s">
        <v>149</v>
      </c>
      <c r="K1530" s="3"/>
    </row>
    <row r="1531" spans="1:11" x14ac:dyDescent="0.25">
      <c r="A1531" s="20">
        <v>42110</v>
      </c>
      <c r="B1531" s="183">
        <v>18068</v>
      </c>
      <c r="C1531" s="14" t="s">
        <v>349</v>
      </c>
      <c r="D1531" s="105">
        <v>4366.6000000000004</v>
      </c>
      <c r="E1531" s="23">
        <v>42112</v>
      </c>
      <c r="F1531" s="106">
        <v>4366.6000000000004</v>
      </c>
      <c r="G1531" s="48">
        <f t="shared" si="23"/>
        <v>0</v>
      </c>
      <c r="H1531" s="39" t="s">
        <v>149</v>
      </c>
      <c r="K1531" s="3"/>
    </row>
    <row r="1532" spans="1:11" x14ac:dyDescent="0.25">
      <c r="A1532" s="20">
        <v>42110</v>
      </c>
      <c r="B1532" s="183">
        <v>18069</v>
      </c>
      <c r="C1532" s="14" t="s">
        <v>204</v>
      </c>
      <c r="D1532" s="105">
        <v>6478.3</v>
      </c>
      <c r="E1532" s="23">
        <v>42112</v>
      </c>
      <c r="F1532" s="106">
        <v>6478.3</v>
      </c>
      <c r="G1532" s="48">
        <f t="shared" si="23"/>
        <v>0</v>
      </c>
      <c r="H1532" s="39" t="s">
        <v>149</v>
      </c>
      <c r="K1532" s="3"/>
    </row>
    <row r="1533" spans="1:11" x14ac:dyDescent="0.25">
      <c r="A1533" s="20">
        <v>42110</v>
      </c>
      <c r="B1533" s="183">
        <v>18070</v>
      </c>
      <c r="C1533" s="14" t="s">
        <v>143</v>
      </c>
      <c r="D1533" s="105">
        <v>12111.5</v>
      </c>
      <c r="E1533" s="23">
        <v>42116</v>
      </c>
      <c r="F1533" s="106">
        <v>12111.5</v>
      </c>
      <c r="G1533" s="48">
        <f t="shared" si="23"/>
        <v>0</v>
      </c>
      <c r="H1533" s="39" t="s">
        <v>17</v>
      </c>
      <c r="K1533" s="3"/>
    </row>
    <row r="1534" spans="1:11" x14ac:dyDescent="0.25">
      <c r="A1534" s="20">
        <v>42110</v>
      </c>
      <c r="B1534" s="183">
        <v>18071</v>
      </c>
      <c r="C1534" s="14" t="s">
        <v>420</v>
      </c>
      <c r="D1534" s="105">
        <v>5016.2</v>
      </c>
      <c r="E1534" s="23">
        <v>42112</v>
      </c>
      <c r="F1534" s="106">
        <v>5016.2</v>
      </c>
      <c r="G1534" s="48">
        <f t="shared" si="23"/>
        <v>0</v>
      </c>
      <c r="H1534" s="39" t="s">
        <v>149</v>
      </c>
      <c r="K1534" s="3"/>
    </row>
    <row r="1535" spans="1:11" x14ac:dyDescent="0.25">
      <c r="A1535" s="20">
        <v>42110</v>
      </c>
      <c r="B1535" s="183">
        <v>18072</v>
      </c>
      <c r="C1535" s="14" t="s">
        <v>68</v>
      </c>
      <c r="D1535" s="105">
        <v>2614.1999999999998</v>
      </c>
      <c r="E1535" s="23">
        <v>42112</v>
      </c>
      <c r="F1535" s="106">
        <v>2614.1999999999998</v>
      </c>
      <c r="G1535" s="48">
        <f t="shared" si="23"/>
        <v>0</v>
      </c>
      <c r="H1535" s="39" t="s">
        <v>149</v>
      </c>
      <c r="K1535" s="3"/>
    </row>
    <row r="1536" spans="1:11" x14ac:dyDescent="0.25">
      <c r="A1536" s="20">
        <v>42110</v>
      </c>
      <c r="B1536" s="183">
        <v>18073</v>
      </c>
      <c r="C1536" s="14" t="s">
        <v>125</v>
      </c>
      <c r="D1536" s="105">
        <v>1180.8</v>
      </c>
      <c r="E1536" s="23">
        <v>42110</v>
      </c>
      <c r="F1536" s="106">
        <v>1180.8</v>
      </c>
      <c r="G1536" s="48">
        <f t="shared" si="23"/>
        <v>0</v>
      </c>
      <c r="H1536" s="39" t="s">
        <v>17</v>
      </c>
      <c r="K1536" s="3"/>
    </row>
    <row r="1537" spans="1:11" x14ac:dyDescent="0.25">
      <c r="A1537" s="20">
        <v>42110</v>
      </c>
      <c r="B1537" s="183">
        <v>18074</v>
      </c>
      <c r="C1537" s="14" t="s">
        <v>106</v>
      </c>
      <c r="D1537" s="105">
        <v>1112</v>
      </c>
      <c r="E1537" s="23">
        <v>42110</v>
      </c>
      <c r="F1537" s="106">
        <v>1112</v>
      </c>
      <c r="G1537" s="48">
        <f t="shared" si="23"/>
        <v>0</v>
      </c>
      <c r="H1537" s="39" t="s">
        <v>9</v>
      </c>
      <c r="K1537" s="3"/>
    </row>
    <row r="1538" spans="1:11" x14ac:dyDescent="0.25">
      <c r="A1538" s="20">
        <v>42110</v>
      </c>
      <c r="B1538" s="183">
        <v>18075</v>
      </c>
      <c r="C1538" s="14" t="s">
        <v>733</v>
      </c>
      <c r="D1538" s="105">
        <v>7572.5</v>
      </c>
      <c r="E1538" s="23">
        <v>42112</v>
      </c>
      <c r="F1538" s="106">
        <v>7572.5</v>
      </c>
      <c r="G1538" s="48">
        <f t="shared" si="23"/>
        <v>0</v>
      </c>
      <c r="H1538" s="39" t="s">
        <v>149</v>
      </c>
      <c r="K1538" s="3"/>
    </row>
    <row r="1539" spans="1:11" x14ac:dyDescent="0.25">
      <c r="A1539" s="20">
        <v>42110</v>
      </c>
      <c r="B1539" s="183">
        <v>18076</v>
      </c>
      <c r="C1539" s="14" t="s">
        <v>552</v>
      </c>
      <c r="D1539" s="105">
        <v>1068.8</v>
      </c>
      <c r="E1539" s="23">
        <v>42112</v>
      </c>
      <c r="F1539" s="106">
        <v>1068.8</v>
      </c>
      <c r="G1539" s="48">
        <f t="shared" ref="G1539:G1602" si="24">D1539-F1539</f>
        <v>0</v>
      </c>
      <c r="H1539" s="39" t="s">
        <v>149</v>
      </c>
      <c r="K1539" s="3"/>
    </row>
    <row r="1540" spans="1:11" x14ac:dyDescent="0.25">
      <c r="A1540" s="20">
        <v>42110</v>
      </c>
      <c r="B1540" s="183">
        <v>18077</v>
      </c>
      <c r="C1540" s="26" t="s">
        <v>218</v>
      </c>
      <c r="D1540" s="108">
        <v>0</v>
      </c>
      <c r="E1540" s="23"/>
      <c r="F1540" s="106"/>
      <c r="G1540" s="48">
        <f t="shared" si="24"/>
        <v>0</v>
      </c>
      <c r="H1540" s="39" t="s">
        <v>13</v>
      </c>
      <c r="K1540" s="3"/>
    </row>
    <row r="1541" spans="1:11" x14ac:dyDescent="0.25">
      <c r="A1541" s="20">
        <v>42110</v>
      </c>
      <c r="B1541" s="183">
        <v>18078</v>
      </c>
      <c r="C1541" s="14" t="s">
        <v>1103</v>
      </c>
      <c r="D1541" s="105">
        <v>15082.7</v>
      </c>
      <c r="E1541" s="23">
        <v>42112</v>
      </c>
      <c r="F1541" s="106">
        <v>15082.7</v>
      </c>
      <c r="G1541" s="48">
        <f t="shared" si="24"/>
        <v>0</v>
      </c>
      <c r="H1541" s="39" t="s">
        <v>149</v>
      </c>
      <c r="K1541" s="3"/>
    </row>
    <row r="1542" spans="1:11" x14ac:dyDescent="0.25">
      <c r="A1542" s="20">
        <v>42110</v>
      </c>
      <c r="B1542" s="183">
        <v>18079</v>
      </c>
      <c r="C1542" s="14" t="s">
        <v>1120</v>
      </c>
      <c r="D1542" s="105">
        <v>5625.4</v>
      </c>
      <c r="E1542" s="23">
        <v>42112</v>
      </c>
      <c r="F1542" s="106">
        <v>5625.4</v>
      </c>
      <c r="G1542" s="48">
        <f t="shared" si="24"/>
        <v>0</v>
      </c>
      <c r="H1542" s="39" t="s">
        <v>149</v>
      </c>
      <c r="K1542" s="3"/>
    </row>
    <row r="1543" spans="1:11" x14ac:dyDescent="0.25">
      <c r="A1543" s="20">
        <v>42110</v>
      </c>
      <c r="B1543" s="183">
        <v>18080</v>
      </c>
      <c r="C1543" s="14" t="s">
        <v>552</v>
      </c>
      <c r="D1543" s="105">
        <v>13179.4</v>
      </c>
      <c r="E1543" s="23">
        <v>42112</v>
      </c>
      <c r="F1543" s="106">
        <v>13179.4</v>
      </c>
      <c r="G1543" s="48">
        <f t="shared" si="24"/>
        <v>0</v>
      </c>
      <c r="H1543" s="39" t="s">
        <v>149</v>
      </c>
      <c r="K1543" s="3"/>
    </row>
    <row r="1544" spans="1:11" x14ac:dyDescent="0.25">
      <c r="A1544" s="20">
        <v>42110</v>
      </c>
      <c r="B1544" s="183">
        <v>18081</v>
      </c>
      <c r="C1544" s="14" t="s">
        <v>574</v>
      </c>
      <c r="D1544" s="105">
        <v>13860</v>
      </c>
      <c r="E1544" s="23">
        <v>42112</v>
      </c>
      <c r="F1544" s="106">
        <v>13860</v>
      </c>
      <c r="G1544" s="48">
        <f t="shared" si="24"/>
        <v>0</v>
      </c>
      <c r="H1544" s="39" t="s">
        <v>149</v>
      </c>
      <c r="K1544" s="3"/>
    </row>
    <row r="1545" spans="1:11" x14ac:dyDescent="0.25">
      <c r="A1545" s="20">
        <v>42110</v>
      </c>
      <c r="B1545" s="183">
        <v>18082</v>
      </c>
      <c r="C1545" s="14" t="s">
        <v>24</v>
      </c>
      <c r="D1545" s="105">
        <v>15972.6</v>
      </c>
      <c r="E1545" s="30">
        <v>42138</v>
      </c>
      <c r="F1545" s="144">
        <v>15972.6</v>
      </c>
      <c r="G1545" s="48">
        <f t="shared" si="24"/>
        <v>0</v>
      </c>
      <c r="H1545" s="39" t="s">
        <v>62</v>
      </c>
      <c r="K1545" s="3"/>
    </row>
    <row r="1546" spans="1:11" x14ac:dyDescent="0.25">
      <c r="A1546" s="20">
        <v>42110</v>
      </c>
      <c r="B1546" s="183">
        <v>18083</v>
      </c>
      <c r="C1546" s="26" t="s">
        <v>218</v>
      </c>
      <c r="D1546" s="108">
        <v>0</v>
      </c>
      <c r="E1546" s="23"/>
      <c r="F1546" s="106"/>
      <c r="G1546" s="48">
        <f t="shared" si="24"/>
        <v>0</v>
      </c>
      <c r="H1546" s="39" t="s">
        <v>13</v>
      </c>
      <c r="K1546" s="3"/>
    </row>
    <row r="1547" spans="1:11" x14ac:dyDescent="0.25">
      <c r="A1547" s="20">
        <v>42110</v>
      </c>
      <c r="B1547" s="183">
        <v>18084</v>
      </c>
      <c r="C1547" s="14" t="s">
        <v>1121</v>
      </c>
      <c r="D1547" s="105">
        <v>17061</v>
      </c>
      <c r="E1547" s="23">
        <v>42112</v>
      </c>
      <c r="F1547" s="106">
        <v>17061</v>
      </c>
      <c r="G1547" s="48">
        <f t="shared" si="24"/>
        <v>0</v>
      </c>
      <c r="H1547" s="39" t="s">
        <v>149</v>
      </c>
      <c r="K1547" s="3"/>
    </row>
    <row r="1548" spans="1:11" x14ac:dyDescent="0.25">
      <c r="A1548" s="20">
        <v>42110</v>
      </c>
      <c r="B1548" s="183">
        <v>18085</v>
      </c>
      <c r="C1548" s="14" t="s">
        <v>262</v>
      </c>
      <c r="D1548" s="105">
        <v>36044.15</v>
      </c>
      <c r="E1548" s="23">
        <v>42116</v>
      </c>
      <c r="F1548" s="106">
        <v>36044.15</v>
      </c>
      <c r="G1548" s="48">
        <f t="shared" si="24"/>
        <v>0</v>
      </c>
      <c r="H1548" s="39" t="s">
        <v>149</v>
      </c>
      <c r="K1548" s="3"/>
    </row>
    <row r="1549" spans="1:11" x14ac:dyDescent="0.25">
      <c r="A1549" s="20">
        <v>42110</v>
      </c>
      <c r="B1549" s="183">
        <v>18086</v>
      </c>
      <c r="C1549" s="26" t="s">
        <v>218</v>
      </c>
      <c r="D1549" s="108">
        <v>0</v>
      </c>
      <c r="E1549" s="23"/>
      <c r="F1549" s="106"/>
      <c r="G1549" s="48">
        <f t="shared" si="24"/>
        <v>0</v>
      </c>
      <c r="H1549" s="39" t="s">
        <v>13</v>
      </c>
      <c r="K1549" s="3"/>
    </row>
    <row r="1550" spans="1:11" x14ac:dyDescent="0.25">
      <c r="A1550" s="20">
        <v>42110</v>
      </c>
      <c r="B1550" s="183">
        <v>18087</v>
      </c>
      <c r="C1550" s="14" t="s">
        <v>90</v>
      </c>
      <c r="D1550" s="105">
        <v>899.6</v>
      </c>
      <c r="E1550" s="23">
        <v>42110</v>
      </c>
      <c r="F1550" s="106">
        <v>899.6</v>
      </c>
      <c r="G1550" s="48">
        <f t="shared" si="24"/>
        <v>0</v>
      </c>
      <c r="H1550" s="39" t="s">
        <v>9</v>
      </c>
      <c r="K1550" s="3"/>
    </row>
    <row r="1551" spans="1:11" x14ac:dyDescent="0.25">
      <c r="A1551" s="20">
        <v>42110</v>
      </c>
      <c r="B1551" s="183">
        <v>18088</v>
      </c>
      <c r="C1551" s="14" t="s">
        <v>199</v>
      </c>
      <c r="D1551" s="105">
        <v>3484.8</v>
      </c>
      <c r="E1551" s="23">
        <v>42112</v>
      </c>
      <c r="F1551" s="106">
        <v>3484.8</v>
      </c>
      <c r="G1551" s="48">
        <f t="shared" si="24"/>
        <v>0</v>
      </c>
      <c r="H1551" s="39" t="s">
        <v>149</v>
      </c>
      <c r="J1551" s="107"/>
      <c r="K1551" s="3"/>
    </row>
    <row r="1552" spans="1:11" x14ac:dyDescent="0.25">
      <c r="A1552" s="20">
        <v>42110</v>
      </c>
      <c r="B1552" s="183">
        <v>18089</v>
      </c>
      <c r="C1552" s="14" t="s">
        <v>733</v>
      </c>
      <c r="D1552" s="105">
        <v>8102.9</v>
      </c>
      <c r="E1552" s="23">
        <v>42112</v>
      </c>
      <c r="F1552" s="106">
        <v>8102.9</v>
      </c>
      <c r="G1552" s="48">
        <f t="shared" si="24"/>
        <v>0</v>
      </c>
      <c r="H1552" s="39" t="s">
        <v>149</v>
      </c>
      <c r="K1552" s="3"/>
    </row>
    <row r="1553" spans="1:11" x14ac:dyDescent="0.25">
      <c r="A1553" s="20">
        <v>42110</v>
      </c>
      <c r="B1553" s="183">
        <v>18090</v>
      </c>
      <c r="C1553" s="14" t="s">
        <v>203</v>
      </c>
      <c r="D1553" s="105">
        <v>4422.6000000000004</v>
      </c>
      <c r="E1553" s="23">
        <v>42112</v>
      </c>
      <c r="F1553" s="106">
        <v>4422.6000000000004</v>
      </c>
      <c r="G1553" s="48">
        <f t="shared" si="24"/>
        <v>0</v>
      </c>
      <c r="H1553" s="39" t="s">
        <v>149</v>
      </c>
      <c r="K1553" s="3"/>
    </row>
    <row r="1554" spans="1:11" x14ac:dyDescent="0.25">
      <c r="A1554" s="20">
        <v>42110</v>
      </c>
      <c r="B1554" s="183">
        <v>18091</v>
      </c>
      <c r="C1554" s="14" t="s">
        <v>111</v>
      </c>
      <c r="D1554" s="105">
        <v>160446</v>
      </c>
      <c r="E1554" s="23">
        <v>42111</v>
      </c>
      <c r="F1554" s="106">
        <v>160446</v>
      </c>
      <c r="G1554" s="48">
        <f t="shared" si="24"/>
        <v>0</v>
      </c>
      <c r="H1554" s="39" t="s">
        <v>9</v>
      </c>
      <c r="K1554" s="3"/>
    </row>
    <row r="1555" spans="1:11" x14ac:dyDescent="0.25">
      <c r="A1555" s="20">
        <v>42110</v>
      </c>
      <c r="B1555" s="183">
        <v>18092</v>
      </c>
      <c r="C1555" s="14" t="s">
        <v>367</v>
      </c>
      <c r="D1555" s="105">
        <v>111250</v>
      </c>
      <c r="E1555" s="30">
        <v>42137</v>
      </c>
      <c r="F1555" s="144">
        <v>111250</v>
      </c>
      <c r="G1555" s="48">
        <f t="shared" si="24"/>
        <v>0</v>
      </c>
      <c r="H1555" s="39" t="s">
        <v>9</v>
      </c>
      <c r="I1555" s="3"/>
      <c r="J1555" s="42"/>
      <c r="K1555" s="3"/>
    </row>
    <row r="1556" spans="1:11" x14ac:dyDescent="0.25">
      <c r="A1556" s="20">
        <v>42110</v>
      </c>
      <c r="B1556" s="183">
        <v>18093</v>
      </c>
      <c r="C1556" s="14" t="s">
        <v>350</v>
      </c>
      <c r="D1556" s="105">
        <v>936.5</v>
      </c>
      <c r="E1556" s="23">
        <v>42112</v>
      </c>
      <c r="F1556" s="106">
        <v>936.5</v>
      </c>
      <c r="G1556" s="48">
        <f t="shared" si="24"/>
        <v>0</v>
      </c>
      <c r="H1556" s="39" t="s">
        <v>9</v>
      </c>
      <c r="I1556" s="3"/>
      <c r="J1556" s="42"/>
      <c r="K1556" s="3"/>
    </row>
    <row r="1557" spans="1:11" x14ac:dyDescent="0.25">
      <c r="A1557" s="20">
        <v>42110</v>
      </c>
      <c r="B1557" s="183">
        <v>18094</v>
      </c>
      <c r="C1557" s="14" t="s">
        <v>1020</v>
      </c>
      <c r="D1557" s="105">
        <v>3813.6</v>
      </c>
      <c r="E1557" s="23">
        <v>42110</v>
      </c>
      <c r="F1557" s="106">
        <v>3813.6</v>
      </c>
      <c r="G1557" s="48">
        <f t="shared" si="24"/>
        <v>0</v>
      </c>
      <c r="H1557" s="39" t="s">
        <v>9</v>
      </c>
      <c r="I1557" s="3"/>
      <c r="J1557" s="42"/>
      <c r="K1557" s="3"/>
    </row>
    <row r="1558" spans="1:11" x14ac:dyDescent="0.25">
      <c r="A1558" s="20">
        <v>42110</v>
      </c>
      <c r="B1558" s="183">
        <v>18095</v>
      </c>
      <c r="C1558" s="14" t="s">
        <v>24</v>
      </c>
      <c r="D1558" s="105">
        <v>9048.6</v>
      </c>
      <c r="E1558" s="30">
        <v>42138</v>
      </c>
      <c r="F1558" s="144">
        <v>9048.6</v>
      </c>
      <c r="G1558" s="48">
        <f t="shared" si="24"/>
        <v>0</v>
      </c>
      <c r="H1558" s="39" t="s">
        <v>62</v>
      </c>
      <c r="I1558" s="3"/>
      <c r="J1558" s="42"/>
      <c r="K1558" s="3"/>
    </row>
    <row r="1559" spans="1:11" x14ac:dyDescent="0.25">
      <c r="A1559" s="20">
        <v>42110</v>
      </c>
      <c r="B1559" s="183">
        <v>18096</v>
      </c>
      <c r="C1559" s="14" t="s">
        <v>81</v>
      </c>
      <c r="D1559" s="105">
        <v>6806.8</v>
      </c>
      <c r="E1559" s="23">
        <v>42110</v>
      </c>
      <c r="F1559" s="106">
        <v>6806.8</v>
      </c>
      <c r="G1559" s="48">
        <f t="shared" si="24"/>
        <v>0</v>
      </c>
      <c r="H1559" s="39" t="s">
        <v>9</v>
      </c>
      <c r="I1559" s="3"/>
      <c r="J1559" s="42"/>
      <c r="K1559" s="3"/>
    </row>
    <row r="1560" spans="1:11" x14ac:dyDescent="0.25">
      <c r="A1560" s="20">
        <v>42110</v>
      </c>
      <c r="B1560" s="183">
        <v>18097</v>
      </c>
      <c r="C1560" s="14" t="s">
        <v>265</v>
      </c>
      <c r="D1560" s="105">
        <v>3852.2</v>
      </c>
      <c r="E1560" s="23">
        <v>42111</v>
      </c>
      <c r="F1560" s="106">
        <v>3852.2</v>
      </c>
      <c r="G1560" s="48">
        <f t="shared" si="24"/>
        <v>0</v>
      </c>
      <c r="H1560" s="39" t="s">
        <v>9</v>
      </c>
      <c r="I1560" s="3"/>
      <c r="J1560" s="42"/>
      <c r="K1560" s="3"/>
    </row>
    <row r="1561" spans="1:11" x14ac:dyDescent="0.25">
      <c r="A1561" s="59">
        <v>42110</v>
      </c>
      <c r="B1561" s="183">
        <v>18098</v>
      </c>
      <c r="C1561" s="14" t="s">
        <v>195</v>
      </c>
      <c r="D1561" s="105">
        <v>108383.25</v>
      </c>
      <c r="E1561" s="23">
        <v>42116</v>
      </c>
      <c r="F1561" s="106">
        <v>108383.25</v>
      </c>
      <c r="G1561" s="48">
        <f t="shared" si="24"/>
        <v>0</v>
      </c>
      <c r="H1561" s="39" t="s">
        <v>149</v>
      </c>
      <c r="I1561" s="3"/>
      <c r="J1561" s="42"/>
      <c r="K1561" s="3"/>
    </row>
    <row r="1562" spans="1:11" x14ac:dyDescent="0.25">
      <c r="A1562" s="20">
        <v>42111</v>
      </c>
      <c r="B1562" s="183">
        <v>18099</v>
      </c>
      <c r="C1562" s="14" t="s">
        <v>18</v>
      </c>
      <c r="D1562" s="105">
        <v>808.35</v>
      </c>
      <c r="E1562" s="23">
        <v>42111</v>
      </c>
      <c r="F1562" s="106">
        <v>808.35</v>
      </c>
      <c r="G1562" s="48">
        <f t="shared" si="24"/>
        <v>0</v>
      </c>
      <c r="H1562" s="39" t="s">
        <v>9</v>
      </c>
      <c r="I1562" s="3"/>
      <c r="J1562" s="42"/>
      <c r="K1562" s="3"/>
    </row>
    <row r="1563" spans="1:11" x14ac:dyDescent="0.25">
      <c r="A1563" s="59">
        <v>42111</v>
      </c>
      <c r="B1563" s="183">
        <v>18100</v>
      </c>
      <c r="C1563" s="14" t="s">
        <v>720</v>
      </c>
      <c r="D1563" s="105">
        <v>10458.4</v>
      </c>
      <c r="E1563" s="23">
        <v>42111</v>
      </c>
      <c r="F1563" s="106">
        <v>10458.4</v>
      </c>
      <c r="G1563" s="48">
        <f t="shared" si="24"/>
        <v>0</v>
      </c>
      <c r="H1563" s="39" t="s">
        <v>9</v>
      </c>
      <c r="I1563" s="3"/>
      <c r="J1563" s="42"/>
      <c r="K1563" s="3"/>
    </row>
    <row r="1564" spans="1:11" x14ac:dyDescent="0.25">
      <c r="A1564" s="20">
        <v>42111</v>
      </c>
      <c r="B1564" s="183">
        <v>18101</v>
      </c>
      <c r="C1564" s="14" t="s">
        <v>14</v>
      </c>
      <c r="D1564" s="105">
        <v>14545.2</v>
      </c>
      <c r="E1564" s="23">
        <v>42117</v>
      </c>
      <c r="F1564" s="106">
        <v>14545.2</v>
      </c>
      <c r="G1564" s="48">
        <f t="shared" si="24"/>
        <v>0</v>
      </c>
      <c r="H1564" s="39" t="s">
        <v>15</v>
      </c>
      <c r="I1564" s="3"/>
      <c r="J1564" s="42"/>
      <c r="K1564" s="3"/>
    </row>
    <row r="1565" spans="1:11" x14ac:dyDescent="0.25">
      <c r="A1565" s="59">
        <v>42111</v>
      </c>
      <c r="B1565" s="183">
        <v>18102</v>
      </c>
      <c r="C1565" s="14" t="s">
        <v>383</v>
      </c>
      <c r="D1565" s="105">
        <v>5087.7</v>
      </c>
      <c r="E1565" s="23">
        <v>42111</v>
      </c>
      <c r="F1565" s="106">
        <v>5087.7</v>
      </c>
      <c r="G1565" s="48">
        <f t="shared" si="24"/>
        <v>0</v>
      </c>
      <c r="H1565" s="39" t="s">
        <v>9</v>
      </c>
      <c r="I1565" s="3"/>
      <c r="J1565" s="42"/>
      <c r="K1565" s="3"/>
    </row>
    <row r="1566" spans="1:11" x14ac:dyDescent="0.25">
      <c r="A1566" s="20">
        <v>42111</v>
      </c>
      <c r="B1566" s="183">
        <v>18103</v>
      </c>
      <c r="C1566" s="14" t="s">
        <v>589</v>
      </c>
      <c r="D1566" s="105">
        <v>22603.7</v>
      </c>
      <c r="E1566" s="23">
        <v>42111</v>
      </c>
      <c r="F1566" s="106">
        <v>22603.7</v>
      </c>
      <c r="G1566" s="48">
        <f t="shared" si="24"/>
        <v>0</v>
      </c>
      <c r="H1566" s="39" t="s">
        <v>773</v>
      </c>
      <c r="I1566" s="3"/>
      <c r="J1566" s="42"/>
      <c r="K1566" s="3"/>
    </row>
    <row r="1567" spans="1:11" x14ac:dyDescent="0.25">
      <c r="A1567" s="59">
        <v>42111</v>
      </c>
      <c r="B1567" s="183">
        <v>18104</v>
      </c>
      <c r="C1567" s="14" t="s">
        <v>20</v>
      </c>
      <c r="D1567" s="105">
        <v>15664.65</v>
      </c>
      <c r="E1567" s="23">
        <v>42111</v>
      </c>
      <c r="F1567" s="106">
        <v>15664.65</v>
      </c>
      <c r="G1567" s="48">
        <f t="shared" si="24"/>
        <v>0</v>
      </c>
      <c r="H1567" s="39" t="s">
        <v>94</v>
      </c>
      <c r="I1567" s="3"/>
      <c r="J1567" s="42"/>
      <c r="K1567" s="3"/>
    </row>
    <row r="1568" spans="1:11" x14ac:dyDescent="0.25">
      <c r="A1568" s="20">
        <v>42111</v>
      </c>
      <c r="B1568" s="183">
        <v>18105</v>
      </c>
      <c r="C1568" s="14" t="s">
        <v>86</v>
      </c>
      <c r="D1568" s="105">
        <v>206.4</v>
      </c>
      <c r="E1568" s="23">
        <v>42111</v>
      </c>
      <c r="F1568" s="106">
        <v>206.4</v>
      </c>
      <c r="G1568" s="48">
        <f t="shared" si="24"/>
        <v>0</v>
      </c>
      <c r="H1568" s="39" t="s">
        <v>9</v>
      </c>
      <c r="I1568" s="3"/>
      <c r="J1568" s="42"/>
      <c r="K1568" s="3"/>
    </row>
    <row r="1569" spans="1:11" x14ac:dyDescent="0.25">
      <c r="A1569" s="59">
        <v>42111</v>
      </c>
      <c r="B1569" s="183">
        <v>18106</v>
      </c>
      <c r="C1569" s="14" t="s">
        <v>86</v>
      </c>
      <c r="D1569" s="105">
        <v>275.60000000000002</v>
      </c>
      <c r="E1569" s="23">
        <v>42111</v>
      </c>
      <c r="F1569" s="106">
        <v>275.60000000000002</v>
      </c>
      <c r="G1569" s="48">
        <f t="shared" si="24"/>
        <v>0</v>
      </c>
      <c r="H1569" s="39" t="s">
        <v>9</v>
      </c>
      <c r="I1569" s="3"/>
      <c r="J1569" s="42"/>
      <c r="K1569" s="3"/>
    </row>
    <row r="1570" spans="1:11" x14ac:dyDescent="0.25">
      <c r="A1570" s="20">
        <v>42111</v>
      </c>
      <c r="B1570" s="183">
        <v>18107</v>
      </c>
      <c r="C1570" s="14" t="s">
        <v>20</v>
      </c>
      <c r="D1570" s="105">
        <v>827.9</v>
      </c>
      <c r="E1570" s="23">
        <v>42115</v>
      </c>
      <c r="F1570" s="106">
        <v>827.9</v>
      </c>
      <c r="G1570" s="48">
        <f t="shared" si="24"/>
        <v>0</v>
      </c>
      <c r="H1570" s="39" t="s">
        <v>94</v>
      </c>
      <c r="I1570" s="3"/>
      <c r="J1570" s="42"/>
      <c r="K1570" s="3"/>
    </row>
    <row r="1571" spans="1:11" x14ac:dyDescent="0.25">
      <c r="A1571" s="59">
        <v>42111</v>
      </c>
      <c r="B1571" s="183">
        <v>18108</v>
      </c>
      <c r="C1571" s="14" t="s">
        <v>131</v>
      </c>
      <c r="D1571" s="105">
        <v>12654.5</v>
      </c>
      <c r="E1571" s="23">
        <v>42114</v>
      </c>
      <c r="F1571" s="106">
        <v>12654.5</v>
      </c>
      <c r="G1571" s="48">
        <f t="shared" si="24"/>
        <v>0</v>
      </c>
      <c r="H1571" s="39" t="s">
        <v>17</v>
      </c>
      <c r="K1571" s="3"/>
    </row>
    <row r="1572" spans="1:11" x14ac:dyDescent="0.25">
      <c r="A1572" s="20">
        <v>42111</v>
      </c>
      <c r="B1572" s="183">
        <v>18109</v>
      </c>
      <c r="C1572" s="14" t="s">
        <v>55</v>
      </c>
      <c r="D1572" s="105">
        <v>22270.5</v>
      </c>
      <c r="E1572" s="23">
        <v>42112</v>
      </c>
      <c r="F1572" s="106">
        <v>22270.5</v>
      </c>
      <c r="G1572" s="48">
        <f t="shared" si="24"/>
        <v>0</v>
      </c>
      <c r="H1572" s="39" t="s">
        <v>773</v>
      </c>
      <c r="K1572" s="3"/>
    </row>
    <row r="1573" spans="1:11" x14ac:dyDescent="0.25">
      <c r="A1573" s="59">
        <v>42111</v>
      </c>
      <c r="B1573" s="183">
        <v>18110</v>
      </c>
      <c r="C1573" s="14" t="s">
        <v>49</v>
      </c>
      <c r="D1573" s="105">
        <v>1508</v>
      </c>
      <c r="E1573" s="23">
        <v>42111</v>
      </c>
      <c r="F1573" s="106">
        <v>1508</v>
      </c>
      <c r="G1573" s="48">
        <f t="shared" si="24"/>
        <v>0</v>
      </c>
      <c r="H1573" s="39" t="s">
        <v>94</v>
      </c>
      <c r="K1573" s="3"/>
    </row>
    <row r="1574" spans="1:11" x14ac:dyDescent="0.25">
      <c r="A1574" s="20">
        <v>42111</v>
      </c>
      <c r="B1574" s="183">
        <v>18111</v>
      </c>
      <c r="C1574" s="14" t="s">
        <v>406</v>
      </c>
      <c r="D1574" s="105">
        <v>5808.6</v>
      </c>
      <c r="E1574" s="23">
        <v>42112</v>
      </c>
      <c r="F1574" s="106">
        <v>5808.6</v>
      </c>
      <c r="G1574" s="48">
        <f t="shared" si="24"/>
        <v>0</v>
      </c>
      <c r="H1574" s="39" t="s">
        <v>773</v>
      </c>
      <c r="K1574" s="3"/>
    </row>
    <row r="1575" spans="1:11" x14ac:dyDescent="0.25">
      <c r="A1575" s="59">
        <v>42111</v>
      </c>
      <c r="B1575" s="183">
        <v>18112</v>
      </c>
      <c r="C1575" s="14" t="s">
        <v>422</v>
      </c>
      <c r="D1575" s="105">
        <v>531.20000000000005</v>
      </c>
      <c r="E1575" s="23">
        <v>42111</v>
      </c>
      <c r="F1575" s="106">
        <v>531.20000000000005</v>
      </c>
      <c r="G1575" s="48">
        <f t="shared" si="24"/>
        <v>0</v>
      </c>
      <c r="H1575" s="39" t="s">
        <v>9</v>
      </c>
      <c r="K1575" s="3"/>
    </row>
    <row r="1576" spans="1:11" x14ac:dyDescent="0.25">
      <c r="A1576" s="20">
        <v>42111</v>
      </c>
      <c r="B1576" s="183">
        <v>18113</v>
      </c>
      <c r="C1576" s="14" t="s">
        <v>32</v>
      </c>
      <c r="D1576" s="105">
        <v>50543.55</v>
      </c>
      <c r="E1576" s="23">
        <v>42115</v>
      </c>
      <c r="F1576" s="106">
        <v>50543.55</v>
      </c>
      <c r="G1576" s="48">
        <f t="shared" si="24"/>
        <v>0</v>
      </c>
      <c r="H1576" s="39" t="s">
        <v>19</v>
      </c>
      <c r="K1576" s="3"/>
    </row>
    <row r="1577" spans="1:11" x14ac:dyDescent="0.25">
      <c r="A1577" s="59">
        <v>42111</v>
      </c>
      <c r="B1577" s="183">
        <v>18114</v>
      </c>
      <c r="C1577" s="14" t="s">
        <v>56</v>
      </c>
      <c r="D1577" s="105">
        <v>13908.4</v>
      </c>
      <c r="E1577" s="23">
        <v>42112</v>
      </c>
      <c r="F1577" s="106">
        <v>13908.4</v>
      </c>
      <c r="G1577" s="48">
        <f t="shared" si="24"/>
        <v>0</v>
      </c>
      <c r="H1577" s="39" t="s">
        <v>9</v>
      </c>
      <c r="K1577" s="3"/>
    </row>
    <row r="1578" spans="1:11" x14ac:dyDescent="0.25">
      <c r="A1578" s="20">
        <v>42111</v>
      </c>
      <c r="B1578" s="183">
        <v>18115</v>
      </c>
      <c r="C1578" s="26" t="s">
        <v>218</v>
      </c>
      <c r="D1578" s="108">
        <v>0</v>
      </c>
      <c r="E1578" s="23"/>
      <c r="F1578" s="106"/>
      <c r="G1578" s="48">
        <f t="shared" si="24"/>
        <v>0</v>
      </c>
      <c r="H1578" s="39" t="s">
        <v>13</v>
      </c>
      <c r="K1578" s="3"/>
    </row>
    <row r="1579" spans="1:11" x14ac:dyDescent="0.25">
      <c r="A1579" s="59">
        <v>42111</v>
      </c>
      <c r="B1579" s="183">
        <v>18116</v>
      </c>
      <c r="C1579" s="14" t="s">
        <v>723</v>
      </c>
      <c r="D1579" s="105">
        <v>2432.6999999999998</v>
      </c>
      <c r="E1579" s="23">
        <v>42111</v>
      </c>
      <c r="F1579" s="106">
        <v>2432.6999999999998</v>
      </c>
      <c r="G1579" s="48">
        <f t="shared" si="24"/>
        <v>0</v>
      </c>
      <c r="H1579" s="39" t="s">
        <v>17</v>
      </c>
      <c r="K1579" s="3"/>
    </row>
    <row r="1580" spans="1:11" x14ac:dyDescent="0.25">
      <c r="A1580" s="20">
        <v>42111</v>
      </c>
      <c r="B1580" s="183">
        <v>18117</v>
      </c>
      <c r="C1580" s="14" t="s">
        <v>25</v>
      </c>
      <c r="D1580" s="105">
        <v>1007.4</v>
      </c>
      <c r="E1580" s="23">
        <v>42111</v>
      </c>
      <c r="F1580" s="106">
        <v>1007.4</v>
      </c>
      <c r="G1580" s="48">
        <f t="shared" si="24"/>
        <v>0</v>
      </c>
      <c r="H1580" s="39" t="s">
        <v>9</v>
      </c>
      <c r="K1580" s="3"/>
    </row>
    <row r="1581" spans="1:11" x14ac:dyDescent="0.25">
      <c r="A1581" s="59">
        <v>42111</v>
      </c>
      <c r="B1581" s="183">
        <v>18118</v>
      </c>
      <c r="C1581" s="14" t="s">
        <v>720</v>
      </c>
      <c r="D1581" s="105">
        <v>2056.1999999999998</v>
      </c>
      <c r="E1581" s="23">
        <v>42111</v>
      </c>
      <c r="F1581" s="106">
        <v>2056.1999999999998</v>
      </c>
      <c r="G1581" s="48">
        <f t="shared" si="24"/>
        <v>0</v>
      </c>
      <c r="H1581" s="39" t="s">
        <v>94</v>
      </c>
      <c r="K1581" s="3"/>
    </row>
    <row r="1582" spans="1:11" x14ac:dyDescent="0.25">
      <c r="A1582" s="20">
        <v>42111</v>
      </c>
      <c r="B1582" s="183">
        <v>18119</v>
      </c>
      <c r="C1582" s="14" t="s">
        <v>22</v>
      </c>
      <c r="D1582" s="105">
        <v>1224</v>
      </c>
      <c r="E1582" s="23">
        <v>42111</v>
      </c>
      <c r="F1582" s="106">
        <v>1224</v>
      </c>
      <c r="G1582" s="48">
        <f t="shared" si="24"/>
        <v>0</v>
      </c>
      <c r="H1582" s="39" t="s">
        <v>9</v>
      </c>
      <c r="K1582" s="3"/>
    </row>
    <row r="1583" spans="1:11" x14ac:dyDescent="0.25">
      <c r="A1583" s="59">
        <v>42111</v>
      </c>
      <c r="B1583" s="183">
        <v>18120</v>
      </c>
      <c r="C1583" s="14" t="s">
        <v>130</v>
      </c>
      <c r="D1583" s="105">
        <v>4608.2</v>
      </c>
      <c r="E1583" s="23">
        <v>42112</v>
      </c>
      <c r="F1583" s="106">
        <v>4608.2</v>
      </c>
      <c r="G1583" s="48">
        <f t="shared" si="24"/>
        <v>0</v>
      </c>
      <c r="H1583" s="39" t="s">
        <v>17</v>
      </c>
      <c r="K1583" s="3"/>
    </row>
    <row r="1584" spans="1:11" x14ac:dyDescent="0.25">
      <c r="A1584" s="20">
        <v>42111</v>
      </c>
      <c r="B1584" s="183">
        <v>18121</v>
      </c>
      <c r="C1584" s="14" t="s">
        <v>128</v>
      </c>
      <c r="D1584" s="105">
        <v>5087.6000000000004</v>
      </c>
      <c r="E1584" s="23">
        <v>42111</v>
      </c>
      <c r="F1584" s="106">
        <v>5087.6000000000004</v>
      </c>
      <c r="G1584" s="48">
        <f t="shared" si="24"/>
        <v>0</v>
      </c>
      <c r="H1584" s="39" t="s">
        <v>17</v>
      </c>
      <c r="K1584" s="3"/>
    </row>
    <row r="1585" spans="1:11" x14ac:dyDescent="0.25">
      <c r="A1585" s="59">
        <v>42111</v>
      </c>
      <c r="B1585" s="183">
        <v>18122</v>
      </c>
      <c r="C1585" s="14" t="s">
        <v>125</v>
      </c>
      <c r="D1585" s="105">
        <v>19336.650000000001</v>
      </c>
      <c r="E1585" s="23">
        <v>42111</v>
      </c>
      <c r="F1585" s="106">
        <v>19336.650000000001</v>
      </c>
      <c r="G1585" s="48">
        <f t="shared" si="24"/>
        <v>0</v>
      </c>
      <c r="H1585" s="39" t="s">
        <v>9</v>
      </c>
      <c r="J1585" s="107"/>
      <c r="K1585" s="3"/>
    </row>
    <row r="1586" spans="1:11" x14ac:dyDescent="0.25">
      <c r="A1586" s="20">
        <v>42111</v>
      </c>
      <c r="B1586" s="183">
        <v>18123</v>
      </c>
      <c r="C1586" s="14" t="s">
        <v>114</v>
      </c>
      <c r="D1586" s="105">
        <v>23198.400000000001</v>
      </c>
      <c r="E1586" s="23">
        <v>42111</v>
      </c>
      <c r="F1586" s="106">
        <v>23198.400000000001</v>
      </c>
      <c r="G1586" s="48">
        <f t="shared" si="24"/>
        <v>0</v>
      </c>
      <c r="H1586" s="39" t="s">
        <v>9</v>
      </c>
      <c r="K1586" s="3"/>
    </row>
    <row r="1587" spans="1:11" x14ac:dyDescent="0.25">
      <c r="A1587" s="59">
        <v>42111</v>
      </c>
      <c r="B1587" s="183">
        <v>18124</v>
      </c>
      <c r="C1587" s="14" t="s">
        <v>16</v>
      </c>
      <c r="D1587" s="105">
        <v>11884.2</v>
      </c>
      <c r="E1587" s="23">
        <v>42111</v>
      </c>
      <c r="F1587" s="106">
        <v>11884.2</v>
      </c>
      <c r="G1587" s="48">
        <f t="shared" si="24"/>
        <v>0</v>
      </c>
      <c r="H1587" s="39" t="s">
        <v>17</v>
      </c>
      <c r="I1587" s="3"/>
      <c r="J1587" s="42"/>
      <c r="K1587" s="3"/>
    </row>
    <row r="1588" spans="1:11" x14ac:dyDescent="0.25">
      <c r="A1588" s="20">
        <v>42111</v>
      </c>
      <c r="B1588" s="183">
        <v>18125</v>
      </c>
      <c r="C1588" s="26" t="s">
        <v>218</v>
      </c>
      <c r="D1588" s="108">
        <v>0</v>
      </c>
      <c r="E1588" s="23"/>
      <c r="F1588" s="106"/>
      <c r="G1588" s="48">
        <f t="shared" si="24"/>
        <v>0</v>
      </c>
      <c r="H1588" s="39" t="s">
        <v>13</v>
      </c>
      <c r="I1588" s="3"/>
      <c r="J1588" s="42"/>
      <c r="K1588" s="3"/>
    </row>
    <row r="1589" spans="1:11" x14ac:dyDescent="0.25">
      <c r="A1589" s="59">
        <v>42111</v>
      </c>
      <c r="B1589" s="183">
        <v>18126</v>
      </c>
      <c r="C1589" s="14" t="s">
        <v>1077</v>
      </c>
      <c r="D1589" s="105">
        <v>5177.7</v>
      </c>
      <c r="E1589" s="23">
        <v>42111</v>
      </c>
      <c r="F1589" s="106">
        <v>5177.7</v>
      </c>
      <c r="G1589" s="48">
        <f t="shared" si="24"/>
        <v>0</v>
      </c>
      <c r="H1589" s="39" t="s">
        <v>9</v>
      </c>
      <c r="I1589" s="3"/>
      <c r="J1589" s="42"/>
      <c r="K1589" s="3"/>
    </row>
    <row r="1590" spans="1:11" x14ac:dyDescent="0.25">
      <c r="A1590" s="20">
        <v>42111</v>
      </c>
      <c r="B1590" s="183">
        <v>18127</v>
      </c>
      <c r="C1590" s="14" t="s">
        <v>226</v>
      </c>
      <c r="D1590" s="105">
        <v>2389.1999999999998</v>
      </c>
      <c r="E1590" s="23">
        <v>42111</v>
      </c>
      <c r="F1590" s="106">
        <v>2389.1999999999998</v>
      </c>
      <c r="G1590" s="48">
        <f t="shared" si="24"/>
        <v>0</v>
      </c>
      <c r="H1590" s="39" t="s">
        <v>9</v>
      </c>
      <c r="I1590" s="3"/>
      <c r="J1590" s="42"/>
      <c r="K1590" s="3"/>
    </row>
    <row r="1591" spans="1:11" x14ac:dyDescent="0.25">
      <c r="A1591" s="59">
        <v>42111</v>
      </c>
      <c r="B1591" s="183">
        <v>18128</v>
      </c>
      <c r="C1591" s="14" t="s">
        <v>23</v>
      </c>
      <c r="D1591" s="105">
        <v>3445.8</v>
      </c>
      <c r="E1591" s="23">
        <v>42111</v>
      </c>
      <c r="F1591" s="106">
        <v>3445.8</v>
      </c>
      <c r="G1591" s="48">
        <f t="shared" si="24"/>
        <v>0</v>
      </c>
      <c r="H1591" s="39" t="s">
        <v>9</v>
      </c>
      <c r="I1591" s="3"/>
      <c r="J1591" s="42"/>
      <c r="K1591" s="3"/>
    </row>
    <row r="1592" spans="1:11" x14ac:dyDescent="0.25">
      <c r="A1592" s="20">
        <v>42111</v>
      </c>
      <c r="B1592" s="183">
        <v>18129</v>
      </c>
      <c r="C1592" s="14" t="s">
        <v>21</v>
      </c>
      <c r="D1592" s="105">
        <v>6402.15</v>
      </c>
      <c r="E1592" s="23">
        <v>42111</v>
      </c>
      <c r="F1592" s="106">
        <v>6402.15</v>
      </c>
      <c r="G1592" s="48">
        <f t="shared" si="24"/>
        <v>0</v>
      </c>
      <c r="H1592" s="39" t="s">
        <v>9</v>
      </c>
      <c r="I1592" s="3"/>
      <c r="J1592" s="42"/>
      <c r="K1592" s="3"/>
    </row>
    <row r="1593" spans="1:11" x14ac:dyDescent="0.25">
      <c r="A1593" s="59">
        <v>42111</v>
      </c>
      <c r="B1593" s="183">
        <v>18130</v>
      </c>
      <c r="C1593" s="14" t="s">
        <v>236</v>
      </c>
      <c r="D1593" s="105">
        <v>26502</v>
      </c>
      <c r="E1593" s="30">
        <v>42133</v>
      </c>
      <c r="F1593" s="144">
        <v>26502</v>
      </c>
      <c r="G1593" s="48">
        <f t="shared" si="24"/>
        <v>0</v>
      </c>
      <c r="H1593" s="39" t="s">
        <v>1013</v>
      </c>
      <c r="I1593" s="3"/>
      <c r="J1593" s="42"/>
      <c r="K1593" s="3"/>
    </row>
    <row r="1594" spans="1:11" x14ac:dyDescent="0.25">
      <c r="A1594" s="20">
        <v>42111</v>
      </c>
      <c r="B1594" s="183">
        <v>18131</v>
      </c>
      <c r="C1594" s="14" t="s">
        <v>135</v>
      </c>
      <c r="D1594" s="105">
        <v>475.2</v>
      </c>
      <c r="E1594" s="23">
        <v>42111</v>
      </c>
      <c r="F1594" s="106">
        <v>475.2</v>
      </c>
      <c r="G1594" s="48">
        <f t="shared" si="24"/>
        <v>0</v>
      </c>
      <c r="H1594" s="39" t="s">
        <v>9</v>
      </c>
      <c r="I1594" s="3"/>
      <c r="J1594" s="42"/>
      <c r="K1594" s="3"/>
    </row>
    <row r="1595" spans="1:11" x14ac:dyDescent="0.25">
      <c r="A1595" s="59">
        <v>42111</v>
      </c>
      <c r="B1595" s="183">
        <v>18132</v>
      </c>
      <c r="C1595" s="14" t="s">
        <v>474</v>
      </c>
      <c r="D1595" s="105">
        <v>3759.6</v>
      </c>
      <c r="E1595" s="23">
        <v>42111</v>
      </c>
      <c r="F1595" s="106">
        <v>3759.6</v>
      </c>
      <c r="G1595" s="48">
        <f t="shared" si="24"/>
        <v>0</v>
      </c>
      <c r="H1595" s="39" t="s">
        <v>9</v>
      </c>
      <c r="I1595" s="3"/>
      <c r="J1595" s="42"/>
      <c r="K1595" s="3"/>
    </row>
    <row r="1596" spans="1:11" x14ac:dyDescent="0.25">
      <c r="A1596" s="20">
        <v>42111</v>
      </c>
      <c r="B1596" s="183">
        <v>18133</v>
      </c>
      <c r="C1596" s="14" t="s">
        <v>854</v>
      </c>
      <c r="D1596" s="105">
        <v>2077.6</v>
      </c>
      <c r="E1596" s="23">
        <v>42111</v>
      </c>
      <c r="F1596" s="106">
        <v>2077.6</v>
      </c>
      <c r="G1596" s="48">
        <f t="shared" si="24"/>
        <v>0</v>
      </c>
      <c r="H1596" s="39" t="s">
        <v>9</v>
      </c>
      <c r="I1596" s="3"/>
      <c r="J1596" s="42"/>
      <c r="K1596" s="3"/>
    </row>
    <row r="1597" spans="1:11" x14ac:dyDescent="0.25">
      <c r="A1597" s="59">
        <v>42111</v>
      </c>
      <c r="B1597" s="183">
        <v>18134</v>
      </c>
      <c r="C1597" s="150" t="s">
        <v>24</v>
      </c>
      <c r="D1597" s="105">
        <v>46637.35</v>
      </c>
      <c r="E1597" s="30">
        <v>42138</v>
      </c>
      <c r="F1597" s="144">
        <v>46637.35</v>
      </c>
      <c r="G1597" s="48">
        <f t="shared" si="24"/>
        <v>0</v>
      </c>
      <c r="H1597" s="39" t="s">
        <v>46</v>
      </c>
      <c r="I1597" s="3"/>
      <c r="J1597" s="42"/>
      <c r="K1597" s="3"/>
    </row>
    <row r="1598" spans="1:11" x14ac:dyDescent="0.25">
      <c r="A1598" s="20">
        <v>42111</v>
      </c>
      <c r="B1598" s="183">
        <v>18135</v>
      </c>
      <c r="C1598" s="14" t="s">
        <v>103</v>
      </c>
      <c r="D1598" s="105">
        <v>22142.400000000001</v>
      </c>
      <c r="E1598" s="23">
        <v>42114</v>
      </c>
      <c r="F1598" s="106">
        <v>22142.400000000001</v>
      </c>
      <c r="G1598" s="48">
        <f t="shared" si="24"/>
        <v>0</v>
      </c>
      <c r="H1598" s="39" t="s">
        <v>1013</v>
      </c>
      <c r="I1598" s="3"/>
      <c r="J1598" s="42"/>
      <c r="K1598" s="3"/>
    </row>
    <row r="1599" spans="1:11" x14ac:dyDescent="0.25">
      <c r="A1599" s="59">
        <v>42111</v>
      </c>
      <c r="B1599" s="183">
        <v>18136</v>
      </c>
      <c r="C1599" s="14" t="s">
        <v>102</v>
      </c>
      <c r="D1599" s="105">
        <v>4266</v>
      </c>
      <c r="E1599" s="23" t="s">
        <v>1122</v>
      </c>
      <c r="F1599" s="106">
        <f>3200+1066</f>
        <v>4266</v>
      </c>
      <c r="G1599" s="48">
        <f t="shared" si="24"/>
        <v>0</v>
      </c>
      <c r="H1599" s="39" t="s">
        <v>9</v>
      </c>
      <c r="I1599" s="3"/>
      <c r="J1599" s="42"/>
      <c r="K1599" s="3"/>
    </row>
    <row r="1600" spans="1:11" x14ac:dyDescent="0.25">
      <c r="A1600" s="20">
        <v>42111</v>
      </c>
      <c r="B1600" s="183">
        <v>18137</v>
      </c>
      <c r="C1600" s="14" t="s">
        <v>333</v>
      </c>
      <c r="D1600" s="105">
        <v>9792</v>
      </c>
      <c r="E1600" s="23">
        <v>42111</v>
      </c>
      <c r="F1600" s="106">
        <v>9792</v>
      </c>
      <c r="G1600" s="48">
        <f t="shared" si="24"/>
        <v>0</v>
      </c>
      <c r="H1600" s="39" t="s">
        <v>9</v>
      </c>
      <c r="I1600" s="3"/>
      <c r="J1600" s="42"/>
      <c r="K1600" s="3"/>
    </row>
    <row r="1601" spans="1:11" x14ac:dyDescent="0.25">
      <c r="A1601" s="59">
        <v>42111</v>
      </c>
      <c r="B1601" s="183">
        <v>18138</v>
      </c>
      <c r="C1601" s="14" t="s">
        <v>91</v>
      </c>
      <c r="D1601" s="105">
        <v>22870.75</v>
      </c>
      <c r="E1601" s="23">
        <v>42111</v>
      </c>
      <c r="F1601" s="106">
        <v>22870.75</v>
      </c>
      <c r="G1601" s="48">
        <f t="shared" si="24"/>
        <v>0</v>
      </c>
      <c r="H1601" s="39" t="s">
        <v>19</v>
      </c>
      <c r="I1601" s="3"/>
      <c r="J1601" s="42"/>
      <c r="K1601" s="3"/>
    </row>
    <row r="1602" spans="1:11" x14ac:dyDescent="0.25">
      <c r="A1602" s="20">
        <v>42111</v>
      </c>
      <c r="B1602" s="183">
        <v>18139</v>
      </c>
      <c r="C1602" s="14" t="s">
        <v>151</v>
      </c>
      <c r="D1602" s="105">
        <v>2406.4</v>
      </c>
      <c r="E1602" s="23">
        <v>42112</v>
      </c>
      <c r="F1602" s="106">
        <v>2406.4</v>
      </c>
      <c r="G1602" s="48">
        <f t="shared" si="24"/>
        <v>0</v>
      </c>
      <c r="H1602" s="39" t="s">
        <v>9</v>
      </c>
      <c r="I1602" s="3"/>
      <c r="J1602" s="42"/>
      <c r="K1602" s="3"/>
    </row>
    <row r="1603" spans="1:11" x14ac:dyDescent="0.25">
      <c r="A1603" s="59">
        <v>42111</v>
      </c>
      <c r="B1603" s="183">
        <v>18140</v>
      </c>
      <c r="C1603" s="14" t="s">
        <v>137</v>
      </c>
      <c r="D1603" s="105">
        <v>2727.4</v>
      </c>
      <c r="E1603" s="23">
        <v>42111</v>
      </c>
      <c r="F1603" s="106">
        <v>2727.4</v>
      </c>
      <c r="G1603" s="48">
        <f t="shared" ref="G1603:G1666" si="25">D1603-F1603</f>
        <v>0</v>
      </c>
      <c r="H1603" s="39" t="s">
        <v>9</v>
      </c>
      <c r="K1603" s="3"/>
    </row>
    <row r="1604" spans="1:11" x14ac:dyDescent="0.25">
      <c r="A1604" s="20">
        <v>42111</v>
      </c>
      <c r="B1604" s="183">
        <v>18141</v>
      </c>
      <c r="C1604" s="14" t="s">
        <v>81</v>
      </c>
      <c r="D1604" s="105">
        <v>2262.6</v>
      </c>
      <c r="E1604" s="23">
        <v>42111</v>
      </c>
      <c r="F1604" s="106">
        <v>2262.6</v>
      </c>
      <c r="G1604" s="48">
        <f t="shared" si="25"/>
        <v>0</v>
      </c>
      <c r="H1604" s="39" t="s">
        <v>59</v>
      </c>
      <c r="K1604" s="3"/>
    </row>
    <row r="1605" spans="1:11" x14ac:dyDescent="0.25">
      <c r="A1605" s="59">
        <v>42111</v>
      </c>
      <c r="B1605" s="183">
        <v>18142</v>
      </c>
      <c r="C1605" s="14" t="s">
        <v>82</v>
      </c>
      <c r="D1605" s="105">
        <v>7151.4</v>
      </c>
      <c r="E1605" s="23">
        <v>42111</v>
      </c>
      <c r="F1605" s="106">
        <v>7151.4</v>
      </c>
      <c r="G1605" s="48">
        <f t="shared" si="25"/>
        <v>0</v>
      </c>
      <c r="H1605" s="39" t="s">
        <v>59</v>
      </c>
      <c r="K1605" s="3"/>
    </row>
    <row r="1606" spans="1:11" x14ac:dyDescent="0.25">
      <c r="A1606" s="20">
        <v>42111</v>
      </c>
      <c r="B1606" s="183">
        <v>18143</v>
      </c>
      <c r="C1606" s="14" t="s">
        <v>120</v>
      </c>
      <c r="D1606" s="105">
        <v>1679.6</v>
      </c>
      <c r="E1606" s="23">
        <v>42111</v>
      </c>
      <c r="F1606" s="106">
        <v>1679.6</v>
      </c>
      <c r="G1606" s="48">
        <f t="shared" si="25"/>
        <v>0</v>
      </c>
      <c r="H1606" s="39" t="s">
        <v>59</v>
      </c>
      <c r="K1606" s="3"/>
    </row>
    <row r="1607" spans="1:11" x14ac:dyDescent="0.25">
      <c r="A1607" s="59">
        <v>42111</v>
      </c>
      <c r="B1607" s="183">
        <v>18144</v>
      </c>
      <c r="C1607" s="14" t="s">
        <v>34</v>
      </c>
      <c r="D1607" s="105">
        <v>5728</v>
      </c>
      <c r="E1607" s="23">
        <v>42111</v>
      </c>
      <c r="F1607" s="106">
        <v>5728</v>
      </c>
      <c r="G1607" s="48">
        <f t="shared" si="25"/>
        <v>0</v>
      </c>
      <c r="H1607" s="39" t="s">
        <v>9</v>
      </c>
      <c r="K1607" s="3"/>
    </row>
    <row r="1608" spans="1:11" x14ac:dyDescent="0.25">
      <c r="A1608" s="20">
        <v>42111</v>
      </c>
      <c r="B1608" s="183">
        <v>18145</v>
      </c>
      <c r="C1608" s="14" t="s">
        <v>53</v>
      </c>
      <c r="D1608" s="105">
        <v>577.5</v>
      </c>
      <c r="E1608" s="23">
        <v>42111</v>
      </c>
      <c r="F1608" s="106">
        <v>577.5</v>
      </c>
      <c r="G1608" s="48">
        <f t="shared" si="25"/>
        <v>0</v>
      </c>
      <c r="H1608" s="39" t="s">
        <v>59</v>
      </c>
      <c r="K1608" s="3"/>
    </row>
    <row r="1609" spans="1:11" x14ac:dyDescent="0.25">
      <c r="A1609" s="59">
        <v>42111</v>
      </c>
      <c r="B1609" s="183">
        <v>18146</v>
      </c>
      <c r="C1609" s="14" t="s">
        <v>213</v>
      </c>
      <c r="D1609" s="105">
        <v>7560</v>
      </c>
      <c r="E1609" s="23">
        <v>42119</v>
      </c>
      <c r="F1609" s="106">
        <v>7560</v>
      </c>
      <c r="G1609" s="48">
        <f t="shared" si="25"/>
        <v>0</v>
      </c>
      <c r="H1609" s="39" t="s">
        <v>62</v>
      </c>
      <c r="K1609" s="3"/>
    </row>
    <row r="1610" spans="1:11" x14ac:dyDescent="0.25">
      <c r="A1610" s="20">
        <v>42111</v>
      </c>
      <c r="B1610" s="183">
        <v>18147</v>
      </c>
      <c r="C1610" s="110">
        <v>105</v>
      </c>
      <c r="D1610" s="105">
        <v>1750</v>
      </c>
      <c r="E1610" s="23">
        <v>42111</v>
      </c>
      <c r="F1610" s="106">
        <v>1750</v>
      </c>
      <c r="G1610" s="48">
        <f t="shared" si="25"/>
        <v>0</v>
      </c>
      <c r="H1610" s="39" t="s">
        <v>59</v>
      </c>
      <c r="K1610" s="3"/>
    </row>
    <row r="1611" spans="1:11" x14ac:dyDescent="0.25">
      <c r="A1611" s="59">
        <v>42111</v>
      </c>
      <c r="B1611" s="183">
        <v>18148</v>
      </c>
      <c r="C1611" s="50" t="s">
        <v>57</v>
      </c>
      <c r="D1611" s="105">
        <v>1050</v>
      </c>
      <c r="E1611" s="23">
        <v>42111</v>
      </c>
      <c r="F1611" s="106">
        <v>1050</v>
      </c>
      <c r="G1611" s="48">
        <f t="shared" si="25"/>
        <v>0</v>
      </c>
      <c r="H1611" s="39" t="s">
        <v>59</v>
      </c>
      <c r="K1611" s="3"/>
    </row>
    <row r="1612" spans="1:11" x14ac:dyDescent="0.25">
      <c r="A1612" s="20">
        <v>42111</v>
      </c>
      <c r="B1612" s="183">
        <v>18149</v>
      </c>
      <c r="C1612" s="14" t="s">
        <v>225</v>
      </c>
      <c r="D1612" s="105">
        <v>2511.3000000000002</v>
      </c>
      <c r="E1612" s="23">
        <v>42111</v>
      </c>
      <c r="F1612" s="106">
        <v>2511.3000000000002</v>
      </c>
      <c r="G1612" s="48">
        <f t="shared" si="25"/>
        <v>0</v>
      </c>
      <c r="H1612" s="39" t="s">
        <v>9</v>
      </c>
      <c r="K1612" s="3"/>
    </row>
    <row r="1613" spans="1:11" x14ac:dyDescent="0.25">
      <c r="A1613" s="59">
        <v>42111</v>
      </c>
      <c r="B1613" s="183">
        <v>18150</v>
      </c>
      <c r="C1613" s="14" t="s">
        <v>133</v>
      </c>
      <c r="D1613" s="105">
        <v>23382.799999999999</v>
      </c>
      <c r="E1613" s="23">
        <v>42111</v>
      </c>
      <c r="F1613" s="106">
        <v>23382.799999999999</v>
      </c>
      <c r="G1613" s="48">
        <f t="shared" si="25"/>
        <v>0</v>
      </c>
      <c r="H1613" s="39" t="s">
        <v>9</v>
      </c>
      <c r="K1613" s="3"/>
    </row>
    <row r="1614" spans="1:11" x14ac:dyDescent="0.25">
      <c r="A1614" s="20">
        <v>42111</v>
      </c>
      <c r="B1614" s="183">
        <v>18151</v>
      </c>
      <c r="C1614" s="14" t="s">
        <v>1026</v>
      </c>
      <c r="D1614" s="105">
        <v>1750.4</v>
      </c>
      <c r="E1614" s="23">
        <v>42111</v>
      </c>
      <c r="F1614" s="106">
        <v>1750.4</v>
      </c>
      <c r="G1614" s="48">
        <f t="shared" si="25"/>
        <v>0</v>
      </c>
      <c r="H1614" s="39" t="s">
        <v>27</v>
      </c>
      <c r="K1614" s="3"/>
    </row>
    <row r="1615" spans="1:11" x14ac:dyDescent="0.25">
      <c r="A1615" s="59">
        <v>42111</v>
      </c>
      <c r="B1615" s="183">
        <v>18152</v>
      </c>
      <c r="C1615" s="14" t="s">
        <v>83</v>
      </c>
      <c r="D1615" s="105">
        <v>5055.6000000000004</v>
      </c>
      <c r="E1615" s="23">
        <v>42111</v>
      </c>
      <c r="F1615" s="106">
        <v>5055.6000000000004</v>
      </c>
      <c r="G1615" s="48">
        <f t="shared" si="25"/>
        <v>0</v>
      </c>
      <c r="H1615" s="39" t="s">
        <v>59</v>
      </c>
      <c r="K1615" s="3"/>
    </row>
    <row r="1616" spans="1:11" x14ac:dyDescent="0.25">
      <c r="A1616" s="20">
        <v>42111</v>
      </c>
      <c r="B1616" s="183">
        <v>18153</v>
      </c>
      <c r="C1616" s="14" t="s">
        <v>45</v>
      </c>
      <c r="D1616" s="105">
        <v>2547.4499999999998</v>
      </c>
      <c r="E1616" s="23">
        <v>42117</v>
      </c>
      <c r="F1616" s="106">
        <v>2547.4499999999998</v>
      </c>
      <c r="G1616" s="48">
        <f t="shared" si="25"/>
        <v>0</v>
      </c>
      <c r="H1616" s="39" t="s">
        <v>59</v>
      </c>
      <c r="J1616" s="120"/>
      <c r="K1616" s="3"/>
    </row>
    <row r="1617" spans="1:11" x14ac:dyDescent="0.25">
      <c r="A1617" s="59">
        <v>42111</v>
      </c>
      <c r="B1617" s="183">
        <v>18154</v>
      </c>
      <c r="C1617" s="14" t="s">
        <v>454</v>
      </c>
      <c r="D1617" s="105">
        <v>656.2</v>
      </c>
      <c r="E1617" s="23">
        <v>42111</v>
      </c>
      <c r="F1617" s="106">
        <v>656.2</v>
      </c>
      <c r="G1617" s="48">
        <f t="shared" si="25"/>
        <v>0</v>
      </c>
      <c r="H1617" s="39" t="s">
        <v>41</v>
      </c>
      <c r="K1617" s="3"/>
    </row>
    <row r="1618" spans="1:11" x14ac:dyDescent="0.25">
      <c r="A1618" s="20">
        <v>42111</v>
      </c>
      <c r="B1618" s="183">
        <v>18155</v>
      </c>
      <c r="C1618" s="14" t="s">
        <v>155</v>
      </c>
      <c r="D1618" s="105">
        <v>1159.2</v>
      </c>
      <c r="E1618" s="23">
        <v>42111</v>
      </c>
      <c r="F1618" s="106">
        <v>1159.2</v>
      </c>
      <c r="G1618" s="48">
        <f t="shared" si="25"/>
        <v>0</v>
      </c>
      <c r="H1618" s="39" t="s">
        <v>59</v>
      </c>
      <c r="K1618" s="3"/>
    </row>
    <row r="1619" spans="1:11" x14ac:dyDescent="0.25">
      <c r="A1619" s="59">
        <v>42111</v>
      </c>
      <c r="B1619" s="183">
        <v>18156</v>
      </c>
      <c r="C1619" s="14" t="s">
        <v>133</v>
      </c>
      <c r="D1619" s="105">
        <v>4105.5</v>
      </c>
      <c r="E1619" s="23">
        <v>42111</v>
      </c>
      <c r="F1619" s="106">
        <v>4105.5</v>
      </c>
      <c r="G1619" s="48">
        <f t="shared" si="25"/>
        <v>0</v>
      </c>
      <c r="H1619" s="39" t="s">
        <v>9</v>
      </c>
      <c r="I1619" s="3"/>
      <c r="J1619" s="42"/>
      <c r="K1619" s="3"/>
    </row>
    <row r="1620" spans="1:11" x14ac:dyDescent="0.25">
      <c r="A1620" s="20">
        <v>42111</v>
      </c>
      <c r="B1620" s="183">
        <v>18157</v>
      </c>
      <c r="C1620" s="14" t="s">
        <v>332</v>
      </c>
      <c r="D1620" s="105">
        <v>2284.1999999999998</v>
      </c>
      <c r="E1620" s="23">
        <v>42111</v>
      </c>
      <c r="F1620" s="106">
        <v>2284.1999999999998</v>
      </c>
      <c r="G1620" s="48">
        <f t="shared" si="25"/>
        <v>0</v>
      </c>
      <c r="H1620" s="39" t="s">
        <v>9</v>
      </c>
      <c r="I1620" s="3"/>
      <c r="J1620" s="42"/>
      <c r="K1620" s="3"/>
    </row>
    <row r="1621" spans="1:11" x14ac:dyDescent="0.25">
      <c r="A1621" s="59">
        <v>42111</v>
      </c>
      <c r="B1621" s="183">
        <v>18158</v>
      </c>
      <c r="C1621" s="14" t="s">
        <v>99</v>
      </c>
      <c r="D1621" s="105">
        <v>2618.6999999999998</v>
      </c>
      <c r="E1621" s="23">
        <v>42112</v>
      </c>
      <c r="F1621" s="106">
        <v>2618.6999999999998</v>
      </c>
      <c r="G1621" s="48">
        <f t="shared" si="25"/>
        <v>0</v>
      </c>
      <c r="H1621" s="39" t="s">
        <v>312</v>
      </c>
      <c r="I1621" s="3"/>
      <c r="J1621" s="42"/>
      <c r="K1621" s="3"/>
    </row>
    <row r="1622" spans="1:11" x14ac:dyDescent="0.25">
      <c r="A1622" s="20">
        <v>42111</v>
      </c>
      <c r="B1622" s="183">
        <v>18159</v>
      </c>
      <c r="C1622" s="14" t="s">
        <v>26</v>
      </c>
      <c r="D1622" s="105">
        <v>3120</v>
      </c>
      <c r="E1622" s="23">
        <v>42111</v>
      </c>
      <c r="F1622" s="106">
        <v>3120</v>
      </c>
      <c r="G1622" s="48">
        <f t="shared" si="25"/>
        <v>0</v>
      </c>
      <c r="H1622" s="39" t="s">
        <v>9</v>
      </c>
      <c r="I1622" s="3"/>
      <c r="J1622" s="42"/>
      <c r="K1622" s="3"/>
    </row>
    <row r="1623" spans="1:11" x14ac:dyDescent="0.25">
      <c r="A1623" s="59">
        <v>42111</v>
      </c>
      <c r="B1623" s="183">
        <v>18160</v>
      </c>
      <c r="C1623" s="26" t="s">
        <v>218</v>
      </c>
      <c r="D1623" s="108">
        <v>0</v>
      </c>
      <c r="E1623" s="23"/>
      <c r="F1623" s="106"/>
      <c r="G1623" s="48">
        <f t="shared" si="25"/>
        <v>0</v>
      </c>
      <c r="H1623" s="39" t="s">
        <v>13</v>
      </c>
      <c r="I1623" s="3"/>
      <c r="J1623" s="42"/>
      <c r="K1623" s="3"/>
    </row>
    <row r="1624" spans="1:11" x14ac:dyDescent="0.25">
      <c r="A1624" s="20">
        <v>42111</v>
      </c>
      <c r="B1624" s="183">
        <v>18161</v>
      </c>
      <c r="C1624" s="14" t="s">
        <v>50</v>
      </c>
      <c r="D1624" s="105">
        <v>2102.4</v>
      </c>
      <c r="E1624" s="23">
        <v>42111</v>
      </c>
      <c r="F1624" s="106">
        <v>2102.4</v>
      </c>
      <c r="G1624" s="48">
        <f t="shared" si="25"/>
        <v>0</v>
      </c>
      <c r="H1624" s="39" t="s">
        <v>9</v>
      </c>
      <c r="I1624" s="3"/>
      <c r="J1624" s="42"/>
      <c r="K1624" s="3"/>
    </row>
    <row r="1625" spans="1:11" x14ac:dyDescent="0.25">
      <c r="A1625" s="59">
        <v>42111</v>
      </c>
      <c r="B1625" s="183">
        <v>18162</v>
      </c>
      <c r="C1625" s="14" t="s">
        <v>110</v>
      </c>
      <c r="D1625" s="105">
        <v>63583.4</v>
      </c>
      <c r="E1625" s="30">
        <v>42126</v>
      </c>
      <c r="F1625" s="144">
        <v>63583.4</v>
      </c>
      <c r="G1625" s="48">
        <f t="shared" si="25"/>
        <v>0</v>
      </c>
      <c r="H1625" s="39" t="s">
        <v>9</v>
      </c>
      <c r="I1625" s="3"/>
      <c r="J1625" s="42"/>
      <c r="K1625" s="3"/>
    </row>
    <row r="1626" spans="1:11" x14ac:dyDescent="0.25">
      <c r="A1626" s="20">
        <v>42111</v>
      </c>
      <c r="B1626" s="183">
        <v>18163</v>
      </c>
      <c r="C1626" s="14" t="s">
        <v>285</v>
      </c>
      <c r="D1626" s="105">
        <v>527.79999999999995</v>
      </c>
      <c r="E1626" s="23">
        <v>42115</v>
      </c>
      <c r="F1626" s="106">
        <v>527.79999999999995</v>
      </c>
      <c r="G1626" s="48">
        <f t="shared" si="25"/>
        <v>0</v>
      </c>
      <c r="H1626" s="39" t="s">
        <v>15</v>
      </c>
      <c r="I1626" s="3"/>
      <c r="J1626" s="42"/>
      <c r="K1626" s="3"/>
    </row>
    <row r="1627" spans="1:11" x14ac:dyDescent="0.25">
      <c r="A1627" s="59">
        <v>42111</v>
      </c>
      <c r="B1627" s="183">
        <v>18164</v>
      </c>
      <c r="C1627" s="14" t="s">
        <v>78</v>
      </c>
      <c r="D1627" s="105">
        <v>6919.2</v>
      </c>
      <c r="E1627" s="23">
        <v>42112</v>
      </c>
      <c r="F1627" s="106">
        <v>6919.2</v>
      </c>
      <c r="G1627" s="48">
        <f t="shared" si="25"/>
        <v>0</v>
      </c>
      <c r="H1627" s="39" t="s">
        <v>62</v>
      </c>
      <c r="I1627" s="3"/>
      <c r="J1627" s="42"/>
      <c r="K1627" s="3"/>
    </row>
    <row r="1628" spans="1:11" x14ac:dyDescent="0.25">
      <c r="A1628" s="20">
        <v>42111</v>
      </c>
      <c r="B1628" s="183">
        <v>18165</v>
      </c>
      <c r="C1628" s="14" t="s">
        <v>67</v>
      </c>
      <c r="D1628" s="105">
        <v>4304.8</v>
      </c>
      <c r="E1628" s="23">
        <v>42112</v>
      </c>
      <c r="F1628" s="106">
        <v>4304.8</v>
      </c>
      <c r="G1628" s="48">
        <f t="shared" si="25"/>
        <v>0</v>
      </c>
      <c r="H1628" s="39" t="s">
        <v>62</v>
      </c>
      <c r="I1628" s="3"/>
      <c r="J1628" s="42"/>
      <c r="K1628" s="3"/>
    </row>
    <row r="1629" spans="1:11" x14ac:dyDescent="0.25">
      <c r="A1629" s="59">
        <v>42111</v>
      </c>
      <c r="B1629" s="183">
        <v>18166</v>
      </c>
      <c r="C1629" s="14" t="s">
        <v>170</v>
      </c>
      <c r="D1629" s="105">
        <v>9294.7000000000007</v>
      </c>
      <c r="E1629" s="23">
        <v>42112</v>
      </c>
      <c r="F1629" s="106">
        <v>9294.7000000000007</v>
      </c>
      <c r="G1629" s="48">
        <f t="shared" si="25"/>
        <v>0</v>
      </c>
      <c r="H1629" s="39" t="s">
        <v>62</v>
      </c>
      <c r="I1629" s="3"/>
      <c r="J1629" s="42"/>
      <c r="K1629" s="3"/>
    </row>
    <row r="1630" spans="1:11" x14ac:dyDescent="0.25">
      <c r="A1630" s="20">
        <v>42111</v>
      </c>
      <c r="B1630" s="183">
        <v>18167</v>
      </c>
      <c r="C1630" s="150" t="s">
        <v>75</v>
      </c>
      <c r="D1630" s="105">
        <v>13742.4</v>
      </c>
      <c r="E1630" s="23">
        <v>42112</v>
      </c>
      <c r="F1630" s="106">
        <v>13742.4</v>
      </c>
      <c r="G1630" s="48">
        <f t="shared" si="25"/>
        <v>0</v>
      </c>
      <c r="H1630" s="39" t="s">
        <v>62</v>
      </c>
      <c r="I1630" s="3"/>
      <c r="J1630" s="42"/>
      <c r="K1630" s="3"/>
    </row>
    <row r="1631" spans="1:11" x14ac:dyDescent="0.25">
      <c r="A1631" s="59">
        <v>42111</v>
      </c>
      <c r="B1631" s="183">
        <v>18168</v>
      </c>
      <c r="C1631" s="14" t="s">
        <v>444</v>
      </c>
      <c r="D1631" s="105">
        <v>888</v>
      </c>
      <c r="E1631" s="23">
        <v>42112</v>
      </c>
      <c r="F1631" s="106">
        <v>888</v>
      </c>
      <c r="G1631" s="48">
        <f t="shared" si="25"/>
        <v>0</v>
      </c>
      <c r="H1631" s="39" t="s">
        <v>62</v>
      </c>
      <c r="I1631" s="3"/>
      <c r="J1631" s="42"/>
      <c r="K1631" s="3"/>
    </row>
    <row r="1632" spans="1:11" x14ac:dyDescent="0.25">
      <c r="A1632" s="20">
        <v>42111</v>
      </c>
      <c r="B1632" s="183">
        <v>18169</v>
      </c>
      <c r="C1632" s="14" t="s">
        <v>24</v>
      </c>
      <c r="D1632" s="105">
        <v>158479.15</v>
      </c>
      <c r="E1632" s="30">
        <v>42138</v>
      </c>
      <c r="F1632" s="144">
        <v>158479.15</v>
      </c>
      <c r="G1632" s="48">
        <f t="shared" si="25"/>
        <v>0</v>
      </c>
      <c r="H1632" s="39" t="s">
        <v>46</v>
      </c>
      <c r="I1632" s="3"/>
      <c r="J1632" s="42"/>
      <c r="K1632" s="3"/>
    </row>
    <row r="1633" spans="1:11" x14ac:dyDescent="0.25">
      <c r="A1633" s="59">
        <v>42111</v>
      </c>
      <c r="B1633" s="183">
        <v>18170</v>
      </c>
      <c r="C1633" s="14" t="s">
        <v>84</v>
      </c>
      <c r="D1633" s="105">
        <v>38817.199999999997</v>
      </c>
      <c r="E1633" s="30" t="s">
        <v>1123</v>
      </c>
      <c r="F1633" s="106">
        <v>38817.199999999997</v>
      </c>
      <c r="G1633" s="48">
        <f t="shared" si="25"/>
        <v>0</v>
      </c>
      <c r="H1633" s="39" t="s">
        <v>62</v>
      </c>
      <c r="I1633" s="3"/>
      <c r="J1633" s="42"/>
      <c r="K1633" s="3"/>
    </row>
    <row r="1634" spans="1:11" x14ac:dyDescent="0.25">
      <c r="A1634" s="20">
        <v>42111</v>
      </c>
      <c r="B1634" s="183">
        <v>18171</v>
      </c>
      <c r="C1634" s="14" t="s">
        <v>571</v>
      </c>
      <c r="D1634" s="105">
        <v>54656.1</v>
      </c>
      <c r="E1634" s="23">
        <v>42115</v>
      </c>
      <c r="F1634" s="106">
        <v>54656.1</v>
      </c>
      <c r="G1634" s="48">
        <f t="shared" si="25"/>
        <v>0</v>
      </c>
      <c r="H1634" s="39" t="s">
        <v>94</v>
      </c>
      <c r="I1634" s="3"/>
      <c r="J1634" s="42"/>
      <c r="K1634" s="3"/>
    </row>
    <row r="1635" spans="1:11" x14ac:dyDescent="0.25">
      <c r="A1635" s="59">
        <v>42111</v>
      </c>
      <c r="B1635" s="183">
        <v>18172</v>
      </c>
      <c r="C1635" s="14" t="s">
        <v>821</v>
      </c>
      <c r="D1635" s="105">
        <v>5790.4</v>
      </c>
      <c r="E1635" s="23">
        <v>42111</v>
      </c>
      <c r="F1635" s="106">
        <v>5790.4</v>
      </c>
      <c r="G1635" s="48">
        <f t="shared" si="25"/>
        <v>0</v>
      </c>
      <c r="H1635" s="39" t="s">
        <v>9</v>
      </c>
      <c r="K1635" s="3"/>
    </row>
    <row r="1636" spans="1:11" x14ac:dyDescent="0.25">
      <c r="A1636" s="20">
        <v>42111</v>
      </c>
      <c r="B1636" s="183">
        <v>18173</v>
      </c>
      <c r="C1636" s="14" t="s">
        <v>675</v>
      </c>
      <c r="D1636" s="105">
        <v>551.1</v>
      </c>
      <c r="E1636" s="23">
        <v>42111</v>
      </c>
      <c r="F1636" s="106">
        <v>551.1</v>
      </c>
      <c r="G1636" s="48">
        <f t="shared" si="25"/>
        <v>0</v>
      </c>
      <c r="H1636" s="39" t="s">
        <v>9</v>
      </c>
      <c r="K1636" s="3"/>
    </row>
    <row r="1637" spans="1:11" x14ac:dyDescent="0.25">
      <c r="A1637" s="59">
        <v>42111</v>
      </c>
      <c r="B1637" s="183">
        <v>18174</v>
      </c>
      <c r="C1637" s="14" t="s">
        <v>136</v>
      </c>
      <c r="D1637" s="105">
        <v>540</v>
      </c>
      <c r="E1637" s="23">
        <v>42111</v>
      </c>
      <c r="F1637" s="106">
        <v>540</v>
      </c>
      <c r="G1637" s="48">
        <f t="shared" si="25"/>
        <v>0</v>
      </c>
      <c r="H1637" s="39" t="s">
        <v>9</v>
      </c>
      <c r="K1637" s="3"/>
    </row>
    <row r="1638" spans="1:11" x14ac:dyDescent="0.25">
      <c r="A1638" s="20">
        <v>42111</v>
      </c>
      <c r="B1638" s="183">
        <v>18175</v>
      </c>
      <c r="C1638" s="14" t="s">
        <v>176</v>
      </c>
      <c r="D1638" s="105">
        <v>8737.4</v>
      </c>
      <c r="E1638" s="30" t="s">
        <v>1124</v>
      </c>
      <c r="F1638" s="106">
        <v>8737.4</v>
      </c>
      <c r="G1638" s="48">
        <f t="shared" si="25"/>
        <v>0</v>
      </c>
      <c r="H1638" s="39" t="s">
        <v>62</v>
      </c>
      <c r="K1638" s="3"/>
    </row>
    <row r="1639" spans="1:11" x14ac:dyDescent="0.25">
      <c r="A1639" s="59">
        <v>42111</v>
      </c>
      <c r="B1639" s="183">
        <v>18176</v>
      </c>
      <c r="C1639" s="14" t="s">
        <v>104</v>
      </c>
      <c r="D1639" s="105">
        <v>9001.5</v>
      </c>
      <c r="E1639" s="23">
        <v>42112</v>
      </c>
      <c r="F1639" s="106">
        <v>9001.5</v>
      </c>
      <c r="G1639" s="48">
        <f t="shared" si="25"/>
        <v>0</v>
      </c>
      <c r="H1639" s="39" t="s">
        <v>94</v>
      </c>
      <c r="K1639" s="3"/>
    </row>
    <row r="1640" spans="1:11" x14ac:dyDescent="0.25">
      <c r="A1640" s="20">
        <v>42111</v>
      </c>
      <c r="B1640" s="183">
        <v>18177</v>
      </c>
      <c r="C1640" s="14" t="s">
        <v>95</v>
      </c>
      <c r="D1640" s="105">
        <v>1663.2</v>
      </c>
      <c r="E1640" s="23">
        <v>42112</v>
      </c>
      <c r="F1640" s="106">
        <v>1663.2</v>
      </c>
      <c r="G1640" s="48">
        <f t="shared" si="25"/>
        <v>0</v>
      </c>
      <c r="H1640" s="39" t="s">
        <v>94</v>
      </c>
      <c r="K1640" s="3"/>
    </row>
    <row r="1641" spans="1:11" x14ac:dyDescent="0.25">
      <c r="A1641" s="59">
        <v>42111</v>
      </c>
      <c r="B1641" s="183">
        <v>18178</v>
      </c>
      <c r="C1641" s="14" t="s">
        <v>95</v>
      </c>
      <c r="D1641" s="105">
        <v>1874.4</v>
      </c>
      <c r="E1641" s="23">
        <v>42112</v>
      </c>
      <c r="F1641" s="106">
        <v>1874.4</v>
      </c>
      <c r="G1641" s="48">
        <f t="shared" si="25"/>
        <v>0</v>
      </c>
      <c r="H1641" s="39" t="s">
        <v>94</v>
      </c>
      <c r="K1641" s="3"/>
    </row>
    <row r="1642" spans="1:11" x14ac:dyDescent="0.25">
      <c r="A1642" s="20">
        <v>42111</v>
      </c>
      <c r="B1642" s="183">
        <v>18179</v>
      </c>
      <c r="C1642" s="14" t="s">
        <v>106</v>
      </c>
      <c r="D1642" s="105">
        <v>10635.2</v>
      </c>
      <c r="E1642" s="23">
        <v>42112</v>
      </c>
      <c r="F1642" s="106">
        <v>10635.2</v>
      </c>
      <c r="G1642" s="48">
        <f t="shared" si="25"/>
        <v>0</v>
      </c>
      <c r="H1642" s="39" t="s">
        <v>94</v>
      </c>
      <c r="K1642" s="3"/>
    </row>
    <row r="1643" spans="1:11" x14ac:dyDescent="0.25">
      <c r="A1643" s="59">
        <v>42111</v>
      </c>
      <c r="B1643" s="183">
        <v>18180</v>
      </c>
      <c r="C1643" s="14" t="s">
        <v>89</v>
      </c>
      <c r="D1643" s="105">
        <v>1259.4000000000001</v>
      </c>
      <c r="E1643" s="23">
        <v>42111</v>
      </c>
      <c r="F1643" s="106">
        <v>1259.4000000000001</v>
      </c>
      <c r="G1643" s="48">
        <f t="shared" si="25"/>
        <v>0</v>
      </c>
      <c r="H1643" s="39" t="s">
        <v>9</v>
      </c>
      <c r="J1643" s="107"/>
      <c r="K1643" s="3"/>
    </row>
    <row r="1644" spans="1:11" x14ac:dyDescent="0.25">
      <c r="A1644" s="20">
        <v>42111</v>
      </c>
      <c r="B1644" s="183">
        <v>18181</v>
      </c>
      <c r="C1644" s="14" t="s">
        <v>335</v>
      </c>
      <c r="D1644" s="105">
        <v>623.6</v>
      </c>
      <c r="E1644" s="23">
        <v>42111</v>
      </c>
      <c r="F1644" s="106">
        <v>623.6</v>
      </c>
      <c r="G1644" s="48">
        <f t="shared" si="25"/>
        <v>0</v>
      </c>
      <c r="H1644" s="39" t="s">
        <v>9</v>
      </c>
      <c r="K1644" s="3"/>
    </row>
    <row r="1645" spans="1:11" x14ac:dyDescent="0.25">
      <c r="A1645" s="59">
        <v>42111</v>
      </c>
      <c r="B1645" s="183">
        <v>18182</v>
      </c>
      <c r="C1645" s="14" t="s">
        <v>173</v>
      </c>
      <c r="D1645" s="105">
        <v>31740.799999999999</v>
      </c>
      <c r="E1645" s="30" t="s">
        <v>1218</v>
      </c>
      <c r="F1645" s="144">
        <v>31740.799999999999</v>
      </c>
      <c r="G1645" s="48">
        <f t="shared" si="25"/>
        <v>0</v>
      </c>
      <c r="H1645" s="39" t="s">
        <v>62</v>
      </c>
      <c r="K1645" s="3"/>
    </row>
    <row r="1646" spans="1:11" x14ac:dyDescent="0.25">
      <c r="A1646" s="20">
        <v>42111</v>
      </c>
      <c r="B1646" s="183">
        <v>18183</v>
      </c>
      <c r="C1646" s="14" t="s">
        <v>136</v>
      </c>
      <c r="D1646" s="105">
        <v>7986</v>
      </c>
      <c r="E1646" s="23">
        <v>42111</v>
      </c>
      <c r="F1646" s="106">
        <v>7986</v>
      </c>
      <c r="G1646" s="48">
        <f t="shared" si="25"/>
        <v>0</v>
      </c>
      <c r="H1646" s="39" t="s">
        <v>9</v>
      </c>
      <c r="K1646" s="3"/>
    </row>
    <row r="1647" spans="1:11" x14ac:dyDescent="0.25">
      <c r="A1647" s="59">
        <v>42111</v>
      </c>
      <c r="B1647" s="183">
        <v>18184</v>
      </c>
      <c r="C1647" s="14" t="s">
        <v>138</v>
      </c>
      <c r="D1647" s="105">
        <v>3421.6</v>
      </c>
      <c r="E1647" s="23">
        <v>42111</v>
      </c>
      <c r="F1647" s="106">
        <v>3421.6</v>
      </c>
      <c r="G1647" s="48">
        <f t="shared" si="25"/>
        <v>0</v>
      </c>
      <c r="H1647" s="39" t="s">
        <v>19</v>
      </c>
      <c r="K1647" s="3"/>
    </row>
    <row r="1648" spans="1:11" x14ac:dyDescent="0.25">
      <c r="A1648" s="20">
        <v>42111</v>
      </c>
      <c r="B1648" s="183">
        <v>18185</v>
      </c>
      <c r="C1648" s="14" t="s">
        <v>98</v>
      </c>
      <c r="D1648" s="105">
        <v>3196.8</v>
      </c>
      <c r="E1648" s="23">
        <v>42112</v>
      </c>
      <c r="F1648" s="106">
        <v>3196.8</v>
      </c>
      <c r="G1648" s="48">
        <f t="shared" si="25"/>
        <v>0</v>
      </c>
      <c r="H1648" s="39" t="s">
        <v>94</v>
      </c>
      <c r="K1648" s="3"/>
    </row>
    <row r="1649" spans="1:11" x14ac:dyDescent="0.25">
      <c r="A1649" s="59">
        <v>42111</v>
      </c>
      <c r="B1649" s="183">
        <v>18186</v>
      </c>
      <c r="C1649" s="14" t="s">
        <v>900</v>
      </c>
      <c r="D1649" s="105">
        <v>1611.2</v>
      </c>
      <c r="E1649" s="23">
        <v>42111</v>
      </c>
      <c r="F1649" s="106">
        <v>1611.2</v>
      </c>
      <c r="G1649" s="48">
        <f t="shared" si="25"/>
        <v>0</v>
      </c>
      <c r="H1649" s="39" t="s">
        <v>9</v>
      </c>
      <c r="K1649" s="3"/>
    </row>
    <row r="1650" spans="1:11" x14ac:dyDescent="0.25">
      <c r="A1650" s="20">
        <v>42111</v>
      </c>
      <c r="B1650" s="183">
        <v>18187</v>
      </c>
      <c r="C1650" s="14" t="s">
        <v>72</v>
      </c>
      <c r="D1650" s="105">
        <v>16569.400000000001</v>
      </c>
      <c r="E1650" s="52"/>
      <c r="F1650" s="111"/>
      <c r="G1650" s="48">
        <f t="shared" si="25"/>
        <v>16569.400000000001</v>
      </c>
      <c r="H1650" s="39" t="s">
        <v>62</v>
      </c>
      <c r="K1650" s="3"/>
    </row>
    <row r="1651" spans="1:11" x14ac:dyDescent="0.25">
      <c r="A1651" s="59">
        <v>42111</v>
      </c>
      <c r="B1651" s="183">
        <v>18188</v>
      </c>
      <c r="C1651" s="14" t="s">
        <v>172</v>
      </c>
      <c r="D1651" s="105">
        <v>4240.2</v>
      </c>
      <c r="E1651" s="23">
        <v>42112</v>
      </c>
      <c r="F1651" s="106">
        <v>4240.2</v>
      </c>
      <c r="G1651" s="48">
        <f t="shared" si="25"/>
        <v>0</v>
      </c>
      <c r="H1651" s="39" t="s">
        <v>62</v>
      </c>
      <c r="I1651" s="3"/>
      <c r="J1651" s="42"/>
      <c r="K1651" s="3"/>
    </row>
    <row r="1652" spans="1:11" x14ac:dyDescent="0.25">
      <c r="A1652" s="20">
        <v>42111</v>
      </c>
      <c r="B1652" s="183">
        <v>18189</v>
      </c>
      <c r="C1652" s="14" t="s">
        <v>411</v>
      </c>
      <c r="D1652" s="105">
        <v>1684.2</v>
      </c>
      <c r="E1652" s="23">
        <v>42111</v>
      </c>
      <c r="F1652" s="106">
        <v>1684.2</v>
      </c>
      <c r="G1652" s="48">
        <f t="shared" si="25"/>
        <v>0</v>
      </c>
      <c r="H1652" s="39" t="s">
        <v>9</v>
      </c>
      <c r="I1652" s="3"/>
      <c r="J1652" s="42"/>
      <c r="K1652" s="3"/>
    </row>
    <row r="1653" spans="1:11" x14ac:dyDescent="0.25">
      <c r="A1653" s="59">
        <v>42111</v>
      </c>
      <c r="B1653" s="183">
        <v>18190</v>
      </c>
      <c r="C1653" s="14" t="s">
        <v>61</v>
      </c>
      <c r="D1653" s="105">
        <v>3746.4</v>
      </c>
      <c r="E1653" s="23">
        <v>42112</v>
      </c>
      <c r="F1653" s="106">
        <v>3746.4</v>
      </c>
      <c r="G1653" s="48">
        <f t="shared" si="25"/>
        <v>0</v>
      </c>
      <c r="H1653" s="39" t="s">
        <v>62</v>
      </c>
      <c r="I1653" s="3"/>
      <c r="J1653" s="42"/>
      <c r="K1653" s="3"/>
    </row>
    <row r="1654" spans="1:11" x14ac:dyDescent="0.25">
      <c r="A1654" s="20">
        <v>42111</v>
      </c>
      <c r="B1654" s="183">
        <v>18191</v>
      </c>
      <c r="C1654" s="14" t="s">
        <v>61</v>
      </c>
      <c r="D1654" s="105">
        <v>2501.1999999999998</v>
      </c>
      <c r="E1654" s="23">
        <v>42112</v>
      </c>
      <c r="F1654" s="106">
        <v>2501.1999999999998</v>
      </c>
      <c r="G1654" s="48">
        <f t="shared" si="25"/>
        <v>0</v>
      </c>
      <c r="H1654" s="39" t="s">
        <v>62</v>
      </c>
      <c r="I1654" s="3"/>
      <c r="J1654" s="42"/>
      <c r="K1654" s="3"/>
    </row>
    <row r="1655" spans="1:11" x14ac:dyDescent="0.25">
      <c r="A1655" s="59">
        <v>42111</v>
      </c>
      <c r="B1655" s="183">
        <v>18192</v>
      </c>
      <c r="C1655" s="14" t="s">
        <v>1125</v>
      </c>
      <c r="D1655" s="105">
        <v>13976.4</v>
      </c>
      <c r="E1655" s="23">
        <v>42111</v>
      </c>
      <c r="F1655" s="106">
        <v>13976.4</v>
      </c>
      <c r="G1655" s="48">
        <f t="shared" si="25"/>
        <v>0</v>
      </c>
      <c r="H1655" s="39" t="s">
        <v>17</v>
      </c>
      <c r="I1655" s="3"/>
      <c r="J1655" s="42"/>
      <c r="K1655" s="3"/>
    </row>
    <row r="1656" spans="1:11" x14ac:dyDescent="0.25">
      <c r="A1656" s="20">
        <v>42111</v>
      </c>
      <c r="B1656" s="183">
        <v>18193</v>
      </c>
      <c r="C1656" s="14" t="s">
        <v>65</v>
      </c>
      <c r="D1656" s="105">
        <v>21568.799999999999</v>
      </c>
      <c r="E1656" s="23">
        <v>42112</v>
      </c>
      <c r="F1656" s="106">
        <v>21568.799999999999</v>
      </c>
      <c r="G1656" s="48">
        <f t="shared" si="25"/>
        <v>0</v>
      </c>
      <c r="H1656" s="39" t="s">
        <v>62</v>
      </c>
      <c r="I1656" s="3"/>
      <c r="J1656" s="42"/>
      <c r="K1656" s="3"/>
    </row>
    <row r="1657" spans="1:11" x14ac:dyDescent="0.25">
      <c r="A1657" s="59">
        <v>42111</v>
      </c>
      <c r="B1657" s="183">
        <v>18194</v>
      </c>
      <c r="C1657" s="14" t="s">
        <v>229</v>
      </c>
      <c r="D1657" s="105">
        <v>2813.04</v>
      </c>
      <c r="E1657" s="23">
        <v>42111</v>
      </c>
      <c r="F1657" s="106">
        <v>2813.04</v>
      </c>
      <c r="G1657" s="48">
        <f t="shared" si="25"/>
        <v>0</v>
      </c>
      <c r="H1657" s="39" t="s">
        <v>9</v>
      </c>
      <c r="I1657" s="3"/>
      <c r="J1657" s="42"/>
      <c r="K1657" s="3"/>
    </row>
    <row r="1658" spans="1:11" x14ac:dyDescent="0.25">
      <c r="A1658" s="20">
        <v>42111</v>
      </c>
      <c r="B1658" s="183">
        <v>18195</v>
      </c>
      <c r="C1658" s="14" t="s">
        <v>131</v>
      </c>
      <c r="D1658" s="105">
        <v>460</v>
      </c>
      <c r="E1658" s="23">
        <v>42111</v>
      </c>
      <c r="F1658" s="106">
        <v>460</v>
      </c>
      <c r="G1658" s="48">
        <f t="shared" si="25"/>
        <v>0</v>
      </c>
      <c r="H1658" s="39" t="s">
        <v>9</v>
      </c>
      <c r="I1658" s="3"/>
      <c r="J1658" s="42"/>
      <c r="K1658" s="3"/>
    </row>
    <row r="1659" spans="1:11" x14ac:dyDescent="0.25">
      <c r="A1659" s="59">
        <v>42111</v>
      </c>
      <c r="B1659" s="183">
        <v>18196</v>
      </c>
      <c r="C1659" s="14" t="s">
        <v>55</v>
      </c>
      <c r="D1659" s="105">
        <v>2589.48</v>
      </c>
      <c r="E1659" s="23">
        <v>42112</v>
      </c>
      <c r="F1659" s="106">
        <v>2589.48</v>
      </c>
      <c r="G1659" s="48">
        <f t="shared" si="25"/>
        <v>0</v>
      </c>
      <c r="H1659" s="39" t="s">
        <v>773</v>
      </c>
      <c r="I1659" s="3"/>
      <c r="J1659" s="42"/>
      <c r="K1659" s="3"/>
    </row>
    <row r="1660" spans="1:11" x14ac:dyDescent="0.25">
      <c r="A1660" s="20">
        <v>42111</v>
      </c>
      <c r="B1660" s="183">
        <v>18197</v>
      </c>
      <c r="C1660" s="14" t="s">
        <v>47</v>
      </c>
      <c r="D1660" s="105">
        <v>15088</v>
      </c>
      <c r="E1660" s="23">
        <v>42112</v>
      </c>
      <c r="F1660" s="106">
        <v>15088</v>
      </c>
      <c r="G1660" s="48">
        <f t="shared" si="25"/>
        <v>0</v>
      </c>
      <c r="H1660" s="39" t="s">
        <v>773</v>
      </c>
      <c r="I1660" s="3"/>
      <c r="J1660" s="42"/>
      <c r="K1660" s="3"/>
    </row>
    <row r="1661" spans="1:11" x14ac:dyDescent="0.25">
      <c r="A1661" s="59">
        <v>42111</v>
      </c>
      <c r="B1661" s="183">
        <v>18198</v>
      </c>
      <c r="C1661" s="14" t="s">
        <v>32</v>
      </c>
      <c r="D1661" s="105">
        <v>28448.7</v>
      </c>
      <c r="E1661" s="23" t="s">
        <v>1126</v>
      </c>
      <c r="F1661" s="106">
        <f>748.65+27700.05</f>
        <v>28448.7</v>
      </c>
      <c r="G1661" s="48">
        <f t="shared" si="25"/>
        <v>0</v>
      </c>
      <c r="H1661" s="39" t="s">
        <v>1013</v>
      </c>
      <c r="I1661" s="3"/>
      <c r="J1661" s="42"/>
      <c r="K1661" s="3"/>
    </row>
    <row r="1662" spans="1:11" x14ac:dyDescent="0.25">
      <c r="A1662" s="20">
        <v>42111</v>
      </c>
      <c r="B1662" s="183">
        <v>18199</v>
      </c>
      <c r="C1662" s="14" t="s">
        <v>256</v>
      </c>
      <c r="D1662" s="105">
        <v>6770.4</v>
      </c>
      <c r="E1662" s="23">
        <v>42112</v>
      </c>
      <c r="F1662" s="106">
        <v>6770.4</v>
      </c>
      <c r="G1662" s="48">
        <f t="shared" si="25"/>
        <v>0</v>
      </c>
      <c r="H1662" s="39" t="s">
        <v>773</v>
      </c>
      <c r="I1662" s="3"/>
      <c r="J1662" s="42"/>
      <c r="K1662" s="3"/>
    </row>
    <row r="1663" spans="1:11" x14ac:dyDescent="0.25">
      <c r="A1663" s="59">
        <v>42111</v>
      </c>
      <c r="B1663" s="183">
        <v>18200</v>
      </c>
      <c r="C1663" s="14" t="s">
        <v>35</v>
      </c>
      <c r="D1663" s="105">
        <v>23003.05</v>
      </c>
      <c r="E1663" s="23">
        <v>42112</v>
      </c>
      <c r="F1663" s="106">
        <v>23003.05</v>
      </c>
      <c r="G1663" s="48">
        <f t="shared" si="25"/>
        <v>0</v>
      </c>
      <c r="H1663" s="39" t="s">
        <v>773</v>
      </c>
      <c r="I1663" s="3"/>
      <c r="J1663" s="42"/>
      <c r="K1663" s="3"/>
    </row>
    <row r="1664" spans="1:11" x14ac:dyDescent="0.25">
      <c r="A1664" s="20">
        <v>42111</v>
      </c>
      <c r="B1664" s="183">
        <v>18201</v>
      </c>
      <c r="C1664" s="14" t="s">
        <v>108</v>
      </c>
      <c r="D1664" s="105">
        <v>5792</v>
      </c>
      <c r="E1664" s="23">
        <v>42111</v>
      </c>
      <c r="F1664" s="106">
        <v>5792</v>
      </c>
      <c r="G1664" s="48">
        <f t="shared" si="25"/>
        <v>0</v>
      </c>
      <c r="H1664" s="39" t="s">
        <v>149</v>
      </c>
      <c r="I1664" s="3"/>
      <c r="J1664" s="42"/>
      <c r="K1664" s="3"/>
    </row>
    <row r="1665" spans="1:11" x14ac:dyDescent="0.25">
      <c r="A1665" s="59">
        <v>42111</v>
      </c>
      <c r="B1665" s="183">
        <v>18202</v>
      </c>
      <c r="C1665" s="14" t="s">
        <v>76</v>
      </c>
      <c r="D1665" s="105">
        <v>1125.2</v>
      </c>
      <c r="E1665" s="23">
        <v>42111</v>
      </c>
      <c r="F1665" s="106">
        <v>1125.2</v>
      </c>
      <c r="G1665" s="48">
        <f t="shared" si="25"/>
        <v>0</v>
      </c>
      <c r="H1665" s="39" t="s">
        <v>9</v>
      </c>
      <c r="I1665" s="3"/>
      <c r="J1665" s="42"/>
      <c r="K1665" s="3"/>
    </row>
    <row r="1666" spans="1:11" x14ac:dyDescent="0.25">
      <c r="A1666" s="20">
        <v>42111</v>
      </c>
      <c r="B1666" s="183">
        <v>18203</v>
      </c>
      <c r="C1666" s="14" t="s">
        <v>76</v>
      </c>
      <c r="D1666" s="105">
        <v>573.6</v>
      </c>
      <c r="E1666" s="23">
        <v>42111</v>
      </c>
      <c r="F1666" s="106">
        <v>573.6</v>
      </c>
      <c r="G1666" s="48">
        <f t="shared" si="25"/>
        <v>0</v>
      </c>
      <c r="H1666" s="39" t="s">
        <v>9</v>
      </c>
      <c r="I1666" s="3"/>
      <c r="J1666" s="42"/>
      <c r="K1666" s="3"/>
    </row>
    <row r="1667" spans="1:11" x14ac:dyDescent="0.25">
      <c r="A1667" s="59">
        <v>42111</v>
      </c>
      <c r="B1667" s="183">
        <v>18204</v>
      </c>
      <c r="C1667" s="14" t="s">
        <v>80</v>
      </c>
      <c r="D1667" s="105">
        <v>6538.2</v>
      </c>
      <c r="E1667" s="51">
        <v>42111</v>
      </c>
      <c r="F1667" s="106">
        <v>6538.2</v>
      </c>
      <c r="G1667" s="48">
        <f t="shared" ref="G1667:G1730" si="26">D1667-F1667</f>
        <v>0</v>
      </c>
      <c r="H1667" s="39" t="s">
        <v>9</v>
      </c>
      <c r="K1667" s="3"/>
    </row>
    <row r="1668" spans="1:11" x14ac:dyDescent="0.25">
      <c r="A1668" s="20">
        <v>42111</v>
      </c>
      <c r="B1668" s="183">
        <v>18205</v>
      </c>
      <c r="C1668" s="14" t="s">
        <v>102</v>
      </c>
      <c r="D1668" s="105">
        <v>1927.2</v>
      </c>
      <c r="E1668" s="23">
        <v>42111</v>
      </c>
      <c r="F1668" s="106">
        <v>1927.2</v>
      </c>
      <c r="G1668" s="48">
        <f t="shared" si="26"/>
        <v>0</v>
      </c>
      <c r="H1668" s="39" t="s">
        <v>9</v>
      </c>
      <c r="K1668" s="3"/>
    </row>
    <row r="1669" spans="1:11" x14ac:dyDescent="0.25">
      <c r="A1669" s="59">
        <v>42111</v>
      </c>
      <c r="B1669" s="183">
        <v>18206</v>
      </c>
      <c r="C1669" s="14" t="s">
        <v>24</v>
      </c>
      <c r="D1669" s="105">
        <v>123128.8</v>
      </c>
      <c r="E1669" s="30">
        <v>42138</v>
      </c>
      <c r="F1669" s="144">
        <v>123128.8</v>
      </c>
      <c r="G1669" s="48">
        <f t="shared" si="26"/>
        <v>0</v>
      </c>
      <c r="H1669" s="39" t="s">
        <v>19</v>
      </c>
      <c r="K1669" s="3"/>
    </row>
    <row r="1670" spans="1:11" x14ac:dyDescent="0.25">
      <c r="A1670" s="20">
        <v>42111</v>
      </c>
      <c r="B1670" s="183">
        <v>18207</v>
      </c>
      <c r="C1670" s="14" t="s">
        <v>1127</v>
      </c>
      <c r="D1670" s="105">
        <v>5119.8</v>
      </c>
      <c r="E1670" s="23">
        <v>42111</v>
      </c>
      <c r="F1670" s="106">
        <v>5119.8</v>
      </c>
      <c r="G1670" s="48">
        <f t="shared" si="26"/>
        <v>0</v>
      </c>
      <c r="H1670" s="19" t="s">
        <v>9</v>
      </c>
      <c r="K1670" s="3"/>
    </row>
    <row r="1671" spans="1:11" x14ac:dyDescent="0.25">
      <c r="A1671" s="59">
        <v>42111</v>
      </c>
      <c r="B1671" s="183">
        <v>18208</v>
      </c>
      <c r="C1671" s="14" t="s">
        <v>118</v>
      </c>
      <c r="D1671" s="105">
        <v>4448</v>
      </c>
      <c r="E1671" s="23">
        <v>42123</v>
      </c>
      <c r="F1671" s="106">
        <v>4448</v>
      </c>
      <c r="G1671" s="48">
        <f t="shared" si="26"/>
        <v>0</v>
      </c>
      <c r="H1671" s="19" t="s">
        <v>46</v>
      </c>
      <c r="K1671" s="3"/>
    </row>
    <row r="1672" spans="1:11" x14ac:dyDescent="0.25">
      <c r="A1672" s="20">
        <v>42111</v>
      </c>
      <c r="B1672" s="183">
        <v>18209</v>
      </c>
      <c r="C1672" s="14" t="s">
        <v>24</v>
      </c>
      <c r="D1672" s="105">
        <v>27454.799999999999</v>
      </c>
      <c r="E1672" s="30">
        <v>42138</v>
      </c>
      <c r="F1672" s="144">
        <v>27454.799999999999</v>
      </c>
      <c r="G1672" s="48">
        <f t="shared" si="26"/>
        <v>0</v>
      </c>
      <c r="H1672" s="19" t="s">
        <v>9</v>
      </c>
      <c r="K1672" s="3"/>
    </row>
    <row r="1673" spans="1:11" x14ac:dyDescent="0.25">
      <c r="A1673" s="59">
        <v>42111</v>
      </c>
      <c r="B1673" s="183">
        <v>18210</v>
      </c>
      <c r="C1673" s="14" t="s">
        <v>90</v>
      </c>
      <c r="D1673" s="105">
        <v>851</v>
      </c>
      <c r="E1673" s="23">
        <v>42111</v>
      </c>
      <c r="F1673" s="106">
        <v>851</v>
      </c>
      <c r="G1673" s="48">
        <f t="shared" si="26"/>
        <v>0</v>
      </c>
      <c r="H1673" s="19" t="s">
        <v>9</v>
      </c>
      <c r="J1673" s="107"/>
      <c r="K1673" s="3"/>
    </row>
    <row r="1674" spans="1:11" x14ac:dyDescent="0.25">
      <c r="A1674" s="20">
        <v>42111</v>
      </c>
      <c r="B1674" s="183">
        <v>18211</v>
      </c>
      <c r="C1674" s="14" t="s">
        <v>1128</v>
      </c>
      <c r="D1674" s="105">
        <v>6109.8</v>
      </c>
      <c r="E1674" s="23">
        <v>42112</v>
      </c>
      <c r="F1674" s="106">
        <v>6109.8</v>
      </c>
      <c r="G1674" s="48">
        <f t="shared" si="26"/>
        <v>0</v>
      </c>
      <c r="H1674" s="19" t="s">
        <v>9</v>
      </c>
      <c r="J1674" s="107"/>
      <c r="K1674" s="3"/>
    </row>
    <row r="1675" spans="1:11" x14ac:dyDescent="0.25">
      <c r="A1675" s="20">
        <v>42111</v>
      </c>
      <c r="B1675" s="183">
        <v>18212</v>
      </c>
      <c r="C1675" s="14" t="s">
        <v>1128</v>
      </c>
      <c r="D1675" s="105">
        <v>551.20000000000005</v>
      </c>
      <c r="E1675" s="23">
        <v>42112</v>
      </c>
      <c r="F1675" s="106">
        <v>551.20000000000005</v>
      </c>
      <c r="G1675" s="48">
        <f t="shared" si="26"/>
        <v>0</v>
      </c>
      <c r="H1675" s="19" t="s">
        <v>9</v>
      </c>
      <c r="K1675" s="3"/>
    </row>
    <row r="1676" spans="1:11" x14ac:dyDescent="0.25">
      <c r="A1676" s="20">
        <v>42112</v>
      </c>
      <c r="B1676" s="183">
        <v>18213</v>
      </c>
      <c r="C1676" s="14" t="s">
        <v>18</v>
      </c>
      <c r="D1676" s="105">
        <v>2478.6</v>
      </c>
      <c r="E1676" s="23">
        <v>42112</v>
      </c>
      <c r="F1676" s="106">
        <v>2478.6</v>
      </c>
      <c r="G1676" s="48">
        <f t="shared" si="26"/>
        <v>0</v>
      </c>
      <c r="H1676" s="19" t="s">
        <v>9</v>
      </c>
      <c r="K1676" s="3"/>
    </row>
    <row r="1677" spans="1:11" x14ac:dyDescent="0.25">
      <c r="A1677" s="20">
        <v>42112</v>
      </c>
      <c r="B1677" s="183">
        <v>18214</v>
      </c>
      <c r="C1677" s="14" t="s">
        <v>211</v>
      </c>
      <c r="D1677" s="105">
        <v>64038.9</v>
      </c>
      <c r="E1677" s="23">
        <v>42115</v>
      </c>
      <c r="F1677" s="106">
        <v>64038.9</v>
      </c>
      <c r="G1677" s="48">
        <f t="shared" si="26"/>
        <v>0</v>
      </c>
      <c r="H1677" s="19" t="s">
        <v>9</v>
      </c>
      <c r="K1677" s="3"/>
    </row>
    <row r="1678" spans="1:11" x14ac:dyDescent="0.25">
      <c r="A1678" s="20">
        <v>42112</v>
      </c>
      <c r="B1678" s="183">
        <v>18215</v>
      </c>
      <c r="C1678" s="14" t="s">
        <v>16</v>
      </c>
      <c r="D1678" s="105">
        <v>9979.2000000000007</v>
      </c>
      <c r="E1678" s="23">
        <v>42112</v>
      </c>
      <c r="F1678" s="106">
        <v>9979.2000000000007</v>
      </c>
      <c r="G1678" s="31">
        <f t="shared" si="26"/>
        <v>0</v>
      </c>
      <c r="H1678" s="19" t="s">
        <v>17</v>
      </c>
      <c r="K1678" s="3"/>
    </row>
    <row r="1679" spans="1:11" x14ac:dyDescent="0.25">
      <c r="A1679" s="20">
        <v>42112</v>
      </c>
      <c r="B1679" s="183">
        <v>18216</v>
      </c>
      <c r="C1679" s="14" t="s">
        <v>45</v>
      </c>
      <c r="D1679" s="105">
        <v>20926.599999999999</v>
      </c>
      <c r="E1679" s="23">
        <v>42117</v>
      </c>
      <c r="F1679" s="106">
        <v>20926.599999999999</v>
      </c>
      <c r="G1679" s="31">
        <f t="shared" si="26"/>
        <v>0</v>
      </c>
      <c r="H1679" s="19" t="s">
        <v>9</v>
      </c>
      <c r="K1679" s="3"/>
    </row>
    <row r="1680" spans="1:11" x14ac:dyDescent="0.25">
      <c r="A1680" s="20">
        <v>42112</v>
      </c>
      <c r="B1680" s="183">
        <v>18217</v>
      </c>
      <c r="C1680" s="14" t="s">
        <v>21</v>
      </c>
      <c r="D1680" s="105">
        <v>13372.5</v>
      </c>
      <c r="E1680" s="23">
        <v>42112</v>
      </c>
      <c r="F1680" s="106">
        <v>13372.5</v>
      </c>
      <c r="G1680" s="31">
        <f t="shared" si="26"/>
        <v>0</v>
      </c>
      <c r="H1680" s="19" t="s">
        <v>9</v>
      </c>
      <c r="K1680" s="3"/>
    </row>
    <row r="1681" spans="1:11" x14ac:dyDescent="0.25">
      <c r="A1681" s="20">
        <v>42112</v>
      </c>
      <c r="B1681" s="183">
        <v>18218</v>
      </c>
      <c r="C1681" s="14" t="s">
        <v>1031</v>
      </c>
      <c r="D1681" s="105">
        <v>5083</v>
      </c>
      <c r="E1681" s="23">
        <v>42112</v>
      </c>
      <c r="F1681" s="106">
        <v>5083</v>
      </c>
      <c r="G1681" s="31">
        <f t="shared" si="26"/>
        <v>0</v>
      </c>
      <c r="H1681" s="19" t="s">
        <v>9</v>
      </c>
      <c r="K1681" s="3"/>
    </row>
    <row r="1682" spans="1:11" x14ac:dyDescent="0.25">
      <c r="A1682" s="20">
        <v>42112</v>
      </c>
      <c r="B1682" s="183">
        <v>18219</v>
      </c>
      <c r="C1682" s="14" t="s">
        <v>103</v>
      </c>
      <c r="D1682" s="105">
        <v>23226.65</v>
      </c>
      <c r="E1682" s="23">
        <v>42115</v>
      </c>
      <c r="F1682" s="106">
        <v>23226.65</v>
      </c>
      <c r="G1682" s="31">
        <f t="shared" si="26"/>
        <v>0</v>
      </c>
      <c r="H1682" s="19" t="s">
        <v>9</v>
      </c>
      <c r="K1682" s="3"/>
    </row>
    <row r="1683" spans="1:11" x14ac:dyDescent="0.25">
      <c r="A1683" s="20">
        <v>42112</v>
      </c>
      <c r="B1683" s="183">
        <v>18220</v>
      </c>
      <c r="C1683" s="14" t="s">
        <v>863</v>
      </c>
      <c r="D1683" s="105">
        <v>7961.2</v>
      </c>
      <c r="E1683" s="23">
        <v>42112</v>
      </c>
      <c r="F1683" s="106">
        <v>7961.2</v>
      </c>
      <c r="G1683" s="31">
        <f t="shared" si="26"/>
        <v>0</v>
      </c>
      <c r="H1683" s="19" t="s">
        <v>9</v>
      </c>
      <c r="K1683" s="3"/>
    </row>
    <row r="1684" spans="1:11" x14ac:dyDescent="0.25">
      <c r="A1684" s="20">
        <v>42112</v>
      </c>
      <c r="B1684" s="183">
        <v>18221</v>
      </c>
      <c r="C1684" s="26" t="s">
        <v>218</v>
      </c>
      <c r="D1684" s="108">
        <v>0</v>
      </c>
      <c r="E1684" s="23"/>
      <c r="F1684" s="106"/>
      <c r="G1684" s="31">
        <f t="shared" si="26"/>
        <v>0</v>
      </c>
      <c r="H1684" s="62" t="s">
        <v>13</v>
      </c>
      <c r="J1684" s="107"/>
      <c r="K1684" s="3"/>
    </row>
    <row r="1685" spans="1:11" x14ac:dyDescent="0.25">
      <c r="A1685" s="20">
        <v>42112</v>
      </c>
      <c r="B1685" s="183">
        <v>18222</v>
      </c>
      <c r="C1685" s="14" t="s">
        <v>14</v>
      </c>
      <c r="D1685" s="105">
        <v>17559.3</v>
      </c>
      <c r="E1685" s="23">
        <v>42117</v>
      </c>
      <c r="F1685" s="106">
        <v>17559.3</v>
      </c>
      <c r="G1685" s="31">
        <f t="shared" si="26"/>
        <v>0</v>
      </c>
      <c r="H1685" s="62" t="s">
        <v>15</v>
      </c>
      <c r="J1685" s="107"/>
      <c r="K1685" s="3"/>
    </row>
    <row r="1686" spans="1:11" x14ac:dyDescent="0.25">
      <c r="A1686" s="20">
        <v>42112</v>
      </c>
      <c r="B1686" s="183">
        <v>18223</v>
      </c>
      <c r="C1686" s="14" t="s">
        <v>881</v>
      </c>
      <c r="D1686" s="105">
        <v>2804.7</v>
      </c>
      <c r="E1686" s="23">
        <v>42112</v>
      </c>
      <c r="F1686" s="106">
        <v>2804.7</v>
      </c>
      <c r="G1686" s="31">
        <f t="shared" si="26"/>
        <v>0</v>
      </c>
      <c r="H1686" s="62" t="s">
        <v>9</v>
      </c>
      <c r="K1686" s="3"/>
    </row>
    <row r="1687" spans="1:11" x14ac:dyDescent="0.25">
      <c r="A1687" s="20">
        <v>42112</v>
      </c>
      <c r="B1687" s="183">
        <v>18224</v>
      </c>
      <c r="C1687" s="14" t="s">
        <v>114</v>
      </c>
      <c r="D1687" s="105">
        <v>650.4</v>
      </c>
      <c r="E1687" s="23">
        <v>42112</v>
      </c>
      <c r="F1687" s="106">
        <v>650.4</v>
      </c>
      <c r="G1687" s="31">
        <f t="shared" si="26"/>
        <v>0</v>
      </c>
      <c r="H1687" s="62" t="s">
        <v>9</v>
      </c>
      <c r="K1687" s="3"/>
    </row>
    <row r="1688" spans="1:11" x14ac:dyDescent="0.25">
      <c r="A1688" s="20">
        <v>42112</v>
      </c>
      <c r="B1688" s="183">
        <v>18225</v>
      </c>
      <c r="C1688" s="14" t="s">
        <v>720</v>
      </c>
      <c r="D1688" s="105">
        <v>13124.5</v>
      </c>
      <c r="E1688" s="23">
        <v>42112</v>
      </c>
      <c r="F1688" s="106">
        <v>13124.5</v>
      </c>
      <c r="G1688" s="31">
        <f t="shared" si="26"/>
        <v>0</v>
      </c>
      <c r="H1688" s="62" t="s">
        <v>9</v>
      </c>
      <c r="K1688" s="3"/>
    </row>
    <row r="1689" spans="1:11" x14ac:dyDescent="0.25">
      <c r="A1689" s="20">
        <v>42112</v>
      </c>
      <c r="B1689" s="183">
        <v>18226</v>
      </c>
      <c r="C1689" s="14" t="s">
        <v>49</v>
      </c>
      <c r="D1689" s="105">
        <v>1548</v>
      </c>
      <c r="E1689" s="23">
        <v>42112</v>
      </c>
      <c r="F1689" s="106">
        <v>1548</v>
      </c>
      <c r="G1689" s="31">
        <f t="shared" si="26"/>
        <v>0</v>
      </c>
      <c r="H1689" s="62" t="s">
        <v>94</v>
      </c>
      <c r="K1689" s="3"/>
    </row>
    <row r="1690" spans="1:11" x14ac:dyDescent="0.25">
      <c r="A1690" s="20">
        <v>42112</v>
      </c>
      <c r="B1690" s="183">
        <v>18227</v>
      </c>
      <c r="C1690" s="14" t="s">
        <v>121</v>
      </c>
      <c r="D1690" s="105">
        <v>2484.6</v>
      </c>
      <c r="E1690" s="23">
        <v>42112</v>
      </c>
      <c r="F1690" s="106">
        <v>2484.6</v>
      </c>
      <c r="G1690" s="31">
        <f t="shared" si="26"/>
        <v>0</v>
      </c>
      <c r="H1690" s="62" t="s">
        <v>9</v>
      </c>
      <c r="K1690" s="3"/>
    </row>
    <row r="1691" spans="1:11" x14ac:dyDescent="0.25">
      <c r="A1691" s="20">
        <v>42112</v>
      </c>
      <c r="B1691" s="183">
        <v>18228</v>
      </c>
      <c r="C1691" s="14" t="s">
        <v>20</v>
      </c>
      <c r="D1691" s="105">
        <v>21785.8</v>
      </c>
      <c r="E1691" s="23">
        <v>42112</v>
      </c>
      <c r="F1691" s="106">
        <v>21785.8</v>
      </c>
      <c r="G1691" s="31">
        <f t="shared" si="26"/>
        <v>0</v>
      </c>
      <c r="H1691" s="19" t="s">
        <v>94</v>
      </c>
      <c r="K1691" s="3"/>
    </row>
    <row r="1692" spans="1:11" x14ac:dyDescent="0.25">
      <c r="A1692" s="20">
        <v>42112</v>
      </c>
      <c r="B1692" s="183">
        <v>18229</v>
      </c>
      <c r="C1692" s="14" t="s">
        <v>112</v>
      </c>
      <c r="D1692" s="105">
        <v>25447.4</v>
      </c>
      <c r="E1692" s="23">
        <v>42114</v>
      </c>
      <c r="F1692" s="106">
        <v>25447.4</v>
      </c>
      <c r="G1692" s="31">
        <f t="shared" si="26"/>
        <v>0</v>
      </c>
      <c r="H1692" s="62" t="s">
        <v>9</v>
      </c>
      <c r="K1692" s="3"/>
    </row>
    <row r="1693" spans="1:11" x14ac:dyDescent="0.25">
      <c r="A1693" s="20">
        <v>42112</v>
      </c>
      <c r="B1693" s="183">
        <v>18230</v>
      </c>
      <c r="C1693" s="14" t="s">
        <v>136</v>
      </c>
      <c r="D1693" s="105">
        <v>540</v>
      </c>
      <c r="E1693" s="23">
        <v>42112</v>
      </c>
      <c r="F1693" s="106">
        <v>540</v>
      </c>
      <c r="G1693" s="31">
        <f t="shared" si="26"/>
        <v>0</v>
      </c>
      <c r="H1693" s="62" t="s">
        <v>9</v>
      </c>
      <c r="K1693" s="3"/>
    </row>
    <row r="1694" spans="1:11" x14ac:dyDescent="0.25">
      <c r="A1694" s="20">
        <v>42112</v>
      </c>
      <c r="B1694" s="183">
        <v>18231</v>
      </c>
      <c r="C1694" s="14" t="s">
        <v>116</v>
      </c>
      <c r="D1694" s="105">
        <v>8146.1</v>
      </c>
      <c r="E1694" s="23">
        <v>42113</v>
      </c>
      <c r="F1694" s="106">
        <v>8146.1</v>
      </c>
      <c r="G1694" s="31">
        <f t="shared" si="26"/>
        <v>0</v>
      </c>
      <c r="H1694" s="62" t="s">
        <v>59</v>
      </c>
      <c r="K1694" s="3"/>
    </row>
    <row r="1695" spans="1:11" x14ac:dyDescent="0.25">
      <c r="A1695" s="20">
        <v>42112</v>
      </c>
      <c r="B1695" s="183">
        <v>18232</v>
      </c>
      <c r="C1695" s="150" t="s">
        <v>53</v>
      </c>
      <c r="D1695" s="105">
        <v>2524.5</v>
      </c>
      <c r="E1695" s="23">
        <v>42113</v>
      </c>
      <c r="F1695" s="106">
        <v>2524.5</v>
      </c>
      <c r="G1695" s="31">
        <f t="shared" si="26"/>
        <v>0</v>
      </c>
      <c r="H1695" s="62" t="s">
        <v>59</v>
      </c>
      <c r="K1695" s="3"/>
    </row>
    <row r="1696" spans="1:11" x14ac:dyDescent="0.25">
      <c r="A1696" s="20">
        <v>42112</v>
      </c>
      <c r="B1696" s="183">
        <v>18233</v>
      </c>
      <c r="C1696" s="14" t="s">
        <v>285</v>
      </c>
      <c r="D1696" s="105">
        <v>1054.6500000000001</v>
      </c>
      <c r="E1696" s="23">
        <v>42112</v>
      </c>
      <c r="F1696" s="106">
        <v>1054.6500000000001</v>
      </c>
      <c r="G1696" s="31">
        <f t="shared" si="26"/>
        <v>0</v>
      </c>
      <c r="H1696" s="62" t="s">
        <v>312</v>
      </c>
      <c r="K1696" s="3"/>
    </row>
    <row r="1697" spans="1:11" x14ac:dyDescent="0.25">
      <c r="A1697" s="20">
        <v>42112</v>
      </c>
      <c r="B1697" s="183">
        <v>18234</v>
      </c>
      <c r="C1697" s="14" t="s">
        <v>159</v>
      </c>
      <c r="D1697" s="105">
        <v>8948.6</v>
      </c>
      <c r="E1697" s="23">
        <v>42112</v>
      </c>
      <c r="F1697" s="106">
        <v>8948.6</v>
      </c>
      <c r="G1697" s="31">
        <f t="shared" si="26"/>
        <v>0</v>
      </c>
      <c r="H1697" s="62" t="s">
        <v>9</v>
      </c>
      <c r="K1697" s="3"/>
    </row>
    <row r="1698" spans="1:11" x14ac:dyDescent="0.25">
      <c r="A1698" s="20">
        <v>42112</v>
      </c>
      <c r="B1698" s="183">
        <v>18235</v>
      </c>
      <c r="C1698" s="14" t="s">
        <v>116</v>
      </c>
      <c r="D1698" s="105">
        <v>1321.45</v>
      </c>
      <c r="E1698" s="23">
        <v>42113</v>
      </c>
      <c r="F1698" s="106">
        <v>1321.45</v>
      </c>
      <c r="G1698" s="31">
        <f t="shared" si="26"/>
        <v>0</v>
      </c>
      <c r="H1698" s="62" t="s">
        <v>59</v>
      </c>
      <c r="K1698" s="3"/>
    </row>
    <row r="1699" spans="1:11" x14ac:dyDescent="0.25">
      <c r="A1699" s="20">
        <v>42112</v>
      </c>
      <c r="B1699" s="183">
        <v>18236</v>
      </c>
      <c r="C1699" s="14" t="s">
        <v>258</v>
      </c>
      <c r="D1699" s="105">
        <v>1580.8</v>
      </c>
      <c r="E1699" s="23">
        <v>42113</v>
      </c>
      <c r="F1699" s="118">
        <v>1580.8</v>
      </c>
      <c r="G1699" s="31">
        <f t="shared" si="26"/>
        <v>0</v>
      </c>
      <c r="H1699" s="62" t="s">
        <v>59</v>
      </c>
      <c r="K1699" s="3"/>
    </row>
    <row r="1700" spans="1:11" x14ac:dyDescent="0.25">
      <c r="A1700" s="20">
        <v>42112</v>
      </c>
      <c r="B1700" s="183">
        <v>18237</v>
      </c>
      <c r="C1700" s="14" t="s">
        <v>854</v>
      </c>
      <c r="D1700" s="105">
        <v>3883.65</v>
      </c>
      <c r="E1700" s="23">
        <v>42112</v>
      </c>
      <c r="F1700" s="118">
        <v>3883.65</v>
      </c>
      <c r="G1700" s="31">
        <f t="shared" si="26"/>
        <v>0</v>
      </c>
      <c r="H1700" s="62" t="s">
        <v>9</v>
      </c>
      <c r="K1700" s="3"/>
    </row>
    <row r="1701" spans="1:11" x14ac:dyDescent="0.25">
      <c r="A1701" s="20">
        <v>42112</v>
      </c>
      <c r="B1701" s="183">
        <v>18238</v>
      </c>
      <c r="C1701" s="14" t="s">
        <v>81</v>
      </c>
      <c r="D1701" s="105">
        <v>3280.8</v>
      </c>
      <c r="E1701" s="23">
        <v>42113</v>
      </c>
      <c r="F1701" s="118">
        <v>3280.8</v>
      </c>
      <c r="G1701" s="31">
        <f t="shared" si="26"/>
        <v>0</v>
      </c>
      <c r="H1701" s="62" t="s">
        <v>59</v>
      </c>
      <c r="K1701" s="3"/>
    </row>
    <row r="1702" spans="1:11" x14ac:dyDescent="0.25">
      <c r="A1702" s="20">
        <v>42112</v>
      </c>
      <c r="B1702" s="183">
        <v>18239</v>
      </c>
      <c r="C1702" s="14" t="s">
        <v>238</v>
      </c>
      <c r="D1702" s="105">
        <v>1056</v>
      </c>
      <c r="E1702" s="23">
        <v>42113</v>
      </c>
      <c r="F1702" s="118">
        <v>1056</v>
      </c>
      <c r="G1702" s="31">
        <f t="shared" si="26"/>
        <v>0</v>
      </c>
      <c r="H1702" s="62" t="s">
        <v>59</v>
      </c>
      <c r="K1702" s="3"/>
    </row>
    <row r="1703" spans="1:11" x14ac:dyDescent="0.25">
      <c r="A1703" s="20">
        <v>42112</v>
      </c>
      <c r="B1703" s="183">
        <v>18240</v>
      </c>
      <c r="C1703" s="14" t="s">
        <v>296</v>
      </c>
      <c r="D1703" s="105">
        <v>1503.7</v>
      </c>
      <c r="E1703" s="23">
        <v>42112</v>
      </c>
      <c r="F1703" s="118">
        <v>1503.7</v>
      </c>
      <c r="G1703" s="31">
        <f t="shared" si="26"/>
        <v>0</v>
      </c>
      <c r="H1703" s="62" t="s">
        <v>9</v>
      </c>
      <c r="K1703" s="3"/>
    </row>
    <row r="1704" spans="1:11" x14ac:dyDescent="0.25">
      <c r="A1704" s="20">
        <v>42112</v>
      </c>
      <c r="B1704" s="183">
        <v>18241</v>
      </c>
      <c r="C1704" s="14" t="s">
        <v>167</v>
      </c>
      <c r="D1704" s="105">
        <v>354.2</v>
      </c>
      <c r="E1704" s="23">
        <v>42113</v>
      </c>
      <c r="F1704" s="118">
        <v>354.2</v>
      </c>
      <c r="G1704" s="31">
        <f t="shared" si="26"/>
        <v>0</v>
      </c>
      <c r="H1704" s="62" t="s">
        <v>59</v>
      </c>
      <c r="K1704" s="3"/>
    </row>
    <row r="1705" spans="1:11" x14ac:dyDescent="0.25">
      <c r="A1705" s="20">
        <v>42112</v>
      </c>
      <c r="B1705" s="183">
        <v>18242</v>
      </c>
      <c r="C1705" s="14" t="s">
        <v>82</v>
      </c>
      <c r="D1705" s="105">
        <v>6320.2</v>
      </c>
      <c r="E1705" s="23">
        <v>42113</v>
      </c>
      <c r="F1705" s="118">
        <v>6320.2</v>
      </c>
      <c r="G1705" s="31">
        <f t="shared" si="26"/>
        <v>0</v>
      </c>
      <c r="H1705" s="62" t="s">
        <v>59</v>
      </c>
      <c r="J1705" s="107"/>
      <c r="K1705" s="3"/>
    </row>
    <row r="1706" spans="1:11" x14ac:dyDescent="0.25">
      <c r="A1706" s="20">
        <v>42112</v>
      </c>
      <c r="B1706" s="183">
        <v>18243</v>
      </c>
      <c r="C1706" s="14" t="s">
        <v>169</v>
      </c>
      <c r="D1706" s="105">
        <v>1004</v>
      </c>
      <c r="E1706" s="23">
        <v>42113</v>
      </c>
      <c r="F1706" s="118">
        <v>1004</v>
      </c>
      <c r="G1706" s="31">
        <f t="shared" si="26"/>
        <v>0</v>
      </c>
      <c r="H1706" s="62" t="s">
        <v>59</v>
      </c>
      <c r="K1706" s="3"/>
    </row>
    <row r="1707" spans="1:11" x14ac:dyDescent="0.25">
      <c r="A1707" s="20">
        <v>42112</v>
      </c>
      <c r="B1707" s="183">
        <v>18244</v>
      </c>
      <c r="C1707" s="14" t="s">
        <v>57</v>
      </c>
      <c r="D1707" s="105">
        <v>1575</v>
      </c>
      <c r="E1707" s="23">
        <v>42113</v>
      </c>
      <c r="F1707" s="118">
        <v>1575</v>
      </c>
      <c r="G1707" s="31">
        <f t="shared" si="26"/>
        <v>0</v>
      </c>
      <c r="H1707" s="62" t="s">
        <v>59</v>
      </c>
      <c r="K1707" s="3"/>
    </row>
    <row r="1708" spans="1:11" x14ac:dyDescent="0.25">
      <c r="A1708" s="20">
        <v>42112</v>
      </c>
      <c r="B1708" s="183">
        <v>18245</v>
      </c>
      <c r="C1708" s="14" t="s">
        <v>53</v>
      </c>
      <c r="D1708" s="105">
        <v>187.5</v>
      </c>
      <c r="E1708" s="23">
        <v>42113</v>
      </c>
      <c r="F1708" s="118">
        <v>187.5</v>
      </c>
      <c r="G1708" s="31">
        <f t="shared" si="26"/>
        <v>0</v>
      </c>
      <c r="H1708" s="62" t="s">
        <v>9</v>
      </c>
      <c r="K1708" s="3"/>
    </row>
    <row r="1709" spans="1:11" x14ac:dyDescent="0.25">
      <c r="A1709" s="20">
        <v>42112</v>
      </c>
      <c r="B1709" s="183">
        <v>18246</v>
      </c>
      <c r="C1709" s="14" t="s">
        <v>57</v>
      </c>
      <c r="D1709" s="105">
        <v>1050</v>
      </c>
      <c r="E1709" s="23">
        <v>42114</v>
      </c>
      <c r="F1709" s="118">
        <v>1050</v>
      </c>
      <c r="G1709" s="31">
        <f t="shared" si="26"/>
        <v>0</v>
      </c>
      <c r="H1709" s="62" t="s">
        <v>59</v>
      </c>
      <c r="K1709" s="3"/>
    </row>
    <row r="1710" spans="1:11" x14ac:dyDescent="0.25">
      <c r="A1710" s="20">
        <v>42112</v>
      </c>
      <c r="B1710" s="183">
        <v>18247</v>
      </c>
      <c r="C1710" s="110" t="s">
        <v>88</v>
      </c>
      <c r="D1710" s="105">
        <v>1544.1</v>
      </c>
      <c r="E1710" s="23">
        <v>42112</v>
      </c>
      <c r="F1710" s="118">
        <v>1544.1</v>
      </c>
      <c r="G1710" s="31">
        <f t="shared" si="26"/>
        <v>0</v>
      </c>
      <c r="H1710" s="62" t="s">
        <v>9</v>
      </c>
      <c r="K1710" s="3"/>
    </row>
    <row r="1711" spans="1:11" x14ac:dyDescent="0.25">
      <c r="A1711" s="20">
        <v>42112</v>
      </c>
      <c r="B1711" s="183">
        <v>18248</v>
      </c>
      <c r="C1711" s="14" t="s">
        <v>215</v>
      </c>
      <c r="D1711" s="105">
        <v>28276.3</v>
      </c>
      <c r="E1711" s="23">
        <v>42112</v>
      </c>
      <c r="F1711" s="118">
        <v>28276.3</v>
      </c>
      <c r="G1711" s="31">
        <f t="shared" si="26"/>
        <v>0</v>
      </c>
      <c r="H1711" s="62" t="s">
        <v>773</v>
      </c>
      <c r="K1711" s="3"/>
    </row>
    <row r="1712" spans="1:11" x14ac:dyDescent="0.25">
      <c r="A1712" s="20">
        <v>42112</v>
      </c>
      <c r="B1712" s="183">
        <v>18249</v>
      </c>
      <c r="C1712" s="110">
        <v>105</v>
      </c>
      <c r="D1712" s="105">
        <v>2625</v>
      </c>
      <c r="E1712" s="23">
        <v>42113</v>
      </c>
      <c r="F1712" s="118">
        <v>2625</v>
      </c>
      <c r="G1712" s="31">
        <f t="shared" si="26"/>
        <v>0</v>
      </c>
      <c r="H1712" s="62" t="s">
        <v>59</v>
      </c>
      <c r="K1712" s="3"/>
    </row>
    <row r="1713" spans="1:11" x14ac:dyDescent="0.25">
      <c r="A1713" s="20">
        <v>42112</v>
      </c>
      <c r="B1713" s="183">
        <v>18250</v>
      </c>
      <c r="C1713" s="14" t="s">
        <v>829</v>
      </c>
      <c r="D1713" s="105">
        <v>11503.8</v>
      </c>
      <c r="E1713" s="23">
        <v>42112</v>
      </c>
      <c r="F1713" s="118">
        <v>11503.8</v>
      </c>
      <c r="G1713" s="31">
        <f t="shared" si="26"/>
        <v>0</v>
      </c>
      <c r="H1713" s="62" t="s">
        <v>9</v>
      </c>
      <c r="K1713" s="3"/>
    </row>
    <row r="1714" spans="1:11" x14ac:dyDescent="0.25">
      <c r="A1714" s="20">
        <v>42112</v>
      </c>
      <c r="B1714" s="183">
        <v>18251</v>
      </c>
      <c r="C1714" s="14" t="s">
        <v>102</v>
      </c>
      <c r="D1714" s="105">
        <v>5790.6</v>
      </c>
      <c r="E1714" s="23">
        <v>42112</v>
      </c>
      <c r="F1714" s="118">
        <v>5790.6</v>
      </c>
      <c r="G1714" s="31">
        <f t="shared" si="26"/>
        <v>0</v>
      </c>
      <c r="H1714" s="62" t="s">
        <v>9</v>
      </c>
      <c r="K1714" s="3"/>
    </row>
    <row r="1715" spans="1:11" x14ac:dyDescent="0.25">
      <c r="A1715" s="20">
        <v>42112</v>
      </c>
      <c r="B1715" s="183">
        <v>18252</v>
      </c>
      <c r="C1715" s="14" t="s">
        <v>83</v>
      </c>
      <c r="D1715" s="105">
        <v>4897.2</v>
      </c>
      <c r="E1715" s="23">
        <v>42113</v>
      </c>
      <c r="F1715" s="118">
        <v>4897.2</v>
      </c>
      <c r="G1715" s="31">
        <f t="shared" si="26"/>
        <v>0</v>
      </c>
      <c r="H1715" s="62" t="s">
        <v>59</v>
      </c>
      <c r="I1715" s="3"/>
      <c r="J1715" s="42"/>
      <c r="K1715" s="3"/>
    </row>
    <row r="1716" spans="1:11" x14ac:dyDescent="0.25">
      <c r="A1716" s="20">
        <v>42112</v>
      </c>
      <c r="B1716" s="183">
        <v>18253</v>
      </c>
      <c r="C1716" s="14" t="s">
        <v>1077</v>
      </c>
      <c r="D1716" s="105">
        <v>328.1</v>
      </c>
      <c r="E1716" s="23">
        <v>42112</v>
      </c>
      <c r="F1716" s="118">
        <v>328.1</v>
      </c>
      <c r="G1716" s="31">
        <f t="shared" si="26"/>
        <v>0</v>
      </c>
      <c r="H1716" s="62" t="s">
        <v>9</v>
      </c>
      <c r="I1716" s="3"/>
      <c r="J1716" s="42"/>
      <c r="K1716" s="3"/>
    </row>
    <row r="1717" spans="1:11" x14ac:dyDescent="0.25">
      <c r="A1717" s="20">
        <v>42112</v>
      </c>
      <c r="B1717" s="183">
        <v>18254</v>
      </c>
      <c r="C1717" s="14" t="s">
        <v>375</v>
      </c>
      <c r="D1717" s="105">
        <v>2422.1</v>
      </c>
      <c r="E1717" s="23">
        <v>42112</v>
      </c>
      <c r="F1717" s="118">
        <v>2422.1</v>
      </c>
      <c r="G1717" s="31">
        <f t="shared" si="26"/>
        <v>0</v>
      </c>
      <c r="H1717" s="62" t="s">
        <v>9</v>
      </c>
      <c r="I1717" s="3"/>
      <c r="J1717" s="42"/>
      <c r="K1717" s="3"/>
    </row>
    <row r="1718" spans="1:11" x14ac:dyDescent="0.25">
      <c r="A1718" s="20">
        <v>42112</v>
      </c>
      <c r="B1718" s="183">
        <v>18255</v>
      </c>
      <c r="C1718" s="14" t="s">
        <v>125</v>
      </c>
      <c r="D1718" s="105">
        <v>15024.6</v>
      </c>
      <c r="E1718" s="23">
        <v>42113</v>
      </c>
      <c r="F1718" s="118">
        <v>15024.6</v>
      </c>
      <c r="G1718" s="31">
        <f t="shared" si="26"/>
        <v>0</v>
      </c>
      <c r="H1718" s="62" t="s">
        <v>19</v>
      </c>
      <c r="I1718" s="3"/>
      <c r="J1718" s="42"/>
      <c r="K1718" s="3"/>
    </row>
    <row r="1719" spans="1:11" x14ac:dyDescent="0.25">
      <c r="A1719" s="20">
        <v>42112</v>
      </c>
      <c r="B1719" s="183">
        <v>18256</v>
      </c>
      <c r="C1719" s="14" t="s">
        <v>1117</v>
      </c>
      <c r="D1719" s="105">
        <v>3573.6</v>
      </c>
      <c r="E1719" s="23">
        <v>42112</v>
      </c>
      <c r="F1719" s="118">
        <v>3573.6</v>
      </c>
      <c r="G1719" s="31">
        <f t="shared" si="26"/>
        <v>0</v>
      </c>
      <c r="H1719" s="62" t="s">
        <v>9</v>
      </c>
      <c r="I1719" s="3"/>
      <c r="J1719" s="42"/>
      <c r="K1719" s="3"/>
    </row>
    <row r="1720" spans="1:11" x14ac:dyDescent="0.25">
      <c r="A1720" s="20">
        <v>42112</v>
      </c>
      <c r="B1720" s="183">
        <v>18257</v>
      </c>
      <c r="C1720" s="14" t="s">
        <v>131</v>
      </c>
      <c r="D1720" s="105">
        <v>9951.4</v>
      </c>
      <c r="E1720" s="23">
        <v>42112</v>
      </c>
      <c r="F1720" s="118">
        <v>9951.4</v>
      </c>
      <c r="G1720" s="31">
        <f t="shared" si="26"/>
        <v>0</v>
      </c>
      <c r="H1720" s="62" t="s">
        <v>9</v>
      </c>
      <c r="I1720" s="3"/>
      <c r="J1720" s="42"/>
      <c r="K1720" s="3"/>
    </row>
    <row r="1721" spans="1:11" x14ac:dyDescent="0.25">
      <c r="A1721" s="20">
        <v>42112</v>
      </c>
      <c r="B1721" s="183">
        <v>18258</v>
      </c>
      <c r="C1721" s="14" t="s">
        <v>26</v>
      </c>
      <c r="D1721" s="105">
        <v>2720</v>
      </c>
      <c r="E1721" s="23">
        <v>42112</v>
      </c>
      <c r="F1721" s="118">
        <v>2720</v>
      </c>
      <c r="G1721" s="31">
        <f t="shared" si="26"/>
        <v>0</v>
      </c>
      <c r="H1721" s="62" t="s">
        <v>27</v>
      </c>
      <c r="I1721" s="3"/>
      <c r="J1721" s="42"/>
      <c r="K1721" s="3"/>
    </row>
    <row r="1722" spans="1:11" x14ac:dyDescent="0.25">
      <c r="A1722" s="20">
        <v>42112</v>
      </c>
      <c r="B1722" s="183">
        <v>18259</v>
      </c>
      <c r="C1722" s="14" t="s">
        <v>239</v>
      </c>
      <c r="D1722" s="105">
        <v>1456</v>
      </c>
      <c r="E1722" s="23">
        <v>42114</v>
      </c>
      <c r="F1722" s="118">
        <v>1456</v>
      </c>
      <c r="G1722" s="31">
        <f t="shared" si="26"/>
        <v>0</v>
      </c>
      <c r="H1722" s="62" t="s">
        <v>9</v>
      </c>
      <c r="I1722" s="3"/>
      <c r="J1722" s="42"/>
      <c r="K1722" s="3"/>
    </row>
    <row r="1723" spans="1:11" x14ac:dyDescent="0.25">
      <c r="A1723" s="20">
        <v>42112</v>
      </c>
      <c r="B1723" s="183">
        <v>18260</v>
      </c>
      <c r="C1723" s="14" t="s">
        <v>34</v>
      </c>
      <c r="D1723" s="105">
        <v>3283.2</v>
      </c>
      <c r="E1723" s="23">
        <v>42112</v>
      </c>
      <c r="F1723" s="118">
        <v>3283.2</v>
      </c>
      <c r="G1723" s="31">
        <f t="shared" si="26"/>
        <v>0</v>
      </c>
      <c r="H1723" s="62" t="s">
        <v>9</v>
      </c>
      <c r="I1723" s="3"/>
      <c r="J1723" s="42"/>
      <c r="K1723" s="3"/>
    </row>
    <row r="1724" spans="1:11" x14ac:dyDescent="0.25">
      <c r="A1724" s="20">
        <v>42112</v>
      </c>
      <c r="B1724" s="183">
        <v>18261</v>
      </c>
      <c r="C1724" s="14" t="s">
        <v>1129</v>
      </c>
      <c r="D1724" s="105">
        <v>2602.8000000000002</v>
      </c>
      <c r="E1724" s="23">
        <v>42112</v>
      </c>
      <c r="F1724" s="118">
        <v>2602.8000000000002</v>
      </c>
      <c r="G1724" s="31">
        <f t="shared" si="26"/>
        <v>0</v>
      </c>
      <c r="H1724" s="62" t="s">
        <v>9</v>
      </c>
      <c r="I1724" s="3"/>
      <c r="J1724" s="42"/>
      <c r="K1724" s="3"/>
    </row>
    <row r="1725" spans="1:11" x14ac:dyDescent="0.25">
      <c r="A1725" s="20">
        <v>42112</v>
      </c>
      <c r="B1725" s="183">
        <v>18262</v>
      </c>
      <c r="C1725" s="14" t="s">
        <v>151</v>
      </c>
      <c r="D1725" s="105">
        <v>12574</v>
      </c>
      <c r="E1725" s="23">
        <v>42113</v>
      </c>
      <c r="F1725" s="118">
        <v>12574</v>
      </c>
      <c r="G1725" s="31">
        <f t="shared" si="26"/>
        <v>0</v>
      </c>
      <c r="H1725" s="62" t="s">
        <v>9</v>
      </c>
      <c r="I1725" s="3"/>
      <c r="J1725" s="42"/>
      <c r="K1725" s="3"/>
    </row>
    <row r="1726" spans="1:11" x14ac:dyDescent="0.25">
      <c r="A1726" s="20">
        <v>42112</v>
      </c>
      <c r="B1726" s="183">
        <v>18263</v>
      </c>
      <c r="C1726" s="14" t="s">
        <v>45</v>
      </c>
      <c r="D1726" s="105">
        <v>71310.75</v>
      </c>
      <c r="E1726" s="30" t="s">
        <v>1201</v>
      </c>
      <c r="F1726" s="145">
        <f>28989.46+42321.29</f>
        <v>71310.75</v>
      </c>
      <c r="G1726" s="31">
        <f t="shared" si="26"/>
        <v>0</v>
      </c>
      <c r="H1726" s="62" t="s">
        <v>59</v>
      </c>
      <c r="I1726" s="3"/>
      <c r="J1726" s="42"/>
      <c r="K1726" s="3"/>
    </row>
    <row r="1727" spans="1:11" x14ac:dyDescent="0.25">
      <c r="A1727" s="20">
        <v>42112</v>
      </c>
      <c r="B1727" s="183">
        <v>18264</v>
      </c>
      <c r="C1727" s="14" t="s">
        <v>169</v>
      </c>
      <c r="D1727" s="105">
        <v>2003.1</v>
      </c>
      <c r="E1727" s="23">
        <v>42113</v>
      </c>
      <c r="F1727" s="118">
        <v>2003.1</v>
      </c>
      <c r="G1727" s="31">
        <f t="shared" si="26"/>
        <v>0</v>
      </c>
      <c r="H1727" s="62" t="s">
        <v>59</v>
      </c>
      <c r="I1727" s="3"/>
      <c r="J1727" s="42"/>
      <c r="K1727" s="3"/>
    </row>
    <row r="1728" spans="1:11" x14ac:dyDescent="0.25">
      <c r="A1728" s="20">
        <v>42112</v>
      </c>
      <c r="B1728" s="183">
        <v>18265</v>
      </c>
      <c r="C1728" s="14" t="s">
        <v>1058</v>
      </c>
      <c r="D1728" s="105">
        <v>4640.8</v>
      </c>
      <c r="E1728" s="23">
        <v>42112</v>
      </c>
      <c r="F1728" s="118">
        <v>4640.8</v>
      </c>
      <c r="G1728" s="31">
        <f t="shared" si="26"/>
        <v>0</v>
      </c>
      <c r="H1728" s="62" t="s">
        <v>9</v>
      </c>
      <c r="I1728" s="3"/>
      <c r="J1728" s="42"/>
      <c r="K1728" s="3"/>
    </row>
    <row r="1729" spans="1:11" x14ac:dyDescent="0.25">
      <c r="A1729" s="20">
        <v>42112</v>
      </c>
      <c r="B1729" s="183">
        <v>18266</v>
      </c>
      <c r="C1729" s="14" t="s">
        <v>213</v>
      </c>
      <c r="D1729" s="105">
        <v>8306.7999999999993</v>
      </c>
      <c r="E1729" s="23">
        <v>42113</v>
      </c>
      <c r="F1729" s="118">
        <v>8306.7999999999993</v>
      </c>
      <c r="G1729" s="31">
        <f t="shared" si="26"/>
        <v>0</v>
      </c>
      <c r="H1729" s="62" t="s">
        <v>312</v>
      </c>
      <c r="I1729" s="3"/>
      <c r="J1729" s="42"/>
      <c r="K1729" s="3"/>
    </row>
    <row r="1730" spans="1:11" x14ac:dyDescent="0.25">
      <c r="A1730" s="20">
        <v>42112</v>
      </c>
      <c r="B1730" s="183">
        <v>18267</v>
      </c>
      <c r="C1730" s="14" t="s">
        <v>45</v>
      </c>
      <c r="D1730" s="105">
        <v>6001.6</v>
      </c>
      <c r="E1730" s="23">
        <v>42117</v>
      </c>
      <c r="F1730" s="118">
        <v>6001.6</v>
      </c>
      <c r="G1730" s="31">
        <f t="shared" si="26"/>
        <v>0</v>
      </c>
      <c r="H1730" s="62" t="s">
        <v>46</v>
      </c>
      <c r="I1730" s="3"/>
      <c r="J1730" s="42"/>
      <c r="K1730" s="3"/>
    </row>
    <row r="1731" spans="1:11" x14ac:dyDescent="0.25">
      <c r="A1731" s="20">
        <v>42112</v>
      </c>
      <c r="B1731" s="183">
        <v>18268</v>
      </c>
      <c r="C1731" s="14" t="s">
        <v>332</v>
      </c>
      <c r="D1731" s="105">
        <v>1981.8</v>
      </c>
      <c r="E1731" s="23">
        <v>42112</v>
      </c>
      <c r="F1731" s="118">
        <v>1981.8</v>
      </c>
      <c r="G1731" s="31">
        <f t="shared" ref="G1731:G1794" si="27">D1731-F1731</f>
        <v>0</v>
      </c>
      <c r="H1731" s="62" t="s">
        <v>9</v>
      </c>
      <c r="K1731" s="3"/>
    </row>
    <row r="1732" spans="1:11" x14ac:dyDescent="0.25">
      <c r="A1732" s="20">
        <v>42112</v>
      </c>
      <c r="B1732" s="183">
        <v>18269</v>
      </c>
      <c r="C1732" s="14" t="s">
        <v>118</v>
      </c>
      <c r="D1732" s="105">
        <v>4148.25</v>
      </c>
      <c r="E1732" s="23">
        <v>42123</v>
      </c>
      <c r="F1732" s="118">
        <v>4148.25</v>
      </c>
      <c r="G1732" s="31">
        <f t="shared" si="27"/>
        <v>0</v>
      </c>
      <c r="H1732" s="62" t="s">
        <v>59</v>
      </c>
      <c r="K1732" s="3"/>
    </row>
    <row r="1733" spans="1:11" x14ac:dyDescent="0.25">
      <c r="A1733" s="20">
        <v>42112</v>
      </c>
      <c r="B1733" s="183">
        <v>18270</v>
      </c>
      <c r="C1733" s="14" t="s">
        <v>59</v>
      </c>
      <c r="D1733" s="105">
        <v>57.6</v>
      </c>
      <c r="E1733" s="23">
        <v>42113</v>
      </c>
      <c r="F1733" s="118">
        <v>57.6</v>
      </c>
      <c r="G1733" s="31">
        <f t="shared" si="27"/>
        <v>0</v>
      </c>
      <c r="H1733" s="62" t="s">
        <v>9</v>
      </c>
      <c r="K1733" s="3"/>
    </row>
    <row r="1734" spans="1:11" x14ac:dyDescent="0.25">
      <c r="A1734" s="20">
        <v>42112</v>
      </c>
      <c r="B1734" s="183">
        <v>18271</v>
      </c>
      <c r="C1734" s="14" t="s">
        <v>32</v>
      </c>
      <c r="D1734" s="105">
        <v>116733.9</v>
      </c>
      <c r="E1734" s="23">
        <v>42115</v>
      </c>
      <c r="F1734" s="118">
        <v>116733.9</v>
      </c>
      <c r="G1734" s="31">
        <f t="shared" si="27"/>
        <v>0</v>
      </c>
      <c r="H1734" s="62" t="s">
        <v>149</v>
      </c>
      <c r="K1734" s="3"/>
    </row>
    <row r="1735" spans="1:11" x14ac:dyDescent="0.25">
      <c r="A1735" s="20">
        <v>42112</v>
      </c>
      <c r="B1735" s="183">
        <v>18272</v>
      </c>
      <c r="C1735" s="14" t="s">
        <v>133</v>
      </c>
      <c r="D1735" s="105">
        <v>2128.1999999999998</v>
      </c>
      <c r="E1735" s="23">
        <v>42112</v>
      </c>
      <c r="F1735" s="118">
        <v>2128.1999999999998</v>
      </c>
      <c r="G1735" s="31">
        <f t="shared" si="27"/>
        <v>0</v>
      </c>
      <c r="H1735" s="62" t="s">
        <v>9</v>
      </c>
      <c r="K1735" s="3"/>
    </row>
    <row r="1736" spans="1:11" x14ac:dyDescent="0.25">
      <c r="A1736" s="20">
        <v>42112</v>
      </c>
      <c r="B1736" s="183">
        <v>18273</v>
      </c>
      <c r="C1736" s="14" t="s">
        <v>66</v>
      </c>
      <c r="D1736" s="105">
        <v>2260.4</v>
      </c>
      <c r="E1736" s="23">
        <v>42112</v>
      </c>
      <c r="F1736" s="118">
        <v>2260.4</v>
      </c>
      <c r="G1736" s="31">
        <f t="shared" si="27"/>
        <v>0</v>
      </c>
      <c r="H1736" s="62" t="s">
        <v>9</v>
      </c>
      <c r="K1736" s="3"/>
    </row>
    <row r="1737" spans="1:11" x14ac:dyDescent="0.25">
      <c r="A1737" s="20">
        <v>42112</v>
      </c>
      <c r="B1737" s="183">
        <v>18274</v>
      </c>
      <c r="C1737" s="26" t="s">
        <v>218</v>
      </c>
      <c r="D1737" s="108">
        <v>0</v>
      </c>
      <c r="E1737" s="23"/>
      <c r="F1737" s="118"/>
      <c r="G1737" s="31">
        <f t="shared" si="27"/>
        <v>0</v>
      </c>
      <c r="H1737" s="62" t="s">
        <v>13</v>
      </c>
      <c r="K1737" s="3"/>
    </row>
    <row r="1738" spans="1:11" x14ac:dyDescent="0.25">
      <c r="A1738" s="20">
        <v>42112</v>
      </c>
      <c r="B1738" s="183">
        <v>18275</v>
      </c>
      <c r="C1738" s="14" t="s">
        <v>102</v>
      </c>
      <c r="D1738" s="105">
        <v>110.5</v>
      </c>
      <c r="E1738" s="23">
        <v>42112</v>
      </c>
      <c r="F1738" s="118">
        <v>110.5</v>
      </c>
      <c r="G1738" s="31">
        <f t="shared" si="27"/>
        <v>0</v>
      </c>
      <c r="H1738" s="62" t="s">
        <v>9</v>
      </c>
      <c r="K1738" s="3"/>
    </row>
    <row r="1739" spans="1:11" x14ac:dyDescent="0.25">
      <c r="A1739" s="20">
        <v>42112</v>
      </c>
      <c r="B1739" s="183">
        <v>18276</v>
      </c>
      <c r="C1739" s="14" t="s">
        <v>155</v>
      </c>
      <c r="D1739" s="105">
        <v>9788.7999999999993</v>
      </c>
      <c r="E1739" s="23">
        <v>42113</v>
      </c>
      <c r="F1739" s="118">
        <v>9788.7999999999993</v>
      </c>
      <c r="G1739" s="31">
        <f t="shared" si="27"/>
        <v>0</v>
      </c>
      <c r="H1739" s="62" t="s">
        <v>9</v>
      </c>
      <c r="K1739" s="3"/>
    </row>
    <row r="1740" spans="1:11" x14ac:dyDescent="0.25">
      <c r="A1740" s="20">
        <v>42112</v>
      </c>
      <c r="B1740" s="183">
        <v>18277</v>
      </c>
      <c r="C1740" s="14" t="s">
        <v>91</v>
      </c>
      <c r="D1740" s="105">
        <v>25372.560000000001</v>
      </c>
      <c r="E1740" s="23">
        <v>42112</v>
      </c>
      <c r="F1740" s="118">
        <v>25372.560000000001</v>
      </c>
      <c r="G1740" s="31">
        <f t="shared" si="27"/>
        <v>0</v>
      </c>
      <c r="H1740" s="62" t="s">
        <v>19</v>
      </c>
      <c r="K1740" s="3"/>
    </row>
    <row r="1741" spans="1:11" x14ac:dyDescent="0.25">
      <c r="A1741" s="20">
        <v>42112</v>
      </c>
      <c r="B1741" s="183">
        <v>18278</v>
      </c>
      <c r="C1741" s="14" t="s">
        <v>128</v>
      </c>
      <c r="D1741" s="105">
        <v>4673.6000000000004</v>
      </c>
      <c r="E1741" s="23">
        <v>42112</v>
      </c>
      <c r="F1741" s="118">
        <v>4673.6000000000004</v>
      </c>
      <c r="G1741" s="31">
        <f t="shared" si="27"/>
        <v>0</v>
      </c>
      <c r="H1741" s="62" t="s">
        <v>17</v>
      </c>
      <c r="K1741" s="3"/>
    </row>
    <row r="1742" spans="1:11" x14ac:dyDescent="0.25">
      <c r="A1742" s="20">
        <v>42112</v>
      </c>
      <c r="B1742" s="183">
        <v>18279</v>
      </c>
      <c r="C1742" s="14" t="s">
        <v>130</v>
      </c>
      <c r="D1742" s="105">
        <v>12205</v>
      </c>
      <c r="E1742" s="23">
        <v>42113</v>
      </c>
      <c r="F1742" s="118">
        <v>12205</v>
      </c>
      <c r="G1742" s="31">
        <f t="shared" si="27"/>
        <v>0</v>
      </c>
      <c r="H1742" s="62" t="s">
        <v>17</v>
      </c>
      <c r="K1742" s="3"/>
    </row>
    <row r="1743" spans="1:11" x14ac:dyDescent="0.25">
      <c r="A1743" s="20">
        <v>42112</v>
      </c>
      <c r="B1743" s="183">
        <v>18280</v>
      </c>
      <c r="C1743" s="14" t="s">
        <v>131</v>
      </c>
      <c r="D1743" s="105">
        <v>690.8</v>
      </c>
      <c r="E1743" s="23">
        <v>42114</v>
      </c>
      <c r="F1743" s="118">
        <v>690.8</v>
      </c>
      <c r="G1743" s="31">
        <f t="shared" si="27"/>
        <v>0</v>
      </c>
      <c r="H1743" s="62" t="s">
        <v>17</v>
      </c>
      <c r="K1743" s="3"/>
    </row>
    <row r="1744" spans="1:11" x14ac:dyDescent="0.25">
      <c r="A1744" s="20">
        <v>42112</v>
      </c>
      <c r="B1744" s="183">
        <v>18281</v>
      </c>
      <c r="C1744" s="14" t="s">
        <v>723</v>
      </c>
      <c r="D1744" s="105">
        <v>2647.35</v>
      </c>
      <c r="E1744" s="23">
        <v>42112</v>
      </c>
      <c r="F1744" s="118">
        <v>2647.35</v>
      </c>
      <c r="G1744" s="31">
        <f t="shared" si="27"/>
        <v>0</v>
      </c>
      <c r="H1744" s="62" t="s">
        <v>9</v>
      </c>
      <c r="K1744" s="3"/>
    </row>
    <row r="1745" spans="1:11" x14ac:dyDescent="0.25">
      <c r="A1745" s="20">
        <v>42112</v>
      </c>
      <c r="B1745" s="183">
        <v>18282</v>
      </c>
      <c r="C1745" s="14" t="s">
        <v>269</v>
      </c>
      <c r="D1745" s="105">
        <v>2914.25</v>
      </c>
      <c r="E1745" s="23">
        <v>42112</v>
      </c>
      <c r="F1745" s="118">
        <v>2914.25</v>
      </c>
      <c r="G1745" s="31">
        <f t="shared" si="27"/>
        <v>0</v>
      </c>
      <c r="H1745" s="62" t="s">
        <v>9</v>
      </c>
      <c r="K1745" s="3"/>
    </row>
    <row r="1746" spans="1:11" x14ac:dyDescent="0.25">
      <c r="A1746" s="20">
        <v>42112</v>
      </c>
      <c r="B1746" s="183">
        <v>18283</v>
      </c>
      <c r="C1746" s="14" t="s">
        <v>269</v>
      </c>
      <c r="D1746" s="105">
        <v>707.9</v>
      </c>
      <c r="E1746" s="23">
        <v>42112</v>
      </c>
      <c r="F1746" s="118">
        <v>707.9</v>
      </c>
      <c r="G1746" s="31">
        <f t="shared" si="27"/>
        <v>0</v>
      </c>
      <c r="H1746" s="62" t="s">
        <v>9</v>
      </c>
      <c r="J1746" s="107"/>
      <c r="K1746" s="3"/>
    </row>
    <row r="1747" spans="1:11" x14ac:dyDescent="0.25">
      <c r="A1747" s="20">
        <v>42112</v>
      </c>
      <c r="B1747" s="183">
        <v>18284</v>
      </c>
      <c r="C1747" s="14" t="s">
        <v>130</v>
      </c>
      <c r="D1747" s="105">
        <v>10624.35</v>
      </c>
      <c r="E1747" s="23">
        <v>42114</v>
      </c>
      <c r="F1747" s="118">
        <v>10624.35</v>
      </c>
      <c r="G1747" s="31">
        <f t="shared" si="27"/>
        <v>0</v>
      </c>
      <c r="H1747" s="62" t="s">
        <v>773</v>
      </c>
      <c r="J1747" s="107"/>
      <c r="K1747" s="3"/>
    </row>
    <row r="1748" spans="1:11" x14ac:dyDescent="0.25">
      <c r="A1748" s="20">
        <v>42112</v>
      </c>
      <c r="B1748" s="183">
        <v>18285</v>
      </c>
      <c r="C1748" s="150" t="s">
        <v>103</v>
      </c>
      <c r="D1748" s="105">
        <v>23315</v>
      </c>
      <c r="E1748" s="23">
        <v>42115</v>
      </c>
      <c r="F1748" s="118">
        <v>23315</v>
      </c>
      <c r="G1748" s="31">
        <f t="shared" si="27"/>
        <v>0</v>
      </c>
      <c r="H1748" s="62" t="s">
        <v>773</v>
      </c>
      <c r="K1748" s="3"/>
    </row>
    <row r="1749" spans="1:11" x14ac:dyDescent="0.25">
      <c r="A1749" s="20">
        <v>42112</v>
      </c>
      <c r="B1749" s="183">
        <v>18286</v>
      </c>
      <c r="C1749" s="14" t="s">
        <v>136</v>
      </c>
      <c r="D1749" s="105">
        <v>245</v>
      </c>
      <c r="E1749" s="23">
        <v>42112</v>
      </c>
      <c r="F1749" s="118">
        <v>245</v>
      </c>
      <c r="G1749" s="31">
        <f t="shared" si="27"/>
        <v>0</v>
      </c>
      <c r="H1749" s="62" t="s">
        <v>9</v>
      </c>
      <c r="K1749" s="3"/>
    </row>
    <row r="1750" spans="1:11" x14ac:dyDescent="0.25">
      <c r="A1750" s="20">
        <v>42112</v>
      </c>
      <c r="B1750" s="183">
        <v>18287</v>
      </c>
      <c r="C1750" s="14" t="s">
        <v>1116</v>
      </c>
      <c r="D1750" s="105">
        <v>2040</v>
      </c>
      <c r="E1750" s="23">
        <v>42112</v>
      </c>
      <c r="F1750" s="118">
        <v>2040</v>
      </c>
      <c r="G1750" s="31">
        <f t="shared" si="27"/>
        <v>0</v>
      </c>
      <c r="H1750" s="62" t="s">
        <v>94</v>
      </c>
      <c r="K1750" s="3"/>
    </row>
    <row r="1751" spans="1:11" x14ac:dyDescent="0.25">
      <c r="A1751" s="20">
        <v>42112</v>
      </c>
      <c r="B1751" s="183">
        <v>18288</v>
      </c>
      <c r="C1751" s="14" t="s">
        <v>89</v>
      </c>
      <c r="D1751" s="105">
        <v>4033.1</v>
      </c>
      <c r="E1751" s="23">
        <v>42112</v>
      </c>
      <c r="F1751" s="118">
        <v>4033.1</v>
      </c>
      <c r="G1751" s="31">
        <f t="shared" si="27"/>
        <v>0</v>
      </c>
      <c r="H1751" s="62" t="s">
        <v>9</v>
      </c>
      <c r="K1751" s="3"/>
    </row>
    <row r="1752" spans="1:11" x14ac:dyDescent="0.25">
      <c r="A1752" s="20">
        <v>42112</v>
      </c>
      <c r="B1752" s="183">
        <v>18289</v>
      </c>
      <c r="C1752" s="14" t="s">
        <v>95</v>
      </c>
      <c r="D1752" s="105">
        <v>4111.8</v>
      </c>
      <c r="E1752" s="23">
        <v>42112</v>
      </c>
      <c r="F1752" s="118">
        <v>4111.8</v>
      </c>
      <c r="G1752" s="31">
        <f t="shared" si="27"/>
        <v>0</v>
      </c>
      <c r="H1752" s="62" t="s">
        <v>94</v>
      </c>
      <c r="K1752" s="3"/>
    </row>
    <row r="1753" spans="1:11" x14ac:dyDescent="0.25">
      <c r="A1753" s="20">
        <v>42112</v>
      </c>
      <c r="B1753" s="183">
        <v>18290</v>
      </c>
      <c r="C1753" s="14" t="s">
        <v>93</v>
      </c>
      <c r="D1753" s="105">
        <v>2742.3</v>
      </c>
      <c r="E1753" s="51">
        <v>42112</v>
      </c>
      <c r="F1753" s="118">
        <v>2742.3</v>
      </c>
      <c r="G1753" s="31">
        <f t="shared" si="27"/>
        <v>0</v>
      </c>
      <c r="H1753" s="62" t="s">
        <v>94</v>
      </c>
      <c r="K1753" s="3"/>
    </row>
    <row r="1754" spans="1:11" x14ac:dyDescent="0.25">
      <c r="A1754" s="20">
        <v>42112</v>
      </c>
      <c r="B1754" s="183">
        <v>18291</v>
      </c>
      <c r="C1754" s="14" t="s">
        <v>135</v>
      </c>
      <c r="D1754" s="105">
        <v>1428</v>
      </c>
      <c r="E1754" s="23">
        <v>42112</v>
      </c>
      <c r="F1754" s="118">
        <v>1428</v>
      </c>
      <c r="G1754" s="31">
        <f t="shared" si="27"/>
        <v>0</v>
      </c>
      <c r="H1754" s="62" t="s">
        <v>9</v>
      </c>
      <c r="K1754" s="3"/>
    </row>
    <row r="1755" spans="1:11" x14ac:dyDescent="0.25">
      <c r="A1755" s="20">
        <v>42112</v>
      </c>
      <c r="B1755" s="183">
        <v>18292</v>
      </c>
      <c r="C1755" s="14" t="s">
        <v>223</v>
      </c>
      <c r="D1755" s="105">
        <v>1024.4000000000001</v>
      </c>
      <c r="E1755" s="23">
        <v>42112</v>
      </c>
      <c r="F1755" s="118">
        <v>1024.4000000000001</v>
      </c>
      <c r="G1755" s="31">
        <f t="shared" si="27"/>
        <v>0</v>
      </c>
      <c r="H1755" s="62" t="s">
        <v>94</v>
      </c>
      <c r="K1755" s="3"/>
    </row>
    <row r="1756" spans="1:11" x14ac:dyDescent="0.25">
      <c r="A1756" s="20">
        <v>42112</v>
      </c>
      <c r="B1756" s="183">
        <v>18293</v>
      </c>
      <c r="C1756" s="14" t="s">
        <v>110</v>
      </c>
      <c r="D1756" s="105">
        <v>55922.400000000001</v>
      </c>
      <c r="E1756" s="30">
        <v>42126</v>
      </c>
      <c r="F1756" s="145">
        <v>55922.400000000001</v>
      </c>
      <c r="G1756" s="31">
        <f t="shared" si="27"/>
        <v>0</v>
      </c>
      <c r="H1756" s="62" t="s">
        <v>1013</v>
      </c>
      <c r="K1756" s="3"/>
    </row>
    <row r="1757" spans="1:11" x14ac:dyDescent="0.25">
      <c r="A1757" s="20">
        <v>42112</v>
      </c>
      <c r="B1757" s="183">
        <v>18294</v>
      </c>
      <c r="C1757" s="14" t="s">
        <v>101</v>
      </c>
      <c r="D1757" s="105">
        <v>687</v>
      </c>
      <c r="E1757" s="23">
        <v>42112</v>
      </c>
      <c r="F1757" s="118">
        <v>687</v>
      </c>
      <c r="G1757" s="31">
        <f t="shared" si="27"/>
        <v>0</v>
      </c>
      <c r="H1757" s="62" t="s">
        <v>94</v>
      </c>
      <c r="K1757" s="3"/>
    </row>
    <row r="1758" spans="1:11" x14ac:dyDescent="0.25">
      <c r="A1758" s="20">
        <v>42112</v>
      </c>
      <c r="B1758" s="183">
        <v>18295</v>
      </c>
      <c r="C1758" s="14" t="s">
        <v>881</v>
      </c>
      <c r="D1758" s="105">
        <v>4288</v>
      </c>
      <c r="E1758" s="51">
        <v>42112</v>
      </c>
      <c r="F1758" s="118">
        <v>4288</v>
      </c>
      <c r="G1758" s="31">
        <f t="shared" si="27"/>
        <v>0</v>
      </c>
      <c r="H1758" s="62" t="s">
        <v>1013</v>
      </c>
      <c r="K1758" s="3"/>
    </row>
    <row r="1759" spans="1:11" x14ac:dyDescent="0.25">
      <c r="A1759" s="20">
        <v>42112</v>
      </c>
      <c r="B1759" s="183">
        <v>18296</v>
      </c>
      <c r="C1759" s="14" t="s">
        <v>24</v>
      </c>
      <c r="D1759" s="105">
        <v>35190</v>
      </c>
      <c r="E1759" s="30" t="s">
        <v>1247</v>
      </c>
      <c r="F1759" s="145">
        <f>18610.91+16579.09</f>
        <v>35190</v>
      </c>
      <c r="G1759" s="31">
        <f t="shared" si="27"/>
        <v>0</v>
      </c>
      <c r="H1759" s="62" t="s">
        <v>9</v>
      </c>
      <c r="K1759" s="3"/>
    </row>
    <row r="1760" spans="1:11" x14ac:dyDescent="0.25">
      <c r="A1760" s="20">
        <v>42112</v>
      </c>
      <c r="B1760" s="183">
        <v>18297</v>
      </c>
      <c r="C1760" s="14" t="s">
        <v>136</v>
      </c>
      <c r="D1760" s="105">
        <v>32332.799999999999</v>
      </c>
      <c r="E1760" s="23">
        <v>42113</v>
      </c>
      <c r="F1760" s="118">
        <v>32332.799999999999</v>
      </c>
      <c r="G1760" s="31">
        <f t="shared" si="27"/>
        <v>0</v>
      </c>
      <c r="H1760" s="62" t="s">
        <v>9</v>
      </c>
      <c r="K1760" s="3"/>
    </row>
    <row r="1761" spans="1:11" x14ac:dyDescent="0.25">
      <c r="A1761" s="20">
        <v>42112</v>
      </c>
      <c r="B1761" s="183">
        <v>18298</v>
      </c>
      <c r="C1761" s="14" t="s">
        <v>111</v>
      </c>
      <c r="D1761" s="105">
        <v>109782</v>
      </c>
      <c r="E1761" s="23">
        <v>42112</v>
      </c>
      <c r="F1761" s="118">
        <v>109782</v>
      </c>
      <c r="G1761" s="31">
        <f t="shared" si="27"/>
        <v>0</v>
      </c>
      <c r="H1761" s="62" t="s">
        <v>9</v>
      </c>
      <c r="K1761" s="3"/>
    </row>
    <row r="1762" spans="1:11" x14ac:dyDescent="0.25">
      <c r="A1762" s="20">
        <v>42112</v>
      </c>
      <c r="B1762" s="183">
        <v>18299</v>
      </c>
      <c r="C1762" s="14" t="s">
        <v>111</v>
      </c>
      <c r="D1762" s="105">
        <v>285000</v>
      </c>
      <c r="E1762" s="23">
        <v>42112</v>
      </c>
      <c r="F1762" s="118">
        <v>285000</v>
      </c>
      <c r="G1762" s="31">
        <f t="shared" si="27"/>
        <v>0</v>
      </c>
      <c r="H1762" s="62" t="s">
        <v>9</v>
      </c>
      <c r="K1762" s="3"/>
    </row>
    <row r="1763" spans="1:11" x14ac:dyDescent="0.25">
      <c r="A1763" s="20">
        <v>42112</v>
      </c>
      <c r="B1763" s="183">
        <v>18300</v>
      </c>
      <c r="C1763" s="14" t="s">
        <v>367</v>
      </c>
      <c r="D1763" s="105">
        <v>108720</v>
      </c>
      <c r="E1763" s="30">
        <v>42137</v>
      </c>
      <c r="F1763" s="145">
        <v>108720</v>
      </c>
      <c r="G1763" s="31">
        <f t="shared" si="27"/>
        <v>0</v>
      </c>
      <c r="H1763" s="62" t="s">
        <v>9</v>
      </c>
      <c r="I1763" s="3"/>
      <c r="J1763" s="42"/>
      <c r="K1763" s="3"/>
    </row>
    <row r="1764" spans="1:11" x14ac:dyDescent="0.25">
      <c r="A1764" s="20">
        <v>42112</v>
      </c>
      <c r="B1764" s="183">
        <v>18301</v>
      </c>
      <c r="C1764" s="14" t="s">
        <v>291</v>
      </c>
      <c r="D1764" s="105">
        <v>11644.44</v>
      </c>
      <c r="E1764" s="23">
        <v>42112</v>
      </c>
      <c r="F1764" s="118">
        <v>11644.44</v>
      </c>
      <c r="G1764" s="31">
        <f t="shared" si="27"/>
        <v>0</v>
      </c>
      <c r="H1764" s="62" t="s">
        <v>9</v>
      </c>
      <c r="I1764" s="3"/>
      <c r="J1764" s="42"/>
      <c r="K1764" s="3"/>
    </row>
    <row r="1765" spans="1:11" x14ac:dyDescent="0.25">
      <c r="A1765" s="20">
        <v>42112</v>
      </c>
      <c r="B1765" s="183">
        <v>18302</v>
      </c>
      <c r="C1765" s="14" t="s">
        <v>32</v>
      </c>
      <c r="D1765" s="105">
        <v>15928.4</v>
      </c>
      <c r="E1765" s="23">
        <v>42115</v>
      </c>
      <c r="F1765" s="118">
        <v>15928.4</v>
      </c>
      <c r="G1765" s="31">
        <f t="shared" si="27"/>
        <v>0</v>
      </c>
      <c r="H1765" s="62" t="s">
        <v>46</v>
      </c>
      <c r="I1765" s="3"/>
      <c r="J1765" s="42"/>
      <c r="K1765" s="3"/>
    </row>
    <row r="1766" spans="1:11" x14ac:dyDescent="0.25">
      <c r="A1766" s="20">
        <v>42112</v>
      </c>
      <c r="B1766" s="183">
        <v>18303</v>
      </c>
      <c r="C1766" s="14" t="s">
        <v>161</v>
      </c>
      <c r="D1766" s="105">
        <v>23158.880000000001</v>
      </c>
      <c r="E1766" s="23">
        <v>42112</v>
      </c>
      <c r="F1766" s="118">
        <v>23158.880000000001</v>
      </c>
      <c r="G1766" s="31">
        <f t="shared" si="27"/>
        <v>0</v>
      </c>
      <c r="H1766" s="62" t="s">
        <v>9</v>
      </c>
      <c r="I1766" s="3"/>
      <c r="J1766" s="42"/>
      <c r="K1766" s="3"/>
    </row>
    <row r="1767" spans="1:11" x14ac:dyDescent="0.25">
      <c r="A1767" s="20">
        <v>42112</v>
      </c>
      <c r="B1767" s="183">
        <v>18304</v>
      </c>
      <c r="C1767" s="26" t="s">
        <v>218</v>
      </c>
      <c r="D1767" s="108">
        <v>0</v>
      </c>
      <c r="E1767" s="23"/>
      <c r="F1767" s="118"/>
      <c r="G1767" s="31">
        <f t="shared" si="27"/>
        <v>0</v>
      </c>
      <c r="H1767" s="62" t="s">
        <v>13</v>
      </c>
      <c r="I1767" s="3"/>
      <c r="J1767" s="42"/>
      <c r="K1767" s="3"/>
    </row>
    <row r="1768" spans="1:11" x14ac:dyDescent="0.25">
      <c r="A1768" s="20">
        <v>42112</v>
      </c>
      <c r="B1768" s="183">
        <v>18305</v>
      </c>
      <c r="C1768" s="14" t="s">
        <v>158</v>
      </c>
      <c r="D1768" s="105">
        <v>3646.2</v>
      </c>
      <c r="E1768" s="23">
        <v>42112</v>
      </c>
      <c r="F1768" s="118">
        <v>3646.2</v>
      </c>
      <c r="G1768" s="31">
        <f t="shared" si="27"/>
        <v>0</v>
      </c>
      <c r="H1768" s="62" t="s">
        <v>9</v>
      </c>
      <c r="I1768" s="3"/>
      <c r="J1768" s="42"/>
      <c r="K1768" s="3"/>
    </row>
    <row r="1769" spans="1:11" x14ac:dyDescent="0.25">
      <c r="A1769" s="20">
        <v>42112</v>
      </c>
      <c r="B1769" s="183">
        <v>18306</v>
      </c>
      <c r="C1769" s="14" t="s">
        <v>484</v>
      </c>
      <c r="D1769" s="105">
        <v>17943</v>
      </c>
      <c r="E1769" s="23">
        <v>42119</v>
      </c>
      <c r="F1769" s="118">
        <v>17943</v>
      </c>
      <c r="G1769" s="31">
        <f t="shared" si="27"/>
        <v>0</v>
      </c>
      <c r="H1769" s="62" t="s">
        <v>9</v>
      </c>
      <c r="I1769" s="3"/>
      <c r="J1769" s="42"/>
      <c r="K1769" s="3"/>
    </row>
    <row r="1770" spans="1:11" x14ac:dyDescent="0.25">
      <c r="A1770" s="20">
        <v>42112</v>
      </c>
      <c r="B1770" s="183">
        <v>18307</v>
      </c>
      <c r="C1770" s="14" t="s">
        <v>35</v>
      </c>
      <c r="D1770" s="105">
        <v>24163.8</v>
      </c>
      <c r="E1770" s="23">
        <v>42112</v>
      </c>
      <c r="F1770" s="118">
        <v>24163.8</v>
      </c>
      <c r="G1770" s="31">
        <f t="shared" si="27"/>
        <v>0</v>
      </c>
      <c r="H1770" s="62" t="s">
        <v>17</v>
      </c>
      <c r="I1770" s="3"/>
      <c r="J1770" s="42"/>
      <c r="K1770" s="3"/>
    </row>
    <row r="1771" spans="1:11" x14ac:dyDescent="0.25">
      <c r="A1771" s="20">
        <v>42112</v>
      </c>
      <c r="B1771" s="183">
        <v>18308</v>
      </c>
      <c r="C1771" s="14" t="s">
        <v>233</v>
      </c>
      <c r="D1771" s="105">
        <v>7478.4</v>
      </c>
      <c r="E1771" s="23">
        <v>42114</v>
      </c>
      <c r="F1771" s="118">
        <v>7478.4</v>
      </c>
      <c r="G1771" s="31">
        <f t="shared" si="27"/>
        <v>0</v>
      </c>
      <c r="H1771" s="62" t="s">
        <v>773</v>
      </c>
      <c r="I1771" s="3"/>
      <c r="J1771" s="42"/>
      <c r="K1771" s="3"/>
    </row>
    <row r="1772" spans="1:11" x14ac:dyDescent="0.25">
      <c r="A1772" s="20">
        <v>42112</v>
      </c>
      <c r="B1772" s="183">
        <v>18309</v>
      </c>
      <c r="C1772" s="14" t="s">
        <v>406</v>
      </c>
      <c r="D1772" s="105">
        <v>20467.009999999998</v>
      </c>
      <c r="E1772" s="23">
        <v>42114</v>
      </c>
      <c r="F1772" s="118">
        <v>20467.009999999998</v>
      </c>
      <c r="G1772" s="31">
        <f t="shared" si="27"/>
        <v>0</v>
      </c>
      <c r="H1772" s="62" t="s">
        <v>773</v>
      </c>
      <c r="I1772" s="3"/>
      <c r="J1772" s="42"/>
      <c r="K1772" s="3"/>
    </row>
    <row r="1773" spans="1:11" x14ac:dyDescent="0.25">
      <c r="A1773" s="20">
        <v>42112</v>
      </c>
      <c r="B1773" s="183">
        <v>18310</v>
      </c>
      <c r="C1773" s="14" t="s">
        <v>233</v>
      </c>
      <c r="D1773" s="105">
        <v>6338.4</v>
      </c>
      <c r="E1773" s="23">
        <v>42114</v>
      </c>
      <c r="F1773" s="118">
        <v>6338.4</v>
      </c>
      <c r="G1773" s="31">
        <f t="shared" si="27"/>
        <v>0</v>
      </c>
      <c r="H1773" s="62" t="s">
        <v>773</v>
      </c>
      <c r="I1773" s="3"/>
      <c r="J1773" s="42"/>
      <c r="K1773" s="3"/>
    </row>
    <row r="1774" spans="1:11" x14ac:dyDescent="0.25">
      <c r="A1774" s="20">
        <v>42112</v>
      </c>
      <c r="B1774" s="183">
        <v>18311</v>
      </c>
      <c r="C1774" s="14" t="s">
        <v>256</v>
      </c>
      <c r="D1774" s="105">
        <v>7589.6</v>
      </c>
      <c r="E1774" s="23">
        <v>42114</v>
      </c>
      <c r="F1774" s="118">
        <v>7589.6</v>
      </c>
      <c r="G1774" s="31">
        <f t="shared" si="27"/>
        <v>0</v>
      </c>
      <c r="H1774" s="62" t="s">
        <v>773</v>
      </c>
      <c r="I1774" s="3"/>
      <c r="J1774" s="42"/>
      <c r="K1774" s="3"/>
    </row>
    <row r="1775" spans="1:11" x14ac:dyDescent="0.25">
      <c r="A1775" s="20">
        <v>42112</v>
      </c>
      <c r="B1775" s="183">
        <v>18312</v>
      </c>
      <c r="C1775" s="14" t="s">
        <v>106</v>
      </c>
      <c r="D1775" s="105">
        <v>33118.199999999997</v>
      </c>
      <c r="E1775" s="23" t="s">
        <v>1130</v>
      </c>
      <c r="F1775" s="118">
        <f>11000+22118.2</f>
        <v>33118.199999999997</v>
      </c>
      <c r="G1775" s="31">
        <f t="shared" si="27"/>
        <v>0</v>
      </c>
      <c r="H1775" s="62" t="s">
        <v>19</v>
      </c>
      <c r="I1775" s="3"/>
      <c r="J1775" s="42"/>
      <c r="K1775" s="3"/>
    </row>
    <row r="1776" spans="1:11" x14ac:dyDescent="0.25">
      <c r="A1776" s="20">
        <v>42112</v>
      </c>
      <c r="B1776" s="183">
        <v>18313</v>
      </c>
      <c r="C1776" s="14" t="s">
        <v>24</v>
      </c>
      <c r="D1776" s="105">
        <v>285977.14</v>
      </c>
      <c r="E1776" s="30">
        <v>42144</v>
      </c>
      <c r="F1776" s="145">
        <v>285977.14</v>
      </c>
      <c r="G1776" s="31">
        <f t="shared" si="27"/>
        <v>0</v>
      </c>
      <c r="H1776" s="62" t="s">
        <v>1013</v>
      </c>
      <c r="I1776" s="3"/>
      <c r="J1776" s="42"/>
      <c r="K1776" s="3"/>
    </row>
    <row r="1777" spans="1:11" x14ac:dyDescent="0.25">
      <c r="A1777" s="20">
        <v>42112</v>
      </c>
      <c r="B1777" s="183">
        <v>18314</v>
      </c>
      <c r="C1777" s="14" t="s">
        <v>47</v>
      </c>
      <c r="D1777" s="105">
        <v>18878.400000000001</v>
      </c>
      <c r="E1777" s="23">
        <v>42114</v>
      </c>
      <c r="F1777" s="118">
        <v>18878.400000000001</v>
      </c>
      <c r="G1777" s="31">
        <f t="shared" si="27"/>
        <v>0</v>
      </c>
      <c r="H1777" s="62" t="s">
        <v>773</v>
      </c>
      <c r="I1777" s="3"/>
      <c r="J1777" s="42"/>
      <c r="K1777" s="3"/>
    </row>
    <row r="1778" spans="1:11" x14ac:dyDescent="0.25">
      <c r="A1778" s="20">
        <v>42112</v>
      </c>
      <c r="B1778" s="183">
        <v>18315</v>
      </c>
      <c r="C1778" s="14" t="s">
        <v>56</v>
      </c>
      <c r="D1778" s="105">
        <v>7525.8</v>
      </c>
      <c r="E1778" s="23">
        <v>42114</v>
      </c>
      <c r="F1778" s="118">
        <v>7525.8</v>
      </c>
      <c r="G1778" s="31">
        <f t="shared" si="27"/>
        <v>0</v>
      </c>
      <c r="H1778" s="62" t="s">
        <v>773</v>
      </c>
      <c r="I1778" s="3"/>
      <c r="J1778" s="42"/>
      <c r="K1778" s="3"/>
    </row>
    <row r="1779" spans="1:11" x14ac:dyDescent="0.25">
      <c r="A1779" s="20">
        <v>42112</v>
      </c>
      <c r="B1779" s="183">
        <v>18316</v>
      </c>
      <c r="C1779" s="14" t="s">
        <v>256</v>
      </c>
      <c r="D1779" s="105">
        <v>836</v>
      </c>
      <c r="E1779" s="23">
        <v>42114</v>
      </c>
      <c r="F1779" s="118">
        <v>836</v>
      </c>
      <c r="G1779" s="31">
        <f t="shared" si="27"/>
        <v>0</v>
      </c>
      <c r="H1779" s="62" t="s">
        <v>773</v>
      </c>
      <c r="K1779" s="3"/>
    </row>
    <row r="1780" spans="1:11" x14ac:dyDescent="0.25">
      <c r="A1780" s="20">
        <v>42112</v>
      </c>
      <c r="B1780" s="183">
        <v>18317</v>
      </c>
      <c r="C1780" s="14" t="s">
        <v>74</v>
      </c>
      <c r="D1780" s="105">
        <v>1375.4</v>
      </c>
      <c r="E1780" s="23">
        <v>42112</v>
      </c>
      <c r="F1780" s="118">
        <v>1375.4</v>
      </c>
      <c r="G1780" s="31">
        <f t="shared" si="27"/>
        <v>0</v>
      </c>
      <c r="H1780" s="62" t="s">
        <v>9</v>
      </c>
      <c r="K1780" s="3"/>
    </row>
    <row r="1781" spans="1:11" x14ac:dyDescent="0.25">
      <c r="A1781" s="20">
        <v>42112</v>
      </c>
      <c r="B1781" s="183">
        <v>18318</v>
      </c>
      <c r="C1781" s="14" t="s">
        <v>86</v>
      </c>
      <c r="D1781" s="105">
        <v>275.60000000000002</v>
      </c>
      <c r="E1781" s="23">
        <v>42112</v>
      </c>
      <c r="F1781" s="118">
        <v>275.60000000000002</v>
      </c>
      <c r="G1781" s="31">
        <f t="shared" si="27"/>
        <v>0</v>
      </c>
      <c r="H1781" s="62" t="s">
        <v>9</v>
      </c>
      <c r="K1781" s="3"/>
    </row>
    <row r="1782" spans="1:11" x14ac:dyDescent="0.25">
      <c r="A1782" s="20">
        <v>42112</v>
      </c>
      <c r="B1782" s="183">
        <v>18319</v>
      </c>
      <c r="C1782" s="14" t="s">
        <v>14</v>
      </c>
      <c r="D1782" s="105">
        <v>198586.16</v>
      </c>
      <c r="E1782" s="23">
        <v>42117</v>
      </c>
      <c r="F1782" s="118">
        <v>198586.16</v>
      </c>
      <c r="G1782" s="31">
        <f t="shared" si="27"/>
        <v>0</v>
      </c>
      <c r="H1782" s="62" t="s">
        <v>9</v>
      </c>
      <c r="K1782" s="3"/>
    </row>
    <row r="1783" spans="1:11" x14ac:dyDescent="0.25">
      <c r="A1783" s="20">
        <v>42112</v>
      </c>
      <c r="B1783" s="183">
        <v>18320</v>
      </c>
      <c r="C1783" s="26" t="s">
        <v>218</v>
      </c>
      <c r="D1783" s="108">
        <v>0</v>
      </c>
      <c r="E1783" s="23"/>
      <c r="F1783" s="118"/>
      <c r="G1783" s="31">
        <f t="shared" si="27"/>
        <v>0</v>
      </c>
      <c r="H1783" s="62" t="s">
        <v>13</v>
      </c>
      <c r="K1783" s="3"/>
    </row>
    <row r="1784" spans="1:11" x14ac:dyDescent="0.25">
      <c r="A1784" s="20">
        <v>42112</v>
      </c>
      <c r="B1784" s="183">
        <v>18321</v>
      </c>
      <c r="C1784" s="14" t="s">
        <v>1077</v>
      </c>
      <c r="D1784" s="105">
        <v>646.79999999999995</v>
      </c>
      <c r="E1784" s="23">
        <v>42112</v>
      </c>
      <c r="F1784" s="118">
        <v>646.79999999999995</v>
      </c>
      <c r="G1784" s="31">
        <f t="shared" si="27"/>
        <v>0</v>
      </c>
      <c r="H1784" s="62" t="s">
        <v>9</v>
      </c>
      <c r="K1784" s="3"/>
    </row>
    <row r="1785" spans="1:11" x14ac:dyDescent="0.25">
      <c r="A1785" s="20">
        <v>42112</v>
      </c>
      <c r="B1785" s="183">
        <v>18322</v>
      </c>
      <c r="C1785" s="14" t="s">
        <v>411</v>
      </c>
      <c r="D1785" s="122">
        <v>1698.9</v>
      </c>
      <c r="E1785" s="23">
        <v>42112</v>
      </c>
      <c r="F1785" s="118">
        <v>1698.9</v>
      </c>
      <c r="G1785" s="31">
        <f t="shared" si="27"/>
        <v>0</v>
      </c>
      <c r="H1785" s="56" t="s">
        <v>9</v>
      </c>
      <c r="K1785" s="3"/>
    </row>
    <row r="1786" spans="1:11" x14ac:dyDescent="0.25">
      <c r="A1786" s="20">
        <v>42112</v>
      </c>
      <c r="B1786" s="183">
        <v>18323</v>
      </c>
      <c r="C1786" s="14" t="s">
        <v>1058</v>
      </c>
      <c r="D1786" s="105">
        <v>901</v>
      </c>
      <c r="E1786" s="23">
        <v>42112</v>
      </c>
      <c r="F1786" s="118">
        <v>901</v>
      </c>
      <c r="G1786" s="31">
        <f t="shared" si="27"/>
        <v>0</v>
      </c>
      <c r="H1786" s="56" t="s">
        <v>9</v>
      </c>
      <c r="K1786" s="3"/>
    </row>
    <row r="1787" spans="1:11" x14ac:dyDescent="0.25">
      <c r="A1787" s="20">
        <v>42112</v>
      </c>
      <c r="B1787" s="183">
        <v>18324</v>
      </c>
      <c r="C1787" s="14" t="s">
        <v>45</v>
      </c>
      <c r="D1787" s="105">
        <v>5370</v>
      </c>
      <c r="E1787" s="30">
        <v>42125</v>
      </c>
      <c r="F1787" s="145">
        <v>5370</v>
      </c>
      <c r="G1787" s="31">
        <f t="shared" si="27"/>
        <v>0</v>
      </c>
      <c r="H1787" s="56" t="s">
        <v>9</v>
      </c>
      <c r="J1787" s="107"/>
      <c r="K1787" s="3"/>
    </row>
    <row r="1788" spans="1:11" x14ac:dyDescent="0.25">
      <c r="A1788" s="20">
        <v>42112</v>
      </c>
      <c r="B1788" s="183">
        <v>18325</v>
      </c>
      <c r="C1788" s="14" t="s">
        <v>1101</v>
      </c>
      <c r="D1788" s="105">
        <v>285.60000000000002</v>
      </c>
      <c r="E1788" s="23">
        <v>42112</v>
      </c>
      <c r="F1788" s="118">
        <v>285.60000000000002</v>
      </c>
      <c r="G1788" s="31">
        <f t="shared" si="27"/>
        <v>0</v>
      </c>
      <c r="H1788" s="56" t="s">
        <v>9</v>
      </c>
      <c r="K1788" s="3"/>
    </row>
    <row r="1789" spans="1:11" x14ac:dyDescent="0.25">
      <c r="A1789" s="20">
        <v>42112</v>
      </c>
      <c r="B1789" s="183">
        <v>18326</v>
      </c>
      <c r="C1789" s="14" t="s">
        <v>1020</v>
      </c>
      <c r="D1789" s="105">
        <v>5741.4</v>
      </c>
      <c r="E1789" s="23">
        <v>42112</v>
      </c>
      <c r="F1789" s="118">
        <v>5741.4</v>
      </c>
      <c r="G1789" s="31">
        <f t="shared" si="27"/>
        <v>0</v>
      </c>
      <c r="H1789" s="56" t="s">
        <v>9</v>
      </c>
      <c r="K1789" s="3"/>
    </row>
    <row r="1790" spans="1:11" x14ac:dyDescent="0.25">
      <c r="A1790" s="20">
        <v>42112</v>
      </c>
      <c r="B1790" s="183">
        <v>18327</v>
      </c>
      <c r="C1790" s="14" t="s">
        <v>24</v>
      </c>
      <c r="D1790" s="105">
        <v>13582.7</v>
      </c>
      <c r="E1790" s="30">
        <v>42138</v>
      </c>
      <c r="F1790" s="145">
        <v>13582.7</v>
      </c>
      <c r="G1790" s="31">
        <f t="shared" si="27"/>
        <v>0</v>
      </c>
      <c r="H1790" s="56" t="s">
        <v>46</v>
      </c>
      <c r="K1790" s="3"/>
    </row>
    <row r="1791" spans="1:11" x14ac:dyDescent="0.25">
      <c r="A1791" s="20">
        <v>42112</v>
      </c>
      <c r="B1791" s="183">
        <v>18328</v>
      </c>
      <c r="C1791" s="14" t="s">
        <v>143</v>
      </c>
      <c r="D1791" s="105">
        <v>15918.8</v>
      </c>
      <c r="E1791" s="23">
        <v>42116</v>
      </c>
      <c r="F1791" s="118">
        <v>15918.8</v>
      </c>
      <c r="G1791" s="31">
        <f t="shared" si="27"/>
        <v>0</v>
      </c>
      <c r="H1791" s="56" t="s">
        <v>9</v>
      </c>
      <c r="K1791" s="3"/>
    </row>
    <row r="1792" spans="1:11" x14ac:dyDescent="0.25">
      <c r="A1792" s="20">
        <v>42113</v>
      </c>
      <c r="B1792" s="183">
        <v>18329</v>
      </c>
      <c r="C1792" s="14" t="s">
        <v>112</v>
      </c>
      <c r="D1792" s="105">
        <v>3705.1</v>
      </c>
      <c r="E1792" s="23">
        <v>42113</v>
      </c>
      <c r="F1792" s="118">
        <v>3705.1</v>
      </c>
      <c r="G1792" s="31">
        <f t="shared" si="27"/>
        <v>0</v>
      </c>
      <c r="H1792" s="56" t="s">
        <v>9</v>
      </c>
      <c r="K1792" s="3"/>
    </row>
    <row r="1793" spans="1:11" x14ac:dyDescent="0.25">
      <c r="A1793" s="20">
        <v>42113</v>
      </c>
      <c r="B1793" s="183">
        <v>18330</v>
      </c>
      <c r="C1793" s="14" t="s">
        <v>464</v>
      </c>
      <c r="D1793" s="105">
        <v>1754.3</v>
      </c>
      <c r="E1793" s="23">
        <v>42113</v>
      </c>
      <c r="F1793" s="118">
        <v>1754.3</v>
      </c>
      <c r="G1793" s="31">
        <f t="shared" si="27"/>
        <v>0</v>
      </c>
      <c r="H1793" s="56" t="s">
        <v>9</v>
      </c>
      <c r="K1793" s="3"/>
    </row>
    <row r="1794" spans="1:11" x14ac:dyDescent="0.25">
      <c r="A1794" s="20">
        <v>42113</v>
      </c>
      <c r="B1794" s="183">
        <v>18331</v>
      </c>
      <c r="C1794" s="14" t="s">
        <v>112</v>
      </c>
      <c r="D1794" s="105">
        <v>1407</v>
      </c>
      <c r="E1794" s="23">
        <v>42113</v>
      </c>
      <c r="F1794" s="118">
        <v>1407</v>
      </c>
      <c r="G1794" s="31">
        <f t="shared" si="27"/>
        <v>0</v>
      </c>
      <c r="H1794" s="56" t="s">
        <v>9</v>
      </c>
      <c r="K1794" s="3"/>
    </row>
    <row r="1795" spans="1:11" x14ac:dyDescent="0.25">
      <c r="A1795" s="20">
        <v>42113</v>
      </c>
      <c r="B1795" s="183">
        <v>18332</v>
      </c>
      <c r="C1795" s="14" t="s">
        <v>136</v>
      </c>
      <c r="D1795" s="105">
        <v>540</v>
      </c>
      <c r="E1795" s="23">
        <v>42113</v>
      </c>
      <c r="F1795" s="118">
        <v>540</v>
      </c>
      <c r="G1795" s="31">
        <f t="shared" ref="G1795:G1858" si="28">D1795-F1795</f>
        <v>0</v>
      </c>
      <c r="H1795" s="56" t="s">
        <v>9</v>
      </c>
      <c r="J1795" s="107"/>
      <c r="K1795" s="3"/>
    </row>
    <row r="1796" spans="1:11" x14ac:dyDescent="0.25">
      <c r="A1796" s="20">
        <v>42113</v>
      </c>
      <c r="B1796" s="183">
        <v>18333</v>
      </c>
      <c r="C1796" s="14" t="s">
        <v>16</v>
      </c>
      <c r="D1796" s="105">
        <v>10135.799999999999</v>
      </c>
      <c r="E1796" s="23">
        <v>42113</v>
      </c>
      <c r="F1796" s="118">
        <v>10135.799999999999</v>
      </c>
      <c r="G1796" s="31">
        <f t="shared" si="28"/>
        <v>0</v>
      </c>
      <c r="H1796" s="56" t="s">
        <v>17</v>
      </c>
      <c r="J1796" s="123"/>
      <c r="K1796" s="3"/>
    </row>
    <row r="1797" spans="1:11" x14ac:dyDescent="0.25">
      <c r="A1797" s="20">
        <v>42113</v>
      </c>
      <c r="B1797" s="183">
        <v>18334</v>
      </c>
      <c r="C1797" s="14" t="s">
        <v>229</v>
      </c>
      <c r="D1797" s="105">
        <v>854.4</v>
      </c>
      <c r="E1797" s="23">
        <v>42113</v>
      </c>
      <c r="F1797" s="118">
        <v>854.4</v>
      </c>
      <c r="G1797" s="31">
        <f t="shared" si="28"/>
        <v>0</v>
      </c>
      <c r="H1797" s="56" t="s">
        <v>9</v>
      </c>
      <c r="J1797" s="123"/>
      <c r="K1797" s="3"/>
    </row>
    <row r="1798" spans="1:11" x14ac:dyDescent="0.25">
      <c r="A1798" s="20">
        <v>42113</v>
      </c>
      <c r="B1798" s="183">
        <v>18335</v>
      </c>
      <c r="C1798" s="14" t="s">
        <v>720</v>
      </c>
      <c r="D1798" s="105">
        <v>11795.6</v>
      </c>
      <c r="E1798" s="23">
        <v>42113</v>
      </c>
      <c r="F1798" s="118">
        <v>11795.6</v>
      </c>
      <c r="G1798" s="31">
        <f t="shared" si="28"/>
        <v>0</v>
      </c>
      <c r="H1798" s="56" t="s">
        <v>9</v>
      </c>
      <c r="J1798" s="123"/>
      <c r="K1798" s="3"/>
    </row>
    <row r="1799" spans="1:11" x14ac:dyDescent="0.25">
      <c r="A1799" s="20">
        <v>42113</v>
      </c>
      <c r="B1799" s="183">
        <v>18336</v>
      </c>
      <c r="C1799" s="14" t="s">
        <v>33</v>
      </c>
      <c r="D1799" s="105">
        <v>12723.5</v>
      </c>
      <c r="E1799" s="23">
        <v>42113</v>
      </c>
      <c r="F1799" s="118">
        <v>12723.5</v>
      </c>
      <c r="G1799" s="31">
        <f t="shared" si="28"/>
        <v>0</v>
      </c>
      <c r="H1799" s="56" t="s">
        <v>9</v>
      </c>
      <c r="J1799" s="123"/>
      <c r="K1799" s="3"/>
    </row>
    <row r="1800" spans="1:11" x14ac:dyDescent="0.25">
      <c r="A1800" s="20">
        <v>42113</v>
      </c>
      <c r="B1800" s="183">
        <v>18337</v>
      </c>
      <c r="C1800" s="14" t="s">
        <v>110</v>
      </c>
      <c r="D1800" s="105">
        <v>22575.56</v>
      </c>
      <c r="E1800" s="30">
        <v>42126</v>
      </c>
      <c r="F1800" s="145">
        <v>22575.56</v>
      </c>
      <c r="G1800" s="31">
        <f t="shared" si="28"/>
        <v>0</v>
      </c>
      <c r="H1800" s="56" t="s">
        <v>62</v>
      </c>
      <c r="J1800" s="123"/>
      <c r="K1800" s="3"/>
    </row>
    <row r="1801" spans="1:11" x14ac:dyDescent="0.25">
      <c r="A1801" s="20">
        <v>42113</v>
      </c>
      <c r="B1801" s="183">
        <v>18338</v>
      </c>
      <c r="C1801" s="14" t="s">
        <v>604</v>
      </c>
      <c r="D1801" s="105">
        <v>2403</v>
      </c>
      <c r="E1801" s="23">
        <v>42113</v>
      </c>
      <c r="F1801" s="118">
        <v>2403</v>
      </c>
      <c r="G1801" s="31">
        <f t="shared" si="28"/>
        <v>0</v>
      </c>
      <c r="H1801" s="56" t="s">
        <v>9</v>
      </c>
      <c r="J1801" s="123"/>
      <c r="K1801" s="3"/>
    </row>
    <row r="1802" spans="1:11" x14ac:dyDescent="0.25">
      <c r="A1802" s="20">
        <v>42113</v>
      </c>
      <c r="B1802" s="183">
        <v>18339</v>
      </c>
      <c r="C1802" s="14" t="s">
        <v>854</v>
      </c>
      <c r="D1802" s="105">
        <v>4224.1000000000004</v>
      </c>
      <c r="E1802" s="23" t="s">
        <v>1126</v>
      </c>
      <c r="F1802" s="118">
        <f>3400+824.1</f>
        <v>4224.1000000000004</v>
      </c>
      <c r="G1802" s="31">
        <f t="shared" si="28"/>
        <v>0</v>
      </c>
      <c r="H1802" s="56" t="s">
        <v>9</v>
      </c>
      <c r="J1802" s="123"/>
      <c r="K1802" s="3"/>
    </row>
    <row r="1803" spans="1:11" x14ac:dyDescent="0.25">
      <c r="A1803" s="20">
        <v>42113</v>
      </c>
      <c r="B1803" s="183">
        <v>18340</v>
      </c>
      <c r="C1803" s="14" t="s">
        <v>21</v>
      </c>
      <c r="D1803" s="105">
        <v>11138.75</v>
      </c>
      <c r="E1803" s="23">
        <v>42113</v>
      </c>
      <c r="F1803" s="118">
        <v>11138.75</v>
      </c>
      <c r="G1803" s="31">
        <f t="shared" si="28"/>
        <v>0</v>
      </c>
      <c r="H1803" s="56" t="s">
        <v>9</v>
      </c>
      <c r="J1803" s="123"/>
      <c r="K1803" s="3"/>
    </row>
    <row r="1804" spans="1:11" x14ac:dyDescent="0.25">
      <c r="A1804" s="20">
        <v>42113</v>
      </c>
      <c r="B1804" s="183">
        <v>18341</v>
      </c>
      <c r="C1804" s="26" t="s">
        <v>218</v>
      </c>
      <c r="D1804" s="108">
        <v>0</v>
      </c>
      <c r="E1804" s="23"/>
      <c r="F1804" s="118"/>
      <c r="G1804" s="31">
        <f t="shared" si="28"/>
        <v>0</v>
      </c>
      <c r="H1804" s="56" t="s">
        <v>13</v>
      </c>
      <c r="J1804" s="123"/>
      <c r="K1804" s="3"/>
    </row>
    <row r="1805" spans="1:11" x14ac:dyDescent="0.25">
      <c r="A1805" s="20">
        <v>42113</v>
      </c>
      <c r="B1805" s="183">
        <v>18342</v>
      </c>
      <c r="C1805" s="14" t="s">
        <v>383</v>
      </c>
      <c r="D1805" s="105">
        <v>2588.9499999999998</v>
      </c>
      <c r="E1805" s="23">
        <v>42113</v>
      </c>
      <c r="F1805" s="118">
        <v>2588.9499999999998</v>
      </c>
      <c r="G1805" s="31">
        <f t="shared" si="28"/>
        <v>0</v>
      </c>
      <c r="H1805" s="56" t="s">
        <v>9</v>
      </c>
      <c r="J1805" s="123"/>
      <c r="K1805" s="3"/>
    </row>
    <row r="1806" spans="1:11" x14ac:dyDescent="0.25">
      <c r="A1806" s="20">
        <v>42113</v>
      </c>
      <c r="B1806" s="183">
        <v>18343</v>
      </c>
      <c r="C1806" s="14" t="s">
        <v>151</v>
      </c>
      <c r="D1806" s="105">
        <v>280</v>
      </c>
      <c r="E1806" s="23">
        <v>42113</v>
      </c>
      <c r="F1806" s="118">
        <v>280</v>
      </c>
      <c r="G1806" s="31">
        <f t="shared" si="28"/>
        <v>0</v>
      </c>
      <c r="H1806" s="56" t="s">
        <v>9</v>
      </c>
      <c r="J1806" s="123"/>
      <c r="K1806" s="3"/>
    </row>
    <row r="1807" spans="1:11" x14ac:dyDescent="0.25">
      <c r="A1807" s="20">
        <v>42113</v>
      </c>
      <c r="B1807" s="183">
        <v>18344</v>
      </c>
      <c r="C1807" s="14" t="s">
        <v>43</v>
      </c>
      <c r="D1807" s="105">
        <v>13517</v>
      </c>
      <c r="E1807" s="23">
        <v>42113</v>
      </c>
      <c r="F1807" s="118">
        <v>13517</v>
      </c>
      <c r="G1807" s="31">
        <f t="shared" si="28"/>
        <v>0</v>
      </c>
      <c r="H1807" s="56" t="s">
        <v>9</v>
      </c>
      <c r="J1807" s="123"/>
      <c r="K1807" s="3"/>
    </row>
    <row r="1808" spans="1:11" x14ac:dyDescent="0.25">
      <c r="A1808" s="20">
        <v>42113</v>
      </c>
      <c r="B1808" s="183">
        <v>18345</v>
      </c>
      <c r="C1808" s="14" t="s">
        <v>1116</v>
      </c>
      <c r="D1808" s="105">
        <v>1020</v>
      </c>
      <c r="E1808" s="23">
        <v>42113</v>
      </c>
      <c r="F1808" s="118">
        <v>1020</v>
      </c>
      <c r="G1808" s="31">
        <f t="shared" si="28"/>
        <v>0</v>
      </c>
      <c r="H1808" s="56" t="s">
        <v>312</v>
      </c>
      <c r="J1808" s="123"/>
      <c r="K1808" s="3"/>
    </row>
    <row r="1809" spans="1:11" x14ac:dyDescent="0.25">
      <c r="A1809" s="20">
        <v>42113</v>
      </c>
      <c r="B1809" s="183">
        <v>18346</v>
      </c>
      <c r="C1809" s="14" t="s">
        <v>301</v>
      </c>
      <c r="D1809" s="105">
        <v>1296</v>
      </c>
      <c r="E1809" s="23">
        <v>42113</v>
      </c>
      <c r="F1809" s="118">
        <v>1296</v>
      </c>
      <c r="G1809" s="31">
        <f t="shared" si="28"/>
        <v>0</v>
      </c>
      <c r="H1809" s="56" t="s">
        <v>312</v>
      </c>
      <c r="J1809" s="123"/>
      <c r="K1809" s="3"/>
    </row>
    <row r="1810" spans="1:11" x14ac:dyDescent="0.25">
      <c r="A1810" s="20">
        <v>42113</v>
      </c>
      <c r="B1810" s="183">
        <v>18347</v>
      </c>
      <c r="C1810" s="14" t="s">
        <v>35</v>
      </c>
      <c r="D1810" s="105">
        <v>43215.38</v>
      </c>
      <c r="E1810" s="23">
        <v>42114</v>
      </c>
      <c r="F1810" s="118">
        <v>43215.38</v>
      </c>
      <c r="G1810" s="31">
        <f t="shared" si="28"/>
        <v>0</v>
      </c>
      <c r="H1810" s="56" t="s">
        <v>773</v>
      </c>
      <c r="J1810" s="123"/>
      <c r="K1810" s="3"/>
    </row>
    <row r="1811" spans="1:11" x14ac:dyDescent="0.25">
      <c r="A1811" s="20">
        <v>42113</v>
      </c>
      <c r="B1811" s="183">
        <v>18348</v>
      </c>
      <c r="C1811" s="14" t="s">
        <v>55</v>
      </c>
      <c r="D1811" s="105">
        <v>23040.42</v>
      </c>
      <c r="E1811" s="23">
        <v>42114</v>
      </c>
      <c r="F1811" s="118">
        <v>23040.42</v>
      </c>
      <c r="G1811" s="31">
        <f t="shared" si="28"/>
        <v>0</v>
      </c>
      <c r="H1811" s="56" t="s">
        <v>773</v>
      </c>
      <c r="J1811" s="123"/>
      <c r="K1811" s="3"/>
    </row>
    <row r="1812" spans="1:11" x14ac:dyDescent="0.25">
      <c r="A1812" s="20">
        <v>42113</v>
      </c>
      <c r="B1812" s="183">
        <v>18349</v>
      </c>
      <c r="C1812" s="14" t="s">
        <v>256</v>
      </c>
      <c r="D1812" s="105">
        <v>6514.4</v>
      </c>
      <c r="E1812" s="23">
        <v>42114</v>
      </c>
      <c r="F1812" s="118">
        <v>6514.4</v>
      </c>
      <c r="G1812" s="31">
        <f t="shared" si="28"/>
        <v>0</v>
      </c>
      <c r="H1812" s="56" t="s">
        <v>773</v>
      </c>
      <c r="J1812" s="123"/>
      <c r="K1812" s="3"/>
    </row>
    <row r="1813" spans="1:11" x14ac:dyDescent="0.25">
      <c r="A1813" s="20">
        <v>42113</v>
      </c>
      <c r="B1813" s="183">
        <v>18350</v>
      </c>
      <c r="C1813" s="14" t="s">
        <v>125</v>
      </c>
      <c r="D1813" s="105">
        <v>15294.9</v>
      </c>
      <c r="E1813" s="23">
        <v>42113</v>
      </c>
      <c r="F1813" s="118">
        <v>15294.9</v>
      </c>
      <c r="G1813" s="48">
        <f t="shared" si="28"/>
        <v>0</v>
      </c>
      <c r="H1813" s="56" t="s">
        <v>9</v>
      </c>
      <c r="J1813" s="123"/>
      <c r="K1813" s="3"/>
    </row>
    <row r="1814" spans="1:11" x14ac:dyDescent="0.25">
      <c r="A1814" s="20">
        <v>42113</v>
      </c>
      <c r="B1814" s="183">
        <v>18351</v>
      </c>
      <c r="C1814" s="14" t="s">
        <v>694</v>
      </c>
      <c r="D1814" s="105">
        <v>1075.2</v>
      </c>
      <c r="E1814" s="23">
        <v>42113</v>
      </c>
      <c r="F1814" s="118">
        <v>1075.2</v>
      </c>
      <c r="G1814" s="31">
        <f t="shared" si="28"/>
        <v>0</v>
      </c>
      <c r="H1814" s="56" t="s">
        <v>9</v>
      </c>
      <c r="J1814" s="123"/>
      <c r="K1814" s="3"/>
    </row>
    <row r="1815" spans="1:11" x14ac:dyDescent="0.25">
      <c r="A1815" s="20">
        <v>42113</v>
      </c>
      <c r="B1815" s="183">
        <v>18352</v>
      </c>
      <c r="C1815" s="14" t="s">
        <v>375</v>
      </c>
      <c r="D1815" s="105">
        <v>4856.3</v>
      </c>
      <c r="E1815" s="23">
        <v>42113</v>
      </c>
      <c r="F1815" s="118">
        <v>4856.3</v>
      </c>
      <c r="G1815" s="31">
        <f t="shared" si="28"/>
        <v>0</v>
      </c>
      <c r="H1815" s="56" t="s">
        <v>9</v>
      </c>
      <c r="J1815" s="123"/>
      <c r="K1815" s="3"/>
    </row>
    <row r="1816" spans="1:11" x14ac:dyDescent="0.25">
      <c r="A1816" s="20">
        <v>42113</v>
      </c>
      <c r="B1816" s="183">
        <v>18353</v>
      </c>
      <c r="C1816" s="14" t="s">
        <v>102</v>
      </c>
      <c r="D1816" s="105">
        <v>3397.8</v>
      </c>
      <c r="E1816" s="23">
        <v>42113</v>
      </c>
      <c r="F1816" s="118">
        <v>3397.8</v>
      </c>
      <c r="G1816" s="31">
        <f t="shared" si="28"/>
        <v>0</v>
      </c>
      <c r="H1816" s="56" t="s">
        <v>9</v>
      </c>
      <c r="J1816" s="123"/>
      <c r="K1816" s="3"/>
    </row>
    <row r="1817" spans="1:11" x14ac:dyDescent="0.25">
      <c r="A1817" s="20">
        <v>42113</v>
      </c>
      <c r="B1817" s="183">
        <v>18354</v>
      </c>
      <c r="C1817" s="14" t="s">
        <v>161</v>
      </c>
      <c r="D1817" s="105">
        <v>2147.6</v>
      </c>
      <c r="E1817" s="23">
        <v>42113</v>
      </c>
      <c r="F1817" s="118">
        <v>2147.6</v>
      </c>
      <c r="G1817" s="48">
        <f t="shared" si="28"/>
        <v>0</v>
      </c>
      <c r="H1817" s="56" t="s">
        <v>9</v>
      </c>
      <c r="J1817" s="123"/>
      <c r="K1817" s="3"/>
    </row>
    <row r="1818" spans="1:11" x14ac:dyDescent="0.25">
      <c r="A1818" s="20">
        <v>42113</v>
      </c>
      <c r="B1818" s="183">
        <v>18355</v>
      </c>
      <c r="C1818" s="14" t="s">
        <v>24</v>
      </c>
      <c r="D1818" s="105">
        <v>28425.200000000001</v>
      </c>
      <c r="E1818" s="30">
        <v>42138</v>
      </c>
      <c r="F1818" s="145">
        <v>28425.200000000001</v>
      </c>
      <c r="G1818" s="31">
        <f t="shared" si="28"/>
        <v>0</v>
      </c>
      <c r="H1818" s="56" t="s">
        <v>17</v>
      </c>
      <c r="J1818" s="123"/>
      <c r="K1818" s="3"/>
    </row>
    <row r="1819" spans="1:11" x14ac:dyDescent="0.25">
      <c r="A1819" s="20">
        <v>42113</v>
      </c>
      <c r="B1819" s="183">
        <v>18356</v>
      </c>
      <c r="C1819" s="14" t="s">
        <v>152</v>
      </c>
      <c r="D1819" s="105">
        <v>12073.6</v>
      </c>
      <c r="E1819" s="23">
        <v>42113</v>
      </c>
      <c r="F1819" s="118">
        <v>12073.6</v>
      </c>
      <c r="G1819" s="31">
        <f t="shared" si="28"/>
        <v>0</v>
      </c>
      <c r="H1819" s="56" t="s">
        <v>59</v>
      </c>
      <c r="J1819" s="123"/>
      <c r="K1819" s="3"/>
    </row>
    <row r="1820" spans="1:11" x14ac:dyDescent="0.25">
      <c r="A1820" s="20">
        <v>42113</v>
      </c>
      <c r="B1820" s="183">
        <v>18357</v>
      </c>
      <c r="C1820" s="14" t="s">
        <v>82</v>
      </c>
      <c r="D1820" s="105">
        <v>2044.4</v>
      </c>
      <c r="E1820" s="23">
        <v>42113</v>
      </c>
      <c r="F1820" s="118">
        <v>2044.4</v>
      </c>
      <c r="G1820" s="31">
        <f t="shared" si="28"/>
        <v>0</v>
      </c>
      <c r="H1820" s="56" t="s">
        <v>59</v>
      </c>
      <c r="J1820" s="123"/>
      <c r="K1820" s="3"/>
    </row>
    <row r="1821" spans="1:11" x14ac:dyDescent="0.25">
      <c r="A1821" s="20">
        <v>42113</v>
      </c>
      <c r="B1821" s="183">
        <v>18358</v>
      </c>
      <c r="C1821" s="14" t="s">
        <v>120</v>
      </c>
      <c r="D1821" s="105">
        <v>1497.2</v>
      </c>
      <c r="E1821" s="23">
        <v>42113</v>
      </c>
      <c r="F1821" s="118">
        <v>1497.2</v>
      </c>
      <c r="G1821" s="31">
        <f t="shared" si="28"/>
        <v>0</v>
      </c>
      <c r="H1821" s="56" t="s">
        <v>59</v>
      </c>
      <c r="J1821" s="123"/>
      <c r="K1821" s="3"/>
    </row>
    <row r="1822" spans="1:11" x14ac:dyDescent="0.25">
      <c r="A1822" s="20">
        <v>42113</v>
      </c>
      <c r="B1822" s="183">
        <v>18359</v>
      </c>
      <c r="C1822" s="14" t="s">
        <v>915</v>
      </c>
      <c r="D1822" s="105">
        <v>1085.7</v>
      </c>
      <c r="E1822" s="23">
        <v>42113</v>
      </c>
      <c r="F1822" s="118">
        <v>1085.7</v>
      </c>
      <c r="G1822" s="31">
        <f t="shared" si="28"/>
        <v>0</v>
      </c>
      <c r="H1822" s="56" t="s">
        <v>59</v>
      </c>
      <c r="J1822" s="123"/>
      <c r="K1822" s="3"/>
    </row>
    <row r="1823" spans="1:11" x14ac:dyDescent="0.25">
      <c r="A1823" s="20">
        <v>42113</v>
      </c>
      <c r="B1823" s="183">
        <v>18360</v>
      </c>
      <c r="C1823" s="110">
        <v>105</v>
      </c>
      <c r="D1823" s="105">
        <v>2555</v>
      </c>
      <c r="E1823" s="23">
        <v>42113</v>
      </c>
      <c r="F1823" s="118">
        <v>2555</v>
      </c>
      <c r="G1823" s="31">
        <f t="shared" si="28"/>
        <v>0</v>
      </c>
      <c r="H1823" s="56" t="s">
        <v>59</v>
      </c>
      <c r="J1823" s="123"/>
      <c r="K1823" s="3"/>
    </row>
    <row r="1824" spans="1:11" x14ac:dyDescent="0.25">
      <c r="A1824" s="20">
        <v>42113</v>
      </c>
      <c r="B1824" s="183">
        <v>18361</v>
      </c>
      <c r="C1824" s="26" t="s">
        <v>218</v>
      </c>
      <c r="D1824" s="108">
        <v>0</v>
      </c>
      <c r="E1824" s="23"/>
      <c r="F1824" s="118"/>
      <c r="G1824" s="31">
        <f t="shared" si="28"/>
        <v>0</v>
      </c>
      <c r="H1824" s="56" t="s">
        <v>13</v>
      </c>
      <c r="J1824" s="123"/>
      <c r="K1824" s="3"/>
    </row>
    <row r="1825" spans="1:11" x14ac:dyDescent="0.25">
      <c r="A1825" s="20">
        <v>42113</v>
      </c>
      <c r="B1825" s="183">
        <v>18362</v>
      </c>
      <c r="C1825" s="14" t="s">
        <v>1058</v>
      </c>
      <c r="D1825" s="105">
        <v>4243.8</v>
      </c>
      <c r="E1825" s="23">
        <v>42113</v>
      </c>
      <c r="F1825" s="118">
        <v>4243.8</v>
      </c>
      <c r="G1825" s="31">
        <f t="shared" si="28"/>
        <v>0</v>
      </c>
      <c r="H1825" s="56" t="s">
        <v>9</v>
      </c>
      <c r="J1825" s="123"/>
      <c r="K1825" s="3"/>
    </row>
    <row r="1826" spans="1:11" x14ac:dyDescent="0.25">
      <c r="A1826" s="20">
        <v>42113</v>
      </c>
      <c r="B1826" s="183">
        <v>18363</v>
      </c>
      <c r="C1826" s="14" t="s">
        <v>131</v>
      </c>
      <c r="D1826" s="105">
        <v>14017.6</v>
      </c>
      <c r="E1826" s="23">
        <v>42114</v>
      </c>
      <c r="F1826" s="118">
        <v>14017.6</v>
      </c>
      <c r="G1826" s="31">
        <f t="shared" si="28"/>
        <v>0</v>
      </c>
      <c r="H1826" s="56" t="s">
        <v>17</v>
      </c>
      <c r="J1826" s="123"/>
      <c r="K1826" s="3"/>
    </row>
    <row r="1827" spans="1:11" x14ac:dyDescent="0.25">
      <c r="A1827" s="20">
        <v>42113</v>
      </c>
      <c r="B1827" s="183">
        <v>18364</v>
      </c>
      <c r="C1827" s="14" t="s">
        <v>137</v>
      </c>
      <c r="D1827" s="105">
        <v>384.75</v>
      </c>
      <c r="E1827" s="23">
        <v>42113</v>
      </c>
      <c r="F1827" s="118">
        <v>384.75</v>
      </c>
      <c r="G1827" s="31">
        <f t="shared" si="28"/>
        <v>0</v>
      </c>
      <c r="H1827" s="56" t="s">
        <v>9</v>
      </c>
      <c r="J1827" s="123"/>
      <c r="K1827" s="3"/>
    </row>
    <row r="1828" spans="1:11" x14ac:dyDescent="0.25">
      <c r="A1828" s="20">
        <v>42113</v>
      </c>
      <c r="B1828" s="183">
        <v>18365</v>
      </c>
      <c r="C1828" s="14" t="s">
        <v>26</v>
      </c>
      <c r="D1828" s="105">
        <v>1632</v>
      </c>
      <c r="E1828" s="23">
        <v>42113</v>
      </c>
      <c r="F1828" s="118">
        <v>1632</v>
      </c>
      <c r="G1828" s="31">
        <f t="shared" si="28"/>
        <v>0</v>
      </c>
      <c r="H1828" s="56" t="s">
        <v>9</v>
      </c>
      <c r="J1828" s="123"/>
      <c r="K1828" s="3"/>
    </row>
    <row r="1829" spans="1:11" x14ac:dyDescent="0.25">
      <c r="A1829" s="20">
        <v>42113</v>
      </c>
      <c r="B1829" s="183">
        <v>18366</v>
      </c>
      <c r="C1829" s="14" t="s">
        <v>50</v>
      </c>
      <c r="D1829" s="105">
        <v>2858.4</v>
      </c>
      <c r="E1829" s="23">
        <v>42113</v>
      </c>
      <c r="F1829" s="118">
        <v>2858.4</v>
      </c>
      <c r="G1829" s="31">
        <f t="shared" si="28"/>
        <v>0</v>
      </c>
      <c r="H1829" s="56" t="s">
        <v>62</v>
      </c>
      <c r="J1829" s="123"/>
      <c r="K1829" s="3"/>
    </row>
    <row r="1830" spans="1:11" x14ac:dyDescent="0.25">
      <c r="A1830" s="20">
        <v>42113</v>
      </c>
      <c r="B1830" s="183">
        <v>18367</v>
      </c>
      <c r="C1830" s="14" t="s">
        <v>48</v>
      </c>
      <c r="D1830" s="105">
        <v>3522.8</v>
      </c>
      <c r="E1830" s="23">
        <v>42113</v>
      </c>
      <c r="F1830" s="118">
        <v>3522.8</v>
      </c>
      <c r="G1830" s="31">
        <f t="shared" si="28"/>
        <v>0</v>
      </c>
      <c r="H1830" s="56" t="s">
        <v>62</v>
      </c>
      <c r="J1830" s="123"/>
      <c r="K1830" s="3"/>
    </row>
    <row r="1831" spans="1:11" x14ac:dyDescent="0.25">
      <c r="A1831" s="20">
        <v>42113</v>
      </c>
      <c r="B1831" s="183">
        <v>18368</v>
      </c>
      <c r="C1831" s="14" t="s">
        <v>215</v>
      </c>
      <c r="D1831" s="105">
        <v>16221.5</v>
      </c>
      <c r="E1831" s="23">
        <v>42113</v>
      </c>
      <c r="F1831" s="118">
        <v>16221.5</v>
      </c>
      <c r="G1831" s="31">
        <f t="shared" si="28"/>
        <v>0</v>
      </c>
      <c r="H1831" s="56" t="s">
        <v>17</v>
      </c>
      <c r="J1831" s="123"/>
      <c r="K1831" s="3"/>
    </row>
    <row r="1832" spans="1:11" x14ac:dyDescent="0.25">
      <c r="A1832" s="20">
        <v>42113</v>
      </c>
      <c r="B1832" s="183">
        <v>18369</v>
      </c>
      <c r="C1832" s="14" t="s">
        <v>130</v>
      </c>
      <c r="D1832" s="105">
        <v>6136.9</v>
      </c>
      <c r="E1832" s="23" t="s">
        <v>1126</v>
      </c>
      <c r="F1832" s="118">
        <f>1100+5036.9</f>
        <v>6136.9</v>
      </c>
      <c r="G1832" s="31">
        <f t="shared" si="28"/>
        <v>0</v>
      </c>
      <c r="H1832" s="56" t="s">
        <v>17</v>
      </c>
      <c r="J1832" s="123"/>
      <c r="K1832" s="3"/>
    </row>
    <row r="1833" spans="1:11" x14ac:dyDescent="0.25">
      <c r="A1833" s="20">
        <v>42113</v>
      </c>
      <c r="B1833" s="183">
        <v>18370</v>
      </c>
      <c r="C1833" s="14" t="s">
        <v>165</v>
      </c>
      <c r="D1833" s="105">
        <v>2098.8000000000002</v>
      </c>
      <c r="E1833" s="23">
        <v>42113</v>
      </c>
      <c r="F1833" s="118">
        <v>2098.8000000000002</v>
      </c>
      <c r="G1833" s="31">
        <f t="shared" si="28"/>
        <v>0</v>
      </c>
      <c r="H1833" s="56" t="s">
        <v>17</v>
      </c>
      <c r="J1833" s="123"/>
      <c r="K1833" s="3"/>
    </row>
    <row r="1834" spans="1:11" x14ac:dyDescent="0.25">
      <c r="A1834" s="20">
        <v>42113</v>
      </c>
      <c r="B1834" s="183">
        <v>18371</v>
      </c>
      <c r="C1834" s="14" t="s">
        <v>100</v>
      </c>
      <c r="D1834" s="105">
        <v>2073.6</v>
      </c>
      <c r="E1834" s="23">
        <v>42113</v>
      </c>
      <c r="F1834" s="118">
        <v>2073.6</v>
      </c>
      <c r="G1834" s="31">
        <f t="shared" si="28"/>
        <v>0</v>
      </c>
      <c r="H1834" s="56" t="s">
        <v>9</v>
      </c>
      <c r="J1834" s="123"/>
      <c r="K1834" s="3"/>
    </row>
    <row r="1835" spans="1:11" x14ac:dyDescent="0.25">
      <c r="A1835" s="20">
        <v>42113</v>
      </c>
      <c r="B1835" s="183">
        <v>18372</v>
      </c>
      <c r="C1835" s="14" t="s">
        <v>14</v>
      </c>
      <c r="D1835" s="105">
        <v>15783.25</v>
      </c>
      <c r="E1835" s="23">
        <v>42117</v>
      </c>
      <c r="F1835" s="118">
        <v>15783.25</v>
      </c>
      <c r="G1835" s="31">
        <f t="shared" si="28"/>
        <v>0</v>
      </c>
      <c r="H1835" s="56" t="s">
        <v>62</v>
      </c>
      <c r="J1835" s="123"/>
      <c r="K1835" s="3"/>
    </row>
    <row r="1836" spans="1:11" x14ac:dyDescent="0.25">
      <c r="A1836" s="20">
        <v>42113</v>
      </c>
      <c r="B1836" s="183">
        <v>18373</v>
      </c>
      <c r="C1836" s="14" t="s">
        <v>1117</v>
      </c>
      <c r="D1836" s="105">
        <v>2403</v>
      </c>
      <c r="E1836" s="23">
        <v>42113</v>
      </c>
      <c r="F1836" s="118">
        <v>2403</v>
      </c>
      <c r="G1836" s="31">
        <f t="shared" si="28"/>
        <v>0</v>
      </c>
      <c r="H1836" s="56" t="s">
        <v>9</v>
      </c>
      <c r="J1836" s="123"/>
      <c r="K1836" s="3"/>
    </row>
    <row r="1837" spans="1:11" x14ac:dyDescent="0.25">
      <c r="A1837" s="20">
        <v>42113</v>
      </c>
      <c r="B1837" s="183">
        <v>18374</v>
      </c>
      <c r="C1837" s="14" t="s">
        <v>228</v>
      </c>
      <c r="D1837" s="105">
        <v>2295</v>
      </c>
      <c r="E1837" s="23">
        <v>42113</v>
      </c>
      <c r="F1837" s="118">
        <v>2295</v>
      </c>
      <c r="G1837" s="31">
        <f t="shared" si="28"/>
        <v>0</v>
      </c>
      <c r="H1837" s="56" t="s">
        <v>9</v>
      </c>
      <c r="J1837" s="123"/>
      <c r="K1837" s="3"/>
    </row>
    <row r="1838" spans="1:11" x14ac:dyDescent="0.25">
      <c r="A1838" s="20">
        <v>42113</v>
      </c>
      <c r="B1838" s="183">
        <v>18375</v>
      </c>
      <c r="C1838" s="14" t="s">
        <v>141</v>
      </c>
      <c r="D1838" s="105">
        <v>6034.8</v>
      </c>
      <c r="E1838" s="23">
        <v>42119</v>
      </c>
      <c r="F1838" s="118">
        <v>6034.8</v>
      </c>
      <c r="G1838" s="31">
        <f t="shared" si="28"/>
        <v>0</v>
      </c>
      <c r="H1838" s="56" t="s">
        <v>62</v>
      </c>
      <c r="J1838" s="123"/>
      <c r="K1838" s="3"/>
    </row>
    <row r="1839" spans="1:11" x14ac:dyDescent="0.25">
      <c r="A1839" s="20">
        <v>42113</v>
      </c>
      <c r="B1839" s="183">
        <v>18376</v>
      </c>
      <c r="C1839" s="14" t="s">
        <v>24</v>
      </c>
      <c r="D1839" s="105">
        <v>3488.2</v>
      </c>
      <c r="E1839" s="30">
        <v>42138</v>
      </c>
      <c r="F1839" s="145">
        <v>3488.2</v>
      </c>
      <c r="G1839" s="31">
        <f t="shared" si="28"/>
        <v>0</v>
      </c>
      <c r="H1839" s="56" t="s">
        <v>9</v>
      </c>
      <c r="J1839" s="123"/>
      <c r="K1839" s="3"/>
    </row>
    <row r="1840" spans="1:11" x14ac:dyDescent="0.25">
      <c r="A1840" s="20">
        <v>42113</v>
      </c>
      <c r="B1840" s="183">
        <v>18377</v>
      </c>
      <c r="C1840" s="14" t="s">
        <v>71</v>
      </c>
      <c r="D1840" s="105">
        <v>7606.5</v>
      </c>
      <c r="E1840" s="23">
        <v>42113</v>
      </c>
      <c r="F1840" s="118">
        <v>7606.5</v>
      </c>
      <c r="G1840" s="31">
        <f t="shared" si="28"/>
        <v>0</v>
      </c>
      <c r="H1840" s="56" t="s">
        <v>9</v>
      </c>
      <c r="J1840" s="123"/>
      <c r="K1840" s="3"/>
    </row>
    <row r="1841" spans="1:11" x14ac:dyDescent="0.25">
      <c r="A1841" s="20">
        <v>42113</v>
      </c>
      <c r="B1841" s="183">
        <v>18378</v>
      </c>
      <c r="C1841" s="14" t="s">
        <v>136</v>
      </c>
      <c r="D1841" s="105">
        <v>31906.400000000001</v>
      </c>
      <c r="E1841" s="23">
        <v>42116</v>
      </c>
      <c r="F1841" s="118">
        <v>31906.400000000001</v>
      </c>
      <c r="G1841" s="31">
        <f t="shared" si="28"/>
        <v>0</v>
      </c>
      <c r="H1841" s="56" t="s">
        <v>9</v>
      </c>
      <c r="J1841" s="123"/>
      <c r="K1841" s="3"/>
    </row>
    <row r="1842" spans="1:11" x14ac:dyDescent="0.25">
      <c r="A1842" s="20">
        <v>42113</v>
      </c>
      <c r="B1842" s="183">
        <v>18379</v>
      </c>
      <c r="C1842" s="14" t="s">
        <v>229</v>
      </c>
      <c r="D1842" s="105">
        <v>4766.8</v>
      </c>
      <c r="E1842" s="23">
        <v>42113</v>
      </c>
      <c r="F1842" s="118">
        <v>4766.8</v>
      </c>
      <c r="G1842" s="31">
        <f t="shared" si="28"/>
        <v>0</v>
      </c>
      <c r="H1842" s="56" t="s">
        <v>9</v>
      </c>
      <c r="J1842" s="123"/>
      <c r="K1842" s="3"/>
    </row>
    <row r="1843" spans="1:11" x14ac:dyDescent="0.25">
      <c r="A1843" s="20">
        <v>42113</v>
      </c>
      <c r="B1843" s="183">
        <v>18380</v>
      </c>
      <c r="C1843" s="14" t="s">
        <v>332</v>
      </c>
      <c r="D1843" s="105">
        <v>2284.1999999999998</v>
      </c>
      <c r="E1843" s="23">
        <v>42113</v>
      </c>
      <c r="F1843" s="118">
        <v>2284.1999999999998</v>
      </c>
      <c r="G1843" s="31">
        <f t="shared" si="28"/>
        <v>0</v>
      </c>
      <c r="H1843" s="56" t="s">
        <v>9</v>
      </c>
      <c r="J1843" s="123"/>
      <c r="K1843" s="3"/>
    </row>
    <row r="1844" spans="1:11" x14ac:dyDescent="0.25">
      <c r="A1844" s="20">
        <v>42113</v>
      </c>
      <c r="B1844" s="183">
        <v>18381</v>
      </c>
      <c r="C1844" s="14" t="s">
        <v>1101</v>
      </c>
      <c r="D1844" s="105">
        <v>147.6</v>
      </c>
      <c r="E1844" s="23">
        <v>42113</v>
      </c>
      <c r="F1844" s="118">
        <v>147.6</v>
      </c>
      <c r="G1844" s="31">
        <f t="shared" si="28"/>
        <v>0</v>
      </c>
      <c r="H1844" s="56" t="s">
        <v>9</v>
      </c>
      <c r="J1844" s="123"/>
      <c r="K1844" s="3"/>
    </row>
    <row r="1845" spans="1:11" x14ac:dyDescent="0.25">
      <c r="A1845" s="20">
        <v>42113</v>
      </c>
      <c r="B1845" s="183">
        <v>18382</v>
      </c>
      <c r="C1845" s="14" t="s">
        <v>305</v>
      </c>
      <c r="D1845" s="105">
        <v>3830.5</v>
      </c>
      <c r="E1845" s="23">
        <v>42113</v>
      </c>
      <c r="F1845" s="118">
        <v>3830.5</v>
      </c>
      <c r="G1845" s="31">
        <f t="shared" si="28"/>
        <v>0</v>
      </c>
      <c r="H1845" s="56" t="s">
        <v>9</v>
      </c>
      <c r="J1845" s="123"/>
      <c r="K1845" s="3"/>
    </row>
    <row r="1846" spans="1:11" x14ac:dyDescent="0.25">
      <c r="A1846" s="20">
        <v>42113</v>
      </c>
      <c r="B1846" s="183">
        <v>18383</v>
      </c>
      <c r="C1846" s="14" t="s">
        <v>80</v>
      </c>
      <c r="D1846" s="105">
        <v>6968.3</v>
      </c>
      <c r="E1846" s="23">
        <v>42113</v>
      </c>
      <c r="F1846" s="118">
        <v>6968.3</v>
      </c>
      <c r="G1846" s="31">
        <f t="shared" si="28"/>
        <v>0</v>
      </c>
      <c r="H1846" s="56" t="s">
        <v>9</v>
      </c>
      <c r="J1846" s="123"/>
      <c r="K1846" s="3"/>
    </row>
    <row r="1847" spans="1:11" x14ac:dyDescent="0.25">
      <c r="A1847" s="20">
        <v>42113</v>
      </c>
      <c r="B1847" s="183">
        <v>18384</v>
      </c>
      <c r="C1847" s="14" t="s">
        <v>34</v>
      </c>
      <c r="D1847" s="105">
        <v>3417.6</v>
      </c>
      <c r="E1847" s="23">
        <v>42113</v>
      </c>
      <c r="F1847" s="118">
        <v>3417.6</v>
      </c>
      <c r="G1847" s="31">
        <f t="shared" si="28"/>
        <v>0</v>
      </c>
      <c r="H1847" s="56" t="s">
        <v>9</v>
      </c>
      <c r="J1847" s="123"/>
      <c r="K1847" s="3"/>
    </row>
    <row r="1848" spans="1:11" x14ac:dyDescent="0.25">
      <c r="A1848" s="20">
        <v>42113</v>
      </c>
      <c r="B1848" s="183">
        <v>18385</v>
      </c>
      <c r="C1848" s="14" t="s">
        <v>111</v>
      </c>
      <c r="D1848" s="105">
        <v>45388.25</v>
      </c>
      <c r="E1848" s="23">
        <v>42117</v>
      </c>
      <c r="F1848" s="118">
        <v>45388.2</v>
      </c>
      <c r="G1848" s="31">
        <f t="shared" si="28"/>
        <v>5.0000000002910383E-2</v>
      </c>
      <c r="H1848" s="56" t="s">
        <v>17</v>
      </c>
      <c r="J1848" s="123"/>
      <c r="K1848" s="3"/>
    </row>
    <row r="1849" spans="1:11" x14ac:dyDescent="0.25">
      <c r="A1849" s="20">
        <v>42113</v>
      </c>
      <c r="B1849" s="183">
        <v>18386</v>
      </c>
      <c r="C1849" s="14" t="s">
        <v>135</v>
      </c>
      <c r="D1849" s="105">
        <v>475.2</v>
      </c>
      <c r="E1849" s="23">
        <v>42113</v>
      </c>
      <c r="F1849" s="118">
        <v>475.2</v>
      </c>
      <c r="G1849" s="31">
        <f t="shared" si="28"/>
        <v>0</v>
      </c>
      <c r="H1849" s="56" t="s">
        <v>9</v>
      </c>
      <c r="J1849" s="123"/>
      <c r="K1849" s="3"/>
    </row>
    <row r="1850" spans="1:11" x14ac:dyDescent="0.25">
      <c r="A1850" s="20">
        <v>42113</v>
      </c>
      <c r="B1850" s="183">
        <v>18387</v>
      </c>
      <c r="C1850" s="14" t="s">
        <v>24</v>
      </c>
      <c r="D1850" s="105">
        <v>40150</v>
      </c>
      <c r="E1850" s="30">
        <v>42138</v>
      </c>
      <c r="F1850" s="145">
        <v>40150</v>
      </c>
      <c r="G1850" s="31">
        <f t="shared" si="28"/>
        <v>0</v>
      </c>
      <c r="H1850" s="56" t="s">
        <v>9</v>
      </c>
      <c r="J1850" s="123"/>
      <c r="K1850" s="3"/>
    </row>
    <row r="1851" spans="1:11" x14ac:dyDescent="0.25">
      <c r="A1851" s="20">
        <v>42113</v>
      </c>
      <c r="B1851" s="183">
        <v>18388</v>
      </c>
      <c r="C1851" s="14" t="s">
        <v>158</v>
      </c>
      <c r="D1851" s="105">
        <v>5695.2</v>
      </c>
      <c r="E1851" s="23">
        <v>42113</v>
      </c>
      <c r="F1851" s="118">
        <v>5695.2</v>
      </c>
      <c r="G1851" s="31">
        <f t="shared" si="28"/>
        <v>0</v>
      </c>
      <c r="H1851" s="56" t="s">
        <v>9</v>
      </c>
      <c r="J1851" s="123"/>
      <c r="K1851" s="3"/>
    </row>
    <row r="1852" spans="1:11" x14ac:dyDescent="0.25">
      <c r="A1852" s="20">
        <v>42113</v>
      </c>
      <c r="B1852" s="183">
        <v>18389</v>
      </c>
      <c r="C1852" s="14" t="s">
        <v>158</v>
      </c>
      <c r="D1852" s="105">
        <v>1935.45</v>
      </c>
      <c r="E1852" s="23">
        <v>42113</v>
      </c>
      <c r="F1852" s="118">
        <v>1935.45</v>
      </c>
      <c r="G1852" s="31">
        <f t="shared" si="28"/>
        <v>0</v>
      </c>
      <c r="H1852" s="56" t="s">
        <v>9</v>
      </c>
      <c r="J1852" s="123"/>
      <c r="K1852" s="3"/>
    </row>
    <row r="1853" spans="1:11" x14ac:dyDescent="0.25">
      <c r="A1853" s="20">
        <v>42113</v>
      </c>
      <c r="B1853" s="183">
        <v>18390</v>
      </c>
      <c r="C1853" s="14" t="s">
        <v>328</v>
      </c>
      <c r="D1853" s="105">
        <v>133.80000000000001</v>
      </c>
      <c r="E1853" s="23">
        <v>42113</v>
      </c>
      <c r="F1853" s="118">
        <v>133.80000000000001</v>
      </c>
      <c r="G1853" s="31">
        <f t="shared" si="28"/>
        <v>0</v>
      </c>
      <c r="H1853" s="56" t="s">
        <v>9</v>
      </c>
      <c r="J1853" s="123"/>
      <c r="K1853" s="3"/>
    </row>
    <row r="1854" spans="1:11" x14ac:dyDescent="0.25">
      <c r="A1854" s="20">
        <v>42113</v>
      </c>
      <c r="B1854" s="183">
        <v>18391</v>
      </c>
      <c r="C1854" s="14" t="s">
        <v>83</v>
      </c>
      <c r="D1854" s="105">
        <v>1456.56</v>
      </c>
      <c r="E1854" s="23">
        <v>42114</v>
      </c>
      <c r="F1854" s="118">
        <v>1456.56</v>
      </c>
      <c r="G1854" s="31">
        <f t="shared" si="28"/>
        <v>0</v>
      </c>
      <c r="H1854" s="56" t="s">
        <v>62</v>
      </c>
      <c r="J1854" s="123"/>
      <c r="K1854" s="3"/>
    </row>
    <row r="1855" spans="1:11" x14ac:dyDescent="0.25">
      <c r="A1855" s="20">
        <v>42113</v>
      </c>
      <c r="B1855" s="183">
        <v>18392</v>
      </c>
      <c r="C1855" s="26" t="s">
        <v>218</v>
      </c>
      <c r="D1855" s="108">
        <v>0</v>
      </c>
      <c r="E1855" s="23"/>
      <c r="F1855" s="118"/>
      <c r="G1855" s="31">
        <f t="shared" si="28"/>
        <v>0</v>
      </c>
      <c r="H1855" s="56" t="s">
        <v>13</v>
      </c>
      <c r="J1855" s="123"/>
      <c r="K1855" s="3"/>
    </row>
    <row r="1856" spans="1:11" x14ac:dyDescent="0.25">
      <c r="A1856" s="20">
        <v>42113</v>
      </c>
      <c r="B1856" s="183">
        <v>18393</v>
      </c>
      <c r="C1856" s="14" t="s">
        <v>24</v>
      </c>
      <c r="D1856" s="105">
        <v>70289.91</v>
      </c>
      <c r="E1856" s="30">
        <v>42138</v>
      </c>
      <c r="F1856" s="145">
        <v>70289.91</v>
      </c>
      <c r="G1856" s="31">
        <f t="shared" si="28"/>
        <v>0</v>
      </c>
      <c r="H1856" s="56" t="s">
        <v>9</v>
      </c>
      <c r="J1856" s="123"/>
      <c r="K1856" s="3"/>
    </row>
    <row r="1857" spans="1:11" x14ac:dyDescent="0.25">
      <c r="A1857" s="20">
        <v>42113</v>
      </c>
      <c r="B1857" s="183">
        <v>18394</v>
      </c>
      <c r="C1857" s="14" t="s">
        <v>834</v>
      </c>
      <c r="D1857" s="105">
        <v>5999.4</v>
      </c>
      <c r="E1857" s="23">
        <v>42113</v>
      </c>
      <c r="F1857" s="118">
        <v>5999.4</v>
      </c>
      <c r="G1857" s="31">
        <f t="shared" si="28"/>
        <v>0</v>
      </c>
      <c r="H1857" s="56" t="s">
        <v>9</v>
      </c>
      <c r="J1857" s="123"/>
      <c r="K1857" s="3"/>
    </row>
    <row r="1858" spans="1:11" x14ac:dyDescent="0.25">
      <c r="A1858" s="20">
        <v>42114</v>
      </c>
      <c r="B1858" s="183">
        <v>18395</v>
      </c>
      <c r="C1858" s="14" t="s">
        <v>229</v>
      </c>
      <c r="D1858" s="105">
        <v>324</v>
      </c>
      <c r="E1858" s="23">
        <v>42114</v>
      </c>
      <c r="F1858" s="118">
        <v>324</v>
      </c>
      <c r="G1858" s="31">
        <f t="shared" si="28"/>
        <v>0</v>
      </c>
      <c r="H1858" s="56" t="s">
        <v>9</v>
      </c>
      <c r="J1858" s="123"/>
      <c r="K1858" s="3"/>
    </row>
    <row r="1859" spans="1:11" x14ac:dyDescent="0.25">
      <c r="A1859" s="20">
        <v>42114</v>
      </c>
      <c r="B1859" s="183">
        <v>18396</v>
      </c>
      <c r="C1859" s="14" t="s">
        <v>18</v>
      </c>
      <c r="D1859" s="105">
        <v>2492.8000000000002</v>
      </c>
      <c r="E1859" s="23">
        <v>42114</v>
      </c>
      <c r="F1859" s="118">
        <v>2492.8000000000002</v>
      </c>
      <c r="G1859" s="31">
        <f t="shared" ref="G1859:G1922" si="29">D1859-F1859</f>
        <v>0</v>
      </c>
      <c r="H1859" s="56" t="s">
        <v>9</v>
      </c>
      <c r="J1859" s="123"/>
      <c r="K1859" s="3"/>
    </row>
    <row r="1860" spans="1:11" x14ac:dyDescent="0.25">
      <c r="A1860" s="20">
        <v>42114</v>
      </c>
      <c r="B1860" s="183">
        <v>18397</v>
      </c>
      <c r="C1860" s="14" t="s">
        <v>720</v>
      </c>
      <c r="D1860" s="105">
        <v>12166.5</v>
      </c>
      <c r="E1860" s="23">
        <v>42114</v>
      </c>
      <c r="F1860" s="118">
        <v>12166.5</v>
      </c>
      <c r="G1860" s="31">
        <f t="shared" si="29"/>
        <v>0</v>
      </c>
      <c r="H1860" s="56" t="s">
        <v>9</v>
      </c>
      <c r="J1860" s="123"/>
      <c r="K1860" s="3"/>
    </row>
    <row r="1861" spans="1:11" x14ac:dyDescent="0.25">
      <c r="A1861" s="20">
        <v>42114</v>
      </c>
      <c r="B1861" s="183">
        <v>18398</v>
      </c>
      <c r="C1861" s="14" t="s">
        <v>32</v>
      </c>
      <c r="D1861" s="105">
        <v>64364.55</v>
      </c>
      <c r="E1861" s="23">
        <v>42115</v>
      </c>
      <c r="F1861" s="106">
        <v>64364.55</v>
      </c>
      <c r="G1861" s="31">
        <f t="shared" si="29"/>
        <v>0</v>
      </c>
      <c r="H1861" s="39" t="s">
        <v>19</v>
      </c>
      <c r="J1861" s="123"/>
      <c r="K1861" s="3"/>
    </row>
    <row r="1862" spans="1:11" x14ac:dyDescent="0.25">
      <c r="A1862" s="20">
        <v>42114</v>
      </c>
      <c r="B1862" s="183">
        <v>18399</v>
      </c>
      <c r="C1862" s="14" t="s">
        <v>383</v>
      </c>
      <c r="D1862" s="105">
        <v>3374.8</v>
      </c>
      <c r="E1862" s="23">
        <v>42114</v>
      </c>
      <c r="F1862" s="106">
        <v>3374.8</v>
      </c>
      <c r="G1862" s="31">
        <f t="shared" si="29"/>
        <v>0</v>
      </c>
      <c r="H1862" s="39" t="s">
        <v>9</v>
      </c>
      <c r="J1862" s="123"/>
      <c r="K1862" s="3"/>
    </row>
    <row r="1863" spans="1:11" x14ac:dyDescent="0.25">
      <c r="A1863" s="20">
        <v>42114</v>
      </c>
      <c r="B1863" s="183">
        <v>18400</v>
      </c>
      <c r="C1863" s="14" t="s">
        <v>14</v>
      </c>
      <c r="D1863" s="105">
        <v>17567</v>
      </c>
      <c r="E1863" s="30" t="s">
        <v>1205</v>
      </c>
      <c r="F1863" s="144">
        <f>1833.14+15733.86</f>
        <v>17567</v>
      </c>
      <c r="G1863" s="31">
        <f t="shared" si="29"/>
        <v>0</v>
      </c>
      <c r="H1863" s="39" t="s">
        <v>15</v>
      </c>
      <c r="J1863" s="123"/>
      <c r="K1863" s="3"/>
    </row>
    <row r="1864" spans="1:11" x14ac:dyDescent="0.25">
      <c r="A1864" s="20">
        <v>42114</v>
      </c>
      <c r="B1864" s="183">
        <v>18401</v>
      </c>
      <c r="C1864" s="14" t="s">
        <v>900</v>
      </c>
      <c r="D1864" s="105">
        <v>6281</v>
      </c>
      <c r="E1864" s="23">
        <v>42114</v>
      </c>
      <c r="F1864" s="106">
        <v>6281</v>
      </c>
      <c r="G1864" s="31">
        <f t="shared" si="29"/>
        <v>0</v>
      </c>
      <c r="H1864" s="39" t="s">
        <v>9</v>
      </c>
      <c r="J1864" s="123"/>
      <c r="K1864" s="3"/>
    </row>
    <row r="1865" spans="1:11" x14ac:dyDescent="0.25">
      <c r="A1865" s="20">
        <v>42114</v>
      </c>
      <c r="B1865" s="183">
        <v>18402</v>
      </c>
      <c r="C1865" s="14" t="s">
        <v>1128</v>
      </c>
      <c r="D1865" s="105">
        <v>1788.8</v>
      </c>
      <c r="E1865" s="23">
        <v>42114</v>
      </c>
      <c r="F1865" s="106">
        <v>1788.8</v>
      </c>
      <c r="G1865" s="31">
        <f t="shared" si="29"/>
        <v>0</v>
      </c>
      <c r="H1865" s="39" t="s">
        <v>9</v>
      </c>
      <c r="J1865" s="123"/>
      <c r="K1865" s="3"/>
    </row>
    <row r="1866" spans="1:11" x14ac:dyDescent="0.25">
      <c r="A1866" s="20">
        <v>42114</v>
      </c>
      <c r="B1866" s="183">
        <v>18403</v>
      </c>
      <c r="C1866" s="14" t="s">
        <v>900</v>
      </c>
      <c r="D1866" s="105">
        <v>634.5</v>
      </c>
      <c r="E1866" s="23">
        <v>42114</v>
      </c>
      <c r="F1866" s="106">
        <v>634.5</v>
      </c>
      <c r="G1866" s="31">
        <f t="shared" si="29"/>
        <v>0</v>
      </c>
      <c r="H1866" s="39" t="s">
        <v>9</v>
      </c>
      <c r="J1866" s="123"/>
      <c r="K1866" s="3"/>
    </row>
    <row r="1867" spans="1:11" x14ac:dyDescent="0.25">
      <c r="A1867" s="20">
        <v>42114</v>
      </c>
      <c r="B1867" s="183">
        <v>18404</v>
      </c>
      <c r="C1867" s="14" t="s">
        <v>16</v>
      </c>
      <c r="D1867" s="105">
        <v>6864</v>
      </c>
      <c r="E1867" s="65">
        <v>42114</v>
      </c>
      <c r="F1867" s="106">
        <v>6864</v>
      </c>
      <c r="G1867" s="31">
        <f t="shared" si="29"/>
        <v>0</v>
      </c>
      <c r="H1867" s="39" t="s">
        <v>17</v>
      </c>
      <c r="J1867" s="123"/>
      <c r="K1867" s="3"/>
    </row>
    <row r="1868" spans="1:11" x14ac:dyDescent="0.25">
      <c r="A1868" s="20">
        <v>42114</v>
      </c>
      <c r="B1868" s="183">
        <v>18405</v>
      </c>
      <c r="C1868" s="14" t="s">
        <v>1128</v>
      </c>
      <c r="D1868" s="105">
        <v>160</v>
      </c>
      <c r="E1868" s="65">
        <v>42114</v>
      </c>
      <c r="F1868" s="106">
        <v>160</v>
      </c>
      <c r="G1868" s="31">
        <f t="shared" si="29"/>
        <v>0</v>
      </c>
      <c r="H1868" s="39" t="s">
        <v>9</v>
      </c>
      <c r="J1868" s="123"/>
      <c r="K1868" s="3"/>
    </row>
    <row r="1869" spans="1:11" x14ac:dyDescent="0.25">
      <c r="A1869" s="20">
        <v>42114</v>
      </c>
      <c r="B1869" s="183">
        <v>18406</v>
      </c>
      <c r="C1869" s="14" t="s">
        <v>20</v>
      </c>
      <c r="D1869" s="105">
        <v>7945.8</v>
      </c>
      <c r="E1869" s="65">
        <v>42114</v>
      </c>
      <c r="F1869" s="106">
        <v>7945.8</v>
      </c>
      <c r="G1869" s="31">
        <f t="shared" si="29"/>
        <v>0</v>
      </c>
      <c r="H1869" s="39" t="s">
        <v>94</v>
      </c>
      <c r="J1869" s="123"/>
      <c r="K1869" s="3"/>
    </row>
    <row r="1870" spans="1:11" x14ac:dyDescent="0.25">
      <c r="A1870" s="20">
        <v>42114</v>
      </c>
      <c r="B1870" s="183">
        <v>18407</v>
      </c>
      <c r="C1870" s="14" t="s">
        <v>590</v>
      </c>
      <c r="D1870" s="105">
        <v>9751.2000000000007</v>
      </c>
      <c r="E1870" s="65">
        <v>42115</v>
      </c>
      <c r="F1870" s="106">
        <v>9751.2000000000007</v>
      </c>
      <c r="G1870" s="31">
        <f t="shared" si="29"/>
        <v>0</v>
      </c>
      <c r="H1870" s="39" t="s">
        <v>94</v>
      </c>
      <c r="J1870" s="123"/>
      <c r="K1870" s="3"/>
    </row>
    <row r="1871" spans="1:11" x14ac:dyDescent="0.25">
      <c r="A1871" s="20">
        <v>42114</v>
      </c>
      <c r="B1871" s="183">
        <v>18408</v>
      </c>
      <c r="C1871" s="14" t="s">
        <v>151</v>
      </c>
      <c r="D1871" s="105">
        <v>4711.6000000000004</v>
      </c>
      <c r="E1871" s="65">
        <v>42115</v>
      </c>
      <c r="F1871" s="106">
        <v>4711.6000000000004</v>
      </c>
      <c r="G1871" s="31">
        <f t="shared" si="29"/>
        <v>0</v>
      </c>
      <c r="H1871" s="19" t="s">
        <v>9</v>
      </c>
      <c r="J1871" s="123"/>
      <c r="K1871" s="3"/>
    </row>
    <row r="1872" spans="1:11" x14ac:dyDescent="0.25">
      <c r="A1872" s="20">
        <v>42114</v>
      </c>
      <c r="B1872" s="183">
        <v>18409</v>
      </c>
      <c r="C1872" s="14" t="s">
        <v>21</v>
      </c>
      <c r="D1872" s="105">
        <v>5647.15</v>
      </c>
      <c r="E1872" s="65">
        <v>42114</v>
      </c>
      <c r="F1872" s="106">
        <v>5647.15</v>
      </c>
      <c r="G1872" s="31">
        <f t="shared" si="29"/>
        <v>0</v>
      </c>
      <c r="H1872" s="19" t="s">
        <v>9</v>
      </c>
      <c r="J1872" s="123"/>
      <c r="K1872" s="3"/>
    </row>
    <row r="1873" spans="1:11" x14ac:dyDescent="0.25">
      <c r="A1873" s="20">
        <v>42114</v>
      </c>
      <c r="B1873" s="183">
        <v>18410</v>
      </c>
      <c r="C1873" s="14" t="s">
        <v>121</v>
      </c>
      <c r="D1873" s="105">
        <v>2177.5</v>
      </c>
      <c r="E1873" s="65">
        <v>42114</v>
      </c>
      <c r="F1873" s="106">
        <v>2177.5</v>
      </c>
      <c r="G1873" s="31">
        <f t="shared" si="29"/>
        <v>0</v>
      </c>
      <c r="H1873" s="19" t="s">
        <v>9</v>
      </c>
      <c r="J1873" s="123"/>
      <c r="K1873" s="3"/>
    </row>
    <row r="1874" spans="1:11" x14ac:dyDescent="0.25">
      <c r="A1874" s="20">
        <v>42114</v>
      </c>
      <c r="B1874" s="183">
        <v>18411</v>
      </c>
      <c r="C1874" s="14" t="s">
        <v>226</v>
      </c>
      <c r="D1874" s="105">
        <v>1989.9</v>
      </c>
      <c r="E1874" s="65">
        <v>42114</v>
      </c>
      <c r="F1874" s="106">
        <v>1989.9</v>
      </c>
      <c r="G1874" s="31">
        <f t="shared" si="29"/>
        <v>0</v>
      </c>
      <c r="H1874" s="19" t="s">
        <v>149</v>
      </c>
      <c r="J1874" s="123"/>
      <c r="K1874" s="3"/>
    </row>
    <row r="1875" spans="1:11" x14ac:dyDescent="0.25">
      <c r="A1875" s="20">
        <v>42114</v>
      </c>
      <c r="B1875" s="183">
        <v>18412</v>
      </c>
      <c r="C1875" s="14" t="s">
        <v>99</v>
      </c>
      <c r="D1875" s="105">
        <v>2128.5</v>
      </c>
      <c r="E1875" s="65">
        <v>42114</v>
      </c>
      <c r="F1875" s="106">
        <v>2128.5</v>
      </c>
      <c r="G1875" s="31">
        <f t="shared" si="29"/>
        <v>0</v>
      </c>
      <c r="H1875" s="19" t="s">
        <v>149</v>
      </c>
      <c r="J1875" s="123"/>
      <c r="K1875" s="3"/>
    </row>
    <row r="1876" spans="1:11" x14ac:dyDescent="0.25">
      <c r="A1876" s="20">
        <v>42114</v>
      </c>
      <c r="B1876" s="183">
        <v>18413</v>
      </c>
      <c r="C1876" s="14" t="s">
        <v>1125</v>
      </c>
      <c r="D1876" s="105">
        <v>2039.4</v>
      </c>
      <c r="E1876" s="65">
        <v>42118</v>
      </c>
      <c r="F1876" s="106">
        <v>2039.4</v>
      </c>
      <c r="G1876" s="31">
        <f t="shared" si="29"/>
        <v>0</v>
      </c>
      <c r="H1876" s="19" t="s">
        <v>94</v>
      </c>
      <c r="J1876" s="123"/>
      <c r="K1876" s="3"/>
    </row>
    <row r="1877" spans="1:11" x14ac:dyDescent="0.25">
      <c r="A1877" s="20">
        <v>42114</v>
      </c>
      <c r="B1877" s="183">
        <v>18414</v>
      </c>
      <c r="C1877" s="14" t="s">
        <v>114</v>
      </c>
      <c r="D1877" s="105">
        <v>842.4</v>
      </c>
      <c r="E1877" s="65">
        <v>42114</v>
      </c>
      <c r="F1877" s="106">
        <v>842.4</v>
      </c>
      <c r="G1877" s="31">
        <f t="shared" si="29"/>
        <v>0</v>
      </c>
      <c r="H1877" s="19" t="s">
        <v>9</v>
      </c>
      <c r="J1877" s="123"/>
      <c r="K1877" s="3"/>
    </row>
    <row r="1878" spans="1:11" x14ac:dyDescent="0.25">
      <c r="A1878" s="20">
        <v>42114</v>
      </c>
      <c r="B1878" s="183">
        <v>18415</v>
      </c>
      <c r="C1878" s="14" t="s">
        <v>22</v>
      </c>
      <c r="D1878" s="105">
        <v>3227.6</v>
      </c>
      <c r="E1878" s="65">
        <v>42114</v>
      </c>
      <c r="F1878" s="106">
        <v>3227.6</v>
      </c>
      <c r="G1878" s="31">
        <f t="shared" si="29"/>
        <v>0</v>
      </c>
      <c r="H1878" s="19" t="s">
        <v>9</v>
      </c>
      <c r="J1878" s="123"/>
      <c r="K1878" s="3"/>
    </row>
    <row r="1879" spans="1:11" x14ac:dyDescent="0.25">
      <c r="A1879" s="20">
        <v>42114</v>
      </c>
      <c r="B1879" s="183">
        <v>18416</v>
      </c>
      <c r="C1879" s="14" t="s">
        <v>818</v>
      </c>
      <c r="D1879" s="105">
        <v>6387</v>
      </c>
      <c r="E1879" s="65">
        <v>42114</v>
      </c>
      <c r="F1879" s="106">
        <v>6387</v>
      </c>
      <c r="G1879" s="31">
        <f t="shared" si="29"/>
        <v>0</v>
      </c>
      <c r="H1879" s="19" t="s">
        <v>9</v>
      </c>
      <c r="J1879" s="123"/>
      <c r="K1879" s="3"/>
    </row>
    <row r="1880" spans="1:11" x14ac:dyDescent="0.25">
      <c r="A1880" s="20">
        <v>42114</v>
      </c>
      <c r="B1880" s="183">
        <v>18417</v>
      </c>
      <c r="C1880" s="14" t="s">
        <v>239</v>
      </c>
      <c r="D1880" s="105">
        <v>557.20000000000005</v>
      </c>
      <c r="E1880" s="65">
        <v>42116</v>
      </c>
      <c r="F1880" s="106">
        <v>557.20000000000005</v>
      </c>
      <c r="G1880" s="31">
        <f t="shared" si="29"/>
        <v>0</v>
      </c>
      <c r="H1880" s="19" t="s">
        <v>9</v>
      </c>
      <c r="J1880" s="123"/>
      <c r="K1880" s="3"/>
    </row>
    <row r="1881" spans="1:11" x14ac:dyDescent="0.25">
      <c r="A1881" s="20">
        <v>42114</v>
      </c>
      <c r="B1881" s="183">
        <v>18418</v>
      </c>
      <c r="C1881" s="14" t="s">
        <v>125</v>
      </c>
      <c r="D1881" s="105">
        <v>12772.95</v>
      </c>
      <c r="E1881" s="65">
        <v>42114</v>
      </c>
      <c r="F1881" s="106">
        <v>12772.95</v>
      </c>
      <c r="G1881" s="31">
        <f t="shared" si="29"/>
        <v>0</v>
      </c>
      <c r="H1881" s="19" t="s">
        <v>9</v>
      </c>
      <c r="K1881" s="3"/>
    </row>
    <row r="1882" spans="1:11" x14ac:dyDescent="0.25">
      <c r="A1882" s="20">
        <v>42114</v>
      </c>
      <c r="B1882" s="183">
        <v>18419</v>
      </c>
      <c r="C1882" s="14" t="s">
        <v>854</v>
      </c>
      <c r="D1882" s="105">
        <v>3930.2</v>
      </c>
      <c r="E1882" s="65">
        <v>42114</v>
      </c>
      <c r="F1882" s="106">
        <v>3930.2</v>
      </c>
      <c r="G1882" s="31">
        <f t="shared" si="29"/>
        <v>0</v>
      </c>
      <c r="H1882" s="19" t="s">
        <v>9</v>
      </c>
      <c r="K1882" s="3"/>
    </row>
    <row r="1883" spans="1:11" x14ac:dyDescent="0.25">
      <c r="A1883" s="20">
        <v>42114</v>
      </c>
      <c r="B1883" s="183">
        <v>18420</v>
      </c>
      <c r="C1883" s="14" t="s">
        <v>141</v>
      </c>
      <c r="D1883" s="105">
        <v>18375.8</v>
      </c>
      <c r="E1883" s="74" t="s">
        <v>1236</v>
      </c>
      <c r="F1883" s="144">
        <f>8500+6500+3375.8</f>
        <v>18375.8</v>
      </c>
      <c r="G1883" s="31">
        <f t="shared" si="29"/>
        <v>0</v>
      </c>
      <c r="H1883" s="19" t="s">
        <v>773</v>
      </c>
      <c r="K1883" s="3"/>
    </row>
    <row r="1884" spans="1:11" x14ac:dyDescent="0.25">
      <c r="A1884" s="20">
        <v>42114</v>
      </c>
      <c r="B1884" s="183">
        <v>18421</v>
      </c>
      <c r="C1884" s="14" t="s">
        <v>135</v>
      </c>
      <c r="D1884" s="105">
        <v>11979.7</v>
      </c>
      <c r="E1884" s="65">
        <v>42114</v>
      </c>
      <c r="F1884" s="106">
        <v>11979.7</v>
      </c>
      <c r="G1884" s="31">
        <f t="shared" si="29"/>
        <v>0</v>
      </c>
      <c r="H1884" s="19" t="s">
        <v>9</v>
      </c>
      <c r="K1884" s="3"/>
    </row>
    <row r="1885" spans="1:11" x14ac:dyDescent="0.25">
      <c r="A1885" s="20">
        <v>42114</v>
      </c>
      <c r="B1885" s="183">
        <v>18422</v>
      </c>
      <c r="C1885" s="14" t="s">
        <v>699</v>
      </c>
      <c r="D1885" s="105">
        <v>1863.2</v>
      </c>
      <c r="E1885" s="65">
        <v>42118</v>
      </c>
      <c r="F1885" s="106">
        <v>1863.2</v>
      </c>
      <c r="G1885" s="31">
        <f t="shared" si="29"/>
        <v>0</v>
      </c>
      <c r="H1885" s="19" t="s">
        <v>9</v>
      </c>
      <c r="K1885" s="3"/>
    </row>
    <row r="1886" spans="1:11" x14ac:dyDescent="0.25">
      <c r="A1886" s="20">
        <v>42114</v>
      </c>
      <c r="B1886" s="183">
        <v>18423</v>
      </c>
      <c r="C1886" s="14" t="s">
        <v>285</v>
      </c>
      <c r="D1886" s="105">
        <v>1295.6500000000001</v>
      </c>
      <c r="E1886" s="65">
        <v>42114</v>
      </c>
      <c r="F1886" s="106">
        <v>1295.6500000000001</v>
      </c>
      <c r="G1886" s="31">
        <f t="shared" si="29"/>
        <v>0</v>
      </c>
      <c r="H1886" s="19" t="s">
        <v>312</v>
      </c>
      <c r="K1886" s="3"/>
    </row>
    <row r="1887" spans="1:11" x14ac:dyDescent="0.25">
      <c r="A1887" s="20">
        <v>42114</v>
      </c>
      <c r="B1887" s="183">
        <v>18424</v>
      </c>
      <c r="C1887" s="14" t="s">
        <v>120</v>
      </c>
      <c r="D1887" s="105">
        <v>1611.2</v>
      </c>
      <c r="E1887" s="65">
        <v>42114</v>
      </c>
      <c r="F1887" s="106">
        <v>1611.2</v>
      </c>
      <c r="G1887" s="31">
        <f t="shared" si="29"/>
        <v>0</v>
      </c>
      <c r="H1887" s="19" t="s">
        <v>59</v>
      </c>
      <c r="K1887" s="3"/>
    </row>
    <row r="1888" spans="1:11" x14ac:dyDescent="0.25">
      <c r="A1888" s="20">
        <v>42114</v>
      </c>
      <c r="B1888" s="183">
        <v>18425</v>
      </c>
      <c r="C1888" s="14" t="s">
        <v>83</v>
      </c>
      <c r="D1888" s="105">
        <v>574.20000000000005</v>
      </c>
      <c r="E1888" s="65">
        <v>42114</v>
      </c>
      <c r="F1888" s="106">
        <v>574.20000000000005</v>
      </c>
      <c r="G1888" s="31">
        <f t="shared" si="29"/>
        <v>0</v>
      </c>
      <c r="H1888" s="19" t="s">
        <v>59</v>
      </c>
      <c r="K1888" s="3"/>
    </row>
    <row r="1889" spans="1:11" x14ac:dyDescent="0.25">
      <c r="A1889" s="20">
        <v>42114</v>
      </c>
      <c r="B1889" s="183">
        <v>18426</v>
      </c>
      <c r="C1889" s="14" t="s">
        <v>81</v>
      </c>
      <c r="D1889" s="105">
        <v>1665.4</v>
      </c>
      <c r="E1889" s="65">
        <v>42114</v>
      </c>
      <c r="F1889" s="106">
        <v>1665.4</v>
      </c>
      <c r="G1889" s="31">
        <f t="shared" si="29"/>
        <v>0</v>
      </c>
      <c r="H1889" s="19" t="s">
        <v>59</v>
      </c>
      <c r="K1889" s="3"/>
    </row>
    <row r="1890" spans="1:11" x14ac:dyDescent="0.25">
      <c r="A1890" s="20">
        <v>42114</v>
      </c>
      <c r="B1890" s="183">
        <v>18427</v>
      </c>
      <c r="C1890" s="14" t="s">
        <v>1131</v>
      </c>
      <c r="D1890" s="105">
        <v>642.20000000000005</v>
      </c>
      <c r="E1890" s="65">
        <v>42114</v>
      </c>
      <c r="F1890" s="106">
        <v>642.20000000000005</v>
      </c>
      <c r="G1890" s="31">
        <f t="shared" si="29"/>
        <v>0</v>
      </c>
      <c r="H1890" s="19" t="s">
        <v>59</v>
      </c>
      <c r="K1890" s="3"/>
    </row>
    <row r="1891" spans="1:11" x14ac:dyDescent="0.25">
      <c r="A1891" s="20">
        <v>42114</v>
      </c>
      <c r="B1891" s="183">
        <v>18428</v>
      </c>
      <c r="C1891" s="14" t="s">
        <v>694</v>
      </c>
      <c r="D1891" s="105">
        <v>1145.2</v>
      </c>
      <c r="E1891" s="65">
        <v>42114</v>
      </c>
      <c r="F1891" s="106">
        <v>1145.2</v>
      </c>
      <c r="G1891" s="31">
        <f t="shared" si="29"/>
        <v>0</v>
      </c>
      <c r="H1891" s="19" t="s">
        <v>9</v>
      </c>
      <c r="I1891" s="3"/>
      <c r="J1891" s="42"/>
      <c r="K1891" s="3"/>
    </row>
    <row r="1892" spans="1:11" x14ac:dyDescent="0.25">
      <c r="A1892" s="20">
        <v>42114</v>
      </c>
      <c r="B1892" s="183">
        <v>18429</v>
      </c>
      <c r="C1892" s="14" t="s">
        <v>82</v>
      </c>
      <c r="D1892" s="105">
        <v>6418.8</v>
      </c>
      <c r="E1892" s="65">
        <v>42114</v>
      </c>
      <c r="F1892" s="106">
        <v>6418.8</v>
      </c>
      <c r="G1892" s="31">
        <f t="shared" si="29"/>
        <v>0</v>
      </c>
      <c r="H1892" s="19" t="s">
        <v>59</v>
      </c>
      <c r="I1892" s="3"/>
      <c r="J1892" s="42"/>
      <c r="K1892" s="3"/>
    </row>
    <row r="1893" spans="1:11" x14ac:dyDescent="0.25">
      <c r="A1893" s="20">
        <v>42114</v>
      </c>
      <c r="B1893" s="183">
        <v>18430</v>
      </c>
      <c r="C1893" s="14" t="s">
        <v>57</v>
      </c>
      <c r="D1893" s="105">
        <v>1505</v>
      </c>
      <c r="E1893" s="65">
        <v>42114</v>
      </c>
      <c r="F1893" s="106">
        <v>1505</v>
      </c>
      <c r="G1893" s="31">
        <f t="shared" si="29"/>
        <v>0</v>
      </c>
      <c r="H1893" s="19" t="s">
        <v>59</v>
      </c>
      <c r="I1893" s="3"/>
      <c r="J1893" s="42"/>
      <c r="K1893" s="3"/>
    </row>
    <row r="1894" spans="1:11" x14ac:dyDescent="0.25">
      <c r="A1894" s="20">
        <v>42114</v>
      </c>
      <c r="B1894" s="183">
        <v>18431</v>
      </c>
      <c r="C1894" s="14" t="s">
        <v>169</v>
      </c>
      <c r="D1894" s="105">
        <v>2191.1999999999998</v>
      </c>
      <c r="E1894" s="65">
        <v>42117</v>
      </c>
      <c r="F1894" s="106">
        <v>2191.1999999999998</v>
      </c>
      <c r="G1894" s="48">
        <f t="shared" si="29"/>
        <v>0</v>
      </c>
      <c r="H1894" s="19" t="s">
        <v>59</v>
      </c>
      <c r="I1894" s="3"/>
      <c r="J1894" s="42"/>
      <c r="K1894" s="3"/>
    </row>
    <row r="1895" spans="1:11" x14ac:dyDescent="0.25">
      <c r="A1895" s="20">
        <v>42114</v>
      </c>
      <c r="B1895" s="183">
        <v>18432</v>
      </c>
      <c r="C1895" s="14" t="s">
        <v>225</v>
      </c>
      <c r="D1895" s="105">
        <v>2306.1999999999998</v>
      </c>
      <c r="E1895" s="65">
        <v>42114</v>
      </c>
      <c r="F1895" s="106">
        <v>2306.1999999999998</v>
      </c>
      <c r="G1895" s="31">
        <f t="shared" si="29"/>
        <v>0</v>
      </c>
      <c r="H1895" s="19" t="s">
        <v>9</v>
      </c>
      <c r="I1895" s="3"/>
      <c r="J1895" s="42"/>
      <c r="K1895" s="3"/>
    </row>
    <row r="1896" spans="1:11" x14ac:dyDescent="0.25">
      <c r="A1896" s="20">
        <v>42114</v>
      </c>
      <c r="B1896" s="183">
        <v>18433</v>
      </c>
      <c r="C1896" s="14" t="s">
        <v>78</v>
      </c>
      <c r="D1896" s="105">
        <v>7468</v>
      </c>
      <c r="E1896" s="65">
        <v>42115</v>
      </c>
      <c r="F1896" s="106">
        <v>7468</v>
      </c>
      <c r="G1896" s="31">
        <f t="shared" si="29"/>
        <v>0</v>
      </c>
      <c r="H1896" s="19" t="s">
        <v>62</v>
      </c>
      <c r="I1896" s="3"/>
      <c r="J1896" s="42"/>
      <c r="K1896" s="3"/>
    </row>
    <row r="1897" spans="1:11" x14ac:dyDescent="0.25">
      <c r="A1897" s="20">
        <v>42114</v>
      </c>
      <c r="B1897" s="183">
        <v>18434</v>
      </c>
      <c r="C1897" s="14" t="s">
        <v>213</v>
      </c>
      <c r="D1897" s="105">
        <v>19564.8</v>
      </c>
      <c r="E1897" s="65">
        <v>42114</v>
      </c>
      <c r="F1897" s="106">
        <v>19564.8</v>
      </c>
      <c r="G1897" s="31">
        <f t="shared" si="29"/>
        <v>0</v>
      </c>
      <c r="H1897" s="19" t="s">
        <v>312</v>
      </c>
      <c r="I1897" s="3"/>
      <c r="J1897" s="42"/>
      <c r="K1897" s="3"/>
    </row>
    <row r="1898" spans="1:11" x14ac:dyDescent="0.25">
      <c r="A1898" s="20">
        <v>42114</v>
      </c>
      <c r="B1898" s="183">
        <v>18435</v>
      </c>
      <c r="C1898" s="14" t="s">
        <v>67</v>
      </c>
      <c r="D1898" s="105">
        <v>2770</v>
      </c>
      <c r="E1898" s="65">
        <v>42115</v>
      </c>
      <c r="F1898" s="106">
        <v>2770</v>
      </c>
      <c r="G1898" s="31">
        <f t="shared" si="29"/>
        <v>0</v>
      </c>
      <c r="H1898" s="19" t="s">
        <v>62</v>
      </c>
      <c r="I1898" s="3"/>
      <c r="J1898" s="42"/>
      <c r="K1898" s="3"/>
    </row>
    <row r="1899" spans="1:11" x14ac:dyDescent="0.25">
      <c r="A1899" s="20">
        <v>42114</v>
      </c>
      <c r="B1899" s="183">
        <v>18436</v>
      </c>
      <c r="C1899" s="14" t="s">
        <v>137</v>
      </c>
      <c r="D1899" s="105">
        <v>2870.4</v>
      </c>
      <c r="E1899" s="65">
        <v>42114</v>
      </c>
      <c r="F1899" s="106">
        <v>2870.4</v>
      </c>
      <c r="G1899" s="31">
        <f t="shared" si="29"/>
        <v>0</v>
      </c>
      <c r="H1899" s="19" t="s">
        <v>62</v>
      </c>
      <c r="I1899" s="3"/>
      <c r="J1899" s="42"/>
      <c r="K1899" s="3"/>
    </row>
    <row r="1900" spans="1:11" x14ac:dyDescent="0.25">
      <c r="A1900" s="20">
        <v>42114</v>
      </c>
      <c r="B1900" s="183">
        <v>18437</v>
      </c>
      <c r="C1900" s="14" t="s">
        <v>173</v>
      </c>
      <c r="D1900" s="105">
        <v>23746.65</v>
      </c>
      <c r="E1900" s="74" t="s">
        <v>1219</v>
      </c>
      <c r="F1900" s="144">
        <v>23746.65</v>
      </c>
      <c r="G1900" s="31">
        <f t="shared" si="29"/>
        <v>0</v>
      </c>
      <c r="H1900" s="19" t="s">
        <v>62</v>
      </c>
      <c r="I1900" s="3"/>
      <c r="J1900" s="42"/>
      <c r="K1900" s="3"/>
    </row>
    <row r="1901" spans="1:11" x14ac:dyDescent="0.25">
      <c r="A1901" s="20">
        <v>42114</v>
      </c>
      <c r="B1901" s="183">
        <v>18438</v>
      </c>
      <c r="C1901" s="14" t="s">
        <v>84</v>
      </c>
      <c r="D1901" s="105">
        <v>41494.550000000003</v>
      </c>
      <c r="E1901" s="74" t="s">
        <v>1220</v>
      </c>
      <c r="F1901" s="144">
        <v>41494.550000000003</v>
      </c>
      <c r="G1901" s="31">
        <f t="shared" si="29"/>
        <v>0</v>
      </c>
      <c r="H1901" s="19" t="s">
        <v>62</v>
      </c>
      <c r="I1901" s="3"/>
      <c r="J1901" s="42"/>
      <c r="K1901" s="3"/>
    </row>
    <row r="1902" spans="1:11" x14ac:dyDescent="0.25">
      <c r="A1902" s="20">
        <v>42114</v>
      </c>
      <c r="B1902" s="183">
        <v>18439</v>
      </c>
      <c r="C1902" s="14" t="s">
        <v>164</v>
      </c>
      <c r="D1902" s="105">
        <v>2131.8000000000002</v>
      </c>
      <c r="E1902" s="65">
        <v>42114</v>
      </c>
      <c r="F1902" s="106">
        <v>2131.8000000000002</v>
      </c>
      <c r="G1902" s="31">
        <f t="shared" si="29"/>
        <v>0</v>
      </c>
      <c r="H1902" s="19" t="s">
        <v>9</v>
      </c>
      <c r="I1902" s="3"/>
      <c r="J1902" s="42"/>
      <c r="K1902" s="3"/>
    </row>
    <row r="1903" spans="1:11" x14ac:dyDescent="0.25">
      <c r="A1903" s="20">
        <v>42114</v>
      </c>
      <c r="B1903" s="183">
        <v>18440</v>
      </c>
      <c r="C1903" s="14" t="s">
        <v>72</v>
      </c>
      <c r="D1903" s="105">
        <v>18941.650000000001</v>
      </c>
      <c r="E1903" s="74" t="s">
        <v>1221</v>
      </c>
      <c r="F1903" s="144">
        <v>18941.650000000001</v>
      </c>
      <c r="G1903" s="31">
        <f t="shared" si="29"/>
        <v>0</v>
      </c>
      <c r="H1903" s="19" t="s">
        <v>62</v>
      </c>
      <c r="I1903" s="3"/>
      <c r="J1903" s="42"/>
      <c r="K1903" s="3"/>
    </row>
    <row r="1904" spans="1:11" x14ac:dyDescent="0.25">
      <c r="A1904" s="20">
        <v>42114</v>
      </c>
      <c r="B1904" s="183">
        <v>18441</v>
      </c>
      <c r="C1904" s="14" t="s">
        <v>14</v>
      </c>
      <c r="D1904" s="105">
        <v>4134.3999999999996</v>
      </c>
      <c r="E1904" s="65">
        <v>42117</v>
      </c>
      <c r="F1904" s="106">
        <v>4134.3999999999996</v>
      </c>
      <c r="G1904" s="31">
        <f t="shared" si="29"/>
        <v>0</v>
      </c>
      <c r="H1904" s="19" t="s">
        <v>15</v>
      </c>
      <c r="I1904" s="3"/>
      <c r="J1904" s="42"/>
      <c r="K1904" s="3"/>
    </row>
    <row r="1905" spans="1:11" x14ac:dyDescent="0.25">
      <c r="A1905" s="20">
        <v>42114</v>
      </c>
      <c r="B1905" s="183">
        <v>18442</v>
      </c>
      <c r="C1905" s="14" t="s">
        <v>375</v>
      </c>
      <c r="D1905" s="105">
        <v>1971</v>
      </c>
      <c r="E1905" s="65">
        <v>42114</v>
      </c>
      <c r="F1905" s="106">
        <v>1971</v>
      </c>
      <c r="G1905" s="31">
        <f t="shared" si="29"/>
        <v>0</v>
      </c>
      <c r="H1905" s="19" t="s">
        <v>9</v>
      </c>
      <c r="I1905" s="3"/>
      <c r="J1905" s="42"/>
      <c r="K1905" s="3"/>
    </row>
    <row r="1906" spans="1:11" x14ac:dyDescent="0.25">
      <c r="A1906" s="20">
        <v>42114</v>
      </c>
      <c r="B1906" s="183">
        <v>18443</v>
      </c>
      <c r="C1906" s="14" t="s">
        <v>75</v>
      </c>
      <c r="D1906" s="105">
        <v>19833.599999999999</v>
      </c>
      <c r="E1906" s="65">
        <v>42115</v>
      </c>
      <c r="F1906" s="106">
        <v>19833.599999999999</v>
      </c>
      <c r="G1906" s="31">
        <f t="shared" si="29"/>
        <v>0</v>
      </c>
      <c r="H1906" s="19" t="s">
        <v>62</v>
      </c>
      <c r="I1906" s="3"/>
      <c r="J1906" s="42"/>
      <c r="K1906" s="3"/>
    </row>
    <row r="1907" spans="1:11" x14ac:dyDescent="0.25">
      <c r="A1907" s="20">
        <v>42114</v>
      </c>
      <c r="B1907" s="183">
        <v>18444</v>
      </c>
      <c r="C1907" s="14" t="s">
        <v>65</v>
      </c>
      <c r="D1907" s="105">
        <v>10411.200000000001</v>
      </c>
      <c r="E1907" s="65">
        <v>42115</v>
      </c>
      <c r="F1907" s="106">
        <v>10411.200000000001</v>
      </c>
      <c r="G1907" s="31">
        <f t="shared" si="29"/>
        <v>0</v>
      </c>
      <c r="H1907" s="19" t="s">
        <v>62</v>
      </c>
      <c r="I1907" s="3"/>
      <c r="J1907" s="42"/>
      <c r="K1907" s="3"/>
    </row>
    <row r="1908" spans="1:11" x14ac:dyDescent="0.25">
      <c r="A1908" s="20">
        <v>42114</v>
      </c>
      <c r="B1908" s="183">
        <v>18445</v>
      </c>
      <c r="C1908" s="14" t="s">
        <v>79</v>
      </c>
      <c r="D1908" s="105">
        <v>3268.79</v>
      </c>
      <c r="E1908" s="65">
        <v>42115</v>
      </c>
      <c r="F1908" s="106">
        <v>3268.79</v>
      </c>
      <c r="G1908" s="31">
        <f t="shared" si="29"/>
        <v>0</v>
      </c>
      <c r="H1908" s="19" t="s">
        <v>62</v>
      </c>
      <c r="I1908" s="3"/>
      <c r="J1908" s="42"/>
      <c r="K1908" s="3"/>
    </row>
    <row r="1909" spans="1:11" x14ac:dyDescent="0.25">
      <c r="A1909" s="20">
        <v>42114</v>
      </c>
      <c r="B1909" s="183">
        <v>18446</v>
      </c>
      <c r="C1909" s="14" t="s">
        <v>375</v>
      </c>
      <c r="D1909" s="105">
        <v>268.39999999999998</v>
      </c>
      <c r="E1909" s="65">
        <v>42114</v>
      </c>
      <c r="F1909" s="106">
        <v>268.39999999999998</v>
      </c>
      <c r="G1909" s="31">
        <f t="shared" si="29"/>
        <v>0</v>
      </c>
      <c r="H1909" s="19" t="s">
        <v>9</v>
      </c>
      <c r="I1909" s="3"/>
      <c r="J1909" s="42"/>
      <c r="K1909" s="3"/>
    </row>
    <row r="1910" spans="1:11" x14ac:dyDescent="0.25">
      <c r="A1910" s="20">
        <v>42114</v>
      </c>
      <c r="B1910" s="183">
        <v>18447</v>
      </c>
      <c r="C1910" s="14" t="s">
        <v>426</v>
      </c>
      <c r="D1910" s="105">
        <v>6149</v>
      </c>
      <c r="E1910" s="65">
        <v>42115</v>
      </c>
      <c r="F1910" s="106">
        <v>6149</v>
      </c>
      <c r="G1910" s="31">
        <f t="shared" si="29"/>
        <v>0</v>
      </c>
      <c r="H1910" s="19" t="s">
        <v>62</v>
      </c>
      <c r="I1910" s="3"/>
      <c r="J1910" s="42"/>
      <c r="K1910" s="3"/>
    </row>
    <row r="1911" spans="1:11" x14ac:dyDescent="0.25">
      <c r="A1911" s="20">
        <v>42114</v>
      </c>
      <c r="B1911" s="183">
        <v>18448</v>
      </c>
      <c r="C1911" s="14" t="s">
        <v>110</v>
      </c>
      <c r="D1911" s="105">
        <v>21185.5</v>
      </c>
      <c r="E1911" s="74">
        <v>42126</v>
      </c>
      <c r="F1911" s="144">
        <v>21185.5</v>
      </c>
      <c r="G1911" s="31">
        <f t="shared" si="29"/>
        <v>0</v>
      </c>
      <c r="H1911" s="19" t="s">
        <v>1013</v>
      </c>
      <c r="I1911" s="3"/>
      <c r="J1911" s="42"/>
      <c r="K1911" s="3"/>
    </row>
    <row r="1912" spans="1:11" x14ac:dyDescent="0.25">
      <c r="A1912" s="20">
        <v>42114</v>
      </c>
      <c r="B1912" s="183">
        <v>18449</v>
      </c>
      <c r="C1912" s="14" t="s">
        <v>26</v>
      </c>
      <c r="D1912" s="105">
        <v>2176</v>
      </c>
      <c r="E1912" s="65">
        <v>42114</v>
      </c>
      <c r="F1912" s="106">
        <v>2176</v>
      </c>
      <c r="G1912" s="31">
        <f t="shared" si="29"/>
        <v>0</v>
      </c>
      <c r="H1912" s="19" t="s">
        <v>27</v>
      </c>
      <c r="I1912" s="3"/>
      <c r="J1912" s="42"/>
      <c r="K1912" s="3"/>
    </row>
    <row r="1913" spans="1:11" x14ac:dyDescent="0.25">
      <c r="A1913" s="20">
        <v>42114</v>
      </c>
      <c r="B1913" s="183">
        <v>18450</v>
      </c>
      <c r="C1913" s="14" t="s">
        <v>426</v>
      </c>
      <c r="D1913" s="105">
        <v>1448</v>
      </c>
      <c r="E1913" s="65">
        <v>42115</v>
      </c>
      <c r="F1913" s="106">
        <v>1448</v>
      </c>
      <c r="G1913" s="31">
        <f t="shared" si="29"/>
        <v>0</v>
      </c>
      <c r="H1913" s="19" t="s">
        <v>62</v>
      </c>
      <c r="I1913" s="3"/>
      <c r="J1913" s="42"/>
      <c r="K1913" s="3"/>
    </row>
    <row r="1914" spans="1:11" x14ac:dyDescent="0.25">
      <c r="A1914" s="20">
        <v>42114</v>
      </c>
      <c r="B1914" s="183">
        <v>18451</v>
      </c>
      <c r="C1914" s="26" t="s">
        <v>218</v>
      </c>
      <c r="D1914" s="108">
        <v>0</v>
      </c>
      <c r="E1914" s="65"/>
      <c r="F1914" s="106"/>
      <c r="G1914" s="31">
        <f t="shared" si="29"/>
        <v>0</v>
      </c>
      <c r="H1914" s="19" t="s">
        <v>13</v>
      </c>
      <c r="I1914" s="3"/>
      <c r="J1914" s="42"/>
      <c r="K1914" s="3"/>
    </row>
    <row r="1915" spans="1:11" x14ac:dyDescent="0.25">
      <c r="A1915" s="20">
        <v>42114</v>
      </c>
      <c r="B1915" s="183">
        <v>18452</v>
      </c>
      <c r="C1915" s="14" t="s">
        <v>112</v>
      </c>
      <c r="D1915" s="105">
        <v>448</v>
      </c>
      <c r="E1915" s="65">
        <v>42114</v>
      </c>
      <c r="F1915" s="106">
        <v>448</v>
      </c>
      <c r="G1915" s="31">
        <f t="shared" si="29"/>
        <v>0</v>
      </c>
      <c r="H1915" s="19" t="s">
        <v>9</v>
      </c>
      <c r="I1915" s="3"/>
      <c r="J1915" s="42"/>
      <c r="K1915" s="3"/>
    </row>
    <row r="1916" spans="1:11" x14ac:dyDescent="0.25">
      <c r="A1916" s="20">
        <v>42114</v>
      </c>
      <c r="B1916" s="183">
        <v>18453</v>
      </c>
      <c r="C1916" s="14" t="s">
        <v>130</v>
      </c>
      <c r="D1916" s="105">
        <v>11460.05</v>
      </c>
      <c r="E1916" s="65" t="s">
        <v>1132</v>
      </c>
      <c r="F1916" s="106">
        <f>4766.1+6693.95</f>
        <v>11460.05</v>
      </c>
      <c r="G1916" s="31">
        <f t="shared" si="29"/>
        <v>0</v>
      </c>
      <c r="H1916" s="19" t="s">
        <v>17</v>
      </c>
      <c r="I1916" s="3"/>
      <c r="J1916" s="42"/>
      <c r="K1916" s="3"/>
    </row>
    <row r="1917" spans="1:11" x14ac:dyDescent="0.25">
      <c r="A1917" s="20">
        <v>42114</v>
      </c>
      <c r="B1917" s="183">
        <v>18454</v>
      </c>
      <c r="C1917" s="14" t="s">
        <v>130</v>
      </c>
      <c r="D1917" s="105">
        <v>2801.1</v>
      </c>
      <c r="E1917" s="65">
        <v>42114</v>
      </c>
      <c r="F1917" s="106">
        <v>2801.1</v>
      </c>
      <c r="G1917" s="31">
        <f t="shared" si="29"/>
        <v>0</v>
      </c>
      <c r="H1917" s="19" t="s">
        <v>17</v>
      </c>
      <c r="I1917" s="3"/>
      <c r="J1917" s="42"/>
      <c r="K1917" s="3"/>
    </row>
    <row r="1918" spans="1:11" x14ac:dyDescent="0.25">
      <c r="A1918" s="20">
        <v>42114</v>
      </c>
      <c r="B1918" s="183">
        <v>18455</v>
      </c>
      <c r="C1918" s="150" t="s">
        <v>131</v>
      </c>
      <c r="D1918" s="105">
        <v>6838.95</v>
      </c>
      <c r="E1918" s="65">
        <v>42116</v>
      </c>
      <c r="F1918" s="106">
        <v>6838.95</v>
      </c>
      <c r="G1918" s="31">
        <f t="shared" si="29"/>
        <v>0</v>
      </c>
      <c r="H1918" s="19" t="s">
        <v>17</v>
      </c>
      <c r="I1918" s="3"/>
      <c r="J1918" s="42"/>
      <c r="K1918" s="3"/>
    </row>
    <row r="1919" spans="1:11" x14ac:dyDescent="0.25">
      <c r="A1919" s="20">
        <v>42114</v>
      </c>
      <c r="B1919" s="183">
        <v>18456</v>
      </c>
      <c r="C1919" s="14" t="s">
        <v>128</v>
      </c>
      <c r="D1919" s="105">
        <v>9788.7999999999993</v>
      </c>
      <c r="E1919" s="65">
        <v>42115</v>
      </c>
      <c r="F1919" s="106">
        <v>9788.7999999999993</v>
      </c>
      <c r="G1919" s="31">
        <f t="shared" si="29"/>
        <v>0</v>
      </c>
      <c r="H1919" s="19" t="s">
        <v>17</v>
      </c>
      <c r="I1919" s="3"/>
      <c r="J1919" s="42"/>
      <c r="K1919" s="3"/>
    </row>
    <row r="1920" spans="1:11" x14ac:dyDescent="0.25">
      <c r="A1920" s="20">
        <v>42114</v>
      </c>
      <c r="B1920" s="183">
        <v>18457</v>
      </c>
      <c r="C1920" s="14" t="s">
        <v>165</v>
      </c>
      <c r="D1920" s="105">
        <v>2199.5</v>
      </c>
      <c r="E1920" s="154"/>
      <c r="F1920" s="155"/>
      <c r="G1920" s="31">
        <f t="shared" si="29"/>
        <v>2199.5</v>
      </c>
      <c r="H1920" s="19" t="s">
        <v>17</v>
      </c>
      <c r="I1920" s="3"/>
      <c r="J1920" s="42"/>
      <c r="K1920" s="3"/>
    </row>
    <row r="1921" spans="1:11" x14ac:dyDescent="0.25">
      <c r="A1921" s="20">
        <v>42114</v>
      </c>
      <c r="B1921" s="183">
        <v>18458</v>
      </c>
      <c r="C1921" s="14" t="s">
        <v>1133</v>
      </c>
      <c r="D1921" s="105">
        <v>2311.1999999999998</v>
      </c>
      <c r="E1921" s="65">
        <v>42114</v>
      </c>
      <c r="F1921" s="106">
        <v>2311.1999999999998</v>
      </c>
      <c r="G1921" s="31">
        <f t="shared" si="29"/>
        <v>0</v>
      </c>
      <c r="H1921" s="19" t="s">
        <v>312</v>
      </c>
      <c r="I1921" s="3"/>
      <c r="J1921" s="42"/>
      <c r="K1921" s="3"/>
    </row>
    <row r="1922" spans="1:11" x14ac:dyDescent="0.25">
      <c r="A1922" s="20">
        <v>42114</v>
      </c>
      <c r="B1922" s="183">
        <v>18459</v>
      </c>
      <c r="C1922" s="26" t="s">
        <v>218</v>
      </c>
      <c r="D1922" s="108">
        <v>0</v>
      </c>
      <c r="E1922" s="65"/>
      <c r="F1922" s="106"/>
      <c r="G1922" s="31">
        <f t="shared" si="29"/>
        <v>0</v>
      </c>
      <c r="H1922" s="19" t="s">
        <v>13</v>
      </c>
      <c r="I1922" s="3"/>
      <c r="J1922" s="42"/>
      <c r="K1922" s="3"/>
    </row>
    <row r="1923" spans="1:11" x14ac:dyDescent="0.25">
      <c r="A1923" s="20">
        <v>42114</v>
      </c>
      <c r="B1923" s="183">
        <v>18460</v>
      </c>
      <c r="C1923" s="14" t="s">
        <v>125</v>
      </c>
      <c r="D1923" s="105">
        <v>7543.2</v>
      </c>
      <c r="E1923" s="23">
        <v>42119</v>
      </c>
      <c r="F1923" s="106">
        <v>7543.2</v>
      </c>
      <c r="G1923" s="31">
        <f t="shared" ref="G1923:G1986" si="30">D1923-F1923</f>
        <v>0</v>
      </c>
      <c r="H1923" s="19" t="s">
        <v>9</v>
      </c>
      <c r="I1923" s="3"/>
      <c r="J1923" s="42"/>
      <c r="K1923" s="3"/>
    </row>
    <row r="1924" spans="1:11" x14ac:dyDescent="0.25">
      <c r="A1924" s="20">
        <v>42114</v>
      </c>
      <c r="B1924" s="183">
        <v>18461</v>
      </c>
      <c r="C1924" s="14" t="s">
        <v>34</v>
      </c>
      <c r="D1924" s="105">
        <v>3424</v>
      </c>
      <c r="E1924" s="23">
        <v>42114</v>
      </c>
      <c r="F1924" s="106">
        <v>3424</v>
      </c>
      <c r="G1924" s="31">
        <f t="shared" si="30"/>
        <v>0</v>
      </c>
      <c r="H1924" s="19" t="s">
        <v>9</v>
      </c>
      <c r="I1924" s="3"/>
      <c r="J1924" s="42"/>
      <c r="K1924" s="3"/>
    </row>
    <row r="1925" spans="1:11" x14ac:dyDescent="0.25">
      <c r="A1925" s="20">
        <v>42114</v>
      </c>
      <c r="B1925" s="183">
        <v>18462</v>
      </c>
      <c r="C1925" s="14" t="s">
        <v>176</v>
      </c>
      <c r="D1925" s="105">
        <v>9711.6</v>
      </c>
      <c r="E1925" s="30" t="s">
        <v>1222</v>
      </c>
      <c r="F1925" s="144">
        <v>9711.6</v>
      </c>
      <c r="G1925" s="31">
        <f t="shared" si="30"/>
        <v>0</v>
      </c>
      <c r="H1925" s="19" t="s">
        <v>62</v>
      </c>
      <c r="I1925" s="3"/>
      <c r="J1925" s="42"/>
      <c r="K1925" s="3"/>
    </row>
    <row r="1926" spans="1:11" x14ac:dyDescent="0.25">
      <c r="A1926" s="20">
        <v>42114</v>
      </c>
      <c r="B1926" s="183">
        <v>18463</v>
      </c>
      <c r="C1926" s="14" t="s">
        <v>158</v>
      </c>
      <c r="D1926" s="105">
        <v>8243.2000000000007</v>
      </c>
      <c r="E1926" s="23">
        <v>42114</v>
      </c>
      <c r="F1926" s="106">
        <v>8243.2000000000007</v>
      </c>
      <c r="G1926" s="31">
        <f t="shared" si="30"/>
        <v>0</v>
      </c>
      <c r="H1926" s="19" t="s">
        <v>9</v>
      </c>
      <c r="I1926" s="3"/>
      <c r="J1926" s="42"/>
      <c r="K1926" s="3"/>
    </row>
    <row r="1927" spans="1:11" x14ac:dyDescent="0.25">
      <c r="A1927" s="20">
        <v>42114</v>
      </c>
      <c r="B1927" s="183">
        <v>18464</v>
      </c>
      <c r="C1927" s="14" t="s">
        <v>136</v>
      </c>
      <c r="D1927" s="105">
        <v>540</v>
      </c>
      <c r="E1927" s="23">
        <v>42114</v>
      </c>
      <c r="F1927" s="106">
        <v>540</v>
      </c>
      <c r="G1927" s="31">
        <f t="shared" si="30"/>
        <v>0</v>
      </c>
      <c r="H1927" s="19" t="s">
        <v>9</v>
      </c>
      <c r="I1927" s="3"/>
      <c r="J1927" s="42"/>
      <c r="K1927" s="3"/>
    </row>
    <row r="1928" spans="1:11" x14ac:dyDescent="0.25">
      <c r="A1928" s="20">
        <v>42114</v>
      </c>
      <c r="B1928" s="183">
        <v>18465</v>
      </c>
      <c r="C1928" s="14" t="s">
        <v>108</v>
      </c>
      <c r="D1928" s="105">
        <v>8856</v>
      </c>
      <c r="E1928" s="30">
        <v>42130</v>
      </c>
      <c r="F1928" s="144">
        <v>8856</v>
      </c>
      <c r="G1928" s="31">
        <f t="shared" si="30"/>
        <v>0</v>
      </c>
      <c r="H1928" s="19" t="s">
        <v>41</v>
      </c>
      <c r="I1928" s="3"/>
      <c r="J1928" s="42"/>
      <c r="K1928" s="3"/>
    </row>
    <row r="1929" spans="1:11" x14ac:dyDescent="0.25">
      <c r="A1929" s="20">
        <v>42114</v>
      </c>
      <c r="B1929" s="183">
        <v>18466</v>
      </c>
      <c r="C1929" s="14" t="s">
        <v>323</v>
      </c>
      <c r="D1929" s="105">
        <v>2155.6999999999998</v>
      </c>
      <c r="E1929" s="23">
        <v>42115</v>
      </c>
      <c r="F1929" s="106">
        <v>2155.6999999999998</v>
      </c>
      <c r="G1929" s="31">
        <f t="shared" si="30"/>
        <v>0</v>
      </c>
      <c r="H1929" s="39" t="s">
        <v>9</v>
      </c>
      <c r="I1929" s="3"/>
      <c r="J1929" s="42"/>
      <c r="K1929" s="3"/>
    </row>
    <row r="1930" spans="1:11" x14ac:dyDescent="0.25">
      <c r="A1930" s="20">
        <v>42114</v>
      </c>
      <c r="B1930" s="183">
        <v>18467</v>
      </c>
      <c r="C1930" s="14" t="s">
        <v>89</v>
      </c>
      <c r="D1930" s="105">
        <v>2728.8</v>
      </c>
      <c r="E1930" s="23">
        <v>42114</v>
      </c>
      <c r="F1930" s="106">
        <v>2728.8</v>
      </c>
      <c r="G1930" s="31">
        <f t="shared" si="30"/>
        <v>0</v>
      </c>
      <c r="H1930" s="39" t="s">
        <v>9</v>
      </c>
      <c r="I1930" s="3"/>
      <c r="J1930" s="42"/>
      <c r="K1930" s="3"/>
    </row>
    <row r="1931" spans="1:11" x14ac:dyDescent="0.25">
      <c r="A1931" s="20">
        <v>42114</v>
      </c>
      <c r="B1931" s="183">
        <v>18468</v>
      </c>
      <c r="C1931" s="14" t="s">
        <v>38</v>
      </c>
      <c r="D1931" s="105">
        <v>16217.6</v>
      </c>
      <c r="E1931" s="30">
        <v>42130</v>
      </c>
      <c r="F1931" s="144">
        <v>16217.6</v>
      </c>
      <c r="G1931" s="31">
        <f t="shared" si="30"/>
        <v>0</v>
      </c>
      <c r="H1931" s="39" t="s">
        <v>17</v>
      </c>
      <c r="I1931" s="3"/>
      <c r="J1931" s="42"/>
      <c r="K1931" s="3"/>
    </row>
    <row r="1932" spans="1:11" x14ac:dyDescent="0.25">
      <c r="A1932" s="20">
        <v>42114</v>
      </c>
      <c r="B1932" s="183">
        <v>18469</v>
      </c>
      <c r="C1932" s="14" t="s">
        <v>98</v>
      </c>
      <c r="D1932" s="105">
        <v>933.66</v>
      </c>
      <c r="E1932" s="23">
        <v>42115</v>
      </c>
      <c r="F1932" s="106">
        <v>933.66</v>
      </c>
      <c r="G1932" s="31">
        <f t="shared" si="30"/>
        <v>0</v>
      </c>
      <c r="H1932" s="39" t="s">
        <v>94</v>
      </c>
      <c r="I1932" s="3"/>
      <c r="J1932" s="42"/>
      <c r="K1932" s="3"/>
    </row>
    <row r="1933" spans="1:11" x14ac:dyDescent="0.25">
      <c r="A1933" s="20">
        <v>42114</v>
      </c>
      <c r="B1933" s="183">
        <v>18470</v>
      </c>
      <c r="C1933" s="14" t="s">
        <v>104</v>
      </c>
      <c r="D1933" s="105">
        <v>8709.2000000000007</v>
      </c>
      <c r="E1933" s="23">
        <v>42115</v>
      </c>
      <c r="F1933" s="106">
        <v>8709.2000000000007</v>
      </c>
      <c r="G1933" s="31">
        <f t="shared" si="30"/>
        <v>0</v>
      </c>
      <c r="H1933" s="39" t="s">
        <v>94</v>
      </c>
      <c r="I1933" s="3"/>
      <c r="J1933" s="42"/>
      <c r="K1933" s="3"/>
    </row>
    <row r="1934" spans="1:11" x14ac:dyDescent="0.25">
      <c r="A1934" s="20">
        <v>42114</v>
      </c>
      <c r="B1934" s="183">
        <v>18471</v>
      </c>
      <c r="C1934" s="14" t="s">
        <v>98</v>
      </c>
      <c r="D1934" s="105">
        <v>1126.8</v>
      </c>
      <c r="E1934" s="23">
        <v>42115</v>
      </c>
      <c r="F1934" s="106">
        <v>1126.8</v>
      </c>
      <c r="G1934" s="31">
        <f t="shared" si="30"/>
        <v>0</v>
      </c>
      <c r="H1934" s="39" t="s">
        <v>94</v>
      </c>
      <c r="I1934" s="3"/>
      <c r="J1934" s="42"/>
      <c r="K1934" s="3"/>
    </row>
    <row r="1935" spans="1:11" x14ac:dyDescent="0.25">
      <c r="A1935" s="20">
        <v>42114</v>
      </c>
      <c r="B1935" s="183">
        <v>18472</v>
      </c>
      <c r="C1935" s="14" t="s">
        <v>66</v>
      </c>
      <c r="D1935" s="105">
        <v>1260.8</v>
      </c>
      <c r="E1935" s="23">
        <v>42114</v>
      </c>
      <c r="F1935" s="106">
        <v>1260.8</v>
      </c>
      <c r="G1935" s="31">
        <f t="shared" si="30"/>
        <v>0</v>
      </c>
      <c r="H1935" s="39" t="s">
        <v>9</v>
      </c>
      <c r="I1935" s="3"/>
      <c r="J1935" s="42"/>
      <c r="K1935" s="3"/>
    </row>
    <row r="1936" spans="1:11" x14ac:dyDescent="0.25">
      <c r="A1936" s="20">
        <v>42114</v>
      </c>
      <c r="B1936" s="183">
        <v>18473</v>
      </c>
      <c r="C1936" s="14" t="s">
        <v>95</v>
      </c>
      <c r="D1936" s="105">
        <v>1755.6</v>
      </c>
      <c r="E1936" s="23">
        <v>42115</v>
      </c>
      <c r="F1936" s="106">
        <v>1755.6</v>
      </c>
      <c r="G1936" s="31">
        <f t="shared" si="30"/>
        <v>0</v>
      </c>
      <c r="H1936" s="39" t="s">
        <v>94</v>
      </c>
      <c r="I1936" s="3"/>
      <c r="J1936" s="42"/>
      <c r="K1936" s="3"/>
    </row>
    <row r="1937" spans="1:11" x14ac:dyDescent="0.25">
      <c r="A1937" s="20">
        <v>42114</v>
      </c>
      <c r="B1937" s="183">
        <v>18474</v>
      </c>
      <c r="C1937" s="14" t="s">
        <v>180</v>
      </c>
      <c r="D1937" s="105">
        <v>5097</v>
      </c>
      <c r="E1937" s="23">
        <v>42114</v>
      </c>
      <c r="F1937" s="106">
        <v>5097</v>
      </c>
      <c r="G1937" s="31">
        <f t="shared" si="30"/>
        <v>0</v>
      </c>
      <c r="H1937" s="39" t="s">
        <v>9</v>
      </c>
      <c r="I1937" s="3"/>
      <c r="J1937" s="42"/>
      <c r="K1937" s="3"/>
    </row>
    <row r="1938" spans="1:11" x14ac:dyDescent="0.25">
      <c r="A1938" s="20">
        <v>42114</v>
      </c>
      <c r="B1938" s="183">
        <v>18475</v>
      </c>
      <c r="C1938" s="14" t="s">
        <v>1116</v>
      </c>
      <c r="D1938" s="105">
        <v>1196.8</v>
      </c>
      <c r="E1938" s="23">
        <v>42115</v>
      </c>
      <c r="F1938" s="106">
        <v>1196.8</v>
      </c>
      <c r="G1938" s="31">
        <f t="shared" si="30"/>
        <v>0</v>
      </c>
      <c r="H1938" s="39" t="s">
        <v>94</v>
      </c>
      <c r="I1938" s="3"/>
      <c r="J1938" s="42"/>
      <c r="K1938" s="3"/>
    </row>
    <row r="1939" spans="1:11" x14ac:dyDescent="0.25">
      <c r="A1939" s="20">
        <v>42114</v>
      </c>
      <c r="B1939" s="183">
        <v>18476</v>
      </c>
      <c r="C1939" s="14" t="s">
        <v>256</v>
      </c>
      <c r="D1939" s="105">
        <v>4359.1000000000004</v>
      </c>
      <c r="E1939" s="23">
        <v>42115</v>
      </c>
      <c r="F1939" s="106">
        <v>4359.1000000000004</v>
      </c>
      <c r="G1939" s="31">
        <f t="shared" si="30"/>
        <v>0</v>
      </c>
      <c r="H1939" s="39" t="s">
        <v>773</v>
      </c>
      <c r="I1939" s="3"/>
      <c r="J1939" s="42"/>
      <c r="K1939" s="3"/>
    </row>
    <row r="1940" spans="1:11" x14ac:dyDescent="0.25">
      <c r="A1940" s="20">
        <v>42114</v>
      </c>
      <c r="B1940" s="183">
        <v>18477</v>
      </c>
      <c r="C1940" s="14" t="s">
        <v>55</v>
      </c>
      <c r="D1940" s="105">
        <v>7488</v>
      </c>
      <c r="E1940" s="23">
        <v>42114</v>
      </c>
      <c r="F1940" s="118">
        <v>7488</v>
      </c>
      <c r="G1940" s="31">
        <f t="shared" si="30"/>
        <v>0</v>
      </c>
      <c r="H1940" s="56" t="s">
        <v>773</v>
      </c>
      <c r="I1940" s="3"/>
      <c r="J1940" s="42"/>
      <c r="K1940" s="3"/>
    </row>
    <row r="1941" spans="1:11" x14ac:dyDescent="0.25">
      <c r="A1941" s="20">
        <v>42114</v>
      </c>
      <c r="B1941" s="183">
        <v>18478</v>
      </c>
      <c r="C1941" s="14" t="s">
        <v>134</v>
      </c>
      <c r="D1941" s="105">
        <v>423</v>
      </c>
      <c r="E1941" s="23">
        <v>42115</v>
      </c>
      <c r="F1941" s="106">
        <v>423</v>
      </c>
      <c r="G1941" s="31">
        <f t="shared" si="30"/>
        <v>0</v>
      </c>
      <c r="H1941" s="56" t="s">
        <v>773</v>
      </c>
      <c r="I1941" s="3"/>
      <c r="J1941" s="42"/>
      <c r="K1941" s="3"/>
    </row>
    <row r="1942" spans="1:11" x14ac:dyDescent="0.25">
      <c r="A1942" s="20">
        <v>42114</v>
      </c>
      <c r="B1942" s="183">
        <v>18479</v>
      </c>
      <c r="C1942" s="14" t="s">
        <v>335</v>
      </c>
      <c r="D1942" s="105">
        <v>505</v>
      </c>
      <c r="E1942" s="23">
        <v>42114</v>
      </c>
      <c r="F1942" s="118">
        <v>505</v>
      </c>
      <c r="G1942" s="31">
        <f t="shared" si="30"/>
        <v>0</v>
      </c>
      <c r="H1942" s="56" t="s">
        <v>9</v>
      </c>
      <c r="I1942" s="3"/>
      <c r="J1942" s="42"/>
      <c r="K1942" s="3"/>
    </row>
    <row r="1943" spans="1:11" x14ac:dyDescent="0.25">
      <c r="A1943" s="20">
        <v>42114</v>
      </c>
      <c r="B1943" s="183">
        <v>18480</v>
      </c>
      <c r="C1943" s="14" t="s">
        <v>1117</v>
      </c>
      <c r="D1943" s="105">
        <v>2143.8000000000002</v>
      </c>
      <c r="E1943" s="23">
        <v>42114</v>
      </c>
      <c r="F1943" s="118">
        <v>2143.8000000000002</v>
      </c>
      <c r="G1943" s="31">
        <f t="shared" si="30"/>
        <v>0</v>
      </c>
      <c r="H1943" s="56" t="s">
        <v>9</v>
      </c>
      <c r="I1943" s="3"/>
      <c r="J1943" s="42"/>
      <c r="K1943" s="3"/>
    </row>
    <row r="1944" spans="1:11" x14ac:dyDescent="0.25">
      <c r="A1944" s="20">
        <v>42114</v>
      </c>
      <c r="B1944" s="183">
        <v>18481</v>
      </c>
      <c r="C1944" s="14" t="s">
        <v>118</v>
      </c>
      <c r="D1944" s="105">
        <v>8793.1</v>
      </c>
      <c r="E1944" s="23" t="s">
        <v>1134</v>
      </c>
      <c r="F1944" s="118">
        <f>96.9+8696.2</f>
        <v>8793.1</v>
      </c>
      <c r="G1944" s="31">
        <f t="shared" si="30"/>
        <v>0</v>
      </c>
      <c r="H1944" s="56" t="s">
        <v>19</v>
      </c>
      <c r="I1944" s="3"/>
      <c r="J1944" s="42"/>
      <c r="K1944" s="3"/>
    </row>
    <row r="1945" spans="1:11" x14ac:dyDescent="0.25">
      <c r="A1945" s="20">
        <v>42114</v>
      </c>
      <c r="B1945" s="183">
        <v>18482</v>
      </c>
      <c r="C1945" s="14" t="s">
        <v>91</v>
      </c>
      <c r="D1945" s="105">
        <v>3840</v>
      </c>
      <c r="E1945" s="23">
        <v>42114</v>
      </c>
      <c r="F1945" s="118">
        <v>3840</v>
      </c>
      <c r="G1945" s="31">
        <f t="shared" si="30"/>
        <v>0</v>
      </c>
      <c r="H1945" s="56" t="s">
        <v>19</v>
      </c>
      <c r="I1945" s="3"/>
      <c r="J1945" s="42"/>
      <c r="K1945" s="3"/>
    </row>
    <row r="1946" spans="1:11" x14ac:dyDescent="0.25">
      <c r="A1946" s="20">
        <v>42114</v>
      </c>
      <c r="B1946" s="183">
        <v>18483</v>
      </c>
      <c r="C1946" s="14" t="s">
        <v>136</v>
      </c>
      <c r="D1946" s="105">
        <v>6131.2</v>
      </c>
      <c r="E1946" s="23">
        <v>42114</v>
      </c>
      <c r="F1946" s="118">
        <v>6131.2</v>
      </c>
      <c r="G1946" s="31">
        <f t="shared" si="30"/>
        <v>0</v>
      </c>
      <c r="H1946" s="56" t="s">
        <v>9</v>
      </c>
      <c r="I1946" s="3"/>
      <c r="J1946" s="42"/>
      <c r="K1946" s="3"/>
    </row>
    <row r="1947" spans="1:11" x14ac:dyDescent="0.25">
      <c r="A1947" s="20">
        <v>42114</v>
      </c>
      <c r="B1947" s="183">
        <v>18484</v>
      </c>
      <c r="C1947" s="14" t="s">
        <v>155</v>
      </c>
      <c r="D1947" s="105">
        <v>3915.6</v>
      </c>
      <c r="E1947" s="23">
        <v>42114</v>
      </c>
      <c r="F1947" s="118">
        <v>3915.6</v>
      </c>
      <c r="G1947" s="31">
        <f t="shared" si="30"/>
        <v>0</v>
      </c>
      <c r="H1947" s="56" t="s">
        <v>19</v>
      </c>
      <c r="I1947" s="3"/>
      <c r="J1947" s="42"/>
      <c r="K1947" s="3"/>
    </row>
    <row r="1948" spans="1:11" x14ac:dyDescent="0.25">
      <c r="A1948" s="20">
        <v>42114</v>
      </c>
      <c r="B1948" s="183">
        <v>18485</v>
      </c>
      <c r="C1948" s="14" t="s">
        <v>24</v>
      </c>
      <c r="D1948" s="105">
        <v>92821.65</v>
      </c>
      <c r="E1948" s="30">
        <v>42144</v>
      </c>
      <c r="F1948" s="145">
        <v>92821.65</v>
      </c>
      <c r="G1948" s="31">
        <f t="shared" si="30"/>
        <v>0</v>
      </c>
      <c r="H1948" s="56" t="s">
        <v>46</v>
      </c>
      <c r="I1948" s="3"/>
      <c r="J1948" s="42"/>
      <c r="K1948" s="3"/>
    </row>
    <row r="1949" spans="1:11" x14ac:dyDescent="0.25">
      <c r="A1949" s="20">
        <v>42114</v>
      </c>
      <c r="B1949" s="183">
        <v>18486</v>
      </c>
      <c r="C1949" s="14" t="s">
        <v>571</v>
      </c>
      <c r="D1949" s="105">
        <v>138503.38</v>
      </c>
      <c r="E1949" s="23" t="s">
        <v>1135</v>
      </c>
      <c r="F1949" s="118">
        <f>6582.34+74740+57181.04</f>
        <v>138503.38</v>
      </c>
      <c r="G1949" s="31">
        <f t="shared" si="30"/>
        <v>0</v>
      </c>
      <c r="H1949" s="56" t="s">
        <v>19</v>
      </c>
      <c r="I1949" s="3"/>
      <c r="J1949" s="42"/>
      <c r="K1949" s="3"/>
    </row>
    <row r="1950" spans="1:11" x14ac:dyDescent="0.25">
      <c r="A1950" s="20">
        <v>42114</v>
      </c>
      <c r="B1950" s="183">
        <v>18487</v>
      </c>
      <c r="C1950" s="14" t="s">
        <v>1077</v>
      </c>
      <c r="D1950" s="105">
        <v>28</v>
      </c>
      <c r="E1950" s="23">
        <v>42114</v>
      </c>
      <c r="F1950" s="118">
        <v>28</v>
      </c>
      <c r="G1950" s="31">
        <f t="shared" si="30"/>
        <v>0</v>
      </c>
      <c r="H1950" s="56" t="s">
        <v>9</v>
      </c>
      <c r="I1950" s="3"/>
      <c r="J1950" s="42"/>
      <c r="K1950" s="3"/>
    </row>
    <row r="1951" spans="1:11" x14ac:dyDescent="0.25">
      <c r="A1951" s="20">
        <v>42114</v>
      </c>
      <c r="B1951" s="183">
        <v>18488</v>
      </c>
      <c r="C1951" s="14" t="s">
        <v>47</v>
      </c>
      <c r="D1951" s="105">
        <v>6350.4</v>
      </c>
      <c r="E1951" s="23">
        <v>42116</v>
      </c>
      <c r="F1951" s="118">
        <v>6350.4</v>
      </c>
      <c r="G1951" s="31">
        <f t="shared" si="30"/>
        <v>0</v>
      </c>
      <c r="H1951" s="56" t="s">
        <v>9</v>
      </c>
      <c r="I1951" s="3"/>
      <c r="J1951" s="42"/>
      <c r="K1951" s="3"/>
    </row>
    <row r="1952" spans="1:11" x14ac:dyDescent="0.25">
      <c r="A1952" s="20">
        <v>42114</v>
      </c>
      <c r="B1952" s="183">
        <v>18489</v>
      </c>
      <c r="C1952" s="14" t="s">
        <v>112</v>
      </c>
      <c r="D1952" s="105">
        <v>19820.7</v>
      </c>
      <c r="E1952" s="23">
        <v>42117</v>
      </c>
      <c r="F1952" s="118">
        <v>19820.7</v>
      </c>
      <c r="G1952" s="31">
        <f t="shared" si="30"/>
        <v>0</v>
      </c>
      <c r="H1952" s="56" t="s">
        <v>9</v>
      </c>
      <c r="I1952" s="3"/>
      <c r="J1952" s="42"/>
      <c r="K1952" s="3"/>
    </row>
    <row r="1953" spans="1:11" x14ac:dyDescent="0.25">
      <c r="A1953" s="20">
        <v>42114</v>
      </c>
      <c r="B1953" s="183">
        <v>18490</v>
      </c>
      <c r="C1953" s="14" t="s">
        <v>1050</v>
      </c>
      <c r="D1953" s="105">
        <v>8424.6</v>
      </c>
      <c r="E1953" s="30" t="s">
        <v>1136</v>
      </c>
      <c r="F1953" s="118">
        <v>8424.6</v>
      </c>
      <c r="G1953" s="31">
        <f t="shared" si="30"/>
        <v>0</v>
      </c>
      <c r="H1953" s="56" t="s">
        <v>9</v>
      </c>
      <c r="I1953" s="3"/>
      <c r="J1953" s="42"/>
      <c r="K1953" s="3"/>
    </row>
    <row r="1954" spans="1:11" x14ac:dyDescent="0.25">
      <c r="A1954" s="20">
        <v>42114</v>
      </c>
      <c r="B1954" s="183">
        <v>18491</v>
      </c>
      <c r="C1954" s="14" t="s">
        <v>136</v>
      </c>
      <c r="D1954" s="105">
        <v>4352</v>
      </c>
      <c r="E1954" s="23">
        <v>42114</v>
      </c>
      <c r="F1954" s="118">
        <v>4352</v>
      </c>
      <c r="G1954" s="31">
        <f t="shared" si="30"/>
        <v>0</v>
      </c>
      <c r="H1954" s="56" t="s">
        <v>9</v>
      </c>
      <c r="I1954" s="3"/>
      <c r="J1954" s="42"/>
      <c r="K1954" s="3"/>
    </row>
    <row r="1955" spans="1:11" x14ac:dyDescent="0.25">
      <c r="A1955" s="20">
        <v>42114</v>
      </c>
      <c r="B1955" s="183">
        <v>18492</v>
      </c>
      <c r="C1955" s="14" t="s">
        <v>28</v>
      </c>
      <c r="D1955" s="105">
        <v>780</v>
      </c>
      <c r="E1955" s="23">
        <v>42114</v>
      </c>
      <c r="F1955" s="118">
        <v>780</v>
      </c>
      <c r="G1955" s="31">
        <f t="shared" si="30"/>
        <v>0</v>
      </c>
      <c r="H1955" s="56" t="s">
        <v>9</v>
      </c>
      <c r="I1955" s="3"/>
      <c r="J1955" s="42"/>
      <c r="K1955" s="3"/>
    </row>
    <row r="1956" spans="1:11" x14ac:dyDescent="0.25">
      <c r="A1956" s="20">
        <v>42114</v>
      </c>
      <c r="B1956" s="183">
        <v>18493</v>
      </c>
      <c r="C1956" s="14" t="s">
        <v>204</v>
      </c>
      <c r="D1956" s="105">
        <v>6013.2</v>
      </c>
      <c r="E1956" s="23">
        <v>42116</v>
      </c>
      <c r="F1956" s="118">
        <v>6013.2</v>
      </c>
      <c r="G1956" s="31">
        <f t="shared" si="30"/>
        <v>0</v>
      </c>
      <c r="H1956" s="56" t="s">
        <v>149</v>
      </c>
      <c r="I1956" s="3"/>
      <c r="J1956" s="42"/>
      <c r="K1956" s="3"/>
    </row>
    <row r="1957" spans="1:11" x14ac:dyDescent="0.25">
      <c r="A1957" s="20">
        <v>42114</v>
      </c>
      <c r="B1957" s="183">
        <v>18494</v>
      </c>
      <c r="C1957" s="14" t="s">
        <v>552</v>
      </c>
      <c r="D1957" s="105">
        <v>16504.75</v>
      </c>
      <c r="E1957" s="23">
        <v>42116</v>
      </c>
      <c r="F1957" s="118">
        <v>16504.75</v>
      </c>
      <c r="G1957" s="31">
        <f t="shared" si="30"/>
        <v>0</v>
      </c>
      <c r="H1957" s="56" t="s">
        <v>312</v>
      </c>
      <c r="I1957" s="3"/>
      <c r="J1957" s="42"/>
      <c r="K1957" s="3"/>
    </row>
    <row r="1958" spans="1:11" x14ac:dyDescent="0.25">
      <c r="A1958" s="20">
        <v>42114</v>
      </c>
      <c r="B1958" s="183">
        <v>18495</v>
      </c>
      <c r="C1958" s="14" t="s">
        <v>1137</v>
      </c>
      <c r="D1958" s="105">
        <v>2948</v>
      </c>
      <c r="E1958" s="23">
        <v>42118</v>
      </c>
      <c r="F1958" s="118">
        <v>2948</v>
      </c>
      <c r="G1958" s="31">
        <f t="shared" si="30"/>
        <v>0</v>
      </c>
      <c r="H1958" s="56" t="s">
        <v>312</v>
      </c>
      <c r="I1958" s="3"/>
      <c r="J1958" s="42"/>
      <c r="K1958" s="3"/>
    </row>
    <row r="1959" spans="1:11" x14ac:dyDescent="0.25">
      <c r="A1959" s="20">
        <v>42114</v>
      </c>
      <c r="B1959" s="183">
        <v>18496</v>
      </c>
      <c r="C1959" s="14" t="s">
        <v>206</v>
      </c>
      <c r="D1959" s="105">
        <v>9856.4</v>
      </c>
      <c r="E1959" s="30" t="s">
        <v>1138</v>
      </c>
      <c r="F1959" s="118">
        <v>9856.4</v>
      </c>
      <c r="G1959" s="31">
        <f t="shared" si="30"/>
        <v>0</v>
      </c>
      <c r="H1959" s="56" t="s">
        <v>149</v>
      </c>
      <c r="I1959" s="3"/>
      <c r="J1959" s="42"/>
      <c r="K1959" s="3"/>
    </row>
    <row r="1960" spans="1:11" x14ac:dyDescent="0.25">
      <c r="A1960" s="20">
        <v>42114</v>
      </c>
      <c r="B1960" s="183">
        <v>18497</v>
      </c>
      <c r="C1960" s="14" t="s">
        <v>48</v>
      </c>
      <c r="D1960" s="105">
        <v>3469.2</v>
      </c>
      <c r="E1960" s="23">
        <v>42119</v>
      </c>
      <c r="F1960" s="118">
        <v>3469.2</v>
      </c>
      <c r="G1960" s="31">
        <f t="shared" si="30"/>
        <v>0</v>
      </c>
      <c r="H1960" s="56" t="s">
        <v>149</v>
      </c>
      <c r="I1960" s="3"/>
      <c r="J1960" s="42"/>
      <c r="K1960" s="3"/>
    </row>
    <row r="1961" spans="1:11" x14ac:dyDescent="0.25">
      <c r="A1961" s="20">
        <v>42114</v>
      </c>
      <c r="B1961" s="183">
        <v>18498</v>
      </c>
      <c r="C1961" s="110" t="s">
        <v>834</v>
      </c>
      <c r="D1961" s="105">
        <v>2780.4</v>
      </c>
      <c r="E1961" s="23">
        <v>42114</v>
      </c>
      <c r="F1961" s="118">
        <v>2780.4</v>
      </c>
      <c r="G1961" s="31">
        <f t="shared" si="30"/>
        <v>0</v>
      </c>
      <c r="H1961" s="56" t="s">
        <v>9</v>
      </c>
      <c r="I1961" s="3"/>
      <c r="J1961" s="42"/>
      <c r="K1961" s="3"/>
    </row>
    <row r="1962" spans="1:11" x14ac:dyDescent="0.25">
      <c r="A1962" s="20">
        <v>42114</v>
      </c>
      <c r="B1962" s="183">
        <v>18499</v>
      </c>
      <c r="C1962" s="14" t="s">
        <v>199</v>
      </c>
      <c r="D1962" s="105">
        <v>11954.8</v>
      </c>
      <c r="E1962" s="23">
        <v>42116</v>
      </c>
      <c r="F1962" s="118">
        <v>11954.8</v>
      </c>
      <c r="G1962" s="31">
        <f t="shared" si="30"/>
        <v>0</v>
      </c>
      <c r="H1962" s="56" t="s">
        <v>149</v>
      </c>
      <c r="I1962" s="3"/>
      <c r="J1962" s="42"/>
      <c r="K1962" s="3"/>
    </row>
    <row r="1963" spans="1:11" x14ac:dyDescent="0.25">
      <c r="A1963" s="20">
        <v>42114</v>
      </c>
      <c r="B1963" s="183">
        <v>18500</v>
      </c>
      <c r="C1963" s="14" t="s">
        <v>202</v>
      </c>
      <c r="D1963" s="105">
        <v>3468.4</v>
      </c>
      <c r="E1963" s="23">
        <v>42116</v>
      </c>
      <c r="F1963" s="118">
        <v>3468.4</v>
      </c>
      <c r="G1963" s="31">
        <f t="shared" si="30"/>
        <v>0</v>
      </c>
      <c r="H1963" s="56" t="s">
        <v>149</v>
      </c>
      <c r="I1963" s="3"/>
      <c r="J1963" s="42"/>
      <c r="K1963" s="3"/>
    </row>
    <row r="1964" spans="1:11" x14ac:dyDescent="0.25">
      <c r="A1964" s="20">
        <v>42114</v>
      </c>
      <c r="B1964" s="183">
        <v>18501</v>
      </c>
      <c r="C1964" s="14" t="s">
        <v>1139</v>
      </c>
      <c r="D1964" s="105">
        <v>10766.8</v>
      </c>
      <c r="E1964" s="23">
        <v>42123</v>
      </c>
      <c r="F1964" s="118">
        <v>10766.8</v>
      </c>
      <c r="G1964" s="31">
        <f t="shared" si="30"/>
        <v>0</v>
      </c>
      <c r="H1964" s="56" t="s">
        <v>149</v>
      </c>
      <c r="I1964" s="3"/>
      <c r="J1964" s="42"/>
      <c r="K1964" s="3"/>
    </row>
    <row r="1965" spans="1:11" x14ac:dyDescent="0.25">
      <c r="A1965" s="20">
        <v>42114</v>
      </c>
      <c r="B1965" s="183">
        <v>18502</v>
      </c>
      <c r="C1965" s="14" t="s">
        <v>399</v>
      </c>
      <c r="D1965" s="105">
        <v>3519</v>
      </c>
      <c r="E1965" s="23">
        <v>42115</v>
      </c>
      <c r="F1965" s="118">
        <v>3519</v>
      </c>
      <c r="G1965" s="31">
        <f t="shared" si="30"/>
        <v>0</v>
      </c>
      <c r="H1965" s="56" t="s">
        <v>17</v>
      </c>
      <c r="I1965" s="3"/>
      <c r="J1965" s="42"/>
      <c r="K1965" s="3"/>
    </row>
    <row r="1966" spans="1:11" x14ac:dyDescent="0.25">
      <c r="A1966" s="20">
        <v>42114</v>
      </c>
      <c r="B1966" s="183">
        <v>18503</v>
      </c>
      <c r="C1966" s="14" t="s">
        <v>80</v>
      </c>
      <c r="D1966" s="105">
        <v>5798.78</v>
      </c>
      <c r="E1966" s="23">
        <v>42114</v>
      </c>
      <c r="F1966" s="118">
        <v>5798.78</v>
      </c>
      <c r="G1966" s="31">
        <f t="shared" si="30"/>
        <v>0</v>
      </c>
      <c r="H1966" s="56" t="s">
        <v>9</v>
      </c>
      <c r="I1966" s="3"/>
      <c r="J1966" s="42"/>
      <c r="K1966" s="3"/>
    </row>
    <row r="1967" spans="1:11" x14ac:dyDescent="0.25">
      <c r="A1967" s="20">
        <v>42114</v>
      </c>
      <c r="B1967" s="183">
        <v>18504</v>
      </c>
      <c r="C1967" s="14" t="s">
        <v>195</v>
      </c>
      <c r="D1967" s="105">
        <v>63776.14</v>
      </c>
      <c r="E1967" s="23">
        <v>42116</v>
      </c>
      <c r="F1967" s="118">
        <v>63776.14</v>
      </c>
      <c r="G1967" s="31">
        <f t="shared" si="30"/>
        <v>0</v>
      </c>
      <c r="H1967" s="56" t="s">
        <v>149</v>
      </c>
      <c r="I1967" s="3"/>
      <c r="J1967" s="42"/>
      <c r="K1967" s="3"/>
    </row>
    <row r="1968" spans="1:11" x14ac:dyDescent="0.25">
      <c r="A1968" s="20">
        <v>42114</v>
      </c>
      <c r="B1968" s="183">
        <v>18505</v>
      </c>
      <c r="C1968" s="14" t="s">
        <v>1103</v>
      </c>
      <c r="D1968" s="105">
        <v>15856</v>
      </c>
      <c r="E1968" s="23">
        <v>42116</v>
      </c>
      <c r="F1968" s="118">
        <v>15856</v>
      </c>
      <c r="G1968" s="31">
        <f t="shared" si="30"/>
        <v>0</v>
      </c>
      <c r="H1968" s="56" t="s">
        <v>149</v>
      </c>
      <c r="I1968" s="3"/>
      <c r="J1968" s="42"/>
      <c r="K1968" s="3"/>
    </row>
    <row r="1969" spans="1:11" x14ac:dyDescent="0.25">
      <c r="A1969" s="20">
        <v>42114</v>
      </c>
      <c r="B1969" s="183">
        <v>18506</v>
      </c>
      <c r="C1969" s="14" t="s">
        <v>196</v>
      </c>
      <c r="D1969" s="105">
        <v>24873.08</v>
      </c>
      <c r="E1969" s="23">
        <v>42116</v>
      </c>
      <c r="F1969" s="118">
        <v>24873.08</v>
      </c>
      <c r="G1969" s="31">
        <f t="shared" si="30"/>
        <v>0</v>
      </c>
      <c r="H1969" s="56" t="s">
        <v>149</v>
      </c>
      <c r="I1969" s="3"/>
      <c r="J1969" s="42"/>
      <c r="K1969" s="3"/>
    </row>
    <row r="1970" spans="1:11" x14ac:dyDescent="0.25">
      <c r="A1970" s="20">
        <v>42114</v>
      </c>
      <c r="B1970" s="183">
        <v>18507</v>
      </c>
      <c r="C1970" s="26" t="s">
        <v>218</v>
      </c>
      <c r="D1970" s="108">
        <v>0</v>
      </c>
      <c r="E1970" s="23"/>
      <c r="F1970" s="118"/>
      <c r="G1970" s="31">
        <f t="shared" si="30"/>
        <v>0</v>
      </c>
      <c r="H1970" s="56" t="s">
        <v>13</v>
      </c>
      <c r="I1970" s="3"/>
      <c r="J1970" s="42"/>
      <c r="K1970" s="3"/>
    </row>
    <row r="1971" spans="1:11" x14ac:dyDescent="0.25">
      <c r="A1971" s="20">
        <v>42114</v>
      </c>
      <c r="B1971" s="183">
        <v>18508</v>
      </c>
      <c r="C1971" s="14" t="s">
        <v>420</v>
      </c>
      <c r="D1971" s="105">
        <v>5883.6</v>
      </c>
      <c r="E1971" s="23">
        <v>42116</v>
      </c>
      <c r="F1971" s="118">
        <v>5883.6</v>
      </c>
      <c r="G1971" s="31">
        <f t="shared" si="30"/>
        <v>0</v>
      </c>
      <c r="H1971" s="56" t="s">
        <v>149</v>
      </c>
      <c r="I1971" s="3"/>
      <c r="J1971" s="42"/>
      <c r="K1971" s="3"/>
    </row>
    <row r="1972" spans="1:11" x14ac:dyDescent="0.25">
      <c r="A1972" s="20">
        <v>42114</v>
      </c>
      <c r="B1972" s="183">
        <v>18509</v>
      </c>
      <c r="C1972" s="14" t="s">
        <v>877</v>
      </c>
      <c r="D1972" s="105">
        <v>6324</v>
      </c>
      <c r="E1972" s="23">
        <v>42116</v>
      </c>
      <c r="F1972" s="118">
        <v>6324</v>
      </c>
      <c r="G1972" s="31">
        <f t="shared" si="30"/>
        <v>0</v>
      </c>
      <c r="H1972" s="56" t="s">
        <v>149</v>
      </c>
      <c r="I1972" s="3"/>
      <c r="J1972" s="42"/>
      <c r="K1972" s="3"/>
    </row>
    <row r="1973" spans="1:11" x14ac:dyDescent="0.25">
      <c r="A1973" s="20">
        <v>42114</v>
      </c>
      <c r="B1973" s="183">
        <v>18510</v>
      </c>
      <c r="C1973" s="14" t="s">
        <v>203</v>
      </c>
      <c r="D1973" s="105">
        <v>4454.6000000000004</v>
      </c>
      <c r="E1973" s="23">
        <v>42116</v>
      </c>
      <c r="F1973" s="118">
        <v>4454.6000000000004</v>
      </c>
      <c r="G1973" s="31">
        <f t="shared" si="30"/>
        <v>0</v>
      </c>
      <c r="H1973" s="56" t="s">
        <v>149</v>
      </c>
      <c r="I1973" s="3"/>
      <c r="J1973" s="42"/>
      <c r="K1973" s="3"/>
    </row>
    <row r="1974" spans="1:11" x14ac:dyDescent="0.25">
      <c r="A1974" s="20">
        <v>42114</v>
      </c>
      <c r="B1974" s="183">
        <v>18511</v>
      </c>
      <c r="C1974" s="14" t="s">
        <v>200</v>
      </c>
      <c r="D1974" s="105">
        <v>2244.8000000000002</v>
      </c>
      <c r="E1974" s="23">
        <v>42116</v>
      </c>
      <c r="F1974" s="118">
        <v>2244.8000000000002</v>
      </c>
      <c r="G1974" s="31">
        <f t="shared" si="30"/>
        <v>0</v>
      </c>
      <c r="H1974" s="56" t="s">
        <v>149</v>
      </c>
      <c r="I1974" s="3"/>
      <c r="J1974" s="42"/>
      <c r="K1974" s="3"/>
    </row>
    <row r="1975" spans="1:11" x14ac:dyDescent="0.25">
      <c r="A1975" s="20">
        <v>42114</v>
      </c>
      <c r="B1975" s="183">
        <v>18512</v>
      </c>
      <c r="C1975" s="14" t="s">
        <v>732</v>
      </c>
      <c r="D1975" s="105">
        <v>10883.65</v>
      </c>
      <c r="E1975" s="23">
        <v>42116</v>
      </c>
      <c r="F1975" s="118">
        <v>10883.65</v>
      </c>
      <c r="G1975" s="31">
        <f t="shared" si="30"/>
        <v>0</v>
      </c>
      <c r="H1975" s="56" t="s">
        <v>149</v>
      </c>
      <c r="I1975" s="3"/>
      <c r="J1975" s="42"/>
      <c r="K1975" s="3"/>
    </row>
    <row r="1976" spans="1:11" x14ac:dyDescent="0.25">
      <c r="A1976" s="20">
        <v>42114</v>
      </c>
      <c r="B1976" s="183">
        <v>18513</v>
      </c>
      <c r="C1976" s="14" t="s">
        <v>733</v>
      </c>
      <c r="D1976" s="105">
        <v>5249.4</v>
      </c>
      <c r="E1976" s="23">
        <v>42116</v>
      </c>
      <c r="F1976" s="118">
        <v>5249.4</v>
      </c>
      <c r="G1976" s="31">
        <f t="shared" si="30"/>
        <v>0</v>
      </c>
      <c r="H1976" s="56" t="s">
        <v>149</v>
      </c>
      <c r="I1976" s="3"/>
      <c r="J1976" s="42"/>
      <c r="K1976" s="3"/>
    </row>
    <row r="1977" spans="1:11" x14ac:dyDescent="0.25">
      <c r="A1977" s="20">
        <v>42114</v>
      </c>
      <c r="B1977" s="183">
        <v>18514</v>
      </c>
      <c r="C1977" s="14" t="s">
        <v>350</v>
      </c>
      <c r="D1977" s="105">
        <v>2634.1</v>
      </c>
      <c r="E1977" s="23">
        <v>42116</v>
      </c>
      <c r="F1977" s="118">
        <v>2634.1</v>
      </c>
      <c r="G1977" s="31">
        <f t="shared" si="30"/>
        <v>0</v>
      </c>
      <c r="H1977" s="56" t="s">
        <v>149</v>
      </c>
      <c r="I1977" s="3"/>
      <c r="J1977" s="42"/>
      <c r="K1977" s="3"/>
    </row>
    <row r="1978" spans="1:11" x14ac:dyDescent="0.25">
      <c r="A1978" s="20">
        <v>42114</v>
      </c>
      <c r="B1978" s="183">
        <v>18515</v>
      </c>
      <c r="C1978" s="14" t="s">
        <v>1140</v>
      </c>
      <c r="D1978" s="105">
        <v>7452.05</v>
      </c>
      <c r="E1978" s="23">
        <v>42116</v>
      </c>
      <c r="F1978" s="118">
        <v>7452.05</v>
      </c>
      <c r="G1978" s="31">
        <f t="shared" si="30"/>
        <v>0</v>
      </c>
      <c r="H1978" s="56" t="s">
        <v>149</v>
      </c>
      <c r="I1978" s="3"/>
      <c r="J1978" s="42"/>
      <c r="K1978" s="3"/>
    </row>
    <row r="1979" spans="1:11" x14ac:dyDescent="0.25">
      <c r="A1979" s="20">
        <v>42114</v>
      </c>
      <c r="B1979" s="183">
        <v>18516</v>
      </c>
      <c r="C1979" s="14" t="s">
        <v>198</v>
      </c>
      <c r="D1979" s="105">
        <v>12018.65</v>
      </c>
      <c r="E1979" s="23">
        <v>42116</v>
      </c>
      <c r="F1979" s="118">
        <v>12018.65</v>
      </c>
      <c r="G1979" s="31">
        <f t="shared" si="30"/>
        <v>0</v>
      </c>
      <c r="H1979" s="56" t="s">
        <v>149</v>
      </c>
      <c r="I1979" s="3"/>
      <c r="J1979" s="42"/>
      <c r="K1979" s="3"/>
    </row>
    <row r="1980" spans="1:11" x14ac:dyDescent="0.25">
      <c r="A1980" s="20">
        <v>42114</v>
      </c>
      <c r="B1980" s="183">
        <v>18517</v>
      </c>
      <c r="C1980" s="14" t="s">
        <v>55</v>
      </c>
      <c r="D1980" s="105">
        <v>24795.99</v>
      </c>
      <c r="E1980" s="23">
        <v>42115</v>
      </c>
      <c r="F1980" s="118">
        <v>24795.99</v>
      </c>
      <c r="G1980" s="31">
        <f t="shared" si="30"/>
        <v>0</v>
      </c>
      <c r="H1980" s="56" t="s">
        <v>773</v>
      </c>
      <c r="I1980" s="3"/>
      <c r="J1980" s="42"/>
      <c r="K1980" s="3"/>
    </row>
    <row r="1981" spans="1:11" x14ac:dyDescent="0.25">
      <c r="A1981" s="20">
        <v>42114</v>
      </c>
      <c r="B1981" s="183">
        <v>18518</v>
      </c>
      <c r="C1981" s="14" t="s">
        <v>262</v>
      </c>
      <c r="D1981" s="105">
        <v>31848.1</v>
      </c>
      <c r="E1981" s="23">
        <v>42116</v>
      </c>
      <c r="F1981" s="118">
        <v>31848.1</v>
      </c>
      <c r="G1981" s="31">
        <f t="shared" si="30"/>
        <v>0</v>
      </c>
      <c r="H1981" s="56" t="s">
        <v>149</v>
      </c>
      <c r="I1981" s="3"/>
      <c r="J1981" s="42"/>
      <c r="K1981" s="3"/>
    </row>
    <row r="1982" spans="1:11" x14ac:dyDescent="0.25">
      <c r="A1982" s="20">
        <v>42114</v>
      </c>
      <c r="B1982" s="183">
        <v>18519</v>
      </c>
      <c r="C1982" s="14" t="s">
        <v>90</v>
      </c>
      <c r="D1982" s="105">
        <v>1192.8</v>
      </c>
      <c r="E1982" s="23">
        <v>42114</v>
      </c>
      <c r="F1982" s="118">
        <v>1192.8</v>
      </c>
      <c r="G1982" s="31">
        <f t="shared" si="30"/>
        <v>0</v>
      </c>
      <c r="H1982" s="56" t="s">
        <v>9</v>
      </c>
      <c r="I1982" s="3"/>
      <c r="J1982" s="42"/>
      <c r="K1982" s="3"/>
    </row>
    <row r="1983" spans="1:11" x14ac:dyDescent="0.25">
      <c r="A1983" s="20">
        <v>42115</v>
      </c>
      <c r="B1983" s="183">
        <v>18520</v>
      </c>
      <c r="C1983" s="14" t="s">
        <v>111</v>
      </c>
      <c r="D1983" s="105">
        <v>110722</v>
      </c>
      <c r="E1983" s="23">
        <v>42117</v>
      </c>
      <c r="F1983" s="118">
        <v>110722</v>
      </c>
      <c r="G1983" s="31">
        <f t="shared" si="30"/>
        <v>0</v>
      </c>
      <c r="H1983" s="56" t="s">
        <v>9</v>
      </c>
      <c r="I1983" s="3"/>
      <c r="J1983" s="42"/>
      <c r="K1983" s="3"/>
    </row>
    <row r="1984" spans="1:11" x14ac:dyDescent="0.25">
      <c r="A1984" s="20">
        <v>42115</v>
      </c>
      <c r="B1984" s="183">
        <v>18521</v>
      </c>
      <c r="C1984" s="14" t="s">
        <v>111</v>
      </c>
      <c r="D1984" s="105">
        <v>71225</v>
      </c>
      <c r="E1984" s="23">
        <v>42117</v>
      </c>
      <c r="F1984" s="118">
        <v>71225</v>
      </c>
      <c r="G1984" s="31">
        <f t="shared" si="30"/>
        <v>0</v>
      </c>
      <c r="H1984" s="56" t="s">
        <v>9</v>
      </c>
      <c r="I1984" s="3"/>
      <c r="J1984" s="42"/>
      <c r="K1984" s="3"/>
    </row>
    <row r="1985" spans="1:11" x14ac:dyDescent="0.25">
      <c r="A1985" s="20">
        <v>42115</v>
      </c>
      <c r="B1985" s="183">
        <v>18522</v>
      </c>
      <c r="C1985" s="14" t="s">
        <v>851</v>
      </c>
      <c r="D1985" s="105">
        <v>2142</v>
      </c>
      <c r="E1985" s="23">
        <v>42115</v>
      </c>
      <c r="F1985" s="118">
        <v>2142</v>
      </c>
      <c r="G1985" s="31">
        <f t="shared" si="30"/>
        <v>0</v>
      </c>
      <c r="H1985" s="56" t="s">
        <v>9</v>
      </c>
      <c r="I1985" s="3"/>
      <c r="J1985" s="42"/>
      <c r="K1985" s="3"/>
    </row>
    <row r="1986" spans="1:11" x14ac:dyDescent="0.25">
      <c r="A1986" s="20">
        <v>42115</v>
      </c>
      <c r="B1986" s="183">
        <v>18523</v>
      </c>
      <c r="C1986" s="14" t="s">
        <v>18</v>
      </c>
      <c r="D1986" s="105">
        <v>2359.8000000000002</v>
      </c>
      <c r="E1986" s="23">
        <v>42115</v>
      </c>
      <c r="F1986" s="118">
        <v>2359.8000000000002</v>
      </c>
      <c r="G1986" s="31">
        <f t="shared" si="30"/>
        <v>0</v>
      </c>
      <c r="H1986" s="56" t="s">
        <v>9</v>
      </c>
      <c r="I1986" s="3"/>
      <c r="J1986" s="42"/>
      <c r="K1986" s="3"/>
    </row>
    <row r="1987" spans="1:11" x14ac:dyDescent="0.25">
      <c r="A1987" s="20">
        <v>42115</v>
      </c>
      <c r="B1987" s="183">
        <v>18524</v>
      </c>
      <c r="C1987" s="14" t="s">
        <v>229</v>
      </c>
      <c r="D1987" s="105">
        <v>1354</v>
      </c>
      <c r="E1987" s="23">
        <v>42115</v>
      </c>
      <c r="F1987" s="118">
        <v>1354</v>
      </c>
      <c r="G1987" s="31">
        <f t="shared" ref="G1987:G2050" si="31">D1987-F1987</f>
        <v>0</v>
      </c>
      <c r="H1987" s="56" t="s">
        <v>9</v>
      </c>
      <c r="I1987" s="3"/>
      <c r="J1987" s="42"/>
      <c r="K1987" s="3"/>
    </row>
    <row r="1988" spans="1:11" x14ac:dyDescent="0.25">
      <c r="A1988" s="20">
        <v>42115</v>
      </c>
      <c r="B1988" s="183">
        <v>18525</v>
      </c>
      <c r="C1988" s="14" t="s">
        <v>383</v>
      </c>
      <c r="D1988" s="105">
        <v>2776.2</v>
      </c>
      <c r="E1988" s="23">
        <v>42115</v>
      </c>
      <c r="F1988" s="118">
        <v>2776.2</v>
      </c>
      <c r="G1988" s="31">
        <f t="shared" si="31"/>
        <v>0</v>
      </c>
      <c r="H1988" s="56" t="s">
        <v>9</v>
      </c>
      <c r="I1988" s="3"/>
      <c r="J1988" s="42"/>
      <c r="K1988" s="3"/>
    </row>
    <row r="1989" spans="1:11" x14ac:dyDescent="0.25">
      <c r="A1989" s="20">
        <v>42115</v>
      </c>
      <c r="B1989" s="183">
        <v>18526</v>
      </c>
      <c r="C1989" s="14" t="s">
        <v>1012</v>
      </c>
      <c r="D1989" s="105">
        <v>13467.7</v>
      </c>
      <c r="E1989" s="23">
        <v>42115</v>
      </c>
      <c r="F1989" s="118">
        <v>13467.7</v>
      </c>
      <c r="G1989" s="31">
        <f t="shared" si="31"/>
        <v>0</v>
      </c>
      <c r="H1989" s="56" t="s">
        <v>9</v>
      </c>
      <c r="I1989" s="3"/>
      <c r="J1989" s="42"/>
      <c r="K1989" s="3"/>
    </row>
    <row r="1990" spans="1:11" x14ac:dyDescent="0.25">
      <c r="A1990" s="20">
        <v>42115</v>
      </c>
      <c r="B1990" s="183">
        <v>18527</v>
      </c>
      <c r="C1990" s="14" t="s">
        <v>863</v>
      </c>
      <c r="D1990" s="105">
        <v>5844.1</v>
      </c>
      <c r="E1990" s="23">
        <v>42115</v>
      </c>
      <c r="F1990" s="118">
        <v>5844.1</v>
      </c>
      <c r="G1990" s="31">
        <f t="shared" si="31"/>
        <v>0</v>
      </c>
      <c r="H1990" s="56" t="s">
        <v>9</v>
      </c>
      <c r="I1990" s="3"/>
      <c r="J1990" s="42"/>
      <c r="K1990" s="3"/>
    </row>
    <row r="1991" spans="1:11" x14ac:dyDescent="0.25">
      <c r="A1991" s="20">
        <v>42115</v>
      </c>
      <c r="B1991" s="183">
        <v>18528</v>
      </c>
      <c r="C1991" s="14" t="s">
        <v>14</v>
      </c>
      <c r="D1991" s="105">
        <v>20158.8</v>
      </c>
      <c r="E1991" s="30">
        <v>42126</v>
      </c>
      <c r="F1991" s="145">
        <v>20158.8</v>
      </c>
      <c r="G1991" s="31">
        <f t="shared" si="31"/>
        <v>0</v>
      </c>
      <c r="H1991" s="56" t="s">
        <v>15</v>
      </c>
      <c r="I1991" s="3"/>
      <c r="J1991" s="42"/>
      <c r="K1991" s="3"/>
    </row>
    <row r="1992" spans="1:11" x14ac:dyDescent="0.25">
      <c r="A1992" s="20">
        <v>42115</v>
      </c>
      <c r="B1992" s="183">
        <v>18529</v>
      </c>
      <c r="C1992" s="14" t="s">
        <v>14</v>
      </c>
      <c r="D1992" s="105">
        <v>1568.6</v>
      </c>
      <c r="E1992" s="23">
        <v>42117</v>
      </c>
      <c r="F1992" s="118">
        <v>1568.6</v>
      </c>
      <c r="G1992" s="31">
        <f t="shared" si="31"/>
        <v>0</v>
      </c>
      <c r="H1992" s="56" t="s">
        <v>15</v>
      </c>
      <c r="I1992" s="3"/>
      <c r="J1992" s="42"/>
      <c r="K1992" s="3"/>
    </row>
    <row r="1993" spans="1:11" x14ac:dyDescent="0.25">
      <c r="A1993" s="20">
        <v>42115</v>
      </c>
      <c r="B1993" s="183">
        <v>18530</v>
      </c>
      <c r="C1993" s="14" t="s">
        <v>24</v>
      </c>
      <c r="D1993" s="105">
        <v>37615.29</v>
      </c>
      <c r="E1993" s="30">
        <v>42144</v>
      </c>
      <c r="F1993" s="145">
        <v>37615.29</v>
      </c>
      <c r="G1993" s="31">
        <f t="shared" si="31"/>
        <v>0</v>
      </c>
      <c r="H1993" s="56" t="s">
        <v>773</v>
      </c>
      <c r="I1993" s="3"/>
      <c r="J1993" s="42"/>
      <c r="K1993" s="3"/>
    </row>
    <row r="1994" spans="1:11" x14ac:dyDescent="0.25">
      <c r="A1994" s="20">
        <v>42115</v>
      </c>
      <c r="B1994" s="183">
        <v>18531</v>
      </c>
      <c r="C1994" s="14" t="s">
        <v>211</v>
      </c>
      <c r="D1994" s="105">
        <v>57268.05</v>
      </c>
      <c r="E1994" s="23">
        <v>42119</v>
      </c>
      <c r="F1994" s="118">
        <v>57268.05</v>
      </c>
      <c r="G1994" s="31">
        <f t="shared" si="31"/>
        <v>0</v>
      </c>
      <c r="H1994" s="56" t="s">
        <v>9</v>
      </c>
      <c r="I1994" s="3"/>
      <c r="J1994" s="42"/>
      <c r="K1994" s="3"/>
    </row>
    <row r="1995" spans="1:11" x14ac:dyDescent="0.25">
      <c r="A1995" s="20">
        <v>42115</v>
      </c>
      <c r="B1995" s="183">
        <v>18532</v>
      </c>
      <c r="C1995" s="14" t="s">
        <v>1026</v>
      </c>
      <c r="D1995" s="105">
        <v>1551</v>
      </c>
      <c r="E1995" s="23">
        <v>42115</v>
      </c>
      <c r="F1995" s="118">
        <v>1551</v>
      </c>
      <c r="G1995" s="31">
        <f t="shared" si="31"/>
        <v>0</v>
      </c>
      <c r="H1995" s="56" t="s">
        <v>17</v>
      </c>
      <c r="I1995" s="3"/>
      <c r="J1995" s="42"/>
      <c r="K1995" s="3"/>
    </row>
    <row r="1996" spans="1:11" x14ac:dyDescent="0.25">
      <c r="A1996" s="20">
        <v>42115</v>
      </c>
      <c r="B1996" s="183">
        <v>18533</v>
      </c>
      <c r="C1996" s="14" t="s">
        <v>16</v>
      </c>
      <c r="D1996" s="105">
        <v>7193.6</v>
      </c>
      <c r="E1996" s="23">
        <v>42115</v>
      </c>
      <c r="F1996" s="118">
        <v>7193.6</v>
      </c>
      <c r="G1996" s="31">
        <f t="shared" si="31"/>
        <v>0</v>
      </c>
      <c r="H1996" s="56" t="s">
        <v>17</v>
      </c>
      <c r="I1996" s="3"/>
      <c r="J1996" s="42"/>
      <c r="K1996" s="3"/>
    </row>
    <row r="1997" spans="1:11" x14ac:dyDescent="0.25">
      <c r="A1997" s="20">
        <v>42115</v>
      </c>
      <c r="B1997" s="183">
        <v>18534</v>
      </c>
      <c r="C1997" s="14" t="s">
        <v>158</v>
      </c>
      <c r="D1997" s="105">
        <v>103.6</v>
      </c>
      <c r="E1997" s="23">
        <v>42115</v>
      </c>
      <c r="F1997" s="118">
        <v>103.6</v>
      </c>
      <c r="G1997" s="31">
        <f t="shared" si="31"/>
        <v>0</v>
      </c>
      <c r="H1997" s="56" t="s">
        <v>9</v>
      </c>
      <c r="I1997" s="3"/>
      <c r="J1997" s="42"/>
      <c r="K1997" s="3"/>
    </row>
    <row r="1998" spans="1:11" x14ac:dyDescent="0.25">
      <c r="A1998" s="20">
        <v>42115</v>
      </c>
      <c r="B1998" s="183">
        <v>18535</v>
      </c>
      <c r="C1998" s="150" t="s">
        <v>121</v>
      </c>
      <c r="D1998" s="105">
        <v>2160</v>
      </c>
      <c r="E1998" s="23">
        <v>42115</v>
      </c>
      <c r="F1998" s="118">
        <v>2160</v>
      </c>
      <c r="G1998" s="31">
        <f t="shared" si="31"/>
        <v>0</v>
      </c>
      <c r="H1998" s="56" t="s">
        <v>9</v>
      </c>
      <c r="I1998" s="3"/>
      <c r="J1998" s="42"/>
      <c r="K1998" s="3"/>
    </row>
    <row r="1999" spans="1:11" x14ac:dyDescent="0.25">
      <c r="A1999" s="20">
        <v>42115</v>
      </c>
      <c r="B1999" s="183">
        <v>18536</v>
      </c>
      <c r="C1999" s="14" t="s">
        <v>1141</v>
      </c>
      <c r="D1999" s="105">
        <v>345</v>
      </c>
      <c r="E1999" s="23">
        <v>42115</v>
      </c>
      <c r="F1999" s="118">
        <v>345</v>
      </c>
      <c r="G1999" s="31">
        <f t="shared" si="31"/>
        <v>0</v>
      </c>
      <c r="H1999" s="56" t="s">
        <v>9</v>
      </c>
      <c r="I1999" s="3"/>
      <c r="J1999" s="42"/>
      <c r="K1999" s="3"/>
    </row>
    <row r="2000" spans="1:11" x14ac:dyDescent="0.25">
      <c r="A2000" s="20">
        <v>42115</v>
      </c>
      <c r="B2000" s="183">
        <v>18537</v>
      </c>
      <c r="C2000" s="14" t="s">
        <v>829</v>
      </c>
      <c r="D2000" s="105">
        <v>5864.6</v>
      </c>
      <c r="E2000" s="23">
        <v>42115</v>
      </c>
      <c r="F2000" s="118">
        <v>5864.6</v>
      </c>
      <c r="G2000" s="31">
        <f t="shared" si="31"/>
        <v>0</v>
      </c>
      <c r="H2000" s="56" t="s">
        <v>9</v>
      </c>
      <c r="I2000" s="3"/>
      <c r="J2000" s="42"/>
      <c r="K2000" s="3"/>
    </row>
    <row r="2001" spans="1:11" x14ac:dyDescent="0.25">
      <c r="A2001" s="20">
        <v>42115</v>
      </c>
      <c r="B2001" s="183">
        <v>18538</v>
      </c>
      <c r="C2001" s="14" t="s">
        <v>604</v>
      </c>
      <c r="D2001" s="105">
        <v>3822</v>
      </c>
      <c r="E2001" s="23">
        <v>42115</v>
      </c>
      <c r="F2001" s="118">
        <v>3822</v>
      </c>
      <c r="G2001" s="31">
        <f t="shared" si="31"/>
        <v>0</v>
      </c>
      <c r="H2001" s="56" t="s">
        <v>9</v>
      </c>
      <c r="I2001" s="3"/>
      <c r="J2001" s="42"/>
      <c r="K2001" s="3"/>
    </row>
    <row r="2002" spans="1:11" x14ac:dyDescent="0.25">
      <c r="A2002" s="20">
        <v>42115</v>
      </c>
      <c r="B2002" s="183">
        <v>18539</v>
      </c>
      <c r="C2002" s="14" t="s">
        <v>114</v>
      </c>
      <c r="D2002" s="105">
        <v>1531.2</v>
      </c>
      <c r="E2002" s="23">
        <v>42115</v>
      </c>
      <c r="F2002" s="118">
        <v>1531.2</v>
      </c>
      <c r="G2002" s="31">
        <f t="shared" si="31"/>
        <v>0</v>
      </c>
      <c r="H2002" s="56" t="s">
        <v>9</v>
      </c>
      <c r="I2002" s="3"/>
      <c r="J2002" s="42"/>
      <c r="K2002" s="3"/>
    </row>
    <row r="2003" spans="1:11" x14ac:dyDescent="0.25">
      <c r="A2003" s="20">
        <v>42115</v>
      </c>
      <c r="B2003" s="183">
        <v>18540</v>
      </c>
      <c r="C2003" s="14" t="s">
        <v>21</v>
      </c>
      <c r="D2003" s="105">
        <v>6336.2</v>
      </c>
      <c r="E2003" s="23">
        <v>42115</v>
      </c>
      <c r="F2003" s="118">
        <v>6336.2</v>
      </c>
      <c r="G2003" s="31">
        <f t="shared" si="31"/>
        <v>0</v>
      </c>
      <c r="H2003" s="56" t="s">
        <v>9</v>
      </c>
      <c r="I2003" s="3"/>
      <c r="J2003" s="42"/>
      <c r="K2003" s="3"/>
    </row>
    <row r="2004" spans="1:11" x14ac:dyDescent="0.25">
      <c r="A2004" s="20">
        <v>42115</v>
      </c>
      <c r="B2004" s="183">
        <v>18541</v>
      </c>
      <c r="C2004" s="14" t="s">
        <v>1142</v>
      </c>
      <c r="D2004" s="105">
        <v>2019.6</v>
      </c>
      <c r="E2004" s="23">
        <v>42115</v>
      </c>
      <c r="F2004" s="106">
        <v>2019.6</v>
      </c>
      <c r="G2004" s="31">
        <f t="shared" si="31"/>
        <v>0</v>
      </c>
      <c r="H2004" s="56" t="s">
        <v>9</v>
      </c>
      <c r="I2004" s="3"/>
      <c r="J2004" s="42"/>
      <c r="K2004" s="3"/>
    </row>
    <row r="2005" spans="1:11" x14ac:dyDescent="0.25">
      <c r="A2005" s="20">
        <v>42115</v>
      </c>
      <c r="B2005" s="183">
        <v>18542</v>
      </c>
      <c r="C2005" s="14" t="s">
        <v>32</v>
      </c>
      <c r="D2005" s="105">
        <v>89645.4</v>
      </c>
      <c r="E2005" s="23">
        <v>42115</v>
      </c>
      <c r="F2005" s="106">
        <v>86645.4</v>
      </c>
      <c r="G2005" s="31">
        <f t="shared" si="31"/>
        <v>3000</v>
      </c>
      <c r="H2005" s="56" t="s">
        <v>19</v>
      </c>
      <c r="I2005" s="3"/>
      <c r="J2005" s="42"/>
      <c r="K2005" s="3"/>
    </row>
    <row r="2006" spans="1:11" x14ac:dyDescent="0.25">
      <c r="A2006" s="20">
        <v>42115</v>
      </c>
      <c r="B2006" s="183">
        <v>18543</v>
      </c>
      <c r="C2006" s="14" t="s">
        <v>237</v>
      </c>
      <c r="D2006" s="105">
        <v>200</v>
      </c>
      <c r="E2006" s="23">
        <v>42115</v>
      </c>
      <c r="F2006" s="106">
        <v>200</v>
      </c>
      <c r="G2006" s="31">
        <f t="shared" si="31"/>
        <v>0</v>
      </c>
      <c r="H2006" s="56" t="s">
        <v>9</v>
      </c>
      <c r="I2006" s="3"/>
      <c r="J2006" s="42"/>
      <c r="K2006" s="3"/>
    </row>
    <row r="2007" spans="1:11" x14ac:dyDescent="0.25">
      <c r="A2007" s="20">
        <v>42115</v>
      </c>
      <c r="B2007" s="183">
        <v>18544</v>
      </c>
      <c r="C2007" s="14" t="s">
        <v>169</v>
      </c>
      <c r="D2007" s="105">
        <v>1980</v>
      </c>
      <c r="E2007" s="23">
        <v>42115</v>
      </c>
      <c r="F2007" s="106">
        <v>1980</v>
      </c>
      <c r="G2007" s="31">
        <f t="shared" si="31"/>
        <v>0</v>
      </c>
      <c r="H2007" s="56" t="s">
        <v>94</v>
      </c>
      <c r="I2007" s="3"/>
      <c r="J2007" s="42"/>
      <c r="K2007" s="3"/>
    </row>
    <row r="2008" spans="1:11" x14ac:dyDescent="0.25">
      <c r="A2008" s="20">
        <v>42115</v>
      </c>
      <c r="B2008" s="183">
        <v>18545</v>
      </c>
      <c r="C2008" s="14" t="s">
        <v>169</v>
      </c>
      <c r="D2008" s="105">
        <v>2382.6</v>
      </c>
      <c r="E2008" s="23">
        <v>42115</v>
      </c>
      <c r="F2008" s="106">
        <v>2382.6</v>
      </c>
      <c r="G2008" s="31">
        <f t="shared" si="31"/>
        <v>0</v>
      </c>
      <c r="H2008" s="56" t="s">
        <v>94</v>
      </c>
      <c r="I2008" s="3"/>
      <c r="J2008" s="42"/>
      <c r="K2008" s="3"/>
    </row>
    <row r="2009" spans="1:11" x14ac:dyDescent="0.25">
      <c r="A2009" s="20">
        <v>42115</v>
      </c>
      <c r="B2009" s="183">
        <v>18546</v>
      </c>
      <c r="C2009" s="14" t="s">
        <v>53</v>
      </c>
      <c r="D2009" s="105">
        <v>808.5</v>
      </c>
      <c r="E2009" s="23">
        <v>42115</v>
      </c>
      <c r="F2009" s="106">
        <v>808.5</v>
      </c>
      <c r="G2009" s="31">
        <f t="shared" si="31"/>
        <v>0</v>
      </c>
      <c r="H2009" s="56" t="s">
        <v>94</v>
      </c>
      <c r="I2009" s="3"/>
      <c r="J2009" s="42"/>
      <c r="K2009" s="3"/>
    </row>
    <row r="2010" spans="1:11" x14ac:dyDescent="0.25">
      <c r="A2010" s="20">
        <v>42115</v>
      </c>
      <c r="B2010" s="183">
        <v>18547</v>
      </c>
      <c r="C2010" s="14" t="s">
        <v>83</v>
      </c>
      <c r="D2010" s="105">
        <v>4276.8</v>
      </c>
      <c r="E2010" s="23">
        <v>42115</v>
      </c>
      <c r="F2010" s="106">
        <v>4276.8</v>
      </c>
      <c r="G2010" s="31">
        <f t="shared" si="31"/>
        <v>0</v>
      </c>
      <c r="H2010" s="56" t="s">
        <v>94</v>
      </c>
      <c r="I2010" s="3"/>
      <c r="J2010" s="42"/>
      <c r="K2010" s="3"/>
    </row>
    <row r="2011" spans="1:11" x14ac:dyDescent="0.25">
      <c r="A2011" s="20">
        <v>42115</v>
      </c>
      <c r="B2011" s="183">
        <v>18548</v>
      </c>
      <c r="C2011" s="110">
        <v>105</v>
      </c>
      <c r="D2011" s="105">
        <v>1400</v>
      </c>
      <c r="E2011" s="23">
        <v>42115</v>
      </c>
      <c r="F2011" s="106">
        <v>1400</v>
      </c>
      <c r="G2011" s="31">
        <f t="shared" si="31"/>
        <v>0</v>
      </c>
      <c r="H2011" s="56" t="s">
        <v>94</v>
      </c>
      <c r="I2011" s="3"/>
      <c r="J2011" s="42"/>
      <c r="K2011" s="3"/>
    </row>
    <row r="2012" spans="1:11" x14ac:dyDescent="0.25">
      <c r="A2012" s="20">
        <v>42115</v>
      </c>
      <c r="B2012" s="183">
        <v>18549</v>
      </c>
      <c r="C2012" s="14" t="s">
        <v>120</v>
      </c>
      <c r="D2012" s="105">
        <v>1512.4</v>
      </c>
      <c r="E2012" s="23">
        <v>42115</v>
      </c>
      <c r="F2012" s="106">
        <v>1512.4</v>
      </c>
      <c r="G2012" s="31">
        <f t="shared" si="31"/>
        <v>0</v>
      </c>
      <c r="H2012" s="56" t="s">
        <v>94</v>
      </c>
      <c r="I2012" s="3"/>
      <c r="J2012" s="42"/>
      <c r="K2012" s="3"/>
    </row>
    <row r="2013" spans="1:11" x14ac:dyDescent="0.25">
      <c r="A2013" s="20">
        <v>42115</v>
      </c>
      <c r="B2013" s="183">
        <v>18550</v>
      </c>
      <c r="C2013" s="14" t="s">
        <v>26</v>
      </c>
      <c r="D2013" s="105">
        <v>1632</v>
      </c>
      <c r="E2013" s="23">
        <v>42115</v>
      </c>
      <c r="F2013" s="118">
        <v>1632</v>
      </c>
      <c r="G2013" s="31">
        <f t="shared" si="31"/>
        <v>0</v>
      </c>
      <c r="H2013" s="56" t="s">
        <v>94</v>
      </c>
      <c r="I2013" s="3"/>
      <c r="J2013" s="42"/>
      <c r="K2013" s="3"/>
    </row>
    <row r="2014" spans="1:11" x14ac:dyDescent="0.25">
      <c r="A2014" s="20">
        <v>42115</v>
      </c>
      <c r="B2014" s="183">
        <v>18551</v>
      </c>
      <c r="C2014" s="14" t="s">
        <v>1058</v>
      </c>
      <c r="D2014" s="105">
        <v>3331.8</v>
      </c>
      <c r="E2014" s="23">
        <v>42115</v>
      </c>
      <c r="F2014" s="118">
        <v>3331.8</v>
      </c>
      <c r="G2014" s="31">
        <f t="shared" si="31"/>
        <v>0</v>
      </c>
      <c r="H2014" s="56" t="s">
        <v>9</v>
      </c>
      <c r="I2014" s="3"/>
      <c r="J2014" s="42"/>
      <c r="K2014" s="3"/>
    </row>
    <row r="2015" spans="1:11" x14ac:dyDescent="0.25">
      <c r="A2015" s="20">
        <v>42115</v>
      </c>
      <c r="B2015" s="183">
        <v>18552</v>
      </c>
      <c r="C2015" s="14" t="s">
        <v>236</v>
      </c>
      <c r="D2015" s="105">
        <v>3864</v>
      </c>
      <c r="E2015" s="30" t="s">
        <v>1223</v>
      </c>
      <c r="F2015" s="145">
        <f>2753.46+1110.54</f>
        <v>3864</v>
      </c>
      <c r="G2015" s="31">
        <f t="shared" si="31"/>
        <v>0</v>
      </c>
      <c r="H2015" s="56" t="s">
        <v>41</v>
      </c>
      <c r="I2015" s="3"/>
      <c r="J2015" s="42"/>
      <c r="K2015" s="3"/>
    </row>
    <row r="2016" spans="1:11" x14ac:dyDescent="0.25">
      <c r="A2016" s="20">
        <v>42115</v>
      </c>
      <c r="B2016" s="183">
        <v>18553</v>
      </c>
      <c r="C2016" s="14" t="s">
        <v>82</v>
      </c>
      <c r="D2016" s="105">
        <v>2021.6</v>
      </c>
      <c r="E2016" s="23">
        <v>42115</v>
      </c>
      <c r="F2016" s="118">
        <v>2021.6</v>
      </c>
      <c r="G2016" s="31">
        <f t="shared" si="31"/>
        <v>0</v>
      </c>
      <c r="H2016" s="56" t="s">
        <v>94</v>
      </c>
      <c r="I2016" s="3"/>
      <c r="J2016" s="42"/>
      <c r="K2016" s="3"/>
    </row>
    <row r="2017" spans="1:11" x14ac:dyDescent="0.25">
      <c r="A2017" s="20">
        <v>42115</v>
      </c>
      <c r="B2017" s="183">
        <v>18554</v>
      </c>
      <c r="C2017" s="14" t="s">
        <v>133</v>
      </c>
      <c r="D2017" s="105">
        <v>1377</v>
      </c>
      <c r="E2017" s="23">
        <v>42115</v>
      </c>
      <c r="F2017" s="118">
        <v>1377</v>
      </c>
      <c r="G2017" s="31">
        <f t="shared" si="31"/>
        <v>0</v>
      </c>
      <c r="H2017" s="56" t="s">
        <v>9</v>
      </c>
      <c r="I2017" s="3"/>
      <c r="J2017" s="42"/>
      <c r="K2017" s="3"/>
    </row>
    <row r="2018" spans="1:11" x14ac:dyDescent="0.25">
      <c r="A2018" s="20">
        <v>42115</v>
      </c>
      <c r="B2018" s="183">
        <v>18555</v>
      </c>
      <c r="C2018" s="14" t="s">
        <v>31</v>
      </c>
      <c r="D2018" s="105">
        <v>2140</v>
      </c>
      <c r="E2018" s="23">
        <v>42115</v>
      </c>
      <c r="F2018" s="118">
        <v>2140</v>
      </c>
      <c r="G2018" s="31">
        <f t="shared" si="31"/>
        <v>0</v>
      </c>
      <c r="H2018" s="56" t="s">
        <v>94</v>
      </c>
      <c r="I2018" s="3"/>
      <c r="J2018" s="42"/>
      <c r="K2018" s="3"/>
    </row>
    <row r="2019" spans="1:11" x14ac:dyDescent="0.25">
      <c r="A2019" s="20">
        <v>42115</v>
      </c>
      <c r="B2019" s="183">
        <v>18556</v>
      </c>
      <c r="C2019" s="14" t="s">
        <v>110</v>
      </c>
      <c r="D2019" s="105">
        <v>3756.8</v>
      </c>
      <c r="E2019" s="30">
        <v>42126</v>
      </c>
      <c r="F2019" s="145">
        <v>3756.8</v>
      </c>
      <c r="G2019" s="31">
        <f t="shared" si="31"/>
        <v>0</v>
      </c>
      <c r="H2019" s="56" t="s">
        <v>62</v>
      </c>
      <c r="I2019" s="3"/>
      <c r="J2019" s="42"/>
      <c r="K2019" s="3"/>
    </row>
    <row r="2020" spans="1:11" x14ac:dyDescent="0.25">
      <c r="A2020" s="20">
        <v>42115</v>
      </c>
      <c r="B2020" s="183">
        <v>18557</v>
      </c>
      <c r="C2020" s="14" t="s">
        <v>375</v>
      </c>
      <c r="D2020" s="105">
        <v>2201.4</v>
      </c>
      <c r="E2020" s="23">
        <v>42115</v>
      </c>
      <c r="F2020" s="118">
        <v>2201.4</v>
      </c>
      <c r="G2020" s="31">
        <f t="shared" si="31"/>
        <v>0</v>
      </c>
      <c r="H2020" s="56" t="s">
        <v>9</v>
      </c>
      <c r="I2020" s="3"/>
      <c r="J2020" s="42"/>
      <c r="K2020" s="3"/>
    </row>
    <row r="2021" spans="1:11" x14ac:dyDescent="0.25">
      <c r="A2021" s="20">
        <v>42115</v>
      </c>
      <c r="B2021" s="183">
        <v>18558</v>
      </c>
      <c r="C2021" s="14" t="s">
        <v>215</v>
      </c>
      <c r="D2021" s="105">
        <v>13356.4</v>
      </c>
      <c r="E2021" s="23">
        <v>42115</v>
      </c>
      <c r="F2021" s="118">
        <v>13356.4</v>
      </c>
      <c r="G2021" s="31">
        <f t="shared" si="31"/>
        <v>0</v>
      </c>
      <c r="H2021" s="56" t="s">
        <v>62</v>
      </c>
      <c r="I2021" s="3"/>
      <c r="J2021" s="42"/>
      <c r="K2021" s="3"/>
    </row>
    <row r="2022" spans="1:11" x14ac:dyDescent="0.25">
      <c r="A2022" s="20">
        <v>42115</v>
      </c>
      <c r="B2022" s="183">
        <v>18559</v>
      </c>
      <c r="C2022" s="14" t="s">
        <v>34</v>
      </c>
      <c r="D2022" s="105">
        <v>3225.6</v>
      </c>
      <c r="E2022" s="23">
        <v>42115</v>
      </c>
      <c r="F2022" s="118">
        <v>3225.6</v>
      </c>
      <c r="G2022" s="31">
        <f t="shared" si="31"/>
        <v>0</v>
      </c>
      <c r="H2022" s="56" t="s">
        <v>9</v>
      </c>
      <c r="I2022" s="3"/>
      <c r="J2022" s="42"/>
      <c r="K2022" s="3"/>
    </row>
    <row r="2023" spans="1:11" x14ac:dyDescent="0.25">
      <c r="A2023" s="20">
        <v>42115</v>
      </c>
      <c r="B2023" s="183">
        <v>18560</v>
      </c>
      <c r="C2023" s="14" t="s">
        <v>664</v>
      </c>
      <c r="D2023" s="105">
        <v>1404</v>
      </c>
      <c r="E2023" s="23">
        <v>42115</v>
      </c>
      <c r="F2023" s="118">
        <v>1404</v>
      </c>
      <c r="G2023" s="31">
        <f t="shared" si="31"/>
        <v>0</v>
      </c>
      <c r="H2023" s="56" t="s">
        <v>94</v>
      </c>
      <c r="I2023" s="3"/>
      <c r="J2023" s="42"/>
      <c r="K2023" s="3"/>
    </row>
    <row r="2024" spans="1:11" x14ac:dyDescent="0.25">
      <c r="A2024" s="20">
        <v>42115</v>
      </c>
      <c r="B2024" s="183">
        <v>18561</v>
      </c>
      <c r="C2024" s="14" t="s">
        <v>168</v>
      </c>
      <c r="D2024" s="105">
        <v>4338.3999999999996</v>
      </c>
      <c r="E2024" s="23">
        <v>42115</v>
      </c>
      <c r="F2024" s="118">
        <v>4338.3999999999996</v>
      </c>
      <c r="G2024" s="31">
        <f t="shared" si="31"/>
        <v>0</v>
      </c>
      <c r="H2024" s="56" t="s">
        <v>9</v>
      </c>
      <c r="I2024" s="3"/>
      <c r="J2024" s="42"/>
      <c r="K2024" s="3"/>
    </row>
    <row r="2025" spans="1:11" x14ac:dyDescent="0.25">
      <c r="A2025" s="20">
        <v>42115</v>
      </c>
      <c r="B2025" s="183">
        <v>18562</v>
      </c>
      <c r="C2025" s="14" t="s">
        <v>102</v>
      </c>
      <c r="D2025" s="105">
        <v>2244.1</v>
      </c>
      <c r="E2025" s="23">
        <v>42115</v>
      </c>
      <c r="F2025" s="118">
        <v>2244.1</v>
      </c>
      <c r="G2025" s="31">
        <f t="shared" si="31"/>
        <v>0</v>
      </c>
      <c r="H2025" s="56" t="s">
        <v>9</v>
      </c>
      <c r="I2025" s="3"/>
      <c r="J2025" s="42"/>
      <c r="K2025" s="3"/>
    </row>
    <row r="2026" spans="1:11" x14ac:dyDescent="0.25">
      <c r="A2026" s="20">
        <v>42115</v>
      </c>
      <c r="B2026" s="183">
        <v>18563</v>
      </c>
      <c r="C2026" s="14" t="s">
        <v>126</v>
      </c>
      <c r="D2026" s="105">
        <v>4881.8</v>
      </c>
      <c r="E2026" s="23">
        <v>42115</v>
      </c>
      <c r="F2026" s="118">
        <v>4881.8</v>
      </c>
      <c r="G2026" s="31">
        <f t="shared" si="31"/>
        <v>0</v>
      </c>
      <c r="H2026" s="56" t="s">
        <v>94</v>
      </c>
      <c r="I2026" s="3"/>
      <c r="J2026" s="42"/>
      <c r="K2026" s="3"/>
    </row>
    <row r="2027" spans="1:11" x14ac:dyDescent="0.25">
      <c r="A2027" s="20">
        <v>42115</v>
      </c>
      <c r="B2027" s="183">
        <v>18564</v>
      </c>
      <c r="C2027" s="14" t="s">
        <v>135</v>
      </c>
      <c r="D2027" s="105">
        <v>160</v>
      </c>
      <c r="E2027" s="23">
        <v>42115</v>
      </c>
      <c r="F2027" s="118">
        <v>160</v>
      </c>
      <c r="G2027" s="31">
        <f t="shared" si="31"/>
        <v>0</v>
      </c>
      <c r="H2027" s="56" t="s">
        <v>9</v>
      </c>
      <c r="I2027" s="3"/>
      <c r="J2027" s="42"/>
      <c r="K2027" s="3"/>
    </row>
    <row r="2028" spans="1:11" x14ac:dyDescent="0.25">
      <c r="A2028" s="20">
        <v>42115</v>
      </c>
      <c r="B2028" s="183">
        <v>18565</v>
      </c>
      <c r="C2028" s="14" t="s">
        <v>151</v>
      </c>
      <c r="D2028" s="105">
        <v>1734</v>
      </c>
      <c r="E2028" s="23">
        <v>42116</v>
      </c>
      <c r="F2028" s="118">
        <v>1734</v>
      </c>
      <c r="G2028" s="31">
        <f t="shared" si="31"/>
        <v>0</v>
      </c>
      <c r="H2028" s="56" t="s">
        <v>9</v>
      </c>
      <c r="I2028" s="3"/>
      <c r="J2028" s="42"/>
      <c r="K2028" s="3"/>
    </row>
    <row r="2029" spans="1:11" x14ac:dyDescent="0.25">
      <c r="A2029" s="20">
        <v>42115</v>
      </c>
      <c r="B2029" s="183">
        <v>18566</v>
      </c>
      <c r="C2029" s="14" t="s">
        <v>45</v>
      </c>
      <c r="D2029" s="105">
        <v>15428.2</v>
      </c>
      <c r="E2029" s="30">
        <v>42125</v>
      </c>
      <c r="F2029" s="145">
        <v>15428.2</v>
      </c>
      <c r="G2029" s="31">
        <f t="shared" si="31"/>
        <v>0</v>
      </c>
      <c r="H2029" s="56" t="s">
        <v>94</v>
      </c>
      <c r="I2029" s="3"/>
      <c r="J2029" s="42"/>
      <c r="K2029" s="3"/>
    </row>
    <row r="2030" spans="1:11" x14ac:dyDescent="0.25">
      <c r="A2030" s="20">
        <v>42115</v>
      </c>
      <c r="B2030" s="183">
        <v>18567</v>
      </c>
      <c r="C2030" s="14" t="s">
        <v>131</v>
      </c>
      <c r="D2030" s="105">
        <v>6637.3</v>
      </c>
      <c r="E2030" s="23">
        <v>42115</v>
      </c>
      <c r="F2030" s="118">
        <v>6637.3</v>
      </c>
      <c r="G2030" s="31">
        <f t="shared" si="31"/>
        <v>0</v>
      </c>
      <c r="H2030" s="56" t="s">
        <v>9</v>
      </c>
      <c r="I2030" s="3"/>
      <c r="J2030" s="42"/>
      <c r="K2030" s="3"/>
    </row>
    <row r="2031" spans="1:11" x14ac:dyDescent="0.25">
      <c r="A2031" s="20">
        <v>42115</v>
      </c>
      <c r="B2031" s="183">
        <v>18568</v>
      </c>
      <c r="C2031" s="14" t="s">
        <v>43</v>
      </c>
      <c r="D2031" s="105">
        <v>7108.1</v>
      </c>
      <c r="E2031" s="23">
        <v>42115</v>
      </c>
      <c r="F2031" s="118">
        <v>7108.1</v>
      </c>
      <c r="G2031" s="31">
        <f t="shared" si="31"/>
        <v>0</v>
      </c>
      <c r="H2031" s="56" t="s">
        <v>9</v>
      </c>
      <c r="I2031" s="3"/>
      <c r="J2031" s="42"/>
      <c r="K2031" s="3"/>
    </row>
    <row r="2032" spans="1:11" x14ac:dyDescent="0.25">
      <c r="A2032" s="20">
        <v>42115</v>
      </c>
      <c r="B2032" s="183">
        <v>18569</v>
      </c>
      <c r="C2032" s="14" t="s">
        <v>213</v>
      </c>
      <c r="D2032" s="105">
        <v>26793.78</v>
      </c>
      <c r="E2032" s="23">
        <v>42115</v>
      </c>
      <c r="F2032" s="118">
        <v>26793.78</v>
      </c>
      <c r="G2032" s="31">
        <f t="shared" si="31"/>
        <v>0</v>
      </c>
      <c r="H2032" s="56" t="s">
        <v>1013</v>
      </c>
      <c r="I2032" s="3"/>
      <c r="J2032" s="42"/>
      <c r="K2032" s="3"/>
    </row>
    <row r="2033" spans="1:11" x14ac:dyDescent="0.25">
      <c r="A2033" s="20">
        <v>42115</v>
      </c>
      <c r="B2033" s="183">
        <v>18570</v>
      </c>
      <c r="C2033" s="14" t="s">
        <v>1143</v>
      </c>
      <c r="D2033" s="105">
        <v>578.4</v>
      </c>
      <c r="E2033" s="23">
        <v>42115</v>
      </c>
      <c r="F2033" s="118">
        <v>578.4</v>
      </c>
      <c r="G2033" s="31">
        <f t="shared" si="31"/>
        <v>0</v>
      </c>
      <c r="H2033" s="56" t="s">
        <v>9</v>
      </c>
      <c r="I2033" s="3"/>
      <c r="J2033" s="42"/>
      <c r="K2033" s="3"/>
    </row>
    <row r="2034" spans="1:11" x14ac:dyDescent="0.25">
      <c r="A2034" s="20">
        <v>42115</v>
      </c>
      <c r="B2034" s="183">
        <v>18571</v>
      </c>
      <c r="C2034" s="14" t="s">
        <v>136</v>
      </c>
      <c r="D2034" s="105">
        <v>540</v>
      </c>
      <c r="E2034" s="23">
        <v>42115</v>
      </c>
      <c r="F2034" s="118">
        <v>540</v>
      </c>
      <c r="G2034" s="31">
        <f t="shared" si="31"/>
        <v>0</v>
      </c>
      <c r="H2034" s="56" t="s">
        <v>9</v>
      </c>
      <c r="I2034" s="3"/>
      <c r="J2034" s="42"/>
      <c r="K2034" s="3"/>
    </row>
    <row r="2035" spans="1:11" x14ac:dyDescent="0.25">
      <c r="A2035" s="20">
        <v>42115</v>
      </c>
      <c r="B2035" s="183">
        <v>18572</v>
      </c>
      <c r="C2035" s="14" t="s">
        <v>89</v>
      </c>
      <c r="D2035" s="105">
        <v>3529.4</v>
      </c>
      <c r="E2035" s="23">
        <v>42115</v>
      </c>
      <c r="F2035" s="118">
        <v>3529.4</v>
      </c>
      <c r="G2035" s="31">
        <f t="shared" si="31"/>
        <v>0</v>
      </c>
      <c r="H2035" s="56" t="s">
        <v>9</v>
      </c>
      <c r="I2035" s="3"/>
      <c r="J2035" s="42"/>
      <c r="K2035" s="3"/>
    </row>
    <row r="2036" spans="1:11" x14ac:dyDescent="0.25">
      <c r="A2036" s="20">
        <v>42115</v>
      </c>
      <c r="B2036" s="183">
        <v>18573</v>
      </c>
      <c r="C2036" s="14" t="s">
        <v>130</v>
      </c>
      <c r="D2036" s="105">
        <v>3433.9</v>
      </c>
      <c r="E2036" s="23">
        <v>42115</v>
      </c>
      <c r="F2036" s="118">
        <v>3433.9</v>
      </c>
      <c r="G2036" s="31">
        <f t="shared" si="31"/>
        <v>0</v>
      </c>
      <c r="H2036" s="56" t="s">
        <v>17</v>
      </c>
      <c r="I2036" s="3"/>
      <c r="J2036" s="42"/>
      <c r="K2036" s="3"/>
    </row>
    <row r="2037" spans="1:11" x14ac:dyDescent="0.25">
      <c r="A2037" s="20">
        <v>42115</v>
      </c>
      <c r="B2037" s="183">
        <v>18574</v>
      </c>
      <c r="C2037" s="14" t="s">
        <v>128</v>
      </c>
      <c r="D2037" s="105">
        <v>6081.2</v>
      </c>
      <c r="E2037" s="23" t="s">
        <v>1144</v>
      </c>
      <c r="F2037" s="118">
        <f>5901.2+180</f>
        <v>6081.2</v>
      </c>
      <c r="G2037" s="31">
        <f t="shared" si="31"/>
        <v>0</v>
      </c>
      <c r="H2037" s="56" t="s">
        <v>17</v>
      </c>
      <c r="I2037" s="3"/>
      <c r="J2037" s="42"/>
      <c r="K2037" s="3"/>
    </row>
    <row r="2038" spans="1:11" x14ac:dyDescent="0.25">
      <c r="A2038" s="20">
        <v>42115</v>
      </c>
      <c r="B2038" s="183">
        <v>18575</v>
      </c>
      <c r="C2038" s="14" t="s">
        <v>299</v>
      </c>
      <c r="D2038" s="105">
        <v>2003.4</v>
      </c>
      <c r="E2038" s="23">
        <v>42115</v>
      </c>
      <c r="F2038" s="118">
        <v>2003.4</v>
      </c>
      <c r="G2038" s="31">
        <f t="shared" si="31"/>
        <v>0</v>
      </c>
      <c r="H2038" s="56" t="s">
        <v>17</v>
      </c>
      <c r="I2038" s="3"/>
      <c r="J2038" s="42"/>
      <c r="K2038" s="3"/>
    </row>
    <row r="2039" spans="1:11" x14ac:dyDescent="0.25">
      <c r="A2039" s="20">
        <v>42115</v>
      </c>
      <c r="B2039" s="183">
        <v>18576</v>
      </c>
      <c r="C2039" s="14" t="s">
        <v>143</v>
      </c>
      <c r="D2039" s="122">
        <v>10962</v>
      </c>
      <c r="E2039" s="23">
        <v>42116</v>
      </c>
      <c r="F2039" s="118">
        <v>10962</v>
      </c>
      <c r="G2039" s="31">
        <f t="shared" si="31"/>
        <v>0</v>
      </c>
      <c r="H2039" s="56" t="s">
        <v>17</v>
      </c>
      <c r="I2039" s="3"/>
      <c r="J2039" s="42"/>
      <c r="K2039" s="3"/>
    </row>
    <row r="2040" spans="1:11" x14ac:dyDescent="0.25">
      <c r="A2040" s="20">
        <v>42115</v>
      </c>
      <c r="B2040" s="183">
        <v>18577</v>
      </c>
      <c r="C2040" s="14" t="s">
        <v>185</v>
      </c>
      <c r="D2040" s="105">
        <v>41434.400000000001</v>
      </c>
      <c r="E2040" s="23">
        <v>42115</v>
      </c>
      <c r="F2040" s="118">
        <v>41434.400000000001</v>
      </c>
      <c r="G2040" s="31">
        <f t="shared" si="31"/>
        <v>0</v>
      </c>
      <c r="H2040" s="56" t="s">
        <v>773</v>
      </c>
      <c r="I2040" s="3"/>
      <c r="J2040" s="42"/>
      <c r="K2040" s="3"/>
    </row>
    <row r="2041" spans="1:11" x14ac:dyDescent="0.25">
      <c r="A2041" s="20">
        <v>42115</v>
      </c>
      <c r="B2041" s="183">
        <v>18578</v>
      </c>
      <c r="C2041" s="14" t="s">
        <v>285</v>
      </c>
      <c r="D2041" s="105">
        <v>588</v>
      </c>
      <c r="E2041" s="23">
        <v>42116</v>
      </c>
      <c r="F2041" s="118">
        <v>588</v>
      </c>
      <c r="G2041" s="31">
        <f t="shared" si="31"/>
        <v>0</v>
      </c>
      <c r="H2041" s="56" t="s">
        <v>312</v>
      </c>
      <c r="I2041" s="3"/>
      <c r="J2041" s="42"/>
      <c r="K2041" s="3"/>
    </row>
    <row r="2042" spans="1:11" x14ac:dyDescent="0.25">
      <c r="A2042" s="20">
        <v>42115</v>
      </c>
      <c r="B2042" s="183">
        <v>18579</v>
      </c>
      <c r="C2042" s="14" t="s">
        <v>106</v>
      </c>
      <c r="D2042" s="105">
        <v>5734</v>
      </c>
      <c r="E2042" s="23">
        <v>42116</v>
      </c>
      <c r="F2042" s="118">
        <v>5734</v>
      </c>
      <c r="G2042" s="31">
        <f t="shared" si="31"/>
        <v>0</v>
      </c>
      <c r="H2042" s="56" t="s">
        <v>15</v>
      </c>
      <c r="I2042" s="3"/>
      <c r="J2042" s="42"/>
      <c r="K2042" s="3"/>
    </row>
    <row r="2043" spans="1:11" x14ac:dyDescent="0.25">
      <c r="A2043" s="20">
        <v>42115</v>
      </c>
      <c r="B2043" s="183">
        <v>18580</v>
      </c>
      <c r="C2043" s="14" t="s">
        <v>319</v>
      </c>
      <c r="D2043" s="105">
        <v>5000.3999999999996</v>
      </c>
      <c r="E2043" s="23">
        <v>42115</v>
      </c>
      <c r="F2043" s="118">
        <v>5000.3999999999996</v>
      </c>
      <c r="G2043" s="31">
        <f t="shared" si="31"/>
        <v>0</v>
      </c>
      <c r="H2043" s="56" t="s">
        <v>9</v>
      </c>
      <c r="I2043" s="3"/>
      <c r="J2043" s="42"/>
      <c r="K2043" s="3"/>
    </row>
    <row r="2044" spans="1:11" x14ac:dyDescent="0.25">
      <c r="A2044" s="20">
        <v>42115</v>
      </c>
      <c r="B2044" s="183">
        <v>18581</v>
      </c>
      <c r="C2044" s="14" t="s">
        <v>66</v>
      </c>
      <c r="D2044" s="105">
        <v>1339.2</v>
      </c>
      <c r="E2044" s="23">
        <v>42115</v>
      </c>
      <c r="F2044" s="118">
        <v>1339.2</v>
      </c>
      <c r="G2044" s="31">
        <f t="shared" si="31"/>
        <v>0</v>
      </c>
      <c r="H2044" s="56" t="s">
        <v>9</v>
      </c>
      <c r="I2044" s="3"/>
      <c r="J2044" s="42"/>
      <c r="K2044" s="3"/>
    </row>
    <row r="2045" spans="1:11" x14ac:dyDescent="0.25">
      <c r="A2045" s="20">
        <v>42115</v>
      </c>
      <c r="B2045" s="183">
        <v>18582</v>
      </c>
      <c r="C2045" s="14" t="s">
        <v>134</v>
      </c>
      <c r="D2045" s="105">
        <v>2230.8000000000002</v>
      </c>
      <c r="E2045" s="23">
        <v>42115</v>
      </c>
      <c r="F2045" s="118">
        <v>2230.8000000000002</v>
      </c>
      <c r="G2045" s="31">
        <f t="shared" si="31"/>
        <v>0</v>
      </c>
      <c r="H2045" s="56" t="s">
        <v>1013</v>
      </c>
      <c r="I2045" s="3"/>
      <c r="J2045" s="42"/>
      <c r="K2045" s="3"/>
    </row>
    <row r="2046" spans="1:11" x14ac:dyDescent="0.25">
      <c r="A2046" s="20">
        <v>42115</v>
      </c>
      <c r="B2046" s="183">
        <v>18583</v>
      </c>
      <c r="C2046" s="14" t="s">
        <v>388</v>
      </c>
      <c r="D2046" s="105">
        <v>396.8</v>
      </c>
      <c r="E2046" s="23">
        <v>42115</v>
      </c>
      <c r="F2046" s="118">
        <v>396.8</v>
      </c>
      <c r="G2046" s="31">
        <f t="shared" si="31"/>
        <v>0</v>
      </c>
      <c r="H2046" s="56" t="s">
        <v>9</v>
      </c>
      <c r="I2046" s="3"/>
      <c r="J2046" s="42"/>
      <c r="K2046" s="3"/>
    </row>
    <row r="2047" spans="1:11" x14ac:dyDescent="0.25">
      <c r="A2047" s="20">
        <v>42115</v>
      </c>
      <c r="B2047" s="183">
        <v>18584</v>
      </c>
      <c r="C2047" s="14" t="s">
        <v>1145</v>
      </c>
      <c r="D2047" s="105">
        <v>706</v>
      </c>
      <c r="E2047" s="23">
        <v>42115</v>
      </c>
      <c r="F2047" s="118">
        <v>706</v>
      </c>
      <c r="G2047" s="31">
        <f t="shared" si="31"/>
        <v>0</v>
      </c>
      <c r="H2047" s="56" t="s">
        <v>9</v>
      </c>
      <c r="I2047" s="3"/>
      <c r="J2047" s="42"/>
      <c r="K2047" s="3"/>
    </row>
    <row r="2048" spans="1:11" x14ac:dyDescent="0.25">
      <c r="A2048" s="20">
        <v>42115</v>
      </c>
      <c r="B2048" s="183">
        <v>18585</v>
      </c>
      <c r="C2048" s="14" t="s">
        <v>138</v>
      </c>
      <c r="D2048" s="105">
        <v>8115.2</v>
      </c>
      <c r="E2048" s="23">
        <v>42115</v>
      </c>
      <c r="F2048" s="118">
        <v>8115.2</v>
      </c>
      <c r="G2048" s="31">
        <f t="shared" si="31"/>
        <v>0</v>
      </c>
      <c r="H2048" s="62" t="s">
        <v>9</v>
      </c>
      <c r="I2048" s="3"/>
      <c r="J2048" s="42"/>
      <c r="K2048" s="3"/>
    </row>
    <row r="2049" spans="1:11" x14ac:dyDescent="0.25">
      <c r="A2049" s="20">
        <v>42115</v>
      </c>
      <c r="B2049" s="183">
        <v>18586</v>
      </c>
      <c r="C2049" s="14" t="s">
        <v>162</v>
      </c>
      <c r="D2049" s="105">
        <v>4063.8</v>
      </c>
      <c r="E2049" s="23">
        <v>42115</v>
      </c>
      <c r="F2049" s="118">
        <v>4063.8</v>
      </c>
      <c r="G2049" s="31">
        <f t="shared" si="31"/>
        <v>0</v>
      </c>
      <c r="H2049" s="62" t="s">
        <v>62</v>
      </c>
      <c r="I2049" s="3"/>
      <c r="J2049" s="42"/>
      <c r="K2049" s="3"/>
    </row>
    <row r="2050" spans="1:11" x14ac:dyDescent="0.25">
      <c r="A2050" s="20">
        <v>42115</v>
      </c>
      <c r="B2050" s="183">
        <v>18587</v>
      </c>
      <c r="C2050" s="14" t="s">
        <v>256</v>
      </c>
      <c r="D2050" s="105">
        <v>4072.2</v>
      </c>
      <c r="E2050" s="23">
        <v>42115</v>
      </c>
      <c r="F2050" s="118">
        <v>4072.2</v>
      </c>
      <c r="G2050" s="31">
        <f t="shared" si="31"/>
        <v>0</v>
      </c>
      <c r="H2050" s="62" t="s">
        <v>62</v>
      </c>
      <c r="I2050" s="3"/>
      <c r="J2050" s="42"/>
      <c r="K2050" s="3"/>
    </row>
    <row r="2051" spans="1:11" x14ac:dyDescent="0.25">
      <c r="A2051" s="20">
        <v>42115</v>
      </c>
      <c r="B2051" s="183">
        <v>18588</v>
      </c>
      <c r="C2051" s="14" t="s">
        <v>56</v>
      </c>
      <c r="D2051" s="105">
        <v>15388.6</v>
      </c>
      <c r="E2051" s="23">
        <v>42115</v>
      </c>
      <c r="F2051" s="118">
        <v>15388.6</v>
      </c>
      <c r="G2051" s="31">
        <f t="shared" ref="G2051:G2114" si="32">D2051-F2051</f>
        <v>0</v>
      </c>
      <c r="H2051" s="62" t="s">
        <v>62</v>
      </c>
      <c r="I2051" s="3"/>
      <c r="J2051" s="42"/>
      <c r="K2051" s="3"/>
    </row>
    <row r="2052" spans="1:11" x14ac:dyDescent="0.25">
      <c r="A2052" s="20">
        <v>42115</v>
      </c>
      <c r="B2052" s="183">
        <v>18589</v>
      </c>
      <c r="C2052" s="14" t="s">
        <v>136</v>
      </c>
      <c r="D2052" s="105">
        <v>18128.8</v>
      </c>
      <c r="E2052" s="23">
        <v>42115</v>
      </c>
      <c r="F2052" s="118">
        <v>18128.8</v>
      </c>
      <c r="G2052" s="31">
        <f t="shared" si="32"/>
        <v>0</v>
      </c>
      <c r="H2052" s="62" t="s">
        <v>9</v>
      </c>
      <c r="I2052" s="3"/>
      <c r="J2052" s="42"/>
      <c r="K2052" s="3"/>
    </row>
    <row r="2053" spans="1:11" x14ac:dyDescent="0.25">
      <c r="A2053" s="20">
        <v>42115</v>
      </c>
      <c r="B2053" s="183">
        <v>18590</v>
      </c>
      <c r="C2053" s="26" t="s">
        <v>218</v>
      </c>
      <c r="D2053" s="108">
        <v>0</v>
      </c>
      <c r="E2053" s="23"/>
      <c r="F2053" s="118"/>
      <c r="G2053" s="31">
        <f t="shared" si="32"/>
        <v>0</v>
      </c>
      <c r="H2053" s="62" t="s">
        <v>13</v>
      </c>
      <c r="I2053" s="3"/>
      <c r="J2053" s="42"/>
      <c r="K2053" s="3"/>
    </row>
    <row r="2054" spans="1:11" x14ac:dyDescent="0.25">
      <c r="A2054" s="20">
        <v>42115</v>
      </c>
      <c r="B2054" s="183">
        <v>18591</v>
      </c>
      <c r="C2054" s="14" t="s">
        <v>252</v>
      </c>
      <c r="D2054" s="105">
        <v>10851</v>
      </c>
      <c r="E2054" s="23">
        <v>42115</v>
      </c>
      <c r="F2054" s="118">
        <v>10851</v>
      </c>
      <c r="G2054" s="31">
        <f t="shared" si="32"/>
        <v>0</v>
      </c>
      <c r="H2054" s="62" t="s">
        <v>9</v>
      </c>
      <c r="I2054" s="3"/>
      <c r="J2054" s="42"/>
      <c r="K2054" s="3"/>
    </row>
    <row r="2055" spans="1:11" x14ac:dyDescent="0.25">
      <c r="A2055" s="20">
        <v>42115</v>
      </c>
      <c r="B2055" s="183">
        <v>18592</v>
      </c>
      <c r="C2055" s="14" t="s">
        <v>1146</v>
      </c>
      <c r="D2055" s="105">
        <v>4167.6000000000004</v>
      </c>
      <c r="E2055" s="23">
        <v>42115</v>
      </c>
      <c r="F2055" s="118">
        <v>4167.6000000000004</v>
      </c>
      <c r="G2055" s="31">
        <f t="shared" si="32"/>
        <v>0</v>
      </c>
      <c r="H2055" s="62" t="s">
        <v>9</v>
      </c>
      <c r="I2055" s="3"/>
      <c r="J2055" s="42"/>
      <c r="K2055" s="3"/>
    </row>
    <row r="2056" spans="1:11" x14ac:dyDescent="0.25">
      <c r="A2056" s="20">
        <v>42115</v>
      </c>
      <c r="B2056" s="183">
        <v>18593</v>
      </c>
      <c r="C2056" s="14" t="s">
        <v>24</v>
      </c>
      <c r="D2056" s="105">
        <v>53147.7</v>
      </c>
      <c r="E2056" s="30">
        <v>42144</v>
      </c>
      <c r="F2056" s="145">
        <v>53147.7</v>
      </c>
      <c r="G2056" s="31">
        <f t="shared" si="32"/>
        <v>0</v>
      </c>
      <c r="H2056" s="62" t="s">
        <v>1013</v>
      </c>
      <c r="I2056" s="3"/>
      <c r="J2056" s="42"/>
      <c r="K2056" s="3"/>
    </row>
    <row r="2057" spans="1:11" x14ac:dyDescent="0.25">
      <c r="A2057" s="20">
        <v>42115</v>
      </c>
      <c r="B2057" s="183">
        <v>18594</v>
      </c>
      <c r="C2057" s="14" t="s">
        <v>207</v>
      </c>
      <c r="D2057" s="105">
        <v>24688.799999999999</v>
      </c>
      <c r="E2057" s="23">
        <v>42119</v>
      </c>
      <c r="F2057" s="118">
        <v>24688.799999999999</v>
      </c>
      <c r="G2057" s="31">
        <f t="shared" si="32"/>
        <v>0</v>
      </c>
      <c r="H2057" s="62" t="s">
        <v>41</v>
      </c>
      <c r="I2057" s="3"/>
      <c r="J2057" s="42"/>
      <c r="K2057" s="3"/>
    </row>
    <row r="2058" spans="1:11" x14ac:dyDescent="0.25">
      <c r="A2058" s="20">
        <v>42115</v>
      </c>
      <c r="B2058" s="183">
        <v>18595</v>
      </c>
      <c r="C2058" s="26" t="s">
        <v>218</v>
      </c>
      <c r="D2058" s="108">
        <v>0</v>
      </c>
      <c r="E2058" s="23"/>
      <c r="F2058" s="118"/>
      <c r="G2058" s="48">
        <f t="shared" si="32"/>
        <v>0</v>
      </c>
      <c r="H2058" s="62" t="s">
        <v>13</v>
      </c>
      <c r="I2058" s="3"/>
      <c r="J2058" s="42"/>
      <c r="K2058" s="3"/>
    </row>
    <row r="2059" spans="1:11" x14ac:dyDescent="0.25">
      <c r="A2059" s="20">
        <v>42115</v>
      </c>
      <c r="B2059" s="183">
        <v>18596</v>
      </c>
      <c r="C2059" s="14" t="s">
        <v>195</v>
      </c>
      <c r="D2059" s="105">
        <v>79574.100000000006</v>
      </c>
      <c r="E2059" s="30" t="s">
        <v>1147</v>
      </c>
      <c r="F2059" s="118">
        <v>79574.100000000006</v>
      </c>
      <c r="G2059" s="31">
        <f t="shared" si="32"/>
        <v>0</v>
      </c>
      <c r="H2059" s="62" t="s">
        <v>41</v>
      </c>
      <c r="I2059" s="3"/>
      <c r="J2059" s="42"/>
      <c r="K2059" s="3"/>
    </row>
    <row r="2060" spans="1:11" x14ac:dyDescent="0.25">
      <c r="A2060" s="20">
        <v>42115</v>
      </c>
      <c r="B2060" s="183">
        <v>18597</v>
      </c>
      <c r="C2060" s="14" t="s">
        <v>206</v>
      </c>
      <c r="D2060" s="105">
        <v>50284.800000000003</v>
      </c>
      <c r="E2060" s="30" t="s">
        <v>1138</v>
      </c>
      <c r="F2060" s="118">
        <v>50284.800000000003</v>
      </c>
      <c r="G2060" s="31">
        <f t="shared" si="32"/>
        <v>0</v>
      </c>
      <c r="H2060" s="62" t="s">
        <v>41</v>
      </c>
      <c r="I2060" s="3"/>
      <c r="J2060" s="42"/>
      <c r="K2060" s="3"/>
    </row>
    <row r="2061" spans="1:11" x14ac:dyDescent="0.25">
      <c r="A2061" s="20">
        <v>42115</v>
      </c>
      <c r="B2061" s="183">
        <v>18598</v>
      </c>
      <c r="C2061" s="14" t="s">
        <v>198</v>
      </c>
      <c r="D2061" s="105">
        <v>550.20000000000005</v>
      </c>
      <c r="E2061" s="23">
        <v>42116</v>
      </c>
      <c r="F2061" s="118">
        <v>550.20000000000005</v>
      </c>
      <c r="G2061" s="31">
        <f t="shared" si="32"/>
        <v>0</v>
      </c>
      <c r="H2061" s="62" t="s">
        <v>41</v>
      </c>
      <c r="I2061" s="3"/>
      <c r="J2061" s="42"/>
      <c r="K2061" s="3"/>
    </row>
    <row r="2062" spans="1:11" x14ac:dyDescent="0.25">
      <c r="A2062" s="20">
        <v>42115</v>
      </c>
      <c r="B2062" s="183">
        <v>18599</v>
      </c>
      <c r="C2062" s="14" t="s">
        <v>406</v>
      </c>
      <c r="D2062" s="105">
        <v>24668.2</v>
      </c>
      <c r="E2062" s="23">
        <v>42116</v>
      </c>
      <c r="F2062" s="118">
        <v>24668.2</v>
      </c>
      <c r="G2062" s="31">
        <f t="shared" si="32"/>
        <v>0</v>
      </c>
      <c r="H2062" s="62" t="s">
        <v>17</v>
      </c>
      <c r="I2062" s="3"/>
      <c r="J2062" s="42"/>
      <c r="K2062" s="3"/>
    </row>
    <row r="2063" spans="1:11" x14ac:dyDescent="0.25">
      <c r="A2063" s="20">
        <v>42115</v>
      </c>
      <c r="B2063" s="183">
        <v>18600</v>
      </c>
      <c r="C2063" s="14" t="s">
        <v>229</v>
      </c>
      <c r="D2063" s="105">
        <v>3378.55</v>
      </c>
      <c r="E2063" s="23">
        <v>42115</v>
      </c>
      <c r="F2063" s="118">
        <v>3378.55</v>
      </c>
      <c r="G2063" s="31">
        <f t="shared" si="32"/>
        <v>0</v>
      </c>
      <c r="H2063" s="62" t="s">
        <v>9</v>
      </c>
      <c r="I2063" s="3"/>
      <c r="J2063" s="42"/>
      <c r="K2063" s="3"/>
    </row>
    <row r="2064" spans="1:11" x14ac:dyDescent="0.25">
      <c r="A2064" s="20">
        <v>42115</v>
      </c>
      <c r="B2064" s="183">
        <v>18601</v>
      </c>
      <c r="C2064" s="14" t="s">
        <v>45</v>
      </c>
      <c r="D2064" s="105">
        <v>73847.7</v>
      </c>
      <c r="E2064" s="30">
        <v>42125</v>
      </c>
      <c r="F2064" s="145">
        <v>73847.7</v>
      </c>
      <c r="G2064" s="31">
        <f t="shared" si="32"/>
        <v>0</v>
      </c>
      <c r="H2064" s="62" t="s">
        <v>46</v>
      </c>
      <c r="I2064" s="3"/>
      <c r="J2064" s="42"/>
      <c r="K2064" s="3"/>
    </row>
    <row r="2065" spans="1:11" x14ac:dyDescent="0.25">
      <c r="A2065" s="20">
        <v>42115</v>
      </c>
      <c r="B2065" s="183">
        <v>18602</v>
      </c>
      <c r="C2065" s="14" t="s">
        <v>24</v>
      </c>
      <c r="D2065" s="105">
        <v>207958.2</v>
      </c>
      <c r="E2065" s="30">
        <v>42144</v>
      </c>
      <c r="F2065" s="145">
        <v>207958.2</v>
      </c>
      <c r="G2065" s="31">
        <f t="shared" si="32"/>
        <v>0</v>
      </c>
      <c r="H2065" s="62" t="s">
        <v>1013</v>
      </c>
      <c r="I2065" s="3"/>
      <c r="J2065" s="42"/>
      <c r="K2065" s="3"/>
    </row>
    <row r="2066" spans="1:11" x14ac:dyDescent="0.25">
      <c r="A2066" s="20">
        <v>42115</v>
      </c>
      <c r="B2066" s="183">
        <v>18603</v>
      </c>
      <c r="C2066" s="14" t="s">
        <v>190</v>
      </c>
      <c r="D2066" s="105">
        <v>2656.8</v>
      </c>
      <c r="E2066" s="23">
        <v>42116</v>
      </c>
      <c r="F2066" s="118">
        <v>2656.8</v>
      </c>
      <c r="G2066" s="31">
        <f t="shared" si="32"/>
        <v>0</v>
      </c>
      <c r="H2066" s="62" t="s">
        <v>62</v>
      </c>
      <c r="I2066" s="3"/>
      <c r="J2066" s="42"/>
      <c r="K2066" s="3"/>
    </row>
    <row r="2067" spans="1:11" x14ac:dyDescent="0.25">
      <c r="A2067" s="20">
        <v>42115</v>
      </c>
      <c r="B2067" s="183">
        <v>18604</v>
      </c>
      <c r="C2067" s="14" t="s">
        <v>98</v>
      </c>
      <c r="D2067" s="105">
        <v>2126.6</v>
      </c>
      <c r="E2067" s="23">
        <v>42116</v>
      </c>
      <c r="F2067" s="118">
        <v>2126.6</v>
      </c>
      <c r="G2067" s="31">
        <f t="shared" si="32"/>
        <v>0</v>
      </c>
      <c r="H2067" s="62" t="s">
        <v>62</v>
      </c>
      <c r="I2067" s="3"/>
      <c r="J2067" s="42"/>
      <c r="K2067" s="3"/>
    </row>
    <row r="2068" spans="1:11" x14ac:dyDescent="0.25">
      <c r="A2068" s="20">
        <v>42115</v>
      </c>
      <c r="B2068" s="183">
        <v>18605</v>
      </c>
      <c r="C2068" s="14" t="s">
        <v>104</v>
      </c>
      <c r="D2068" s="105">
        <v>578.6</v>
      </c>
      <c r="E2068" s="23">
        <v>42116</v>
      </c>
      <c r="F2068" s="118">
        <v>578.6</v>
      </c>
      <c r="G2068" s="31">
        <f t="shared" si="32"/>
        <v>0</v>
      </c>
      <c r="H2068" s="62" t="s">
        <v>62</v>
      </c>
      <c r="I2068" s="3"/>
      <c r="J2068" s="42"/>
      <c r="K2068" s="3"/>
    </row>
    <row r="2069" spans="1:11" x14ac:dyDescent="0.25">
      <c r="A2069" s="20">
        <v>42115</v>
      </c>
      <c r="B2069" s="183">
        <v>18606</v>
      </c>
      <c r="C2069" s="14" t="s">
        <v>80</v>
      </c>
      <c r="D2069" s="105">
        <v>6793.2</v>
      </c>
      <c r="E2069" s="23">
        <v>42115</v>
      </c>
      <c r="F2069" s="118">
        <v>6793.2</v>
      </c>
      <c r="G2069" s="31">
        <f t="shared" si="32"/>
        <v>0</v>
      </c>
      <c r="H2069" s="62" t="s">
        <v>9</v>
      </c>
      <c r="I2069" s="3"/>
      <c r="J2069" s="42"/>
      <c r="K2069" s="3"/>
    </row>
    <row r="2070" spans="1:11" x14ac:dyDescent="0.25">
      <c r="A2070" s="20">
        <v>42115</v>
      </c>
      <c r="B2070" s="183">
        <v>18607</v>
      </c>
      <c r="C2070" s="14" t="s">
        <v>90</v>
      </c>
      <c r="D2070" s="105">
        <v>160</v>
      </c>
      <c r="E2070" s="23">
        <v>42115</v>
      </c>
      <c r="F2070" s="118">
        <v>160</v>
      </c>
      <c r="G2070" s="31">
        <f t="shared" si="32"/>
        <v>0</v>
      </c>
      <c r="H2070" s="62" t="s">
        <v>9</v>
      </c>
      <c r="I2070" s="3"/>
      <c r="J2070" s="42"/>
      <c r="K2070" s="3"/>
    </row>
    <row r="2071" spans="1:11" x14ac:dyDescent="0.25">
      <c r="A2071" s="20">
        <v>42115</v>
      </c>
      <c r="B2071" s="183">
        <v>18608</v>
      </c>
      <c r="C2071" s="14" t="s">
        <v>111</v>
      </c>
      <c r="D2071" s="105">
        <v>137391</v>
      </c>
      <c r="E2071" s="23">
        <v>42117</v>
      </c>
      <c r="F2071" s="118">
        <v>137391</v>
      </c>
      <c r="G2071" s="31">
        <f t="shared" si="32"/>
        <v>0</v>
      </c>
      <c r="H2071" s="62" t="s">
        <v>9</v>
      </c>
      <c r="I2071" s="3"/>
      <c r="J2071" s="42"/>
      <c r="K2071" s="3"/>
    </row>
    <row r="2072" spans="1:11" x14ac:dyDescent="0.25">
      <c r="A2072" s="20">
        <v>42115</v>
      </c>
      <c r="B2072" s="183">
        <v>18609</v>
      </c>
      <c r="C2072" s="14" t="s">
        <v>110</v>
      </c>
      <c r="D2072" s="105">
        <v>55759.4</v>
      </c>
      <c r="E2072" s="30">
        <v>42126</v>
      </c>
      <c r="F2072" s="145">
        <v>55759.4</v>
      </c>
      <c r="G2072" s="31">
        <f t="shared" si="32"/>
        <v>0</v>
      </c>
      <c r="H2072" s="62" t="s">
        <v>9</v>
      </c>
      <c r="I2072" s="3"/>
      <c r="J2072" s="42"/>
      <c r="K2072" s="3"/>
    </row>
    <row r="2073" spans="1:11" x14ac:dyDescent="0.25">
      <c r="A2073" s="20">
        <v>42115</v>
      </c>
      <c r="B2073" s="183">
        <v>18610</v>
      </c>
      <c r="C2073" s="14" t="s">
        <v>1101</v>
      </c>
      <c r="D2073" s="105">
        <v>58</v>
      </c>
      <c r="E2073" s="23">
        <v>42115</v>
      </c>
      <c r="F2073" s="118">
        <v>58</v>
      </c>
      <c r="G2073" s="31">
        <f t="shared" si="32"/>
        <v>0</v>
      </c>
      <c r="H2073" s="62" t="s">
        <v>9</v>
      </c>
      <c r="I2073" s="3"/>
      <c r="J2073" s="42"/>
      <c r="K2073" s="3"/>
    </row>
    <row r="2074" spans="1:11" x14ac:dyDescent="0.25">
      <c r="A2074" s="20">
        <v>42115</v>
      </c>
      <c r="B2074" s="183">
        <v>18611</v>
      </c>
      <c r="C2074" s="14" t="s">
        <v>74</v>
      </c>
      <c r="D2074" s="105">
        <v>2898</v>
      </c>
      <c r="E2074" s="23">
        <v>42115</v>
      </c>
      <c r="F2074" s="118">
        <v>2898</v>
      </c>
      <c r="G2074" s="31">
        <f t="shared" si="32"/>
        <v>0</v>
      </c>
      <c r="H2074" s="62" t="s">
        <v>9</v>
      </c>
      <c r="I2074" s="3"/>
      <c r="J2074" s="42"/>
      <c r="K2074" s="3"/>
    </row>
    <row r="2075" spans="1:11" x14ac:dyDescent="0.25">
      <c r="A2075" s="20">
        <v>42115</v>
      </c>
      <c r="B2075" s="183">
        <v>18612</v>
      </c>
      <c r="C2075" s="14" t="s">
        <v>821</v>
      </c>
      <c r="D2075" s="105">
        <v>7734</v>
      </c>
      <c r="E2075" s="23">
        <v>42115</v>
      </c>
      <c r="F2075" s="118">
        <v>7734</v>
      </c>
      <c r="G2075" s="31">
        <f t="shared" si="32"/>
        <v>0</v>
      </c>
      <c r="H2075" s="62" t="s">
        <v>9</v>
      </c>
      <c r="I2075" s="3"/>
      <c r="J2075" s="42"/>
      <c r="K2075" s="3"/>
    </row>
    <row r="2076" spans="1:11" x14ac:dyDescent="0.25">
      <c r="A2076" s="20">
        <v>42116</v>
      </c>
      <c r="B2076" s="183">
        <v>18613</v>
      </c>
      <c r="C2076" s="14" t="s">
        <v>863</v>
      </c>
      <c r="D2076" s="105">
        <v>6227.2</v>
      </c>
      <c r="E2076" s="23">
        <v>42116</v>
      </c>
      <c r="F2076" s="118">
        <v>6227.2</v>
      </c>
      <c r="G2076" s="31">
        <f t="shared" si="32"/>
        <v>0</v>
      </c>
      <c r="H2076" s="62" t="s">
        <v>9</v>
      </c>
      <c r="I2076" s="3"/>
      <c r="J2076" s="42"/>
      <c r="K2076" s="3"/>
    </row>
    <row r="2077" spans="1:11" x14ac:dyDescent="0.25">
      <c r="A2077" s="20">
        <v>42116</v>
      </c>
      <c r="B2077" s="183">
        <v>18614</v>
      </c>
      <c r="C2077" s="14" t="s">
        <v>14</v>
      </c>
      <c r="D2077" s="105">
        <v>17273.7</v>
      </c>
      <c r="E2077" s="30">
        <v>42126</v>
      </c>
      <c r="F2077" s="145">
        <v>17273.7</v>
      </c>
      <c r="G2077" s="31">
        <f t="shared" si="32"/>
        <v>0</v>
      </c>
      <c r="H2077" s="62" t="s">
        <v>15</v>
      </c>
      <c r="I2077" s="3"/>
      <c r="J2077" s="42"/>
      <c r="K2077" s="3"/>
    </row>
    <row r="2078" spans="1:11" x14ac:dyDescent="0.25">
      <c r="A2078" s="20">
        <v>42116</v>
      </c>
      <c r="B2078" s="183">
        <v>18615</v>
      </c>
      <c r="C2078" s="14" t="s">
        <v>121</v>
      </c>
      <c r="D2078" s="105">
        <v>2277.1</v>
      </c>
      <c r="E2078" s="23">
        <v>42116</v>
      </c>
      <c r="F2078" s="118">
        <v>2277.1</v>
      </c>
      <c r="G2078" s="31">
        <f t="shared" si="32"/>
        <v>0</v>
      </c>
      <c r="H2078" s="62" t="s">
        <v>9</v>
      </c>
      <c r="I2078" s="3"/>
      <c r="J2078" s="42"/>
      <c r="K2078" s="3"/>
    </row>
    <row r="2079" spans="1:11" x14ac:dyDescent="0.25">
      <c r="A2079" s="20">
        <v>42116</v>
      </c>
      <c r="B2079" s="183">
        <v>18616</v>
      </c>
      <c r="C2079" s="14" t="s">
        <v>215</v>
      </c>
      <c r="D2079" s="105">
        <v>50727.3</v>
      </c>
      <c r="E2079" s="23">
        <v>42116</v>
      </c>
      <c r="F2079" s="118">
        <v>50727.3</v>
      </c>
      <c r="G2079" s="31">
        <f t="shared" si="32"/>
        <v>0</v>
      </c>
      <c r="H2079" s="62" t="s">
        <v>773</v>
      </c>
      <c r="I2079" s="3"/>
      <c r="J2079" s="42"/>
      <c r="K2079" s="3"/>
    </row>
    <row r="2080" spans="1:11" x14ac:dyDescent="0.25">
      <c r="A2080" s="20">
        <v>42116</v>
      </c>
      <c r="B2080" s="183">
        <v>18617</v>
      </c>
      <c r="C2080" s="14" t="s">
        <v>158</v>
      </c>
      <c r="D2080" s="105">
        <v>7488</v>
      </c>
      <c r="E2080" s="23">
        <v>42116</v>
      </c>
      <c r="F2080" s="118">
        <v>7488</v>
      </c>
      <c r="G2080" s="31">
        <f t="shared" si="32"/>
        <v>0</v>
      </c>
      <c r="H2080" s="62" t="s">
        <v>9</v>
      </c>
      <c r="I2080" s="3"/>
      <c r="J2080" s="42"/>
      <c r="K2080" s="3"/>
    </row>
    <row r="2081" spans="1:11" x14ac:dyDescent="0.25">
      <c r="A2081" s="20">
        <v>42116</v>
      </c>
      <c r="B2081" s="183">
        <v>18618</v>
      </c>
      <c r="C2081" s="14" t="s">
        <v>589</v>
      </c>
      <c r="D2081" s="105">
        <v>24591.599999999999</v>
      </c>
      <c r="E2081" s="23">
        <v>42116</v>
      </c>
      <c r="F2081" s="118">
        <v>24591.599999999999</v>
      </c>
      <c r="G2081" s="31">
        <f t="shared" si="32"/>
        <v>0</v>
      </c>
      <c r="H2081" s="62" t="s">
        <v>17</v>
      </c>
      <c r="I2081" s="3"/>
      <c r="J2081" s="42"/>
      <c r="K2081" s="3"/>
    </row>
    <row r="2082" spans="1:11" x14ac:dyDescent="0.25">
      <c r="A2082" s="20">
        <v>42116</v>
      </c>
      <c r="B2082" s="183">
        <v>18619</v>
      </c>
      <c r="C2082" s="14" t="s">
        <v>128</v>
      </c>
      <c r="D2082" s="105">
        <v>4057.2</v>
      </c>
      <c r="E2082" s="23">
        <v>42116</v>
      </c>
      <c r="F2082" s="118">
        <v>4057.2</v>
      </c>
      <c r="G2082" s="31">
        <f t="shared" si="32"/>
        <v>0</v>
      </c>
      <c r="H2082" s="62" t="s">
        <v>17</v>
      </c>
      <c r="I2082" s="3"/>
      <c r="J2082" s="42"/>
      <c r="K2082" s="3"/>
    </row>
    <row r="2083" spans="1:11" x14ac:dyDescent="0.25">
      <c r="A2083" s="20">
        <v>42116</v>
      </c>
      <c r="B2083" s="183">
        <v>18620</v>
      </c>
      <c r="C2083" s="150" t="s">
        <v>319</v>
      </c>
      <c r="D2083" s="105">
        <v>2547.3000000000002</v>
      </c>
      <c r="E2083" s="23">
        <v>42119</v>
      </c>
      <c r="F2083" s="118">
        <v>2547.3000000000002</v>
      </c>
      <c r="G2083" s="31">
        <f t="shared" si="32"/>
        <v>0</v>
      </c>
      <c r="H2083" s="62" t="s">
        <v>9</v>
      </c>
      <c r="I2083" s="3"/>
      <c r="J2083" s="42"/>
      <c r="K2083" s="3"/>
    </row>
    <row r="2084" spans="1:11" x14ac:dyDescent="0.25">
      <c r="A2084" s="20">
        <v>42116</v>
      </c>
      <c r="B2084" s="183">
        <v>18621</v>
      </c>
      <c r="C2084" s="14" t="s">
        <v>130</v>
      </c>
      <c r="D2084" s="105">
        <v>2814.2</v>
      </c>
      <c r="E2084" s="23">
        <v>42119</v>
      </c>
      <c r="F2084" s="118">
        <v>2814.2</v>
      </c>
      <c r="G2084" s="31">
        <f t="shared" si="32"/>
        <v>0</v>
      </c>
      <c r="H2084" s="62" t="s">
        <v>17</v>
      </c>
      <c r="I2084" s="3"/>
      <c r="J2084" s="42"/>
      <c r="K2084" s="3"/>
    </row>
    <row r="2085" spans="1:11" x14ac:dyDescent="0.25">
      <c r="A2085" s="20">
        <v>42116</v>
      </c>
      <c r="B2085" s="183">
        <v>18622</v>
      </c>
      <c r="C2085" s="14" t="s">
        <v>131</v>
      </c>
      <c r="D2085" s="105">
        <v>7678</v>
      </c>
      <c r="E2085" s="23">
        <v>42118</v>
      </c>
      <c r="F2085" s="118">
        <v>7678</v>
      </c>
      <c r="G2085" s="31">
        <f t="shared" si="32"/>
        <v>0</v>
      </c>
      <c r="H2085" s="62" t="s">
        <v>17</v>
      </c>
      <c r="I2085" s="3"/>
      <c r="J2085" s="42"/>
      <c r="K2085" s="3"/>
    </row>
    <row r="2086" spans="1:11" x14ac:dyDescent="0.25">
      <c r="A2086" s="20">
        <v>42116</v>
      </c>
      <c r="B2086" s="183">
        <v>18623</v>
      </c>
      <c r="C2086" s="14" t="s">
        <v>165</v>
      </c>
      <c r="D2086" s="105">
        <v>2478.6</v>
      </c>
      <c r="E2086" s="23">
        <v>42116</v>
      </c>
      <c r="F2086" s="118">
        <v>2478.6</v>
      </c>
      <c r="G2086" s="31">
        <f t="shared" si="32"/>
        <v>0</v>
      </c>
      <c r="H2086" s="62" t="s">
        <v>17</v>
      </c>
      <c r="I2086" s="3"/>
      <c r="J2086" s="42"/>
      <c r="K2086" s="3"/>
    </row>
    <row r="2087" spans="1:11" x14ac:dyDescent="0.25">
      <c r="A2087" s="20">
        <v>42116</v>
      </c>
      <c r="B2087" s="183">
        <v>18624</v>
      </c>
      <c r="C2087" s="14" t="s">
        <v>16</v>
      </c>
      <c r="D2087" s="105">
        <v>7033.6</v>
      </c>
      <c r="E2087" s="23">
        <v>42116</v>
      </c>
      <c r="F2087" s="118">
        <v>7033.6</v>
      </c>
      <c r="G2087" s="31">
        <f t="shared" si="32"/>
        <v>0</v>
      </c>
      <c r="H2087" s="62" t="s">
        <v>17</v>
      </c>
      <c r="I2087" s="3"/>
      <c r="J2087" s="42"/>
      <c r="K2087" s="3"/>
    </row>
    <row r="2088" spans="1:11" x14ac:dyDescent="0.25">
      <c r="A2088" s="20">
        <v>42116</v>
      </c>
      <c r="B2088" s="183">
        <v>18625</v>
      </c>
      <c r="C2088" s="14" t="s">
        <v>20</v>
      </c>
      <c r="D2088" s="105">
        <v>5080.3999999999996</v>
      </c>
      <c r="E2088" s="23">
        <v>42117</v>
      </c>
      <c r="F2088" s="118">
        <v>5080.3999999999996</v>
      </c>
      <c r="G2088" s="31">
        <f t="shared" si="32"/>
        <v>0</v>
      </c>
      <c r="H2088" s="62" t="s">
        <v>94</v>
      </c>
      <c r="I2088" s="3"/>
      <c r="J2088" s="42"/>
      <c r="K2088" s="3"/>
    </row>
    <row r="2089" spans="1:11" x14ac:dyDescent="0.25">
      <c r="A2089" s="20">
        <v>42116</v>
      </c>
      <c r="B2089" s="183">
        <v>18626</v>
      </c>
      <c r="C2089" s="14" t="s">
        <v>114</v>
      </c>
      <c r="D2089" s="105">
        <v>6519</v>
      </c>
      <c r="E2089" s="23">
        <v>42116</v>
      </c>
      <c r="F2089" s="118">
        <v>6519</v>
      </c>
      <c r="G2089" s="31">
        <f t="shared" si="32"/>
        <v>0</v>
      </c>
      <c r="H2089" s="62" t="s">
        <v>9</v>
      </c>
      <c r="I2089" s="3"/>
      <c r="J2089" s="42"/>
      <c r="K2089" s="3"/>
    </row>
    <row r="2090" spans="1:11" x14ac:dyDescent="0.25">
      <c r="A2090" s="20">
        <v>42116</v>
      </c>
      <c r="B2090" s="183">
        <v>18627</v>
      </c>
      <c r="C2090" s="14" t="s">
        <v>1026</v>
      </c>
      <c r="D2090" s="105">
        <v>2012.8</v>
      </c>
      <c r="E2090" s="23">
        <v>42116</v>
      </c>
      <c r="F2090" s="118">
        <v>2012.8</v>
      </c>
      <c r="G2090" s="31">
        <f t="shared" si="32"/>
        <v>0</v>
      </c>
      <c r="H2090" s="62" t="s">
        <v>17</v>
      </c>
      <c r="I2090" s="3"/>
      <c r="J2090" s="42"/>
      <c r="K2090" s="3"/>
    </row>
    <row r="2091" spans="1:11" x14ac:dyDescent="0.25">
      <c r="A2091" s="20">
        <v>42116</v>
      </c>
      <c r="B2091" s="183">
        <v>18628</v>
      </c>
      <c r="C2091" s="14" t="s">
        <v>1117</v>
      </c>
      <c r="D2091" s="105">
        <v>3197.25</v>
      </c>
      <c r="E2091" s="23">
        <v>42116</v>
      </c>
      <c r="F2091" s="118">
        <v>3197.25</v>
      </c>
      <c r="G2091" s="31">
        <f t="shared" si="32"/>
        <v>0</v>
      </c>
      <c r="H2091" s="62" t="s">
        <v>9</v>
      </c>
      <c r="I2091" s="3"/>
      <c r="J2091" s="42"/>
      <c r="K2091" s="3"/>
    </row>
    <row r="2092" spans="1:11" x14ac:dyDescent="0.25">
      <c r="A2092" s="20">
        <v>42116</v>
      </c>
      <c r="B2092" s="183">
        <v>18629</v>
      </c>
      <c r="C2092" s="14" t="s">
        <v>720</v>
      </c>
      <c r="D2092" s="105">
        <v>8803.7999999999993</v>
      </c>
      <c r="E2092" s="23">
        <v>42116</v>
      </c>
      <c r="F2092" s="118">
        <v>8803.7999999999993</v>
      </c>
      <c r="G2092" s="31">
        <f t="shared" si="32"/>
        <v>0</v>
      </c>
      <c r="H2092" s="62" t="s">
        <v>9</v>
      </c>
      <c r="I2092" s="3"/>
      <c r="J2092" s="42"/>
      <c r="K2092" s="3"/>
    </row>
    <row r="2093" spans="1:11" x14ac:dyDescent="0.25">
      <c r="A2093" s="20">
        <v>42116</v>
      </c>
      <c r="B2093" s="183">
        <v>18630</v>
      </c>
      <c r="C2093" s="14" t="s">
        <v>32</v>
      </c>
      <c r="D2093" s="105">
        <v>207044.7</v>
      </c>
      <c r="E2093" s="30">
        <v>42128</v>
      </c>
      <c r="F2093" s="145">
        <v>207044.7</v>
      </c>
      <c r="G2093" s="31">
        <f t="shared" si="32"/>
        <v>0</v>
      </c>
      <c r="H2093" s="62" t="s">
        <v>19</v>
      </c>
      <c r="I2093" s="3"/>
      <c r="J2093" s="42"/>
      <c r="K2093" s="3"/>
    </row>
    <row r="2094" spans="1:11" x14ac:dyDescent="0.25">
      <c r="A2094" s="20">
        <v>42116</v>
      </c>
      <c r="B2094" s="183">
        <v>18631</v>
      </c>
      <c r="C2094" s="14" t="s">
        <v>75</v>
      </c>
      <c r="D2094" s="105">
        <v>13076</v>
      </c>
      <c r="E2094" s="23">
        <v>42117</v>
      </c>
      <c r="F2094" s="118">
        <v>13076</v>
      </c>
      <c r="G2094" s="31">
        <f t="shared" si="32"/>
        <v>0</v>
      </c>
      <c r="H2094" s="62" t="s">
        <v>62</v>
      </c>
      <c r="I2094" s="3"/>
      <c r="J2094" s="42"/>
      <c r="K2094" s="3"/>
    </row>
    <row r="2095" spans="1:11" x14ac:dyDescent="0.25">
      <c r="A2095" s="20">
        <v>42116</v>
      </c>
      <c r="B2095" s="183">
        <v>18632</v>
      </c>
      <c r="C2095" s="14" t="s">
        <v>135</v>
      </c>
      <c r="D2095" s="105">
        <v>5250.4</v>
      </c>
      <c r="E2095" s="23">
        <v>42116</v>
      </c>
      <c r="F2095" s="118">
        <v>5250.4</v>
      </c>
      <c r="G2095" s="31">
        <f t="shared" si="32"/>
        <v>0</v>
      </c>
      <c r="H2095" s="62" t="s">
        <v>9</v>
      </c>
      <c r="I2095" s="3"/>
      <c r="J2095" s="42"/>
      <c r="K2095" s="3"/>
    </row>
    <row r="2096" spans="1:11" x14ac:dyDescent="0.25">
      <c r="A2096" s="20">
        <v>42116</v>
      </c>
      <c r="B2096" s="183">
        <v>18633</v>
      </c>
      <c r="C2096" s="14" t="s">
        <v>23</v>
      </c>
      <c r="D2096" s="105">
        <v>3149</v>
      </c>
      <c r="E2096" s="23">
        <v>42116</v>
      </c>
      <c r="F2096" s="118">
        <v>3149</v>
      </c>
      <c r="G2096" s="31">
        <f t="shared" si="32"/>
        <v>0</v>
      </c>
      <c r="H2096" s="62" t="s">
        <v>9</v>
      </c>
      <c r="I2096" s="3"/>
      <c r="J2096" s="42"/>
      <c r="K2096" s="3"/>
    </row>
    <row r="2097" spans="1:11" x14ac:dyDescent="0.25">
      <c r="A2097" s="20">
        <v>42116</v>
      </c>
      <c r="B2097" s="183">
        <v>18634</v>
      </c>
      <c r="C2097" s="14" t="s">
        <v>1060</v>
      </c>
      <c r="D2097" s="105">
        <v>25228.799999999999</v>
      </c>
      <c r="E2097" s="23">
        <v>42116</v>
      </c>
      <c r="F2097" s="118">
        <v>25228.799999999999</v>
      </c>
      <c r="G2097" s="31">
        <f t="shared" si="32"/>
        <v>0</v>
      </c>
      <c r="H2097" s="62" t="s">
        <v>94</v>
      </c>
      <c r="I2097" s="3"/>
      <c r="J2097" s="42"/>
      <c r="K2097" s="3"/>
    </row>
    <row r="2098" spans="1:11" x14ac:dyDescent="0.25">
      <c r="A2098" s="20">
        <v>42116</v>
      </c>
      <c r="B2098" s="183">
        <v>18635</v>
      </c>
      <c r="C2098" s="14" t="s">
        <v>854</v>
      </c>
      <c r="D2098" s="105">
        <v>1759.8</v>
      </c>
      <c r="E2098" s="23">
        <v>42116</v>
      </c>
      <c r="F2098" s="118">
        <v>1759.8</v>
      </c>
      <c r="G2098" s="31">
        <f t="shared" si="32"/>
        <v>0</v>
      </c>
      <c r="H2098" s="62" t="s">
        <v>9</v>
      </c>
      <c r="I2098" s="3"/>
      <c r="J2098" s="42"/>
      <c r="K2098" s="3"/>
    </row>
    <row r="2099" spans="1:11" x14ac:dyDescent="0.25">
      <c r="A2099" s="20">
        <v>42116</v>
      </c>
      <c r="B2099" s="183">
        <v>18636</v>
      </c>
      <c r="C2099" s="14" t="s">
        <v>67</v>
      </c>
      <c r="D2099" s="105">
        <v>2913.4</v>
      </c>
      <c r="E2099" s="23">
        <v>42117</v>
      </c>
      <c r="F2099" s="118">
        <v>2913.4</v>
      </c>
      <c r="G2099" s="31">
        <f t="shared" si="32"/>
        <v>0</v>
      </c>
      <c r="H2099" s="62" t="s">
        <v>62</v>
      </c>
      <c r="I2099" s="3"/>
      <c r="J2099" s="42"/>
      <c r="K2099" s="3"/>
    </row>
    <row r="2100" spans="1:11" x14ac:dyDescent="0.25">
      <c r="A2100" s="20">
        <v>42116</v>
      </c>
      <c r="B2100" s="183">
        <v>18637</v>
      </c>
      <c r="C2100" s="14" t="s">
        <v>33</v>
      </c>
      <c r="D2100" s="105">
        <v>5838.8</v>
      </c>
      <c r="E2100" s="23">
        <v>42116</v>
      </c>
      <c r="F2100" s="118">
        <v>5838.8</v>
      </c>
      <c r="G2100" s="31">
        <f t="shared" si="32"/>
        <v>0</v>
      </c>
      <c r="H2100" s="62" t="s">
        <v>9</v>
      </c>
      <c r="I2100" s="3"/>
      <c r="J2100" s="42"/>
      <c r="K2100" s="3"/>
    </row>
    <row r="2101" spans="1:11" x14ac:dyDescent="0.25">
      <c r="A2101" s="20">
        <v>42116</v>
      </c>
      <c r="B2101" s="183">
        <v>18638</v>
      </c>
      <c r="C2101" s="14" t="s">
        <v>21</v>
      </c>
      <c r="D2101" s="105">
        <v>6888</v>
      </c>
      <c r="E2101" s="23">
        <v>42116</v>
      </c>
      <c r="F2101" s="118">
        <v>6888</v>
      </c>
      <c r="G2101" s="31">
        <f t="shared" si="32"/>
        <v>0</v>
      </c>
      <c r="H2101" s="62" t="s">
        <v>9</v>
      </c>
      <c r="I2101" s="3"/>
      <c r="J2101" s="42"/>
      <c r="K2101" s="3"/>
    </row>
    <row r="2102" spans="1:11" x14ac:dyDescent="0.25">
      <c r="A2102" s="20">
        <v>42116</v>
      </c>
      <c r="B2102" s="183">
        <v>18639</v>
      </c>
      <c r="C2102" s="14" t="s">
        <v>78</v>
      </c>
      <c r="D2102" s="105">
        <v>6207.6</v>
      </c>
      <c r="E2102" s="23">
        <v>42117</v>
      </c>
      <c r="F2102" s="118">
        <v>6207.6</v>
      </c>
      <c r="G2102" s="31">
        <f t="shared" si="32"/>
        <v>0</v>
      </c>
      <c r="H2102" s="62" t="s">
        <v>62</v>
      </c>
      <c r="I2102" s="3"/>
      <c r="J2102" s="42"/>
      <c r="K2102" s="3"/>
    </row>
    <row r="2103" spans="1:11" x14ac:dyDescent="0.25">
      <c r="A2103" s="20">
        <v>42116</v>
      </c>
      <c r="B2103" s="183">
        <v>18640</v>
      </c>
      <c r="C2103" s="14" t="s">
        <v>173</v>
      </c>
      <c r="D2103" s="105">
        <v>26699.4</v>
      </c>
      <c r="E2103" s="30" t="s">
        <v>1224</v>
      </c>
      <c r="F2103" s="145">
        <v>26699.4</v>
      </c>
      <c r="G2103" s="31">
        <f t="shared" si="32"/>
        <v>0</v>
      </c>
      <c r="H2103" s="62" t="s">
        <v>62</v>
      </c>
      <c r="I2103" s="3"/>
      <c r="J2103" s="42"/>
      <c r="K2103" s="3"/>
    </row>
    <row r="2104" spans="1:11" x14ac:dyDescent="0.25">
      <c r="A2104" s="20">
        <v>42116</v>
      </c>
      <c r="B2104" s="183">
        <v>18641</v>
      </c>
      <c r="C2104" s="14" t="s">
        <v>34</v>
      </c>
      <c r="D2104" s="105">
        <v>5174.3999999999996</v>
      </c>
      <c r="E2104" s="23">
        <v>42116</v>
      </c>
      <c r="F2104" s="118">
        <v>5174.3999999999996</v>
      </c>
      <c r="G2104" s="31">
        <f t="shared" si="32"/>
        <v>0</v>
      </c>
      <c r="H2104" s="62" t="s">
        <v>9</v>
      </c>
      <c r="I2104" s="3"/>
      <c r="J2104" s="42"/>
      <c r="K2104" s="3"/>
    </row>
    <row r="2105" spans="1:11" x14ac:dyDescent="0.25">
      <c r="A2105" s="20">
        <v>42116</v>
      </c>
      <c r="B2105" s="183">
        <v>18642</v>
      </c>
      <c r="C2105" s="14" t="s">
        <v>125</v>
      </c>
      <c r="D2105" s="105">
        <v>33905.9</v>
      </c>
      <c r="E2105" s="23">
        <v>42123</v>
      </c>
      <c r="F2105" s="118">
        <v>33905.9</v>
      </c>
      <c r="G2105" s="31">
        <f t="shared" si="32"/>
        <v>0</v>
      </c>
      <c r="H2105" s="62" t="s">
        <v>9</v>
      </c>
      <c r="I2105" s="3"/>
      <c r="J2105" s="42"/>
      <c r="K2105" s="3"/>
    </row>
    <row r="2106" spans="1:11" x14ac:dyDescent="0.25">
      <c r="A2106" s="20">
        <v>42116</v>
      </c>
      <c r="B2106" s="183">
        <v>18643</v>
      </c>
      <c r="C2106" s="14" t="s">
        <v>103</v>
      </c>
      <c r="D2106" s="105">
        <v>23397.4</v>
      </c>
      <c r="E2106" s="23">
        <v>42118</v>
      </c>
      <c r="F2106" s="118">
        <v>23397.4</v>
      </c>
      <c r="G2106" s="31">
        <f t="shared" si="32"/>
        <v>0</v>
      </c>
      <c r="H2106" s="56" t="s">
        <v>19</v>
      </c>
      <c r="I2106" s="3"/>
      <c r="J2106" s="42"/>
      <c r="K2106" s="3"/>
    </row>
    <row r="2107" spans="1:11" x14ac:dyDescent="0.25">
      <c r="A2107" s="20">
        <v>42116</v>
      </c>
      <c r="B2107" s="183">
        <v>18644</v>
      </c>
      <c r="C2107" s="14" t="s">
        <v>151</v>
      </c>
      <c r="D2107" s="122">
        <v>1839.4</v>
      </c>
      <c r="E2107" s="23">
        <v>42117</v>
      </c>
      <c r="F2107" s="118">
        <v>1839.4</v>
      </c>
      <c r="G2107" s="31">
        <f t="shared" si="32"/>
        <v>0</v>
      </c>
      <c r="H2107" s="56" t="s">
        <v>9</v>
      </c>
      <c r="I2107" s="3"/>
      <c r="J2107" s="42"/>
      <c r="K2107" s="3"/>
    </row>
    <row r="2108" spans="1:11" x14ac:dyDescent="0.25">
      <c r="A2108" s="20">
        <v>42116</v>
      </c>
      <c r="B2108" s="183">
        <v>18645</v>
      </c>
      <c r="C2108" s="14" t="s">
        <v>111</v>
      </c>
      <c r="D2108" s="105">
        <v>3942.4</v>
      </c>
      <c r="E2108" s="23">
        <v>42117</v>
      </c>
      <c r="F2108" s="118">
        <v>3942.4</v>
      </c>
      <c r="G2108" s="31">
        <f t="shared" si="32"/>
        <v>0</v>
      </c>
      <c r="H2108" s="56" t="s">
        <v>62</v>
      </c>
      <c r="I2108" s="3"/>
      <c r="J2108" s="42"/>
      <c r="K2108" s="3"/>
    </row>
    <row r="2109" spans="1:11" x14ac:dyDescent="0.25">
      <c r="A2109" s="20">
        <v>42116</v>
      </c>
      <c r="B2109" s="183">
        <v>18646</v>
      </c>
      <c r="C2109" s="14" t="s">
        <v>178</v>
      </c>
      <c r="D2109" s="105">
        <v>980.2</v>
      </c>
      <c r="E2109" s="23">
        <v>42117</v>
      </c>
      <c r="F2109" s="118">
        <v>980.2</v>
      </c>
      <c r="G2109" s="31">
        <f t="shared" si="32"/>
        <v>0</v>
      </c>
      <c r="H2109" s="56" t="s">
        <v>62</v>
      </c>
      <c r="I2109" s="3"/>
      <c r="J2109" s="42"/>
      <c r="K2109" s="3"/>
    </row>
    <row r="2110" spans="1:11" x14ac:dyDescent="0.25">
      <c r="A2110" s="20">
        <v>42116</v>
      </c>
      <c r="B2110" s="183">
        <v>18647</v>
      </c>
      <c r="C2110" s="14" t="s">
        <v>127</v>
      </c>
      <c r="D2110" s="105">
        <v>14718</v>
      </c>
      <c r="E2110" s="23">
        <v>42116</v>
      </c>
      <c r="F2110" s="118">
        <v>14718</v>
      </c>
      <c r="G2110" s="31">
        <f t="shared" si="32"/>
        <v>0</v>
      </c>
      <c r="H2110" s="56" t="s">
        <v>9</v>
      </c>
      <c r="I2110" s="3"/>
      <c r="J2110" s="42"/>
      <c r="K2110" s="3"/>
    </row>
    <row r="2111" spans="1:11" x14ac:dyDescent="0.25">
      <c r="A2111" s="20">
        <v>42116</v>
      </c>
      <c r="B2111" s="183">
        <v>18648</v>
      </c>
      <c r="C2111" s="14" t="s">
        <v>170</v>
      </c>
      <c r="D2111" s="105">
        <v>5463.8</v>
      </c>
      <c r="E2111" s="23">
        <v>42117</v>
      </c>
      <c r="F2111" s="118">
        <v>5463.8</v>
      </c>
      <c r="G2111" s="31">
        <f t="shared" si="32"/>
        <v>0</v>
      </c>
      <c r="H2111" s="56" t="s">
        <v>62</v>
      </c>
      <c r="I2111" s="3"/>
      <c r="J2111" s="42"/>
      <c r="K2111" s="3"/>
    </row>
    <row r="2112" spans="1:11" x14ac:dyDescent="0.25">
      <c r="A2112" s="20">
        <v>42116</v>
      </c>
      <c r="B2112" s="183">
        <v>18649</v>
      </c>
      <c r="C2112" s="14" t="s">
        <v>426</v>
      </c>
      <c r="D2112" s="105">
        <v>8184</v>
      </c>
      <c r="E2112" s="23">
        <v>42117</v>
      </c>
      <c r="F2112" s="118">
        <v>8184</v>
      </c>
      <c r="G2112" s="31">
        <f t="shared" si="32"/>
        <v>0</v>
      </c>
      <c r="H2112" s="56" t="s">
        <v>62</v>
      </c>
      <c r="I2112" s="3"/>
      <c r="J2112" s="42"/>
      <c r="K2112" s="3"/>
    </row>
    <row r="2113" spans="1:11" x14ac:dyDescent="0.25">
      <c r="A2113" s="20">
        <v>42116</v>
      </c>
      <c r="B2113" s="183">
        <v>18650</v>
      </c>
      <c r="C2113" s="14" t="s">
        <v>65</v>
      </c>
      <c r="D2113" s="105">
        <v>26573.7</v>
      </c>
      <c r="E2113" s="23">
        <v>42117</v>
      </c>
      <c r="F2113" s="118">
        <v>26573.7</v>
      </c>
      <c r="G2113" s="31">
        <f t="shared" si="32"/>
        <v>0</v>
      </c>
      <c r="H2113" s="56" t="s">
        <v>62</v>
      </c>
      <c r="I2113" s="3"/>
      <c r="J2113" s="42"/>
      <c r="K2113" s="3"/>
    </row>
    <row r="2114" spans="1:11" x14ac:dyDescent="0.25">
      <c r="A2114" s="20">
        <v>42116</v>
      </c>
      <c r="B2114" s="183">
        <v>18651</v>
      </c>
      <c r="C2114" s="14" t="s">
        <v>1148</v>
      </c>
      <c r="D2114" s="105">
        <v>9050</v>
      </c>
      <c r="E2114" s="23">
        <v>42116</v>
      </c>
      <c r="F2114" s="118">
        <v>9050</v>
      </c>
      <c r="G2114" s="31">
        <f t="shared" si="32"/>
        <v>0</v>
      </c>
      <c r="H2114" s="56" t="s">
        <v>9</v>
      </c>
      <c r="I2114" s="3"/>
      <c r="J2114" s="42"/>
      <c r="K2114" s="3"/>
    </row>
    <row r="2115" spans="1:11" x14ac:dyDescent="0.25">
      <c r="A2115" s="20">
        <v>42116</v>
      </c>
      <c r="B2115" s="183">
        <v>18652</v>
      </c>
      <c r="C2115" s="14" t="s">
        <v>24</v>
      </c>
      <c r="D2115" s="105">
        <v>3835</v>
      </c>
      <c r="E2115" s="30">
        <v>42144</v>
      </c>
      <c r="F2115" s="144">
        <v>3835</v>
      </c>
      <c r="G2115" s="31">
        <f t="shared" ref="G2115:G2178" si="33">D2115-F2115</f>
        <v>0</v>
      </c>
      <c r="H2115" s="39" t="s">
        <v>9</v>
      </c>
      <c r="I2115" s="3"/>
      <c r="J2115" s="42"/>
      <c r="K2115" s="3"/>
    </row>
    <row r="2116" spans="1:11" x14ac:dyDescent="0.25">
      <c r="A2116" s="20">
        <v>42116</v>
      </c>
      <c r="B2116" s="183">
        <v>18653</v>
      </c>
      <c r="C2116" s="14" t="s">
        <v>226</v>
      </c>
      <c r="D2116" s="105">
        <v>2270.4</v>
      </c>
      <c r="E2116" s="23">
        <v>42117</v>
      </c>
      <c r="F2116" s="106">
        <v>2270.4</v>
      </c>
      <c r="G2116" s="31">
        <f t="shared" si="33"/>
        <v>0</v>
      </c>
      <c r="H2116" s="39" t="s">
        <v>9</v>
      </c>
      <c r="I2116" s="3"/>
      <c r="J2116" s="42"/>
      <c r="K2116" s="3"/>
    </row>
    <row r="2117" spans="1:11" x14ac:dyDescent="0.25">
      <c r="A2117" s="20">
        <v>42116</v>
      </c>
      <c r="B2117" s="183">
        <v>18654</v>
      </c>
      <c r="C2117" s="14" t="s">
        <v>375</v>
      </c>
      <c r="D2117" s="105">
        <v>2786.2</v>
      </c>
      <c r="E2117" s="23">
        <v>42116</v>
      </c>
      <c r="F2117" s="106">
        <v>2786.2</v>
      </c>
      <c r="G2117" s="31">
        <f t="shared" si="33"/>
        <v>0</v>
      </c>
      <c r="H2117" s="39" t="s">
        <v>9</v>
      </c>
      <c r="I2117" s="3"/>
      <c r="J2117" s="42"/>
      <c r="K2117" s="3"/>
    </row>
    <row r="2118" spans="1:11" x14ac:dyDescent="0.25">
      <c r="A2118" s="20">
        <v>42116</v>
      </c>
      <c r="B2118" s="183">
        <v>18655</v>
      </c>
      <c r="C2118" s="150" t="s">
        <v>285</v>
      </c>
      <c r="D2118" s="105">
        <v>834.45</v>
      </c>
      <c r="E2118" s="23">
        <v>42117</v>
      </c>
      <c r="F2118" s="106">
        <v>834.45</v>
      </c>
      <c r="G2118" s="31">
        <f t="shared" si="33"/>
        <v>0</v>
      </c>
      <c r="H2118" s="39" t="s">
        <v>15</v>
      </c>
      <c r="I2118" s="3"/>
      <c r="J2118" s="42"/>
      <c r="K2118" s="3"/>
    </row>
    <row r="2119" spans="1:11" x14ac:dyDescent="0.25">
      <c r="A2119" s="20">
        <v>42116</v>
      </c>
      <c r="B2119" s="183">
        <v>18656</v>
      </c>
      <c r="C2119" s="14" t="s">
        <v>47</v>
      </c>
      <c r="D2119" s="105">
        <v>54009.25</v>
      </c>
      <c r="E2119" s="23">
        <v>42116</v>
      </c>
      <c r="F2119" s="106">
        <v>54009.25</v>
      </c>
      <c r="G2119" s="31">
        <f t="shared" si="33"/>
        <v>0</v>
      </c>
      <c r="H2119" s="39" t="s">
        <v>9</v>
      </c>
      <c r="I2119" s="3"/>
      <c r="J2119" s="42"/>
      <c r="K2119" s="3"/>
    </row>
    <row r="2120" spans="1:11" x14ac:dyDescent="0.25">
      <c r="A2120" s="20">
        <v>42116</v>
      </c>
      <c r="B2120" s="183">
        <v>18657</v>
      </c>
      <c r="C2120" s="14" t="s">
        <v>26</v>
      </c>
      <c r="D2120" s="105">
        <v>1632</v>
      </c>
      <c r="E2120" s="23">
        <v>42116</v>
      </c>
      <c r="F2120" s="106">
        <v>1632</v>
      </c>
      <c r="G2120" s="31">
        <f t="shared" si="33"/>
        <v>0</v>
      </c>
      <c r="H2120" s="39" t="s">
        <v>9</v>
      </c>
      <c r="I2120" s="3"/>
      <c r="J2120" s="42"/>
      <c r="K2120" s="3"/>
    </row>
    <row r="2121" spans="1:11" x14ac:dyDescent="0.25">
      <c r="A2121" s="20">
        <v>42116</v>
      </c>
      <c r="B2121" s="183">
        <v>18658</v>
      </c>
      <c r="C2121" s="14" t="s">
        <v>1058</v>
      </c>
      <c r="D2121" s="105">
        <v>3551.6</v>
      </c>
      <c r="E2121" s="23">
        <v>42116</v>
      </c>
      <c r="F2121" s="106">
        <v>3551.6</v>
      </c>
      <c r="G2121" s="31">
        <f t="shared" si="33"/>
        <v>0</v>
      </c>
      <c r="H2121" s="39" t="s">
        <v>9</v>
      </c>
      <c r="I2121" s="3"/>
      <c r="J2121" s="42"/>
      <c r="K2121" s="3"/>
    </row>
    <row r="2122" spans="1:11" x14ac:dyDescent="0.25">
      <c r="A2122" s="20">
        <v>42116</v>
      </c>
      <c r="B2122" s="183">
        <v>18659</v>
      </c>
      <c r="C2122" s="14" t="s">
        <v>49</v>
      </c>
      <c r="D2122" s="105">
        <v>1624</v>
      </c>
      <c r="E2122" s="23">
        <v>42116</v>
      </c>
      <c r="F2122" s="106">
        <v>1624</v>
      </c>
      <c r="G2122" s="31">
        <f t="shared" si="33"/>
        <v>0</v>
      </c>
      <c r="H2122" s="39" t="s">
        <v>27</v>
      </c>
      <c r="I2122" s="3"/>
      <c r="J2122" s="42"/>
      <c r="K2122" s="3"/>
    </row>
    <row r="2123" spans="1:11" x14ac:dyDescent="0.25">
      <c r="A2123" s="20">
        <v>42116</v>
      </c>
      <c r="B2123" s="183">
        <v>18660</v>
      </c>
      <c r="C2123" s="14" t="s">
        <v>50</v>
      </c>
      <c r="D2123" s="105">
        <v>2082.4</v>
      </c>
      <c r="E2123" s="23">
        <v>42116</v>
      </c>
      <c r="F2123" s="106">
        <v>2082.4</v>
      </c>
      <c r="G2123" s="31">
        <f t="shared" si="33"/>
        <v>0</v>
      </c>
      <c r="H2123" s="39" t="s">
        <v>9</v>
      </c>
      <c r="I2123" s="3"/>
      <c r="J2123" s="42"/>
      <c r="K2123" s="3"/>
    </row>
    <row r="2124" spans="1:11" x14ac:dyDescent="0.25">
      <c r="A2124" s="20">
        <v>42116</v>
      </c>
      <c r="B2124" s="183">
        <v>18661</v>
      </c>
      <c r="C2124" s="14" t="s">
        <v>136</v>
      </c>
      <c r="D2124" s="105">
        <v>540</v>
      </c>
      <c r="E2124" s="23">
        <v>42116</v>
      </c>
      <c r="F2124" s="106">
        <v>540</v>
      </c>
      <c r="G2124" s="31">
        <f t="shared" si="33"/>
        <v>0</v>
      </c>
      <c r="H2124" s="39" t="s">
        <v>9</v>
      </c>
      <c r="I2124" s="3"/>
      <c r="J2124" s="42"/>
      <c r="K2124" s="3"/>
    </row>
    <row r="2125" spans="1:11" x14ac:dyDescent="0.25">
      <c r="A2125" s="20">
        <v>42116</v>
      </c>
      <c r="B2125" s="183">
        <v>18662</v>
      </c>
      <c r="C2125" s="14" t="s">
        <v>24</v>
      </c>
      <c r="D2125" s="105">
        <v>45092</v>
      </c>
      <c r="E2125" s="30">
        <v>42144</v>
      </c>
      <c r="F2125" s="144">
        <v>45092</v>
      </c>
      <c r="G2125" s="31">
        <f t="shared" si="33"/>
        <v>0</v>
      </c>
      <c r="H2125" s="39" t="s">
        <v>187</v>
      </c>
      <c r="I2125" s="3"/>
      <c r="J2125" s="42"/>
      <c r="K2125" s="3"/>
    </row>
    <row r="2126" spans="1:11" x14ac:dyDescent="0.25">
      <c r="A2126" s="20">
        <v>42116</v>
      </c>
      <c r="B2126" s="183">
        <v>18663</v>
      </c>
      <c r="C2126" s="14" t="s">
        <v>89</v>
      </c>
      <c r="D2126" s="105">
        <v>3879</v>
      </c>
      <c r="E2126" s="23">
        <v>42116</v>
      </c>
      <c r="F2126" s="106">
        <v>3879</v>
      </c>
      <c r="G2126" s="31">
        <f t="shared" si="33"/>
        <v>0</v>
      </c>
      <c r="H2126" s="39" t="s">
        <v>9</v>
      </c>
      <c r="I2126" s="3"/>
      <c r="J2126" s="42"/>
      <c r="K2126" s="3"/>
    </row>
    <row r="2127" spans="1:11" x14ac:dyDescent="0.25">
      <c r="A2127" s="20">
        <v>42116</v>
      </c>
      <c r="B2127" s="183">
        <v>18664</v>
      </c>
      <c r="C2127" s="14" t="s">
        <v>35</v>
      </c>
      <c r="D2127" s="105">
        <v>24740.1</v>
      </c>
      <c r="E2127" s="23">
        <v>42116</v>
      </c>
      <c r="F2127" s="106">
        <v>24740.1</v>
      </c>
      <c r="G2127" s="31">
        <f t="shared" si="33"/>
        <v>0</v>
      </c>
      <c r="H2127" s="39" t="s">
        <v>1013</v>
      </c>
      <c r="I2127" s="3"/>
      <c r="J2127" s="42"/>
      <c r="K2127" s="3"/>
    </row>
    <row r="2128" spans="1:11" x14ac:dyDescent="0.25">
      <c r="A2128" s="20">
        <v>42116</v>
      </c>
      <c r="B2128" s="183">
        <v>18665</v>
      </c>
      <c r="C2128" s="14" t="s">
        <v>268</v>
      </c>
      <c r="D2128" s="105">
        <v>13383.7</v>
      </c>
      <c r="E2128" s="23">
        <v>42117</v>
      </c>
      <c r="F2128" s="106">
        <v>13383.7</v>
      </c>
      <c r="G2128" s="31">
        <f t="shared" si="33"/>
        <v>0</v>
      </c>
      <c r="H2128" s="39" t="s">
        <v>62</v>
      </c>
      <c r="I2128" s="3"/>
      <c r="J2128" s="42"/>
      <c r="K2128" s="3"/>
    </row>
    <row r="2129" spans="1:11" x14ac:dyDescent="0.25">
      <c r="A2129" s="20">
        <v>42116</v>
      </c>
      <c r="B2129" s="183">
        <v>18666</v>
      </c>
      <c r="C2129" s="14" t="s">
        <v>912</v>
      </c>
      <c r="D2129" s="105">
        <v>24861.599999999999</v>
      </c>
      <c r="E2129" s="23">
        <v>42116</v>
      </c>
      <c r="F2129" s="106">
        <v>24861.599999999999</v>
      </c>
      <c r="G2129" s="31">
        <f t="shared" si="33"/>
        <v>0</v>
      </c>
      <c r="H2129" s="39" t="s">
        <v>9</v>
      </c>
      <c r="I2129" s="3"/>
      <c r="J2129" s="42"/>
      <c r="K2129" s="3"/>
    </row>
    <row r="2130" spans="1:11" x14ac:dyDescent="0.25">
      <c r="A2130" s="20">
        <v>42116</v>
      </c>
      <c r="B2130" s="183">
        <v>18667</v>
      </c>
      <c r="C2130" s="110">
        <v>105</v>
      </c>
      <c r="D2130" s="105">
        <v>1260</v>
      </c>
      <c r="E2130" s="23">
        <v>42116</v>
      </c>
      <c r="F2130" s="106">
        <v>1260</v>
      </c>
      <c r="G2130" s="31">
        <f t="shared" si="33"/>
        <v>0</v>
      </c>
      <c r="H2130" s="39" t="s">
        <v>9</v>
      </c>
      <c r="I2130" s="3"/>
      <c r="J2130" s="42"/>
      <c r="K2130" s="3"/>
    </row>
    <row r="2131" spans="1:11" x14ac:dyDescent="0.25">
      <c r="A2131" s="20">
        <v>42116</v>
      </c>
      <c r="B2131" s="183">
        <v>18668</v>
      </c>
      <c r="C2131" s="14" t="s">
        <v>57</v>
      </c>
      <c r="D2131" s="105">
        <v>1008</v>
      </c>
      <c r="E2131" s="23">
        <v>42117</v>
      </c>
      <c r="F2131" s="106">
        <v>1008</v>
      </c>
      <c r="G2131" s="31">
        <f t="shared" si="33"/>
        <v>0</v>
      </c>
      <c r="H2131" s="39" t="s">
        <v>9</v>
      </c>
      <c r="I2131" s="3"/>
      <c r="J2131" s="42"/>
      <c r="K2131" s="3"/>
    </row>
    <row r="2132" spans="1:11" x14ac:dyDescent="0.25">
      <c r="A2132" s="20">
        <v>42116</v>
      </c>
      <c r="B2132" s="183">
        <v>18669</v>
      </c>
      <c r="C2132" s="14" t="s">
        <v>103</v>
      </c>
      <c r="D2132" s="105">
        <v>24353.5</v>
      </c>
      <c r="E2132" s="23">
        <v>42118</v>
      </c>
      <c r="F2132" s="106">
        <v>24353.5</v>
      </c>
      <c r="G2132" s="31">
        <f t="shared" si="33"/>
        <v>0</v>
      </c>
      <c r="H2132" s="39" t="s">
        <v>9</v>
      </c>
      <c r="I2132" s="3"/>
      <c r="J2132" s="42"/>
      <c r="K2132" s="3"/>
    </row>
    <row r="2133" spans="1:11" x14ac:dyDescent="0.25">
      <c r="A2133" s="20">
        <v>42116</v>
      </c>
      <c r="B2133" s="183">
        <v>18670</v>
      </c>
      <c r="C2133" s="14" t="s">
        <v>1131</v>
      </c>
      <c r="D2133" s="105">
        <v>796</v>
      </c>
      <c r="E2133" s="23">
        <v>42116</v>
      </c>
      <c r="F2133" s="106">
        <v>796</v>
      </c>
      <c r="G2133" s="31">
        <f t="shared" si="33"/>
        <v>0</v>
      </c>
      <c r="H2133" s="39" t="s">
        <v>9</v>
      </c>
      <c r="I2133" s="3"/>
      <c r="J2133" s="42"/>
      <c r="K2133" s="3"/>
    </row>
    <row r="2134" spans="1:11" x14ac:dyDescent="0.25">
      <c r="A2134" s="20">
        <v>42116</v>
      </c>
      <c r="B2134" s="183">
        <v>18671</v>
      </c>
      <c r="C2134" s="14" t="s">
        <v>169</v>
      </c>
      <c r="D2134" s="105">
        <v>1408</v>
      </c>
      <c r="E2134" s="23">
        <v>42116</v>
      </c>
      <c r="F2134" s="106">
        <v>1408</v>
      </c>
      <c r="G2134" s="31">
        <f t="shared" si="33"/>
        <v>0</v>
      </c>
      <c r="H2134" s="39" t="s">
        <v>9</v>
      </c>
      <c r="I2134" s="3"/>
      <c r="J2134" s="42"/>
      <c r="K2134" s="3"/>
    </row>
    <row r="2135" spans="1:11" x14ac:dyDescent="0.25">
      <c r="A2135" s="20">
        <v>42116</v>
      </c>
      <c r="B2135" s="183">
        <v>18672</v>
      </c>
      <c r="C2135" s="14" t="s">
        <v>464</v>
      </c>
      <c r="D2135" s="105">
        <v>2325.6</v>
      </c>
      <c r="E2135" s="23">
        <v>42116</v>
      </c>
      <c r="F2135" s="106">
        <v>2325.6</v>
      </c>
      <c r="G2135" s="31">
        <f t="shared" si="33"/>
        <v>0</v>
      </c>
      <c r="H2135" s="39" t="s">
        <v>9</v>
      </c>
      <c r="I2135" s="3"/>
      <c r="J2135" s="42"/>
      <c r="K2135" s="3"/>
    </row>
    <row r="2136" spans="1:11" x14ac:dyDescent="0.25">
      <c r="A2136" s="20">
        <v>42116</v>
      </c>
      <c r="B2136" s="183">
        <v>18673</v>
      </c>
      <c r="C2136" s="14" t="s">
        <v>245</v>
      </c>
      <c r="D2136" s="105">
        <v>3804.18</v>
      </c>
      <c r="E2136" s="30" t="s">
        <v>1225</v>
      </c>
      <c r="F2136" s="144">
        <v>3804.18</v>
      </c>
      <c r="G2136" s="31">
        <f t="shared" si="33"/>
        <v>0</v>
      </c>
      <c r="H2136" s="39" t="s">
        <v>9</v>
      </c>
      <c r="I2136" s="3"/>
      <c r="J2136" s="42"/>
      <c r="K2136" s="3"/>
    </row>
    <row r="2137" spans="1:11" x14ac:dyDescent="0.25">
      <c r="A2137" s="20">
        <v>42116</v>
      </c>
      <c r="B2137" s="183">
        <v>18674</v>
      </c>
      <c r="C2137" s="14" t="s">
        <v>45</v>
      </c>
      <c r="D2137" s="105">
        <v>9608.7999999999993</v>
      </c>
      <c r="E2137" s="30">
        <v>42125</v>
      </c>
      <c r="F2137" s="144">
        <v>9608.7999999999993</v>
      </c>
      <c r="G2137" s="31">
        <f t="shared" si="33"/>
        <v>0</v>
      </c>
      <c r="H2137" s="39" t="s">
        <v>41</v>
      </c>
      <c r="I2137" s="3"/>
      <c r="J2137" s="42"/>
      <c r="K2137" s="3"/>
    </row>
    <row r="2138" spans="1:11" x14ac:dyDescent="0.25">
      <c r="A2138" s="20">
        <v>42116</v>
      </c>
      <c r="B2138" s="183">
        <v>18675</v>
      </c>
      <c r="C2138" s="14" t="s">
        <v>247</v>
      </c>
      <c r="D2138" s="105">
        <v>2262</v>
      </c>
      <c r="E2138" s="23">
        <v>42116</v>
      </c>
      <c r="F2138" s="106">
        <v>2262</v>
      </c>
      <c r="G2138" s="31">
        <f t="shared" si="33"/>
        <v>0</v>
      </c>
      <c r="H2138" s="39" t="s">
        <v>19</v>
      </c>
      <c r="I2138" s="3"/>
      <c r="J2138" s="42"/>
      <c r="K2138" s="3"/>
    </row>
    <row r="2139" spans="1:11" x14ac:dyDescent="0.25">
      <c r="A2139" s="20">
        <v>42116</v>
      </c>
      <c r="B2139" s="183">
        <v>18676</v>
      </c>
      <c r="C2139" s="14" t="s">
        <v>53</v>
      </c>
      <c r="D2139" s="105">
        <v>931.6</v>
      </c>
      <c r="E2139" s="23">
        <v>42116</v>
      </c>
      <c r="F2139" s="106">
        <v>931.6</v>
      </c>
      <c r="G2139" s="31">
        <f t="shared" si="33"/>
        <v>0</v>
      </c>
      <c r="H2139" s="39" t="s">
        <v>773</v>
      </c>
      <c r="I2139" s="3"/>
      <c r="J2139" s="42"/>
      <c r="K2139" s="3"/>
    </row>
    <row r="2140" spans="1:11" x14ac:dyDescent="0.25">
      <c r="A2140" s="20">
        <v>42116</v>
      </c>
      <c r="B2140" s="183">
        <v>18677</v>
      </c>
      <c r="C2140" s="14" t="s">
        <v>256</v>
      </c>
      <c r="D2140" s="105">
        <v>4030.4</v>
      </c>
      <c r="E2140" s="23">
        <v>42116</v>
      </c>
      <c r="F2140" s="106">
        <v>4030.4</v>
      </c>
      <c r="G2140" s="31">
        <f t="shared" si="33"/>
        <v>0</v>
      </c>
      <c r="H2140" s="39" t="s">
        <v>1013</v>
      </c>
      <c r="I2140" s="3"/>
      <c r="J2140" s="42"/>
      <c r="K2140" s="3"/>
    </row>
    <row r="2141" spans="1:11" x14ac:dyDescent="0.25">
      <c r="A2141" s="20">
        <v>42116</v>
      </c>
      <c r="B2141" s="183">
        <v>18678</v>
      </c>
      <c r="C2141" s="14" t="s">
        <v>118</v>
      </c>
      <c r="D2141" s="105">
        <v>16498.400000000001</v>
      </c>
      <c r="E2141" s="212" t="s">
        <v>1446</v>
      </c>
      <c r="F2141" s="144">
        <f>14929.83+1568.57</f>
        <v>16498.400000000001</v>
      </c>
      <c r="G2141" s="31">
        <f t="shared" si="33"/>
        <v>0</v>
      </c>
      <c r="H2141" s="39" t="s">
        <v>773</v>
      </c>
      <c r="I2141" s="3"/>
      <c r="J2141" s="42"/>
      <c r="K2141" s="3"/>
    </row>
    <row r="2142" spans="1:11" x14ac:dyDescent="0.25">
      <c r="A2142" s="20">
        <v>42116</v>
      </c>
      <c r="B2142" s="183">
        <v>18679</v>
      </c>
      <c r="C2142" s="14" t="s">
        <v>152</v>
      </c>
      <c r="D2142" s="105">
        <v>3684.85</v>
      </c>
      <c r="E2142" s="23">
        <v>42116</v>
      </c>
      <c r="F2142" s="106">
        <v>3684.85</v>
      </c>
      <c r="G2142" s="31">
        <f t="shared" si="33"/>
        <v>0</v>
      </c>
      <c r="H2142" s="39" t="s">
        <v>773</v>
      </c>
      <c r="I2142" s="3"/>
      <c r="J2142" s="42"/>
      <c r="K2142" s="3"/>
    </row>
    <row r="2143" spans="1:11" x14ac:dyDescent="0.25">
      <c r="A2143" s="20">
        <v>42116</v>
      </c>
      <c r="B2143" s="183">
        <v>18680</v>
      </c>
      <c r="C2143" s="14" t="s">
        <v>100</v>
      </c>
      <c r="D2143" s="105">
        <v>1422.15</v>
      </c>
      <c r="E2143" s="23">
        <v>42116</v>
      </c>
      <c r="F2143" s="106">
        <v>1422.15</v>
      </c>
      <c r="G2143" s="31">
        <f t="shared" si="33"/>
        <v>0</v>
      </c>
      <c r="H2143" s="39" t="s">
        <v>9</v>
      </c>
      <c r="I2143" s="3"/>
      <c r="J2143" s="42"/>
      <c r="K2143" s="3"/>
    </row>
    <row r="2144" spans="1:11" x14ac:dyDescent="0.25">
      <c r="A2144" s="20">
        <v>42116</v>
      </c>
      <c r="B2144" s="183">
        <v>18681</v>
      </c>
      <c r="C2144" s="14" t="s">
        <v>1060</v>
      </c>
      <c r="D2144" s="105">
        <v>25301.7</v>
      </c>
      <c r="E2144" s="23">
        <v>42117</v>
      </c>
      <c r="F2144" s="106">
        <v>25301.7</v>
      </c>
      <c r="G2144" s="31">
        <f t="shared" si="33"/>
        <v>0</v>
      </c>
      <c r="H2144" s="39" t="s">
        <v>94</v>
      </c>
      <c r="I2144" s="3"/>
      <c r="J2144" s="42"/>
      <c r="K2144" s="3"/>
    </row>
    <row r="2145" spans="1:11" x14ac:dyDescent="0.25">
      <c r="A2145" s="20">
        <v>42116</v>
      </c>
      <c r="B2145" s="183">
        <v>18682</v>
      </c>
      <c r="C2145" s="14" t="s">
        <v>411</v>
      </c>
      <c r="D2145" s="105">
        <v>1474.2</v>
      </c>
      <c r="E2145" s="23">
        <v>42116</v>
      </c>
      <c r="F2145" s="106">
        <v>1474.2</v>
      </c>
      <c r="G2145" s="31">
        <f t="shared" si="33"/>
        <v>0</v>
      </c>
      <c r="H2145" s="39" t="s">
        <v>9</v>
      </c>
      <c r="I2145" s="3"/>
      <c r="J2145" s="42"/>
      <c r="K2145" s="3"/>
    </row>
    <row r="2146" spans="1:11" x14ac:dyDescent="0.25">
      <c r="A2146" s="20">
        <v>42116</v>
      </c>
      <c r="B2146" s="183">
        <v>18683</v>
      </c>
      <c r="C2146" s="14" t="s">
        <v>136</v>
      </c>
      <c r="D2146" s="105">
        <v>29988</v>
      </c>
      <c r="E2146" s="23">
        <v>42117</v>
      </c>
      <c r="F2146" s="106">
        <v>29988</v>
      </c>
      <c r="G2146" s="31">
        <f t="shared" si="33"/>
        <v>0</v>
      </c>
      <c r="H2146" s="39" t="s">
        <v>9</v>
      </c>
      <c r="I2146" s="3"/>
      <c r="J2146" s="42"/>
      <c r="K2146" s="3"/>
    </row>
    <row r="2147" spans="1:11" x14ac:dyDescent="0.25">
      <c r="A2147" s="20">
        <v>42116</v>
      </c>
      <c r="B2147" s="183">
        <v>18684</v>
      </c>
      <c r="C2147" s="14" t="s">
        <v>332</v>
      </c>
      <c r="D2147" s="105">
        <v>609.9</v>
      </c>
      <c r="E2147" s="23">
        <v>42116</v>
      </c>
      <c r="F2147" s="106">
        <v>609.9</v>
      </c>
      <c r="G2147" s="31">
        <f t="shared" si="33"/>
        <v>0</v>
      </c>
      <c r="H2147" s="39" t="s">
        <v>9</v>
      </c>
      <c r="I2147" s="3"/>
      <c r="J2147" s="42"/>
      <c r="K2147" s="3"/>
    </row>
    <row r="2148" spans="1:11" x14ac:dyDescent="0.25">
      <c r="A2148" s="20">
        <v>42116</v>
      </c>
      <c r="B2148" s="183">
        <v>18685</v>
      </c>
      <c r="C2148" s="14" t="s">
        <v>95</v>
      </c>
      <c r="D2148" s="105">
        <v>4263.6000000000004</v>
      </c>
      <c r="E2148" s="23">
        <v>42117</v>
      </c>
      <c r="F2148" s="106">
        <v>4263.6000000000004</v>
      </c>
      <c r="G2148" s="31">
        <f t="shared" si="33"/>
        <v>0</v>
      </c>
      <c r="H2148" s="39" t="s">
        <v>94</v>
      </c>
      <c r="I2148" s="3"/>
      <c r="J2148" s="42"/>
      <c r="K2148" s="3"/>
    </row>
    <row r="2149" spans="1:11" x14ac:dyDescent="0.25">
      <c r="A2149" s="20">
        <v>42116</v>
      </c>
      <c r="B2149" s="183">
        <v>18686</v>
      </c>
      <c r="C2149" s="14" t="s">
        <v>93</v>
      </c>
      <c r="D2149" s="105">
        <v>1353.2</v>
      </c>
      <c r="E2149" s="23">
        <v>42117</v>
      </c>
      <c r="F2149" s="106">
        <v>1353.2</v>
      </c>
      <c r="G2149" s="31">
        <f t="shared" si="33"/>
        <v>0</v>
      </c>
      <c r="H2149" s="39" t="s">
        <v>94</v>
      </c>
      <c r="I2149" s="3"/>
      <c r="J2149" s="42"/>
      <c r="K2149" s="3"/>
    </row>
    <row r="2150" spans="1:11" x14ac:dyDescent="0.25">
      <c r="A2150" s="20">
        <v>42116</v>
      </c>
      <c r="B2150" s="183">
        <v>18687</v>
      </c>
      <c r="C2150" s="14" t="s">
        <v>110</v>
      </c>
      <c r="D2150" s="105">
        <v>6453.9</v>
      </c>
      <c r="E2150" s="30">
        <v>42126</v>
      </c>
      <c r="F2150" s="144">
        <v>6453.9</v>
      </c>
      <c r="G2150" s="31">
        <f t="shared" si="33"/>
        <v>0</v>
      </c>
      <c r="H2150" s="39" t="s">
        <v>9</v>
      </c>
      <c r="I2150" s="3"/>
      <c r="J2150" s="42"/>
      <c r="K2150" s="3"/>
    </row>
    <row r="2151" spans="1:11" x14ac:dyDescent="0.25">
      <c r="A2151" s="20">
        <v>42116</v>
      </c>
      <c r="B2151" s="183">
        <v>18688</v>
      </c>
      <c r="C2151" s="14" t="s">
        <v>110</v>
      </c>
      <c r="D2151" s="105">
        <v>24740.1</v>
      </c>
      <c r="E2151" s="30">
        <v>42126</v>
      </c>
      <c r="F2151" s="144">
        <v>24740.1</v>
      </c>
      <c r="G2151" s="31">
        <f t="shared" si="33"/>
        <v>0</v>
      </c>
      <c r="H2151" s="39" t="s">
        <v>94</v>
      </c>
      <c r="I2151" s="3"/>
      <c r="J2151" s="42"/>
      <c r="K2151" s="3"/>
    </row>
    <row r="2152" spans="1:11" x14ac:dyDescent="0.25">
      <c r="A2152" s="20">
        <v>42116</v>
      </c>
      <c r="B2152" s="183">
        <v>18689</v>
      </c>
      <c r="C2152" s="14" t="s">
        <v>1116</v>
      </c>
      <c r="D2152" s="105">
        <v>1080</v>
      </c>
      <c r="E2152" s="23">
        <v>42117</v>
      </c>
      <c r="F2152" s="106">
        <v>1080</v>
      </c>
      <c r="G2152" s="31">
        <f t="shared" si="33"/>
        <v>0</v>
      </c>
      <c r="H2152" s="39" t="s">
        <v>94</v>
      </c>
      <c r="I2152" s="3"/>
      <c r="J2152" s="42"/>
      <c r="K2152" s="3"/>
    </row>
    <row r="2153" spans="1:11" x14ac:dyDescent="0.25">
      <c r="A2153" s="20">
        <v>42116</v>
      </c>
      <c r="B2153" s="183">
        <v>18690</v>
      </c>
      <c r="C2153" s="14" t="s">
        <v>325</v>
      </c>
      <c r="D2153" s="105">
        <v>962.8</v>
      </c>
      <c r="E2153" s="23">
        <v>42116</v>
      </c>
      <c r="F2153" s="106">
        <v>962.8</v>
      </c>
      <c r="G2153" s="31">
        <f t="shared" si="33"/>
        <v>0</v>
      </c>
      <c r="H2153" s="39" t="s">
        <v>41</v>
      </c>
      <c r="I2153" s="3"/>
      <c r="J2153" s="42"/>
      <c r="K2153" s="3"/>
    </row>
    <row r="2154" spans="1:11" x14ac:dyDescent="0.25">
      <c r="A2154" s="20">
        <v>42116</v>
      </c>
      <c r="B2154" s="183">
        <v>18691</v>
      </c>
      <c r="C2154" s="14" t="s">
        <v>42</v>
      </c>
      <c r="D2154" s="105">
        <v>4342.8</v>
      </c>
      <c r="E2154" s="23">
        <v>42116</v>
      </c>
      <c r="F2154" s="106">
        <v>4342.8</v>
      </c>
      <c r="G2154" s="31">
        <f t="shared" si="33"/>
        <v>0</v>
      </c>
      <c r="H2154" s="39" t="s">
        <v>9</v>
      </c>
      <c r="I2154" s="3"/>
      <c r="J2154" s="42"/>
      <c r="K2154" s="3"/>
    </row>
    <row r="2155" spans="1:11" x14ac:dyDescent="0.25">
      <c r="A2155" s="20">
        <v>42116</v>
      </c>
      <c r="B2155" s="183">
        <v>18692</v>
      </c>
      <c r="C2155" s="26" t="s">
        <v>218</v>
      </c>
      <c r="D2155" s="108">
        <v>0</v>
      </c>
      <c r="E2155" s="23"/>
      <c r="F2155" s="106"/>
      <c r="G2155" s="31">
        <f t="shared" si="33"/>
        <v>0</v>
      </c>
      <c r="H2155" s="39" t="s">
        <v>13</v>
      </c>
      <c r="I2155" s="3"/>
      <c r="J2155" s="42"/>
      <c r="K2155" s="3"/>
    </row>
    <row r="2156" spans="1:11" x14ac:dyDescent="0.25">
      <c r="A2156" s="20">
        <v>42116</v>
      </c>
      <c r="B2156" s="183">
        <v>18693</v>
      </c>
      <c r="C2156" s="14" t="s">
        <v>829</v>
      </c>
      <c r="D2156" s="105">
        <v>4356</v>
      </c>
      <c r="E2156" s="23">
        <v>42116</v>
      </c>
      <c r="F2156" s="106">
        <v>4356</v>
      </c>
      <c r="G2156" s="31">
        <f t="shared" si="33"/>
        <v>0</v>
      </c>
      <c r="H2156" s="39" t="s">
        <v>9</v>
      </c>
      <c r="I2156" s="3"/>
      <c r="J2156" s="42"/>
      <c r="K2156" s="3"/>
    </row>
    <row r="2157" spans="1:11" x14ac:dyDescent="0.25">
      <c r="A2157" s="20">
        <v>42116</v>
      </c>
      <c r="B2157" s="183">
        <v>18694</v>
      </c>
      <c r="C2157" s="14" t="s">
        <v>108</v>
      </c>
      <c r="D2157" s="105">
        <v>19812</v>
      </c>
      <c r="E2157" s="23">
        <v>42116</v>
      </c>
      <c r="F2157" s="106">
        <v>19812</v>
      </c>
      <c r="G2157" s="31">
        <f t="shared" si="33"/>
        <v>0</v>
      </c>
      <c r="H2157" s="39" t="s">
        <v>17</v>
      </c>
      <c r="I2157" s="3"/>
      <c r="J2157" s="42"/>
      <c r="K2157" s="3"/>
    </row>
    <row r="2158" spans="1:11" x14ac:dyDescent="0.25">
      <c r="A2158" s="20">
        <v>42116</v>
      </c>
      <c r="B2158" s="183">
        <v>18695</v>
      </c>
      <c r="C2158" s="14" t="s">
        <v>24</v>
      </c>
      <c r="D2158" s="105">
        <v>135688.88</v>
      </c>
      <c r="E2158" s="30">
        <v>42144</v>
      </c>
      <c r="F2158" s="144">
        <v>135688.88</v>
      </c>
      <c r="G2158" s="31">
        <f t="shared" si="33"/>
        <v>0</v>
      </c>
      <c r="H2158" s="39" t="s">
        <v>46</v>
      </c>
      <c r="I2158" s="3"/>
      <c r="J2158" s="42"/>
      <c r="K2158" s="3"/>
    </row>
    <row r="2159" spans="1:11" x14ac:dyDescent="0.25">
      <c r="A2159" s="20">
        <v>42116</v>
      </c>
      <c r="B2159" s="183">
        <v>18696</v>
      </c>
      <c r="C2159" s="14" t="s">
        <v>651</v>
      </c>
      <c r="D2159" s="105">
        <v>26940</v>
      </c>
      <c r="E2159" s="23">
        <v>42116</v>
      </c>
      <c r="F2159" s="106">
        <v>26940</v>
      </c>
      <c r="G2159" s="31">
        <f t="shared" si="33"/>
        <v>0</v>
      </c>
      <c r="H2159" s="39" t="s">
        <v>19</v>
      </c>
      <c r="I2159" s="3"/>
      <c r="J2159" s="42"/>
      <c r="K2159" s="3"/>
    </row>
    <row r="2160" spans="1:11" x14ac:dyDescent="0.25">
      <c r="A2160" s="20">
        <v>42116</v>
      </c>
      <c r="B2160" s="183">
        <v>18697</v>
      </c>
      <c r="C2160" s="14" t="s">
        <v>24</v>
      </c>
      <c r="D2160" s="105">
        <v>28218.400000000001</v>
      </c>
      <c r="E2160" s="30">
        <v>42144</v>
      </c>
      <c r="F2160" s="144">
        <v>28218.400000000001</v>
      </c>
      <c r="G2160" s="31">
        <f t="shared" si="33"/>
        <v>0</v>
      </c>
      <c r="H2160" s="39" t="s">
        <v>46</v>
      </c>
      <c r="I2160" s="3"/>
      <c r="J2160" s="42"/>
      <c r="K2160" s="3"/>
    </row>
    <row r="2161" spans="1:11" x14ac:dyDescent="0.25">
      <c r="A2161" s="20">
        <v>42116</v>
      </c>
      <c r="B2161" s="183">
        <v>18698</v>
      </c>
      <c r="C2161" s="14" t="s">
        <v>81</v>
      </c>
      <c r="D2161" s="105">
        <v>2577.4</v>
      </c>
      <c r="E2161" s="23">
        <v>42116</v>
      </c>
      <c r="F2161" s="106">
        <v>2577.4</v>
      </c>
      <c r="G2161" s="31">
        <f t="shared" si="33"/>
        <v>0</v>
      </c>
      <c r="H2161" s="39" t="s">
        <v>41</v>
      </c>
      <c r="I2161" s="3"/>
      <c r="J2161" s="42"/>
      <c r="K2161" s="3"/>
    </row>
    <row r="2162" spans="1:11" x14ac:dyDescent="0.25">
      <c r="A2162" s="20">
        <v>42116</v>
      </c>
      <c r="B2162" s="183">
        <v>18699</v>
      </c>
      <c r="C2162" s="15" t="s">
        <v>126</v>
      </c>
      <c r="D2162" s="122">
        <v>4542.6000000000004</v>
      </c>
      <c r="E2162" s="23">
        <v>42116</v>
      </c>
      <c r="F2162" s="118">
        <v>4542.6000000000004</v>
      </c>
      <c r="G2162" s="31">
        <f t="shared" si="33"/>
        <v>0</v>
      </c>
      <c r="H2162" s="68" t="s">
        <v>41</v>
      </c>
      <c r="I2162" s="3"/>
      <c r="J2162" s="42"/>
      <c r="K2162" s="3"/>
    </row>
    <row r="2163" spans="1:11" x14ac:dyDescent="0.25">
      <c r="A2163" s="20">
        <v>42116</v>
      </c>
      <c r="B2163" s="183">
        <v>18700</v>
      </c>
      <c r="C2163" s="15" t="s">
        <v>454</v>
      </c>
      <c r="D2163" s="122">
        <v>1815.6</v>
      </c>
      <c r="E2163" s="23">
        <v>42116</v>
      </c>
      <c r="F2163" s="106">
        <v>1815.6</v>
      </c>
      <c r="G2163" s="31">
        <f t="shared" si="33"/>
        <v>0</v>
      </c>
      <c r="H2163" s="68" t="s">
        <v>1013</v>
      </c>
      <c r="I2163" s="3"/>
      <c r="J2163" s="42"/>
      <c r="K2163" s="3"/>
    </row>
    <row r="2164" spans="1:11" x14ac:dyDescent="0.25">
      <c r="A2164" s="20">
        <v>42116</v>
      </c>
      <c r="B2164" s="183">
        <v>18701</v>
      </c>
      <c r="C2164" s="15" t="s">
        <v>251</v>
      </c>
      <c r="D2164" s="122">
        <v>20536</v>
      </c>
      <c r="E2164" s="23">
        <v>42117</v>
      </c>
      <c r="F2164" s="106">
        <v>20536</v>
      </c>
      <c r="G2164" s="31">
        <f t="shared" si="33"/>
        <v>0</v>
      </c>
      <c r="H2164" s="68" t="s">
        <v>9</v>
      </c>
      <c r="I2164" s="3"/>
      <c r="J2164" s="42"/>
      <c r="K2164" s="3"/>
    </row>
    <row r="2165" spans="1:11" x14ac:dyDescent="0.25">
      <c r="A2165" s="20">
        <v>42116</v>
      </c>
      <c r="B2165" s="183">
        <v>18702</v>
      </c>
      <c r="C2165" s="15" t="s">
        <v>24</v>
      </c>
      <c r="D2165" s="122">
        <v>37443.599999999999</v>
      </c>
      <c r="E2165" s="30">
        <v>42144</v>
      </c>
      <c r="F2165" s="144">
        <v>37443.599999999999</v>
      </c>
      <c r="G2165" s="31">
        <f t="shared" si="33"/>
        <v>0</v>
      </c>
      <c r="H2165" s="68" t="s">
        <v>17</v>
      </c>
      <c r="I2165" s="3"/>
      <c r="J2165" s="42"/>
      <c r="K2165" s="3"/>
    </row>
    <row r="2166" spans="1:11" x14ac:dyDescent="0.25">
      <c r="A2166" s="20">
        <v>42116</v>
      </c>
      <c r="B2166" s="183">
        <v>18703</v>
      </c>
      <c r="C2166" s="15" t="s">
        <v>80</v>
      </c>
      <c r="D2166" s="122">
        <v>6830.6</v>
      </c>
      <c r="E2166" s="23">
        <v>42116</v>
      </c>
      <c r="F2166" s="106">
        <v>6830.6</v>
      </c>
      <c r="G2166" s="31">
        <f t="shared" si="33"/>
        <v>0</v>
      </c>
      <c r="H2166" s="68" t="s">
        <v>9</v>
      </c>
      <c r="I2166" s="3"/>
      <c r="J2166" s="42"/>
      <c r="K2166" s="3"/>
    </row>
    <row r="2167" spans="1:11" x14ac:dyDescent="0.25">
      <c r="A2167" s="20">
        <v>42116</v>
      </c>
      <c r="B2167" s="183">
        <v>18704</v>
      </c>
      <c r="C2167" s="15" t="s">
        <v>111</v>
      </c>
      <c r="D2167" s="122">
        <v>143116</v>
      </c>
      <c r="E2167" s="23">
        <v>42122</v>
      </c>
      <c r="F2167" s="106">
        <v>143116</v>
      </c>
      <c r="G2167" s="31">
        <f t="shared" si="33"/>
        <v>0</v>
      </c>
      <c r="H2167" s="68" t="s">
        <v>9</v>
      </c>
      <c r="I2167" s="3"/>
      <c r="J2167" s="42"/>
      <c r="K2167" s="3"/>
    </row>
    <row r="2168" spans="1:11" x14ac:dyDescent="0.25">
      <c r="A2168" s="20">
        <v>42116</v>
      </c>
      <c r="B2168" s="183">
        <v>18705</v>
      </c>
      <c r="C2168" s="15" t="s">
        <v>1101</v>
      </c>
      <c r="D2168" s="122">
        <v>410</v>
      </c>
      <c r="E2168" s="23">
        <v>42116</v>
      </c>
      <c r="F2168" s="118">
        <v>410</v>
      </c>
      <c r="G2168" s="31">
        <f t="shared" si="33"/>
        <v>0</v>
      </c>
      <c r="H2168" s="68" t="s">
        <v>9</v>
      </c>
      <c r="I2168" s="3"/>
      <c r="J2168" s="42"/>
      <c r="K2168" s="3"/>
    </row>
    <row r="2169" spans="1:11" x14ac:dyDescent="0.25">
      <c r="A2169" s="20">
        <v>42116</v>
      </c>
      <c r="B2169" s="183">
        <v>18706</v>
      </c>
      <c r="C2169" s="15" t="s">
        <v>161</v>
      </c>
      <c r="D2169" s="122">
        <v>23341.5</v>
      </c>
      <c r="E2169" s="23">
        <v>42116</v>
      </c>
      <c r="F2169" s="118">
        <v>23341.5</v>
      </c>
      <c r="G2169" s="31">
        <f t="shared" si="33"/>
        <v>0</v>
      </c>
      <c r="H2169" s="68" t="s">
        <v>9</v>
      </c>
      <c r="I2169" s="3"/>
      <c r="J2169" s="42"/>
      <c r="K2169" s="3"/>
    </row>
    <row r="2170" spans="1:11" x14ac:dyDescent="0.25">
      <c r="A2170" s="20">
        <v>42116</v>
      </c>
      <c r="B2170" s="183">
        <v>18707</v>
      </c>
      <c r="C2170" s="15" t="s">
        <v>161</v>
      </c>
      <c r="D2170" s="122">
        <v>2369.1</v>
      </c>
      <c r="E2170" s="23">
        <v>42116</v>
      </c>
      <c r="F2170" s="106">
        <v>2369.1</v>
      </c>
      <c r="G2170" s="31">
        <f t="shared" si="33"/>
        <v>0</v>
      </c>
      <c r="H2170" s="68" t="s">
        <v>9</v>
      </c>
      <c r="I2170" s="3"/>
      <c r="J2170" s="42"/>
      <c r="K2170" s="3"/>
    </row>
    <row r="2171" spans="1:11" x14ac:dyDescent="0.25">
      <c r="A2171" s="20">
        <v>42117</v>
      </c>
      <c r="B2171" s="183">
        <v>18708</v>
      </c>
      <c r="C2171" s="15" t="s">
        <v>97</v>
      </c>
      <c r="D2171" s="122">
        <v>4466.8</v>
      </c>
      <c r="E2171" s="23">
        <v>42117</v>
      </c>
      <c r="F2171" s="106">
        <v>4466.8</v>
      </c>
      <c r="G2171" s="31">
        <f t="shared" si="33"/>
        <v>0</v>
      </c>
      <c r="H2171" s="68" t="s">
        <v>9</v>
      </c>
      <c r="I2171" s="3"/>
      <c r="J2171" s="42"/>
      <c r="K2171" s="3"/>
    </row>
    <row r="2172" spans="1:11" x14ac:dyDescent="0.25">
      <c r="A2172" s="20">
        <v>42117</v>
      </c>
      <c r="B2172" s="183">
        <v>18709</v>
      </c>
      <c r="C2172" s="15" t="s">
        <v>1060</v>
      </c>
      <c r="D2172" s="122">
        <v>2273.6999999999998</v>
      </c>
      <c r="E2172" s="23">
        <v>42117</v>
      </c>
      <c r="F2172" s="106">
        <v>2273.6999999999998</v>
      </c>
      <c r="G2172" s="31">
        <f t="shared" si="33"/>
        <v>0</v>
      </c>
      <c r="H2172" s="68" t="s">
        <v>9</v>
      </c>
      <c r="I2172" s="3"/>
      <c r="J2172" s="42"/>
      <c r="K2172" s="3"/>
    </row>
    <row r="2173" spans="1:11" x14ac:dyDescent="0.25">
      <c r="A2173" s="20">
        <v>42117</v>
      </c>
      <c r="B2173" s="183">
        <v>18710</v>
      </c>
      <c r="C2173" s="15" t="s">
        <v>14</v>
      </c>
      <c r="D2173" s="122">
        <v>16816.8</v>
      </c>
      <c r="E2173" s="30">
        <v>42126</v>
      </c>
      <c r="F2173" s="144">
        <v>16816.8</v>
      </c>
      <c r="G2173" s="31">
        <f t="shared" si="33"/>
        <v>0</v>
      </c>
      <c r="H2173" s="68" t="s">
        <v>9</v>
      </c>
      <c r="I2173" s="3"/>
      <c r="J2173" s="42"/>
      <c r="K2173" s="3"/>
    </row>
    <row r="2174" spans="1:11" x14ac:dyDescent="0.25">
      <c r="A2174" s="20">
        <v>42117</v>
      </c>
      <c r="B2174" s="183">
        <v>18711</v>
      </c>
      <c r="C2174" s="15" t="s">
        <v>211</v>
      </c>
      <c r="D2174" s="122">
        <v>56486.6</v>
      </c>
      <c r="E2174" s="23">
        <v>42119</v>
      </c>
      <c r="F2174" s="118">
        <v>56486.6</v>
      </c>
      <c r="G2174" s="31">
        <f t="shared" si="33"/>
        <v>0</v>
      </c>
      <c r="H2174" s="68" t="s">
        <v>9</v>
      </c>
      <c r="I2174" s="3"/>
      <c r="J2174" s="42"/>
      <c r="K2174" s="3"/>
    </row>
    <row r="2175" spans="1:11" x14ac:dyDescent="0.25">
      <c r="A2175" s="20">
        <v>42117</v>
      </c>
      <c r="B2175" s="183">
        <v>18712</v>
      </c>
      <c r="C2175" s="15" t="s">
        <v>1149</v>
      </c>
      <c r="D2175" s="122">
        <v>6435.2</v>
      </c>
      <c r="E2175" s="23">
        <v>42117</v>
      </c>
      <c r="F2175" s="106">
        <v>6435.2</v>
      </c>
      <c r="G2175" s="31">
        <f t="shared" si="33"/>
        <v>0</v>
      </c>
      <c r="H2175" s="68" t="s">
        <v>19</v>
      </c>
      <c r="I2175" s="3"/>
      <c r="J2175" s="42"/>
      <c r="K2175" s="3"/>
    </row>
    <row r="2176" spans="1:11" x14ac:dyDescent="0.25">
      <c r="A2176" s="20">
        <v>42117</v>
      </c>
      <c r="B2176" s="183">
        <v>18713</v>
      </c>
      <c r="C2176" s="15" t="s">
        <v>1026</v>
      </c>
      <c r="D2176" s="122">
        <v>2600.4</v>
      </c>
      <c r="E2176" s="23">
        <v>42117</v>
      </c>
      <c r="F2176" s="106">
        <v>2600.4</v>
      </c>
      <c r="G2176" s="31">
        <f t="shared" si="33"/>
        <v>0</v>
      </c>
      <c r="H2176" s="68" t="s">
        <v>19</v>
      </c>
      <c r="I2176" s="3"/>
      <c r="J2176" s="42"/>
      <c r="K2176" s="3"/>
    </row>
    <row r="2177" spans="1:11" x14ac:dyDescent="0.25">
      <c r="A2177" s="20">
        <v>42117</v>
      </c>
      <c r="B2177" s="183">
        <v>18714</v>
      </c>
      <c r="C2177" s="15" t="s">
        <v>169</v>
      </c>
      <c r="D2177" s="122">
        <v>2039.4</v>
      </c>
      <c r="E2177" s="23">
        <v>42117</v>
      </c>
      <c r="F2177" s="118">
        <v>2039.4</v>
      </c>
      <c r="G2177" s="31">
        <f t="shared" si="33"/>
        <v>0</v>
      </c>
      <c r="H2177" s="68" t="s">
        <v>19</v>
      </c>
      <c r="I2177" s="3"/>
      <c r="J2177" s="42"/>
      <c r="K2177" s="3"/>
    </row>
    <row r="2178" spans="1:11" x14ac:dyDescent="0.25">
      <c r="A2178" s="20">
        <v>42117</v>
      </c>
      <c r="B2178" s="183">
        <v>18715</v>
      </c>
      <c r="C2178" s="15" t="s">
        <v>99</v>
      </c>
      <c r="D2178" s="122">
        <v>2197.8000000000002</v>
      </c>
      <c r="E2178" s="23">
        <v>42117</v>
      </c>
      <c r="F2178" s="118">
        <v>2197.8000000000002</v>
      </c>
      <c r="G2178" s="31">
        <f t="shared" si="33"/>
        <v>0</v>
      </c>
      <c r="H2178" s="68" t="s">
        <v>19</v>
      </c>
      <c r="I2178" s="3"/>
      <c r="J2178" s="42"/>
      <c r="K2178" s="3"/>
    </row>
    <row r="2179" spans="1:11" x14ac:dyDescent="0.25">
      <c r="A2179" s="20">
        <v>42117</v>
      </c>
      <c r="B2179" s="183">
        <v>18716</v>
      </c>
      <c r="C2179" s="15" t="s">
        <v>99</v>
      </c>
      <c r="D2179" s="122">
        <v>495</v>
      </c>
      <c r="E2179" s="23">
        <v>42117</v>
      </c>
      <c r="F2179" s="118">
        <v>495</v>
      </c>
      <c r="G2179" s="31">
        <f t="shared" ref="G2179:G2242" si="34">D2179-F2179</f>
        <v>0</v>
      </c>
      <c r="H2179" s="68" t="s">
        <v>19</v>
      </c>
      <c r="I2179" s="3"/>
      <c r="J2179" s="42"/>
      <c r="K2179" s="3"/>
    </row>
    <row r="2180" spans="1:11" x14ac:dyDescent="0.25">
      <c r="A2180" s="20">
        <v>42117</v>
      </c>
      <c r="B2180" s="183">
        <v>18717</v>
      </c>
      <c r="C2180" s="15" t="s">
        <v>1128</v>
      </c>
      <c r="D2180" s="122">
        <v>2151.8000000000002</v>
      </c>
      <c r="E2180" s="23">
        <v>42117</v>
      </c>
      <c r="F2180" s="118">
        <v>2151.8000000000002</v>
      </c>
      <c r="G2180" s="31">
        <f t="shared" si="34"/>
        <v>0</v>
      </c>
      <c r="H2180" s="68" t="s">
        <v>9</v>
      </c>
      <c r="I2180" s="3"/>
      <c r="J2180" s="42"/>
      <c r="K2180" s="3"/>
    </row>
    <row r="2181" spans="1:11" x14ac:dyDescent="0.25">
      <c r="A2181" s="20">
        <v>42117</v>
      </c>
      <c r="B2181" s="183">
        <v>18718</v>
      </c>
      <c r="C2181" s="15" t="s">
        <v>21</v>
      </c>
      <c r="D2181" s="122">
        <v>9304</v>
      </c>
      <c r="E2181" s="23">
        <v>42117</v>
      </c>
      <c r="F2181" s="118">
        <v>9304</v>
      </c>
      <c r="G2181" s="31">
        <f t="shared" si="34"/>
        <v>0</v>
      </c>
      <c r="H2181" s="68" t="s">
        <v>9</v>
      </c>
      <c r="I2181" s="3"/>
      <c r="J2181" s="42"/>
      <c r="K2181" s="3"/>
    </row>
    <row r="2182" spans="1:11" x14ac:dyDescent="0.25">
      <c r="A2182" s="20">
        <v>42117</v>
      </c>
      <c r="B2182" s="183">
        <v>18719</v>
      </c>
      <c r="C2182" s="15" t="s">
        <v>270</v>
      </c>
      <c r="D2182" s="122">
        <v>326.39999999999998</v>
      </c>
      <c r="E2182" s="23">
        <v>42117</v>
      </c>
      <c r="F2182" s="118">
        <v>326.39999999999998</v>
      </c>
      <c r="G2182" s="31">
        <f t="shared" si="34"/>
        <v>0</v>
      </c>
      <c r="H2182" s="68" t="s">
        <v>9</v>
      </c>
      <c r="I2182" s="3"/>
      <c r="J2182" s="42"/>
      <c r="K2182" s="3"/>
    </row>
    <row r="2183" spans="1:11" x14ac:dyDescent="0.25">
      <c r="A2183" s="20">
        <v>42117</v>
      </c>
      <c r="B2183" s="183">
        <v>18720</v>
      </c>
      <c r="C2183" s="15" t="s">
        <v>121</v>
      </c>
      <c r="D2183" s="122">
        <v>2367.9</v>
      </c>
      <c r="E2183" s="23">
        <v>42117</v>
      </c>
      <c r="F2183" s="118">
        <v>2367.9</v>
      </c>
      <c r="G2183" s="31">
        <f t="shared" si="34"/>
        <v>0</v>
      </c>
      <c r="H2183" s="68" t="s">
        <v>9</v>
      </c>
      <c r="I2183" s="3"/>
      <c r="J2183" s="42"/>
      <c r="K2183" s="3"/>
    </row>
    <row r="2184" spans="1:11" x14ac:dyDescent="0.25">
      <c r="A2184" s="20">
        <v>42117</v>
      </c>
      <c r="B2184" s="183">
        <v>18721</v>
      </c>
      <c r="C2184" s="14" t="s">
        <v>675</v>
      </c>
      <c r="D2184" s="105">
        <v>619.4</v>
      </c>
      <c r="E2184" s="23">
        <v>42117</v>
      </c>
      <c r="F2184" s="106">
        <v>619.4</v>
      </c>
      <c r="G2184" s="31">
        <f t="shared" si="34"/>
        <v>0</v>
      </c>
      <c r="H2184" s="39" t="s">
        <v>9</v>
      </c>
      <c r="I2184" s="3"/>
      <c r="J2184" s="42"/>
      <c r="K2184" s="3"/>
    </row>
    <row r="2185" spans="1:11" x14ac:dyDescent="0.25">
      <c r="A2185" s="20">
        <v>42117</v>
      </c>
      <c r="B2185" s="183">
        <v>18722</v>
      </c>
      <c r="C2185" s="15" t="s">
        <v>137</v>
      </c>
      <c r="D2185" s="122">
        <v>2763.95</v>
      </c>
      <c r="E2185" s="23">
        <v>42117</v>
      </c>
      <c r="F2185" s="118">
        <v>2763.95</v>
      </c>
      <c r="G2185" s="31">
        <f t="shared" si="34"/>
        <v>0</v>
      </c>
      <c r="H2185" s="68" t="s">
        <v>9</v>
      </c>
      <c r="I2185" s="3"/>
      <c r="J2185" s="42"/>
      <c r="K2185" s="3"/>
    </row>
    <row r="2186" spans="1:11" x14ac:dyDescent="0.25">
      <c r="A2186" s="20">
        <v>42117</v>
      </c>
      <c r="B2186" s="183">
        <v>18723</v>
      </c>
      <c r="C2186" s="15" t="s">
        <v>100</v>
      </c>
      <c r="D2186" s="122">
        <v>2565.5</v>
      </c>
      <c r="E2186" s="23">
        <v>42121</v>
      </c>
      <c r="F2186" s="118">
        <v>2565.5</v>
      </c>
      <c r="G2186" s="31">
        <f t="shared" si="34"/>
        <v>0</v>
      </c>
      <c r="H2186" s="68" t="s">
        <v>9</v>
      </c>
      <c r="I2186" s="3"/>
      <c r="J2186" s="42"/>
      <c r="K2186" s="3"/>
    </row>
    <row r="2187" spans="1:11" x14ac:dyDescent="0.25">
      <c r="A2187" s="20">
        <v>42117</v>
      </c>
      <c r="B2187" s="183">
        <v>18724</v>
      </c>
      <c r="C2187" s="15" t="s">
        <v>818</v>
      </c>
      <c r="D2187" s="122">
        <v>4494</v>
      </c>
      <c r="E2187" s="23">
        <v>42117</v>
      </c>
      <c r="F2187" s="118">
        <v>4494</v>
      </c>
      <c r="G2187" s="31">
        <f t="shared" si="34"/>
        <v>0</v>
      </c>
      <c r="H2187" s="68" t="s">
        <v>9</v>
      </c>
      <c r="I2187" s="3"/>
      <c r="J2187" s="42"/>
      <c r="K2187" s="3"/>
    </row>
    <row r="2188" spans="1:11" x14ac:dyDescent="0.25">
      <c r="A2188" s="20">
        <v>42117</v>
      </c>
      <c r="B2188" s="183">
        <v>18725</v>
      </c>
      <c r="C2188" s="15" t="s">
        <v>135</v>
      </c>
      <c r="D2188" s="122">
        <v>11423.9</v>
      </c>
      <c r="E2188" s="23">
        <v>42117</v>
      </c>
      <c r="F2188" s="118">
        <v>11423.9</v>
      </c>
      <c r="G2188" s="31">
        <f t="shared" si="34"/>
        <v>0</v>
      </c>
      <c r="H2188" s="68" t="s">
        <v>9</v>
      </c>
      <c r="I2188" s="3"/>
      <c r="J2188" s="42"/>
      <c r="K2188" s="3"/>
    </row>
    <row r="2189" spans="1:11" x14ac:dyDescent="0.25">
      <c r="A2189" s="20">
        <v>42117</v>
      </c>
      <c r="B2189" s="183">
        <v>18726</v>
      </c>
      <c r="C2189" s="15" t="s">
        <v>720</v>
      </c>
      <c r="D2189" s="122">
        <v>4249.3999999999996</v>
      </c>
      <c r="E2189" s="23">
        <v>42117</v>
      </c>
      <c r="F2189" s="118">
        <v>4249.3999999999996</v>
      </c>
      <c r="G2189" s="31">
        <f t="shared" si="34"/>
        <v>0</v>
      </c>
      <c r="H2189" s="68" t="s">
        <v>9</v>
      </c>
      <c r="I2189" s="3"/>
      <c r="J2189" s="42"/>
      <c r="K2189" s="3"/>
    </row>
    <row r="2190" spans="1:11" x14ac:dyDescent="0.25">
      <c r="A2190" s="20">
        <v>42117</v>
      </c>
      <c r="B2190" s="183">
        <v>18727</v>
      </c>
      <c r="C2190" s="15" t="s">
        <v>82</v>
      </c>
      <c r="D2190" s="122">
        <v>7043.4</v>
      </c>
      <c r="E2190" s="23">
        <v>42117</v>
      </c>
      <c r="F2190" s="118">
        <v>7043.4</v>
      </c>
      <c r="G2190" s="31">
        <f t="shared" si="34"/>
        <v>0</v>
      </c>
      <c r="H2190" s="68" t="s">
        <v>59</v>
      </c>
      <c r="I2190" s="3"/>
      <c r="J2190" s="42"/>
      <c r="K2190" s="3"/>
    </row>
    <row r="2191" spans="1:11" x14ac:dyDescent="0.25">
      <c r="A2191" s="20">
        <v>42117</v>
      </c>
      <c r="B2191" s="183">
        <v>18728</v>
      </c>
      <c r="C2191" s="15" t="s">
        <v>83</v>
      </c>
      <c r="D2191" s="122">
        <v>4828</v>
      </c>
      <c r="E2191" s="69">
        <v>42117</v>
      </c>
      <c r="F2191" s="118">
        <v>4828</v>
      </c>
      <c r="G2191" s="31">
        <f t="shared" si="34"/>
        <v>0</v>
      </c>
      <c r="H2191" s="68" t="s">
        <v>59</v>
      </c>
      <c r="I2191" s="3"/>
      <c r="J2191" s="42"/>
      <c r="K2191" s="3"/>
    </row>
    <row r="2192" spans="1:11" x14ac:dyDescent="0.25">
      <c r="A2192" s="20">
        <v>42117</v>
      </c>
      <c r="B2192" s="183">
        <v>18729</v>
      </c>
      <c r="C2192" s="15" t="s">
        <v>53</v>
      </c>
      <c r="D2192" s="122">
        <v>887.4</v>
      </c>
      <c r="E2192" s="23">
        <v>42117</v>
      </c>
      <c r="F2192" s="118">
        <v>887.4</v>
      </c>
      <c r="G2192" s="31">
        <f t="shared" si="34"/>
        <v>0</v>
      </c>
      <c r="H2192" s="68" t="s">
        <v>59</v>
      </c>
      <c r="I2192" s="3"/>
      <c r="J2192" s="42"/>
      <c r="K2192" s="3"/>
    </row>
    <row r="2193" spans="1:11" x14ac:dyDescent="0.25">
      <c r="A2193" s="20">
        <v>42117</v>
      </c>
      <c r="B2193" s="183">
        <v>18730</v>
      </c>
      <c r="C2193" s="15" t="s">
        <v>81</v>
      </c>
      <c r="D2193" s="122">
        <v>1880.6</v>
      </c>
      <c r="E2193" s="23">
        <v>42117</v>
      </c>
      <c r="F2193" s="118">
        <v>1880.6</v>
      </c>
      <c r="G2193" s="31">
        <f t="shared" si="34"/>
        <v>0</v>
      </c>
      <c r="H2193" s="68" t="s">
        <v>59</v>
      </c>
      <c r="I2193" s="3"/>
      <c r="J2193" s="42"/>
      <c r="K2193" s="3"/>
    </row>
    <row r="2194" spans="1:11" x14ac:dyDescent="0.25">
      <c r="A2194" s="20">
        <v>42117</v>
      </c>
      <c r="B2194" s="183">
        <v>18731</v>
      </c>
      <c r="C2194" s="15" t="s">
        <v>35</v>
      </c>
      <c r="D2194" s="122">
        <v>21921.3</v>
      </c>
      <c r="E2194" s="23">
        <v>42117</v>
      </c>
      <c r="F2194" s="118">
        <v>21921.3</v>
      </c>
      <c r="G2194" s="31">
        <f t="shared" si="34"/>
        <v>0</v>
      </c>
      <c r="H2194" s="68" t="s">
        <v>773</v>
      </c>
      <c r="I2194" s="3"/>
      <c r="J2194" s="42"/>
      <c r="K2194" s="3"/>
    </row>
    <row r="2195" spans="1:11" x14ac:dyDescent="0.25">
      <c r="A2195" s="20">
        <v>42117</v>
      </c>
      <c r="B2195" s="183">
        <v>18732</v>
      </c>
      <c r="C2195" s="15" t="s">
        <v>729</v>
      </c>
      <c r="D2195" s="122">
        <v>1840.8</v>
      </c>
      <c r="E2195" s="23">
        <v>42117</v>
      </c>
      <c r="F2195" s="118">
        <v>1840.8</v>
      </c>
      <c r="G2195" s="31">
        <f t="shared" si="34"/>
        <v>0</v>
      </c>
      <c r="H2195" s="68" t="s">
        <v>19</v>
      </c>
      <c r="I2195" s="3"/>
      <c r="J2195" s="42"/>
      <c r="K2195" s="3"/>
    </row>
    <row r="2196" spans="1:11" x14ac:dyDescent="0.25">
      <c r="A2196" s="20">
        <v>42117</v>
      </c>
      <c r="B2196" s="183">
        <v>18733</v>
      </c>
      <c r="C2196" s="151">
        <v>105</v>
      </c>
      <c r="D2196" s="122">
        <v>1440</v>
      </c>
      <c r="E2196" s="23">
        <v>42118</v>
      </c>
      <c r="F2196" s="118">
        <v>1440</v>
      </c>
      <c r="G2196" s="31">
        <f t="shared" si="34"/>
        <v>0</v>
      </c>
      <c r="H2196" s="68" t="s">
        <v>62</v>
      </c>
      <c r="I2196" s="3"/>
      <c r="J2196" s="42"/>
      <c r="K2196" s="3"/>
    </row>
    <row r="2197" spans="1:11" x14ac:dyDescent="0.25">
      <c r="A2197" s="20">
        <v>42117</v>
      </c>
      <c r="B2197" s="183">
        <v>18734</v>
      </c>
      <c r="C2197" s="151" t="s">
        <v>57</v>
      </c>
      <c r="D2197" s="122">
        <v>900</v>
      </c>
      <c r="E2197" s="23">
        <v>42118</v>
      </c>
      <c r="F2197" s="118">
        <v>900</v>
      </c>
      <c r="G2197" s="31">
        <f t="shared" si="34"/>
        <v>0</v>
      </c>
      <c r="H2197" s="68" t="s">
        <v>19</v>
      </c>
      <c r="I2197" s="3"/>
      <c r="J2197" s="42"/>
      <c r="K2197" s="3"/>
    </row>
    <row r="2198" spans="1:11" x14ac:dyDescent="0.25">
      <c r="A2198" s="20">
        <v>42117</v>
      </c>
      <c r="B2198" s="183">
        <v>18735</v>
      </c>
      <c r="C2198" s="15" t="s">
        <v>126</v>
      </c>
      <c r="D2198" s="122">
        <v>1611.6</v>
      </c>
      <c r="E2198" s="23">
        <v>42117</v>
      </c>
      <c r="F2198" s="118">
        <v>1611.6</v>
      </c>
      <c r="G2198" s="31">
        <f t="shared" si="34"/>
        <v>0</v>
      </c>
      <c r="H2198" s="68" t="s">
        <v>19</v>
      </c>
      <c r="I2198" s="3"/>
      <c r="J2198" s="42"/>
      <c r="K2198" s="3"/>
    </row>
    <row r="2199" spans="1:11" x14ac:dyDescent="0.25">
      <c r="A2199" s="20">
        <v>42117</v>
      </c>
      <c r="B2199" s="183">
        <v>18736</v>
      </c>
      <c r="C2199" s="15" t="s">
        <v>854</v>
      </c>
      <c r="D2199" s="122">
        <v>4561.5</v>
      </c>
      <c r="E2199" s="23" t="s">
        <v>1150</v>
      </c>
      <c r="F2199" s="118">
        <f>3000+1561.5</f>
        <v>4561.5</v>
      </c>
      <c r="G2199" s="31">
        <f t="shared" si="34"/>
        <v>0</v>
      </c>
      <c r="H2199" s="68" t="s">
        <v>9</v>
      </c>
      <c r="I2199" s="3"/>
      <c r="J2199" s="42"/>
      <c r="K2199" s="3"/>
    </row>
    <row r="2200" spans="1:11" x14ac:dyDescent="0.25">
      <c r="A2200" s="20">
        <v>42117</v>
      </c>
      <c r="B2200" s="183">
        <v>18737</v>
      </c>
      <c r="C2200" s="15" t="s">
        <v>1151</v>
      </c>
      <c r="D2200" s="122">
        <v>16672.3</v>
      </c>
      <c r="E2200" s="23">
        <v>42117</v>
      </c>
      <c r="F2200" s="118">
        <v>16672.3</v>
      </c>
      <c r="G2200" s="31">
        <f t="shared" si="34"/>
        <v>0</v>
      </c>
      <c r="H2200" s="68" t="s">
        <v>773</v>
      </c>
      <c r="I2200" s="3"/>
      <c r="J2200" s="42"/>
      <c r="K2200" s="3"/>
    </row>
    <row r="2201" spans="1:11" x14ac:dyDescent="0.25">
      <c r="A2201" s="20">
        <v>42117</v>
      </c>
      <c r="B2201" s="183">
        <v>18738</v>
      </c>
      <c r="C2201" s="15" t="s">
        <v>256</v>
      </c>
      <c r="D2201" s="122">
        <v>5101.8</v>
      </c>
      <c r="E2201" s="23">
        <v>42117</v>
      </c>
      <c r="F2201" s="118">
        <v>5101.8</v>
      </c>
      <c r="G2201" s="31">
        <f t="shared" si="34"/>
        <v>0</v>
      </c>
      <c r="H2201" s="68" t="s">
        <v>773</v>
      </c>
      <c r="I2201" s="3"/>
      <c r="J2201" s="42"/>
      <c r="K2201" s="3"/>
    </row>
    <row r="2202" spans="1:11" x14ac:dyDescent="0.25">
      <c r="A2202" s="20">
        <v>42117</v>
      </c>
      <c r="B2202" s="183">
        <v>18739</v>
      </c>
      <c r="C2202" s="15" t="s">
        <v>56</v>
      </c>
      <c r="D2202" s="122">
        <v>8952.7999999999993</v>
      </c>
      <c r="E2202" s="23">
        <v>42117</v>
      </c>
      <c r="F2202" s="118">
        <v>8952.7999999999993</v>
      </c>
      <c r="G2202" s="31">
        <f t="shared" si="34"/>
        <v>0</v>
      </c>
      <c r="H2202" s="68" t="s">
        <v>773</v>
      </c>
      <c r="I2202" s="3"/>
      <c r="J2202" s="42"/>
      <c r="K2202" s="3"/>
    </row>
    <row r="2203" spans="1:11" x14ac:dyDescent="0.25">
      <c r="A2203" s="20">
        <v>42117</v>
      </c>
      <c r="B2203" s="183">
        <v>18740</v>
      </c>
      <c r="C2203" s="15" t="s">
        <v>56</v>
      </c>
      <c r="D2203" s="122">
        <v>667.2</v>
      </c>
      <c r="E2203" s="23">
        <v>42117</v>
      </c>
      <c r="F2203" s="118">
        <v>667.2</v>
      </c>
      <c r="G2203" s="31">
        <f t="shared" si="34"/>
        <v>0</v>
      </c>
      <c r="H2203" s="68" t="s">
        <v>773</v>
      </c>
      <c r="I2203" s="3"/>
      <c r="J2203" s="42"/>
      <c r="K2203" s="3"/>
    </row>
    <row r="2204" spans="1:11" x14ac:dyDescent="0.25">
      <c r="A2204" s="20">
        <v>42117</v>
      </c>
      <c r="B2204" s="183">
        <v>18741</v>
      </c>
      <c r="C2204" s="15" t="s">
        <v>1069</v>
      </c>
      <c r="D2204" s="122">
        <v>3478.12</v>
      </c>
      <c r="E2204" s="72">
        <v>42117</v>
      </c>
      <c r="F2204" s="118">
        <v>3478.12</v>
      </c>
      <c r="G2204" s="31">
        <f t="shared" si="34"/>
        <v>0</v>
      </c>
      <c r="H2204" s="68" t="s">
        <v>773</v>
      </c>
      <c r="I2204" s="3"/>
      <c r="J2204" s="42"/>
      <c r="K2204" s="3"/>
    </row>
    <row r="2205" spans="1:11" x14ac:dyDescent="0.25">
      <c r="A2205" s="20">
        <v>42117</v>
      </c>
      <c r="B2205" s="183">
        <v>18742</v>
      </c>
      <c r="C2205" s="15" t="s">
        <v>151</v>
      </c>
      <c r="D2205" s="122">
        <v>2270.4</v>
      </c>
      <c r="E2205" s="23">
        <v>42118</v>
      </c>
      <c r="F2205" s="118">
        <v>2270.4</v>
      </c>
      <c r="G2205" s="31">
        <f t="shared" si="34"/>
        <v>0</v>
      </c>
      <c r="H2205" s="68" t="s">
        <v>9</v>
      </c>
      <c r="I2205" s="3"/>
      <c r="J2205" s="42"/>
      <c r="K2205" s="3"/>
    </row>
    <row r="2206" spans="1:11" x14ac:dyDescent="0.25">
      <c r="A2206" s="20">
        <v>42117</v>
      </c>
      <c r="B2206" s="183">
        <v>18743</v>
      </c>
      <c r="C2206" s="15" t="s">
        <v>375</v>
      </c>
      <c r="D2206" s="122">
        <v>1733.4</v>
      </c>
      <c r="E2206" s="23">
        <v>42117</v>
      </c>
      <c r="F2206" s="118">
        <v>1733.4</v>
      </c>
      <c r="G2206" s="31">
        <f t="shared" si="34"/>
        <v>0</v>
      </c>
      <c r="H2206" s="68" t="s">
        <v>9</v>
      </c>
      <c r="I2206" s="3"/>
      <c r="J2206" s="42"/>
      <c r="K2206" s="3"/>
    </row>
    <row r="2207" spans="1:11" x14ac:dyDescent="0.25">
      <c r="A2207" s="20">
        <v>42117</v>
      </c>
      <c r="B2207" s="183">
        <v>18744</v>
      </c>
      <c r="C2207" s="15" t="s">
        <v>24</v>
      </c>
      <c r="D2207" s="122">
        <v>628.20000000000005</v>
      </c>
      <c r="E2207" s="30">
        <v>42144</v>
      </c>
      <c r="F2207" s="145">
        <v>628.20000000000005</v>
      </c>
      <c r="G2207" s="31">
        <f t="shared" si="34"/>
        <v>0</v>
      </c>
      <c r="H2207" s="68" t="s">
        <v>9</v>
      </c>
      <c r="I2207" s="3"/>
      <c r="J2207" s="42"/>
      <c r="K2207" s="3"/>
    </row>
    <row r="2208" spans="1:11" x14ac:dyDescent="0.25">
      <c r="A2208" s="20">
        <v>42117</v>
      </c>
      <c r="B2208" s="183">
        <v>18745</v>
      </c>
      <c r="C2208" s="15" t="s">
        <v>125</v>
      </c>
      <c r="D2208" s="122">
        <v>12173.2</v>
      </c>
      <c r="E2208" s="23">
        <v>42117</v>
      </c>
      <c r="F2208" s="118">
        <v>12173.2</v>
      </c>
      <c r="G2208" s="31">
        <f t="shared" si="34"/>
        <v>0</v>
      </c>
      <c r="H2208" s="68" t="s">
        <v>9</v>
      </c>
      <c r="I2208" s="3"/>
      <c r="J2208" s="42"/>
      <c r="K2208" s="3"/>
    </row>
    <row r="2209" spans="1:11" x14ac:dyDescent="0.25">
      <c r="A2209" s="20">
        <v>42117</v>
      </c>
      <c r="B2209" s="183">
        <v>18746</v>
      </c>
      <c r="C2209" s="15" t="s">
        <v>45</v>
      </c>
      <c r="D2209" s="122">
        <v>9898.4</v>
      </c>
      <c r="E2209" s="30">
        <v>42125</v>
      </c>
      <c r="F2209" s="145">
        <v>9898.4</v>
      </c>
      <c r="G2209" s="31">
        <f t="shared" si="34"/>
        <v>0</v>
      </c>
      <c r="H2209" s="68" t="s">
        <v>41</v>
      </c>
      <c r="I2209" s="3"/>
      <c r="J2209" s="42"/>
      <c r="K2209" s="3"/>
    </row>
    <row r="2210" spans="1:11" x14ac:dyDescent="0.25">
      <c r="A2210" s="20">
        <v>42117</v>
      </c>
      <c r="B2210" s="183">
        <v>18747</v>
      </c>
      <c r="C2210" s="15" t="s">
        <v>375</v>
      </c>
      <c r="D2210" s="122">
        <v>233.2</v>
      </c>
      <c r="E2210" s="23" t="s">
        <v>1152</v>
      </c>
      <c r="F2210" s="118">
        <f>69.6+163.6</f>
        <v>233.2</v>
      </c>
      <c r="G2210" s="31">
        <f t="shared" si="34"/>
        <v>0</v>
      </c>
      <c r="H2210" s="68" t="s">
        <v>9</v>
      </c>
      <c r="I2210" s="3"/>
      <c r="J2210" s="42"/>
      <c r="K2210" s="3"/>
    </row>
    <row r="2211" spans="1:11" x14ac:dyDescent="0.25">
      <c r="A2211" s="20">
        <v>42117</v>
      </c>
      <c r="B2211" s="183">
        <v>18748</v>
      </c>
      <c r="C2211" s="15" t="s">
        <v>32</v>
      </c>
      <c r="D2211" s="122">
        <v>39826.800000000003</v>
      </c>
      <c r="E2211" s="30">
        <v>42128</v>
      </c>
      <c r="F2211" s="145">
        <v>39826.800000000003</v>
      </c>
      <c r="G2211" s="31">
        <f t="shared" si="34"/>
        <v>0</v>
      </c>
      <c r="H2211" s="68" t="s">
        <v>94</v>
      </c>
      <c r="I2211" s="3"/>
      <c r="J2211" s="42"/>
      <c r="K2211" s="3"/>
    </row>
    <row r="2212" spans="1:11" x14ac:dyDescent="0.25">
      <c r="A2212" s="20">
        <v>42117</v>
      </c>
      <c r="B2212" s="183">
        <v>18749</v>
      </c>
      <c r="C2212" s="15" t="s">
        <v>168</v>
      </c>
      <c r="D2212" s="122">
        <v>7472</v>
      </c>
      <c r="E2212" s="23">
        <v>42117</v>
      </c>
      <c r="F2212" s="118">
        <v>7472</v>
      </c>
      <c r="G2212" s="31">
        <f t="shared" si="34"/>
        <v>0</v>
      </c>
      <c r="H2212" s="68" t="s">
        <v>59</v>
      </c>
      <c r="I2212" s="3"/>
      <c r="J2212" s="42"/>
      <c r="K2212" s="3"/>
    </row>
    <row r="2213" spans="1:11" x14ac:dyDescent="0.25">
      <c r="A2213" s="20">
        <v>42117</v>
      </c>
      <c r="B2213" s="183">
        <v>18750</v>
      </c>
      <c r="C2213" s="15" t="s">
        <v>26</v>
      </c>
      <c r="D2213" s="122">
        <v>1632</v>
      </c>
      <c r="E2213" s="23">
        <v>42117</v>
      </c>
      <c r="F2213" s="118">
        <v>1632</v>
      </c>
      <c r="G2213" s="31">
        <f t="shared" si="34"/>
        <v>0</v>
      </c>
      <c r="H2213" s="68" t="s">
        <v>27</v>
      </c>
      <c r="I2213" s="3"/>
      <c r="J2213" s="42"/>
      <c r="K2213" s="3"/>
    </row>
    <row r="2214" spans="1:11" x14ac:dyDescent="0.25">
      <c r="A2214" s="20">
        <v>42117</v>
      </c>
      <c r="B2214" s="183">
        <v>18751</v>
      </c>
      <c r="C2214" s="15" t="s">
        <v>881</v>
      </c>
      <c r="D2214" s="122">
        <v>167.2</v>
      </c>
      <c r="E2214" s="23">
        <v>42117</v>
      </c>
      <c r="F2214" s="118">
        <v>167.2</v>
      </c>
      <c r="G2214" s="31">
        <f t="shared" si="34"/>
        <v>0</v>
      </c>
      <c r="H2214" s="68" t="s">
        <v>9</v>
      </c>
      <c r="I2214" s="3"/>
      <c r="J2214" s="42"/>
      <c r="K2214" s="3"/>
    </row>
    <row r="2215" spans="1:11" x14ac:dyDescent="0.25">
      <c r="A2215" s="20">
        <v>42117</v>
      </c>
      <c r="B2215" s="183">
        <v>18752</v>
      </c>
      <c r="C2215" s="15" t="s">
        <v>915</v>
      </c>
      <c r="D2215" s="122">
        <v>894.2</v>
      </c>
      <c r="E2215" s="23">
        <v>42117</v>
      </c>
      <c r="F2215" s="118">
        <v>894.2</v>
      </c>
      <c r="G2215" s="31">
        <f t="shared" si="34"/>
        <v>0</v>
      </c>
      <c r="H2215" s="68" t="s">
        <v>59</v>
      </c>
      <c r="I2215" s="3"/>
      <c r="J2215" s="42"/>
      <c r="K2215" s="3"/>
    </row>
    <row r="2216" spans="1:11" x14ac:dyDescent="0.25">
      <c r="A2216" s="20">
        <v>42117</v>
      </c>
      <c r="B2216" s="183">
        <v>18753</v>
      </c>
      <c r="C2216" s="15" t="s">
        <v>123</v>
      </c>
      <c r="D2216" s="122">
        <v>7800</v>
      </c>
      <c r="E2216" s="23">
        <v>42117</v>
      </c>
      <c r="F2216" s="118">
        <v>7800</v>
      </c>
      <c r="G2216" s="31">
        <f t="shared" si="34"/>
        <v>0</v>
      </c>
      <c r="H2216" s="68" t="s">
        <v>773</v>
      </c>
      <c r="I2216" s="3"/>
      <c r="J2216" s="42"/>
      <c r="K2216" s="3"/>
    </row>
    <row r="2217" spans="1:11" x14ac:dyDescent="0.25">
      <c r="A2217" s="20">
        <v>42117</v>
      </c>
      <c r="B2217" s="183">
        <v>18754</v>
      </c>
      <c r="C2217" s="15" t="s">
        <v>110</v>
      </c>
      <c r="D2217" s="122">
        <v>87301.5</v>
      </c>
      <c r="E2217" s="30">
        <v>42126</v>
      </c>
      <c r="F2217" s="145">
        <v>87301.5</v>
      </c>
      <c r="G2217" s="31">
        <f t="shared" si="34"/>
        <v>0</v>
      </c>
      <c r="H2217" s="68" t="s">
        <v>62</v>
      </c>
      <c r="I2217" s="3"/>
      <c r="J2217" s="42"/>
      <c r="K2217" s="3"/>
    </row>
    <row r="2218" spans="1:11" x14ac:dyDescent="0.25">
      <c r="A2218" s="20">
        <v>42117</v>
      </c>
      <c r="B2218" s="183">
        <v>18755</v>
      </c>
      <c r="C2218" s="15" t="s">
        <v>112</v>
      </c>
      <c r="D2218" s="122">
        <v>22385.32</v>
      </c>
      <c r="E2218" s="23">
        <v>42117</v>
      </c>
      <c r="F2218" s="118">
        <v>22385.32</v>
      </c>
      <c r="G2218" s="31">
        <f t="shared" si="34"/>
        <v>0</v>
      </c>
      <c r="H2218" s="68" t="s">
        <v>9</v>
      </c>
      <c r="I2218" s="3"/>
      <c r="J2218" s="42"/>
      <c r="K2218" s="3"/>
    </row>
    <row r="2219" spans="1:11" x14ac:dyDescent="0.25">
      <c r="A2219" s="20">
        <v>42117</v>
      </c>
      <c r="B2219" s="183">
        <v>18756</v>
      </c>
      <c r="C2219" s="15" t="s">
        <v>229</v>
      </c>
      <c r="D2219" s="122">
        <v>5927.11</v>
      </c>
      <c r="E2219" s="23">
        <v>42117</v>
      </c>
      <c r="F2219" s="118">
        <v>5927.11</v>
      </c>
      <c r="G2219" s="31">
        <f t="shared" si="34"/>
        <v>0</v>
      </c>
      <c r="H2219" s="68" t="s">
        <v>9</v>
      </c>
      <c r="I2219" s="3"/>
      <c r="J2219" s="42"/>
      <c r="K2219" s="3"/>
    </row>
    <row r="2220" spans="1:11" x14ac:dyDescent="0.25">
      <c r="A2220" s="20">
        <v>42117</v>
      </c>
      <c r="B2220" s="183">
        <v>18757</v>
      </c>
      <c r="C2220" s="15" t="s">
        <v>130</v>
      </c>
      <c r="D2220" s="122">
        <v>3880.5</v>
      </c>
      <c r="E2220" s="23" t="s">
        <v>1153</v>
      </c>
      <c r="F2220" s="118">
        <f>2718.2+1162.3</f>
        <v>3880.5</v>
      </c>
      <c r="G2220" s="31">
        <f t="shared" si="34"/>
        <v>0</v>
      </c>
      <c r="H2220" s="68" t="s">
        <v>17</v>
      </c>
      <c r="I2220" s="3"/>
      <c r="J2220" s="42"/>
      <c r="K2220" s="3"/>
    </row>
    <row r="2221" spans="1:11" x14ac:dyDescent="0.25">
      <c r="A2221" s="20">
        <v>42117</v>
      </c>
      <c r="B2221" s="183">
        <v>18758</v>
      </c>
      <c r="C2221" s="15" t="s">
        <v>130</v>
      </c>
      <c r="D2221" s="122">
        <v>3259.3</v>
      </c>
      <c r="E2221" s="23">
        <v>42119</v>
      </c>
      <c r="F2221" s="118">
        <v>3259.3</v>
      </c>
      <c r="G2221" s="31">
        <f t="shared" si="34"/>
        <v>0</v>
      </c>
      <c r="H2221" s="68" t="s">
        <v>17</v>
      </c>
      <c r="I2221" s="3"/>
      <c r="J2221" s="42"/>
      <c r="K2221" s="3"/>
    </row>
    <row r="2222" spans="1:11" x14ac:dyDescent="0.25">
      <c r="A2222" s="20">
        <v>42117</v>
      </c>
      <c r="B2222" s="183">
        <v>18759</v>
      </c>
      <c r="C2222" s="15" t="s">
        <v>881</v>
      </c>
      <c r="D2222" s="122">
        <v>2176.1999999999998</v>
      </c>
      <c r="E2222" s="23">
        <v>42117</v>
      </c>
      <c r="F2222" s="118">
        <v>2176.1999999999998</v>
      </c>
      <c r="G2222" s="31">
        <f t="shared" si="34"/>
        <v>0</v>
      </c>
      <c r="H2222" s="68" t="s">
        <v>17</v>
      </c>
      <c r="I2222" s="3"/>
      <c r="J2222" s="42"/>
      <c r="K2222" s="3"/>
    </row>
    <row r="2223" spans="1:11" x14ac:dyDescent="0.25">
      <c r="A2223" s="20">
        <v>42117</v>
      </c>
      <c r="B2223" s="183">
        <v>18760</v>
      </c>
      <c r="C2223" s="15" t="s">
        <v>131</v>
      </c>
      <c r="D2223" s="122">
        <v>4617.6000000000004</v>
      </c>
      <c r="E2223" s="23">
        <v>42117</v>
      </c>
      <c r="F2223" s="118">
        <v>4617.6000000000004</v>
      </c>
      <c r="G2223" s="31">
        <f t="shared" si="34"/>
        <v>0</v>
      </c>
      <c r="H2223" s="68" t="s">
        <v>17</v>
      </c>
      <c r="I2223" s="3"/>
      <c r="J2223" s="42"/>
      <c r="K2223" s="3"/>
    </row>
    <row r="2224" spans="1:11" x14ac:dyDescent="0.25">
      <c r="A2224" s="20">
        <v>42117</v>
      </c>
      <c r="B2224" s="183">
        <v>18761</v>
      </c>
      <c r="C2224" s="15" t="s">
        <v>128</v>
      </c>
      <c r="D2224" s="122">
        <v>14453.2</v>
      </c>
      <c r="E2224" s="23" t="s">
        <v>1152</v>
      </c>
      <c r="F2224" s="118">
        <f>8300+6153.2</f>
        <v>14453.2</v>
      </c>
      <c r="G2224" s="31">
        <f t="shared" si="34"/>
        <v>0</v>
      </c>
      <c r="H2224" s="68" t="s">
        <v>17</v>
      </c>
      <c r="I2224" s="3"/>
      <c r="J2224" s="42"/>
      <c r="K2224" s="3"/>
    </row>
    <row r="2225" spans="1:11" x14ac:dyDescent="0.25">
      <c r="A2225" s="20">
        <v>42117</v>
      </c>
      <c r="B2225" s="183">
        <v>18762</v>
      </c>
      <c r="C2225" s="15" t="s">
        <v>332</v>
      </c>
      <c r="D2225" s="122">
        <v>2114.75</v>
      </c>
      <c r="E2225" s="23">
        <v>42117</v>
      </c>
      <c r="F2225" s="118">
        <v>2114.75</v>
      </c>
      <c r="G2225" s="31">
        <f t="shared" si="34"/>
        <v>0</v>
      </c>
      <c r="H2225" s="68" t="s">
        <v>9</v>
      </c>
      <c r="I2225" s="3"/>
      <c r="J2225" s="42"/>
      <c r="K2225" s="3"/>
    </row>
    <row r="2226" spans="1:11" x14ac:dyDescent="0.25">
      <c r="A2226" s="20">
        <v>42117</v>
      </c>
      <c r="B2226" s="183">
        <v>18763</v>
      </c>
      <c r="C2226" s="15" t="s">
        <v>100</v>
      </c>
      <c r="D2226" s="122">
        <v>1696.75</v>
      </c>
      <c r="E2226" s="23">
        <v>42117</v>
      </c>
      <c r="F2226" s="118">
        <v>1696.75</v>
      </c>
      <c r="G2226" s="31">
        <f t="shared" si="34"/>
        <v>0</v>
      </c>
      <c r="H2226" s="68" t="s">
        <v>9</v>
      </c>
      <c r="I2226" s="3"/>
      <c r="J2226" s="42"/>
      <c r="K2226" s="3"/>
    </row>
    <row r="2227" spans="1:11" x14ac:dyDescent="0.25">
      <c r="A2227" s="20">
        <v>42117</v>
      </c>
      <c r="B2227" s="183">
        <v>18764</v>
      </c>
      <c r="C2227" s="15" t="s">
        <v>100</v>
      </c>
      <c r="D2227" s="122">
        <v>1846.8</v>
      </c>
      <c r="E2227" s="30">
        <v>42125</v>
      </c>
      <c r="F2227" s="145">
        <v>1846.8</v>
      </c>
      <c r="G2227" s="31">
        <f t="shared" si="34"/>
        <v>0</v>
      </c>
      <c r="H2227" s="68" t="s">
        <v>9</v>
      </c>
      <c r="I2227" s="3"/>
      <c r="J2227" s="42"/>
      <c r="K2227" s="3"/>
    </row>
    <row r="2228" spans="1:11" x14ac:dyDescent="0.25">
      <c r="A2228" s="20">
        <v>42117</v>
      </c>
      <c r="B2228" s="183">
        <v>18765</v>
      </c>
      <c r="C2228" s="15" t="s">
        <v>74</v>
      </c>
      <c r="D2228" s="122">
        <v>922.3</v>
      </c>
      <c r="E2228" s="23">
        <v>42117</v>
      </c>
      <c r="F2228" s="118">
        <v>922.3</v>
      </c>
      <c r="G2228" s="31">
        <f t="shared" si="34"/>
        <v>0</v>
      </c>
      <c r="H2228" s="68" t="s">
        <v>9</v>
      </c>
      <c r="I2228" s="3"/>
      <c r="J2228" s="42"/>
      <c r="K2228" s="3"/>
    </row>
    <row r="2229" spans="1:11" x14ac:dyDescent="0.25">
      <c r="A2229" s="20">
        <v>42117</v>
      </c>
      <c r="B2229" s="183">
        <v>18766</v>
      </c>
      <c r="C2229" s="15" t="s">
        <v>106</v>
      </c>
      <c r="D2229" s="122">
        <v>46970.2</v>
      </c>
      <c r="E2229" s="23">
        <v>42117</v>
      </c>
      <c r="F2229" s="118">
        <v>46970.2</v>
      </c>
      <c r="G2229" s="31">
        <f t="shared" si="34"/>
        <v>0</v>
      </c>
      <c r="H2229" s="68" t="s">
        <v>773</v>
      </c>
      <c r="I2229" s="3"/>
      <c r="J2229" s="42"/>
      <c r="K2229" s="3"/>
    </row>
    <row r="2230" spans="1:11" x14ac:dyDescent="0.25">
      <c r="A2230" s="20">
        <v>42117</v>
      </c>
      <c r="B2230" s="183">
        <v>18767</v>
      </c>
      <c r="C2230" s="15" t="s">
        <v>136</v>
      </c>
      <c r="D2230" s="122">
        <v>540</v>
      </c>
      <c r="E2230" s="23">
        <v>42117</v>
      </c>
      <c r="F2230" s="118">
        <v>540</v>
      </c>
      <c r="G2230" s="31">
        <f t="shared" si="34"/>
        <v>0</v>
      </c>
      <c r="H2230" s="68" t="s">
        <v>9</v>
      </c>
      <c r="I2230" s="3"/>
      <c r="J2230" s="42"/>
      <c r="K2230" s="3"/>
    </row>
    <row r="2231" spans="1:11" x14ac:dyDescent="0.25">
      <c r="A2231" s="20">
        <v>42117</v>
      </c>
      <c r="B2231" s="183">
        <v>18768</v>
      </c>
      <c r="C2231" s="15" t="s">
        <v>737</v>
      </c>
      <c r="D2231" s="122">
        <v>236.9</v>
      </c>
      <c r="E2231" s="23">
        <v>42117</v>
      </c>
      <c r="F2231" s="118">
        <v>236.9</v>
      </c>
      <c r="G2231" s="31">
        <f t="shared" si="34"/>
        <v>0</v>
      </c>
      <c r="H2231" s="68" t="s">
        <v>9</v>
      </c>
      <c r="I2231" s="3"/>
      <c r="J2231" s="42"/>
      <c r="K2231" s="3"/>
    </row>
    <row r="2232" spans="1:11" x14ac:dyDescent="0.25">
      <c r="A2232" s="20">
        <v>42117</v>
      </c>
      <c r="B2232" s="183">
        <v>18769</v>
      </c>
      <c r="C2232" s="15" t="s">
        <v>224</v>
      </c>
      <c r="D2232" s="122">
        <v>2323.4</v>
      </c>
      <c r="E2232" s="23">
        <v>42118</v>
      </c>
      <c r="F2232" s="118">
        <v>2323.4</v>
      </c>
      <c r="G2232" s="31">
        <f t="shared" si="34"/>
        <v>0</v>
      </c>
      <c r="H2232" s="68" t="s">
        <v>15</v>
      </c>
      <c r="I2232" s="3"/>
      <c r="J2232" s="42"/>
      <c r="K2232" s="3"/>
    </row>
    <row r="2233" spans="1:11" x14ac:dyDescent="0.25">
      <c r="A2233" s="20">
        <v>42117</v>
      </c>
      <c r="B2233" s="183">
        <v>18770</v>
      </c>
      <c r="C2233" s="15" t="s">
        <v>285</v>
      </c>
      <c r="D2233" s="122">
        <v>580.1</v>
      </c>
      <c r="E2233" s="23">
        <v>42118</v>
      </c>
      <c r="F2233" s="118">
        <v>580.1</v>
      </c>
      <c r="G2233" s="31">
        <f t="shared" si="34"/>
        <v>0</v>
      </c>
      <c r="H2233" s="68" t="s">
        <v>15</v>
      </c>
      <c r="I2233" s="3"/>
      <c r="J2233" s="42"/>
      <c r="K2233" s="3"/>
    </row>
    <row r="2234" spans="1:11" x14ac:dyDescent="0.25">
      <c r="A2234" s="20">
        <v>42117</v>
      </c>
      <c r="B2234" s="183">
        <v>18771</v>
      </c>
      <c r="C2234" s="15" t="s">
        <v>14</v>
      </c>
      <c r="D2234" s="122">
        <v>959.2</v>
      </c>
      <c r="E2234" s="30">
        <v>42126</v>
      </c>
      <c r="F2234" s="145">
        <v>959.2</v>
      </c>
      <c r="G2234" s="31">
        <f t="shared" si="34"/>
        <v>0</v>
      </c>
      <c r="H2234" s="68" t="s">
        <v>15</v>
      </c>
      <c r="I2234" s="3"/>
      <c r="J2234" s="42"/>
      <c r="K2234" s="3"/>
    </row>
    <row r="2235" spans="1:11" x14ac:dyDescent="0.25">
      <c r="A2235" s="20">
        <v>42117</v>
      </c>
      <c r="B2235" s="183">
        <v>18772</v>
      </c>
      <c r="C2235" s="15" t="s">
        <v>14</v>
      </c>
      <c r="D2235" s="122">
        <v>216746.55</v>
      </c>
      <c r="E2235" s="30">
        <v>42126</v>
      </c>
      <c r="F2235" s="145">
        <v>216746.55</v>
      </c>
      <c r="G2235" s="31">
        <f t="shared" si="34"/>
        <v>0</v>
      </c>
      <c r="H2235" s="68" t="s">
        <v>15</v>
      </c>
      <c r="I2235" s="3"/>
      <c r="J2235" s="42"/>
      <c r="K2235" s="3"/>
    </row>
    <row r="2236" spans="1:11" x14ac:dyDescent="0.25">
      <c r="A2236" s="20">
        <v>42117</v>
      </c>
      <c r="B2236" s="183">
        <v>18773</v>
      </c>
      <c r="C2236" s="15" t="s">
        <v>14</v>
      </c>
      <c r="D2236" s="122">
        <v>238053.33</v>
      </c>
      <c r="E2236" s="30">
        <v>42126</v>
      </c>
      <c r="F2236" s="145">
        <v>238053.33</v>
      </c>
      <c r="G2236" s="31">
        <f t="shared" si="34"/>
        <v>0</v>
      </c>
      <c r="H2236" s="68" t="s">
        <v>15</v>
      </c>
      <c r="I2236" s="3"/>
      <c r="J2236" s="42"/>
      <c r="K2236" s="3"/>
    </row>
    <row r="2237" spans="1:11" x14ac:dyDescent="0.25">
      <c r="A2237" s="20">
        <v>42117</v>
      </c>
      <c r="B2237" s="183">
        <v>18774</v>
      </c>
      <c r="C2237" s="15" t="s">
        <v>1154</v>
      </c>
      <c r="D2237" s="122">
        <v>153.6</v>
      </c>
      <c r="E2237" s="23">
        <v>42117</v>
      </c>
      <c r="F2237" s="118">
        <v>153.6</v>
      </c>
      <c r="G2237" s="31">
        <f t="shared" si="34"/>
        <v>0</v>
      </c>
      <c r="H2237" s="68" t="s">
        <v>9</v>
      </c>
      <c r="I2237" s="3"/>
      <c r="J2237" s="42"/>
      <c r="K2237" s="3"/>
    </row>
    <row r="2238" spans="1:11" x14ac:dyDescent="0.25">
      <c r="A2238" s="20">
        <v>42117</v>
      </c>
      <c r="B2238" s="183">
        <v>18775</v>
      </c>
      <c r="C2238" s="15" t="s">
        <v>111</v>
      </c>
      <c r="D2238" s="122">
        <v>113765.25</v>
      </c>
      <c r="E2238" s="23">
        <v>42123</v>
      </c>
      <c r="F2238" s="118">
        <v>113765.25</v>
      </c>
      <c r="G2238" s="31">
        <f t="shared" si="34"/>
        <v>0</v>
      </c>
      <c r="H2238" s="68" t="s">
        <v>9</v>
      </c>
      <c r="I2238" s="3"/>
      <c r="J2238" s="42"/>
      <c r="K2238" s="3"/>
    </row>
    <row r="2239" spans="1:11" x14ac:dyDescent="0.25">
      <c r="A2239" s="20">
        <v>42117</v>
      </c>
      <c r="B2239" s="183">
        <v>18776</v>
      </c>
      <c r="C2239" s="15" t="s">
        <v>28</v>
      </c>
      <c r="D2239" s="122">
        <v>708.4</v>
      </c>
      <c r="E2239" s="23">
        <v>42117</v>
      </c>
      <c r="F2239" s="118">
        <v>708.4</v>
      </c>
      <c r="G2239" s="31">
        <f t="shared" si="34"/>
        <v>0</v>
      </c>
      <c r="H2239" s="68" t="s">
        <v>9</v>
      </c>
      <c r="I2239" s="3"/>
      <c r="J2239" s="42"/>
      <c r="K2239" s="3"/>
    </row>
    <row r="2240" spans="1:11" x14ac:dyDescent="0.25">
      <c r="A2240" s="20">
        <v>42117</v>
      </c>
      <c r="B2240" s="183">
        <v>18777</v>
      </c>
      <c r="C2240" s="15" t="s">
        <v>89</v>
      </c>
      <c r="D2240" s="122">
        <v>2264.8000000000002</v>
      </c>
      <c r="E2240" s="23">
        <v>42117</v>
      </c>
      <c r="F2240" s="118">
        <v>2264.8000000000002</v>
      </c>
      <c r="G2240" s="31">
        <f t="shared" si="34"/>
        <v>0</v>
      </c>
      <c r="H2240" s="68" t="s">
        <v>9</v>
      </c>
      <c r="I2240" s="3"/>
      <c r="J2240" s="42"/>
      <c r="K2240" s="3"/>
    </row>
    <row r="2241" spans="1:11" x14ac:dyDescent="0.25">
      <c r="A2241" s="20">
        <v>42117</v>
      </c>
      <c r="B2241" s="183">
        <v>18778</v>
      </c>
      <c r="C2241" s="15" t="s">
        <v>190</v>
      </c>
      <c r="D2241" s="122">
        <v>5732.7</v>
      </c>
      <c r="E2241" s="23">
        <v>42118</v>
      </c>
      <c r="F2241" s="118">
        <v>5732.7</v>
      </c>
      <c r="G2241" s="31">
        <f t="shared" si="34"/>
        <v>0</v>
      </c>
      <c r="H2241" s="68" t="s">
        <v>19</v>
      </c>
      <c r="I2241" s="3"/>
      <c r="J2241" s="42"/>
      <c r="K2241" s="3"/>
    </row>
    <row r="2242" spans="1:11" x14ac:dyDescent="0.25">
      <c r="A2242" s="20">
        <v>42117</v>
      </c>
      <c r="B2242" s="183">
        <v>18779</v>
      </c>
      <c r="C2242" s="15" t="s">
        <v>47</v>
      </c>
      <c r="D2242" s="122">
        <v>17880.8</v>
      </c>
      <c r="E2242" s="23">
        <v>42118</v>
      </c>
      <c r="F2242" s="118">
        <v>17880.8</v>
      </c>
      <c r="G2242" s="31">
        <f t="shared" si="34"/>
        <v>0</v>
      </c>
      <c r="H2242" s="68" t="s">
        <v>94</v>
      </c>
      <c r="I2242" s="3"/>
      <c r="J2242" s="42"/>
      <c r="K2242" s="3"/>
    </row>
    <row r="2243" spans="1:11" x14ac:dyDescent="0.25">
      <c r="A2243" s="20">
        <v>42117</v>
      </c>
      <c r="B2243" s="183">
        <v>18780</v>
      </c>
      <c r="C2243" s="15" t="s">
        <v>93</v>
      </c>
      <c r="D2243" s="122">
        <v>1751</v>
      </c>
      <c r="E2243" s="23">
        <v>42118</v>
      </c>
      <c r="F2243" s="118">
        <v>1751</v>
      </c>
      <c r="G2243" s="31">
        <f t="shared" ref="G2243:G2306" si="35">D2243-F2243</f>
        <v>0</v>
      </c>
      <c r="H2243" s="68" t="s">
        <v>19</v>
      </c>
      <c r="I2243" s="3"/>
      <c r="J2243" s="42"/>
      <c r="K2243" s="3"/>
    </row>
    <row r="2244" spans="1:11" x14ac:dyDescent="0.25">
      <c r="A2244" s="20">
        <v>42117</v>
      </c>
      <c r="B2244" s="183">
        <v>18781</v>
      </c>
      <c r="C2244" s="15" t="s">
        <v>98</v>
      </c>
      <c r="D2244" s="122">
        <v>1346.2</v>
      </c>
      <c r="E2244" s="23">
        <v>42118</v>
      </c>
      <c r="F2244" s="118">
        <v>1346.2</v>
      </c>
      <c r="G2244" s="31">
        <f t="shared" si="35"/>
        <v>0</v>
      </c>
      <c r="H2244" s="68" t="s">
        <v>19</v>
      </c>
      <c r="I2244" s="3"/>
      <c r="J2244" s="42"/>
      <c r="K2244" s="3"/>
    </row>
    <row r="2245" spans="1:11" x14ac:dyDescent="0.25">
      <c r="A2245" s="20">
        <v>42117</v>
      </c>
      <c r="B2245" s="183">
        <v>18782</v>
      </c>
      <c r="C2245" s="15" t="s">
        <v>247</v>
      </c>
      <c r="D2245" s="122">
        <v>7400</v>
      </c>
      <c r="E2245" s="23">
        <v>42118</v>
      </c>
      <c r="F2245" s="118">
        <v>7400</v>
      </c>
      <c r="G2245" s="31">
        <f t="shared" si="35"/>
        <v>0</v>
      </c>
      <c r="H2245" s="68" t="s">
        <v>19</v>
      </c>
      <c r="I2245" s="3"/>
      <c r="J2245" s="42"/>
      <c r="K2245" s="3"/>
    </row>
    <row r="2246" spans="1:11" x14ac:dyDescent="0.25">
      <c r="A2246" s="20">
        <v>42117</v>
      </c>
      <c r="B2246" s="183">
        <v>18783</v>
      </c>
      <c r="C2246" s="15" t="s">
        <v>37</v>
      </c>
      <c r="D2246" s="122">
        <v>1104.3</v>
      </c>
      <c r="E2246" s="23">
        <v>42122</v>
      </c>
      <c r="F2246" s="118">
        <v>1104.3</v>
      </c>
      <c r="G2246" s="31">
        <f t="shared" si="35"/>
        <v>0</v>
      </c>
      <c r="H2246" s="68" t="s">
        <v>94</v>
      </c>
      <c r="I2246" s="3"/>
      <c r="J2246" s="42"/>
      <c r="K2246" s="3"/>
    </row>
    <row r="2247" spans="1:11" x14ac:dyDescent="0.25">
      <c r="A2247" s="20">
        <v>42117</v>
      </c>
      <c r="B2247" s="183">
        <v>18784</v>
      </c>
      <c r="C2247" s="15" t="s">
        <v>247</v>
      </c>
      <c r="D2247" s="122">
        <v>204.6</v>
      </c>
      <c r="E2247" s="23">
        <v>42118</v>
      </c>
      <c r="F2247" s="118">
        <v>204.6</v>
      </c>
      <c r="G2247" s="31">
        <f t="shared" si="35"/>
        <v>0</v>
      </c>
      <c r="H2247" s="68" t="s">
        <v>19</v>
      </c>
      <c r="I2247" s="3"/>
      <c r="J2247" s="42"/>
      <c r="K2247" s="3"/>
    </row>
    <row r="2248" spans="1:11" x14ac:dyDescent="0.25">
      <c r="A2248" s="20">
        <v>42117</v>
      </c>
      <c r="B2248" s="183">
        <v>18785</v>
      </c>
      <c r="C2248" s="15" t="s">
        <v>112</v>
      </c>
      <c r="D2248" s="122">
        <v>4389</v>
      </c>
      <c r="E2248" s="23">
        <v>42117</v>
      </c>
      <c r="F2248" s="118">
        <v>4389</v>
      </c>
      <c r="G2248" s="31">
        <f t="shared" si="35"/>
        <v>0</v>
      </c>
      <c r="H2248" s="68" t="s">
        <v>9</v>
      </c>
      <c r="I2248" s="3"/>
      <c r="J2248" s="42"/>
      <c r="K2248" s="3"/>
    </row>
    <row r="2249" spans="1:11" x14ac:dyDescent="0.25">
      <c r="A2249" s="20">
        <v>42117</v>
      </c>
      <c r="B2249" s="183">
        <v>18786</v>
      </c>
      <c r="C2249" s="15" t="s">
        <v>1116</v>
      </c>
      <c r="D2249" s="122">
        <v>720</v>
      </c>
      <c r="E2249" s="23">
        <v>42118</v>
      </c>
      <c r="F2249" s="118">
        <v>720</v>
      </c>
      <c r="G2249" s="31">
        <f t="shared" si="35"/>
        <v>0</v>
      </c>
      <c r="H2249" s="68" t="s">
        <v>19</v>
      </c>
      <c r="I2249" s="3"/>
      <c r="J2249" s="42"/>
      <c r="K2249" s="3"/>
    </row>
    <row r="2250" spans="1:11" x14ac:dyDescent="0.25">
      <c r="A2250" s="20">
        <v>42117</v>
      </c>
      <c r="B2250" s="183">
        <v>18787</v>
      </c>
      <c r="C2250" s="15" t="s">
        <v>136</v>
      </c>
      <c r="D2250" s="122">
        <v>33204.400000000001</v>
      </c>
      <c r="E2250" s="23">
        <v>42118</v>
      </c>
      <c r="F2250" s="118">
        <v>33204.400000000001</v>
      </c>
      <c r="G2250" s="31">
        <f t="shared" si="35"/>
        <v>0</v>
      </c>
      <c r="H2250" s="68" t="s">
        <v>9</v>
      </c>
      <c r="I2250" s="3"/>
      <c r="J2250" s="42"/>
      <c r="K2250" s="3"/>
    </row>
    <row r="2251" spans="1:11" x14ac:dyDescent="0.25">
      <c r="A2251" s="20">
        <v>42117</v>
      </c>
      <c r="B2251" s="183">
        <v>18788</v>
      </c>
      <c r="C2251" s="15" t="s">
        <v>158</v>
      </c>
      <c r="D2251" s="122">
        <v>4718.2</v>
      </c>
      <c r="E2251" s="156"/>
      <c r="F2251" s="160"/>
      <c r="G2251" s="31">
        <f t="shared" si="35"/>
        <v>4718.2</v>
      </c>
      <c r="H2251" s="68" t="s">
        <v>9</v>
      </c>
      <c r="I2251" s="3"/>
      <c r="J2251" s="42"/>
      <c r="K2251" s="3"/>
    </row>
    <row r="2252" spans="1:11" x14ac:dyDescent="0.25">
      <c r="A2252" s="20">
        <v>42117</v>
      </c>
      <c r="B2252" s="183">
        <v>18789</v>
      </c>
      <c r="C2252" s="15" t="s">
        <v>24</v>
      </c>
      <c r="D2252" s="122">
        <v>5557.83</v>
      </c>
      <c r="E2252" s="30">
        <v>42144</v>
      </c>
      <c r="F2252" s="145">
        <v>5557.83</v>
      </c>
      <c r="G2252" s="31">
        <f t="shared" si="35"/>
        <v>0</v>
      </c>
      <c r="H2252" s="68" t="s">
        <v>94</v>
      </c>
      <c r="I2252" s="3"/>
      <c r="J2252" s="42"/>
      <c r="K2252" s="3"/>
    </row>
    <row r="2253" spans="1:11" x14ac:dyDescent="0.25">
      <c r="A2253" s="20">
        <v>42117</v>
      </c>
      <c r="B2253" s="183">
        <v>18790</v>
      </c>
      <c r="C2253" s="15" t="s">
        <v>66</v>
      </c>
      <c r="D2253" s="122">
        <v>1117.2</v>
      </c>
      <c r="E2253" s="23">
        <v>42117</v>
      </c>
      <c r="F2253" s="118">
        <v>1117.2</v>
      </c>
      <c r="G2253" s="31">
        <f t="shared" si="35"/>
        <v>0</v>
      </c>
      <c r="H2253" s="68" t="s">
        <v>9</v>
      </c>
      <c r="I2253" s="3"/>
      <c r="J2253" s="42"/>
      <c r="K2253" s="3"/>
    </row>
    <row r="2254" spans="1:11" x14ac:dyDescent="0.25">
      <c r="A2254" s="20">
        <v>42117</v>
      </c>
      <c r="B2254" s="183">
        <v>18791</v>
      </c>
      <c r="C2254" s="15" t="s">
        <v>66</v>
      </c>
      <c r="D2254" s="122">
        <v>40</v>
      </c>
      <c r="E2254" s="23">
        <v>42117</v>
      </c>
      <c r="F2254" s="118">
        <v>40</v>
      </c>
      <c r="G2254" s="31">
        <f t="shared" si="35"/>
        <v>0</v>
      </c>
      <c r="H2254" s="68" t="s">
        <v>9</v>
      </c>
      <c r="I2254" s="3"/>
      <c r="J2254" s="42"/>
      <c r="K2254" s="3"/>
    </row>
    <row r="2255" spans="1:11" x14ac:dyDescent="0.25">
      <c r="A2255" s="20">
        <v>42117</v>
      </c>
      <c r="B2255" s="183">
        <v>18792</v>
      </c>
      <c r="C2255" s="15" t="s">
        <v>697</v>
      </c>
      <c r="D2255" s="122">
        <v>95363.46</v>
      </c>
      <c r="E2255" s="23">
        <v>42117</v>
      </c>
      <c r="F2255" s="118">
        <v>95363.46</v>
      </c>
      <c r="G2255" s="31">
        <f t="shared" si="35"/>
        <v>0</v>
      </c>
      <c r="H2255" s="68" t="s">
        <v>1013</v>
      </c>
      <c r="I2255" s="3"/>
      <c r="J2255" s="42"/>
      <c r="K2255" s="3"/>
    </row>
    <row r="2256" spans="1:11" x14ac:dyDescent="0.25">
      <c r="A2256" s="20">
        <v>42117</v>
      </c>
      <c r="B2256" s="183">
        <v>18793</v>
      </c>
      <c r="C2256" s="15" t="s">
        <v>131</v>
      </c>
      <c r="D2256" s="122">
        <v>6232</v>
      </c>
      <c r="E2256" s="23">
        <v>42117</v>
      </c>
      <c r="F2256" s="118">
        <v>6232</v>
      </c>
      <c r="G2256" s="31">
        <f t="shared" si="35"/>
        <v>0</v>
      </c>
      <c r="H2256" s="68" t="s">
        <v>17</v>
      </c>
      <c r="I2256" s="3"/>
      <c r="J2256" s="42"/>
      <c r="K2256" s="3"/>
    </row>
    <row r="2257" spans="1:11" x14ac:dyDescent="0.25">
      <c r="A2257" s="20">
        <v>42117</v>
      </c>
      <c r="B2257" s="183">
        <v>18794</v>
      </c>
      <c r="C2257" s="15" t="s">
        <v>232</v>
      </c>
      <c r="D2257" s="122">
        <v>7046.3</v>
      </c>
      <c r="E2257" s="23">
        <v>42117</v>
      </c>
      <c r="F2257" s="118">
        <v>7046.3</v>
      </c>
      <c r="G2257" s="31">
        <f t="shared" si="35"/>
        <v>0</v>
      </c>
      <c r="H2257" s="68" t="s">
        <v>9</v>
      </c>
      <c r="I2257" s="3"/>
      <c r="J2257" s="42"/>
      <c r="K2257" s="3"/>
    </row>
    <row r="2258" spans="1:11" x14ac:dyDescent="0.25">
      <c r="A2258" s="20">
        <v>42117</v>
      </c>
      <c r="B2258" s="183">
        <v>18795</v>
      </c>
      <c r="C2258" s="15" t="s">
        <v>579</v>
      </c>
      <c r="D2258" s="122">
        <v>1696.35</v>
      </c>
      <c r="E2258" s="23">
        <v>42117</v>
      </c>
      <c r="F2258" s="118">
        <v>1696.35</v>
      </c>
      <c r="G2258" s="31">
        <f t="shared" si="35"/>
        <v>0</v>
      </c>
      <c r="H2258" s="68" t="s">
        <v>9</v>
      </c>
      <c r="I2258" s="3"/>
      <c r="J2258" s="42"/>
      <c r="K2258" s="3"/>
    </row>
    <row r="2259" spans="1:11" x14ac:dyDescent="0.25">
      <c r="A2259" s="20">
        <v>42117</v>
      </c>
      <c r="B2259" s="183">
        <v>18796</v>
      </c>
      <c r="C2259" s="15" t="s">
        <v>579</v>
      </c>
      <c r="D2259" s="122">
        <v>86.7</v>
      </c>
      <c r="E2259" s="23">
        <v>42117</v>
      </c>
      <c r="F2259" s="118">
        <v>86.7</v>
      </c>
      <c r="G2259" s="31">
        <f t="shared" si="35"/>
        <v>0</v>
      </c>
      <c r="H2259" s="68" t="s">
        <v>9</v>
      </c>
      <c r="I2259" s="3"/>
      <c r="J2259" s="42"/>
      <c r="K2259" s="3"/>
    </row>
    <row r="2260" spans="1:11" x14ac:dyDescent="0.25">
      <c r="A2260" s="20">
        <v>42117</v>
      </c>
      <c r="B2260" s="183">
        <v>18797</v>
      </c>
      <c r="C2260" s="15" t="s">
        <v>24</v>
      </c>
      <c r="D2260" s="122">
        <v>278366.43</v>
      </c>
      <c r="E2260" s="30">
        <v>42144</v>
      </c>
      <c r="F2260" s="145">
        <v>278366.43</v>
      </c>
      <c r="G2260" s="31">
        <f t="shared" si="35"/>
        <v>0</v>
      </c>
      <c r="H2260" s="68" t="s">
        <v>46</v>
      </c>
      <c r="I2260" s="3"/>
      <c r="J2260" s="42"/>
      <c r="K2260" s="3"/>
    </row>
    <row r="2261" spans="1:11" x14ac:dyDescent="0.25">
      <c r="A2261" s="20">
        <v>42117</v>
      </c>
      <c r="B2261" s="183">
        <v>18798</v>
      </c>
      <c r="C2261" s="15" t="s">
        <v>24</v>
      </c>
      <c r="D2261" s="122">
        <v>63272</v>
      </c>
      <c r="E2261" s="30">
        <v>42144</v>
      </c>
      <c r="F2261" s="145">
        <v>63272</v>
      </c>
      <c r="G2261" s="31">
        <f t="shared" si="35"/>
        <v>0</v>
      </c>
      <c r="H2261" s="68" t="s">
        <v>46</v>
      </c>
      <c r="I2261" s="3"/>
      <c r="J2261" s="42"/>
      <c r="K2261" s="3"/>
    </row>
    <row r="2262" spans="1:11" x14ac:dyDescent="0.25">
      <c r="A2262" s="20">
        <v>42117</v>
      </c>
      <c r="B2262" s="183">
        <v>18799</v>
      </c>
      <c r="C2262" s="15" t="s">
        <v>265</v>
      </c>
      <c r="D2262" s="122">
        <v>2464.5</v>
      </c>
      <c r="E2262" s="23">
        <v>42117</v>
      </c>
      <c r="F2262" s="118">
        <v>2464.5</v>
      </c>
      <c r="G2262" s="31">
        <f t="shared" si="35"/>
        <v>0</v>
      </c>
      <c r="H2262" s="68" t="s">
        <v>9</v>
      </c>
      <c r="I2262" s="3"/>
      <c r="J2262" s="42"/>
      <c r="K2262" s="3"/>
    </row>
    <row r="2263" spans="1:11" x14ac:dyDescent="0.25">
      <c r="A2263" s="20">
        <v>42117</v>
      </c>
      <c r="B2263" s="183">
        <v>18800</v>
      </c>
      <c r="C2263" s="15" t="s">
        <v>265</v>
      </c>
      <c r="D2263" s="122">
        <v>1135.9000000000001</v>
      </c>
      <c r="E2263" s="23">
        <v>42117</v>
      </c>
      <c r="F2263" s="118">
        <v>1135.9000000000001</v>
      </c>
      <c r="G2263" s="31">
        <f t="shared" si="35"/>
        <v>0</v>
      </c>
      <c r="H2263" s="68" t="s">
        <v>9</v>
      </c>
      <c r="I2263" s="3"/>
      <c r="J2263" s="42"/>
      <c r="K2263" s="3"/>
    </row>
    <row r="2264" spans="1:11" x14ac:dyDescent="0.25">
      <c r="A2264" s="20">
        <v>42117</v>
      </c>
      <c r="B2264" s="183">
        <v>18801</v>
      </c>
      <c r="C2264" s="15" t="s">
        <v>265</v>
      </c>
      <c r="D2264" s="122">
        <v>356.25</v>
      </c>
      <c r="E2264" s="23">
        <v>42117</v>
      </c>
      <c r="F2264" s="118">
        <v>356.25</v>
      </c>
      <c r="G2264" s="31">
        <f t="shared" si="35"/>
        <v>0</v>
      </c>
      <c r="H2264" s="68" t="s">
        <v>9</v>
      </c>
      <c r="I2264" s="3"/>
      <c r="J2264" s="42"/>
      <c r="K2264" s="3"/>
    </row>
    <row r="2265" spans="1:11" x14ac:dyDescent="0.25">
      <c r="A2265" s="20">
        <v>42117</v>
      </c>
      <c r="B2265" s="183">
        <v>18802</v>
      </c>
      <c r="C2265" s="15" t="s">
        <v>249</v>
      </c>
      <c r="D2265" s="122">
        <v>2865.8</v>
      </c>
      <c r="E2265" s="23">
        <v>42117</v>
      </c>
      <c r="F2265" s="118">
        <v>2865.8</v>
      </c>
      <c r="G2265" s="31">
        <f t="shared" si="35"/>
        <v>0</v>
      </c>
      <c r="H2265" s="68" t="s">
        <v>41</v>
      </c>
      <c r="I2265" s="3"/>
      <c r="J2265" s="42"/>
      <c r="K2265" s="3"/>
    </row>
    <row r="2266" spans="1:11" x14ac:dyDescent="0.25">
      <c r="A2266" s="20">
        <v>42117</v>
      </c>
      <c r="B2266" s="183">
        <v>18803</v>
      </c>
      <c r="C2266" s="15" t="s">
        <v>103</v>
      </c>
      <c r="D2266" s="122">
        <v>49914.55</v>
      </c>
      <c r="E2266" s="23">
        <v>42119</v>
      </c>
      <c r="F2266" s="118">
        <v>49914.55</v>
      </c>
      <c r="G2266" s="31">
        <f t="shared" si="35"/>
        <v>0</v>
      </c>
      <c r="H2266" s="68" t="s">
        <v>17</v>
      </c>
      <c r="I2266" s="3"/>
      <c r="J2266" s="42"/>
      <c r="K2266" s="3"/>
    </row>
    <row r="2267" spans="1:11" x14ac:dyDescent="0.25">
      <c r="A2267" s="20">
        <v>42117</v>
      </c>
      <c r="B2267" s="183">
        <v>18804</v>
      </c>
      <c r="C2267" s="15" t="s">
        <v>571</v>
      </c>
      <c r="D2267" s="122">
        <v>149739.6</v>
      </c>
      <c r="E2267" s="30" t="s">
        <v>1206</v>
      </c>
      <c r="F2267" s="145">
        <f>48070+101669.6</f>
        <v>149739.6</v>
      </c>
      <c r="G2267" s="31">
        <f t="shared" si="35"/>
        <v>0</v>
      </c>
      <c r="H2267" s="68" t="s">
        <v>62</v>
      </c>
      <c r="I2267" s="3"/>
      <c r="J2267" s="42"/>
      <c r="K2267" s="3"/>
    </row>
    <row r="2268" spans="1:11" x14ac:dyDescent="0.25">
      <c r="A2268" s="20">
        <v>42117</v>
      </c>
      <c r="B2268" s="183">
        <v>18805</v>
      </c>
      <c r="C2268" s="15" t="s">
        <v>1155</v>
      </c>
      <c r="D2268" s="122">
        <v>10232</v>
      </c>
      <c r="E2268" s="23">
        <v>42117</v>
      </c>
      <c r="F2268" s="118">
        <v>10232</v>
      </c>
      <c r="G2268" s="31">
        <f t="shared" si="35"/>
        <v>0</v>
      </c>
      <c r="H2268" s="68" t="s">
        <v>9</v>
      </c>
      <c r="I2268" s="3"/>
      <c r="J2268" s="42"/>
      <c r="K2268" s="3"/>
    </row>
    <row r="2269" spans="1:11" x14ac:dyDescent="0.25">
      <c r="A2269" s="20">
        <v>42117</v>
      </c>
      <c r="B2269" s="183">
        <v>18806</v>
      </c>
      <c r="C2269" s="15" t="s">
        <v>11</v>
      </c>
      <c r="D2269" s="122">
        <v>400</v>
      </c>
      <c r="E2269" s="23">
        <v>42117</v>
      </c>
      <c r="F2269" s="118">
        <v>400</v>
      </c>
      <c r="G2269" s="31">
        <f t="shared" si="35"/>
        <v>0</v>
      </c>
      <c r="H2269" s="68" t="s">
        <v>9</v>
      </c>
      <c r="I2269" s="3"/>
      <c r="J2269" s="42"/>
      <c r="K2269" s="3"/>
    </row>
    <row r="2270" spans="1:11" x14ac:dyDescent="0.25">
      <c r="A2270" s="20">
        <v>42117</v>
      </c>
      <c r="B2270" s="183">
        <v>18807</v>
      </c>
      <c r="C2270" s="15" t="s">
        <v>353</v>
      </c>
      <c r="D2270" s="122">
        <v>1502.4</v>
      </c>
      <c r="E2270" s="23">
        <v>42117</v>
      </c>
      <c r="F2270" s="118">
        <v>1502.4</v>
      </c>
      <c r="G2270" s="31">
        <f t="shared" si="35"/>
        <v>0</v>
      </c>
      <c r="H2270" s="68" t="s">
        <v>9</v>
      </c>
      <c r="I2270" s="3"/>
      <c r="J2270" s="42"/>
      <c r="K2270" s="3"/>
    </row>
    <row r="2271" spans="1:11" x14ac:dyDescent="0.25">
      <c r="A2271" s="20">
        <v>42117</v>
      </c>
      <c r="B2271" s="183">
        <v>18808</v>
      </c>
      <c r="C2271" s="15" t="s">
        <v>207</v>
      </c>
      <c r="D2271" s="122">
        <v>25182.06</v>
      </c>
      <c r="E2271" s="23">
        <v>42123</v>
      </c>
      <c r="F2271" s="118">
        <v>25182.06</v>
      </c>
      <c r="G2271" s="31">
        <f t="shared" si="35"/>
        <v>0</v>
      </c>
      <c r="H2271" s="68" t="s">
        <v>9</v>
      </c>
      <c r="I2271" s="3"/>
      <c r="J2271" s="42"/>
      <c r="K2271" s="3"/>
    </row>
    <row r="2272" spans="1:11" x14ac:dyDescent="0.25">
      <c r="A2272" s="20">
        <v>42117</v>
      </c>
      <c r="B2272" s="183">
        <v>18809</v>
      </c>
      <c r="C2272" s="14" t="s">
        <v>353</v>
      </c>
      <c r="D2272" s="105">
        <v>200</v>
      </c>
      <c r="E2272" s="23">
        <v>42117</v>
      </c>
      <c r="F2272" s="106">
        <v>200</v>
      </c>
      <c r="G2272" s="31">
        <f t="shared" si="35"/>
        <v>0</v>
      </c>
      <c r="H2272" s="39" t="s">
        <v>9</v>
      </c>
      <c r="I2272" s="3"/>
      <c r="J2272" s="42"/>
      <c r="K2272" s="3"/>
    </row>
    <row r="2273" spans="1:11" x14ac:dyDescent="0.25">
      <c r="A2273" s="20">
        <v>42117</v>
      </c>
      <c r="B2273" s="183">
        <v>18810</v>
      </c>
      <c r="C2273" s="14" t="s">
        <v>104</v>
      </c>
      <c r="D2273" s="105">
        <v>2549.3000000000002</v>
      </c>
      <c r="E2273" s="23">
        <v>42118</v>
      </c>
      <c r="F2273" s="106">
        <v>2549.3000000000002</v>
      </c>
      <c r="G2273" s="31">
        <f t="shared" si="35"/>
        <v>0</v>
      </c>
      <c r="H2273" s="39" t="s">
        <v>94</v>
      </c>
      <c r="I2273" s="3"/>
      <c r="J2273" s="42"/>
      <c r="K2273" s="3"/>
    </row>
    <row r="2274" spans="1:11" x14ac:dyDescent="0.25">
      <c r="A2274" s="20">
        <v>42117</v>
      </c>
      <c r="B2274" s="183">
        <v>18811</v>
      </c>
      <c r="C2274" s="14" t="s">
        <v>834</v>
      </c>
      <c r="D2274" s="105">
        <v>2751.1</v>
      </c>
      <c r="E2274" s="23">
        <v>42117</v>
      </c>
      <c r="F2274" s="106">
        <v>2751.1</v>
      </c>
      <c r="G2274" s="31">
        <f t="shared" si="35"/>
        <v>0</v>
      </c>
      <c r="H2274" s="39" t="s">
        <v>9</v>
      </c>
      <c r="I2274" s="3"/>
      <c r="J2274" s="42"/>
      <c r="K2274" s="3"/>
    </row>
    <row r="2275" spans="1:11" x14ac:dyDescent="0.25">
      <c r="A2275" s="20">
        <v>42117</v>
      </c>
      <c r="B2275" s="183">
        <v>18812</v>
      </c>
      <c r="C2275" s="14" t="s">
        <v>574</v>
      </c>
      <c r="D2275" s="105">
        <v>24988.9</v>
      </c>
      <c r="E2275" s="23">
        <v>42119</v>
      </c>
      <c r="F2275" s="106">
        <v>24988.9</v>
      </c>
      <c r="G2275" s="31">
        <f t="shared" si="35"/>
        <v>0</v>
      </c>
      <c r="H2275" s="39" t="s">
        <v>149</v>
      </c>
      <c r="I2275" s="3"/>
      <c r="J2275" s="42"/>
      <c r="K2275" s="3"/>
    </row>
    <row r="2276" spans="1:11" x14ac:dyDescent="0.25">
      <c r="A2276" s="20">
        <v>42117</v>
      </c>
      <c r="B2276" s="183">
        <v>18813</v>
      </c>
      <c r="C2276" s="14" t="s">
        <v>1156</v>
      </c>
      <c r="D2276" s="105">
        <v>734.4</v>
      </c>
      <c r="E2276" s="23">
        <v>42117</v>
      </c>
      <c r="F2276" s="106">
        <v>734.4</v>
      </c>
      <c r="G2276" s="31">
        <f t="shared" si="35"/>
        <v>0</v>
      </c>
      <c r="H2276" s="39" t="s">
        <v>9</v>
      </c>
      <c r="I2276" s="3"/>
      <c r="J2276" s="42"/>
      <c r="K2276" s="3"/>
    </row>
    <row r="2277" spans="1:11" x14ac:dyDescent="0.25">
      <c r="A2277" s="20">
        <v>42117</v>
      </c>
      <c r="B2277" s="183">
        <v>18814</v>
      </c>
      <c r="C2277" s="26" t="s">
        <v>218</v>
      </c>
      <c r="D2277" s="108">
        <v>0</v>
      </c>
      <c r="E2277" s="23"/>
      <c r="F2277" s="106"/>
      <c r="G2277" s="31">
        <f t="shared" si="35"/>
        <v>0</v>
      </c>
      <c r="H2277" s="39" t="s">
        <v>13</v>
      </c>
      <c r="I2277" s="3"/>
      <c r="J2277" s="42"/>
      <c r="K2277" s="3"/>
    </row>
    <row r="2278" spans="1:11" x14ac:dyDescent="0.25">
      <c r="A2278" s="20">
        <v>42117</v>
      </c>
      <c r="B2278" s="183">
        <v>18815</v>
      </c>
      <c r="C2278" s="14" t="s">
        <v>1101</v>
      </c>
      <c r="D2278" s="105">
        <v>657.8</v>
      </c>
      <c r="E2278" s="23">
        <v>42117</v>
      </c>
      <c r="F2278" s="106">
        <v>657.8</v>
      </c>
      <c r="G2278" s="31">
        <f t="shared" si="35"/>
        <v>0</v>
      </c>
      <c r="H2278" s="39" t="s">
        <v>9</v>
      </c>
      <c r="I2278" s="3"/>
      <c r="J2278" s="42"/>
      <c r="K2278" s="3"/>
    </row>
    <row r="2279" spans="1:11" x14ac:dyDescent="0.25">
      <c r="A2279" s="20">
        <v>42117</v>
      </c>
      <c r="B2279" s="183">
        <v>18816</v>
      </c>
      <c r="C2279" s="14" t="s">
        <v>80</v>
      </c>
      <c r="D2279" s="105">
        <v>6823.8</v>
      </c>
      <c r="E2279" s="23">
        <v>42117</v>
      </c>
      <c r="F2279" s="106">
        <v>6823.8</v>
      </c>
      <c r="G2279" s="31">
        <f t="shared" si="35"/>
        <v>0</v>
      </c>
      <c r="H2279" s="39" t="s">
        <v>9</v>
      </c>
      <c r="I2279" s="3"/>
      <c r="J2279" s="42"/>
      <c r="K2279" s="3"/>
    </row>
    <row r="2280" spans="1:11" x14ac:dyDescent="0.25">
      <c r="A2280" s="20">
        <v>42117</v>
      </c>
      <c r="B2280" s="183">
        <v>18817</v>
      </c>
      <c r="C2280" s="14" t="s">
        <v>416</v>
      </c>
      <c r="D2280" s="105">
        <v>39.6</v>
      </c>
      <c r="E2280" s="23">
        <v>42117</v>
      </c>
      <c r="F2280" s="106">
        <v>39.6</v>
      </c>
      <c r="G2280" s="31">
        <f t="shared" si="35"/>
        <v>0</v>
      </c>
      <c r="H2280" s="39" t="s">
        <v>9</v>
      </c>
      <c r="I2280" s="3"/>
      <c r="J2280" s="42"/>
      <c r="K2280" s="3"/>
    </row>
    <row r="2281" spans="1:11" x14ac:dyDescent="0.25">
      <c r="A2281" s="20">
        <v>42117</v>
      </c>
      <c r="B2281" s="183">
        <v>18818</v>
      </c>
      <c r="C2281" s="14" t="s">
        <v>195</v>
      </c>
      <c r="D2281" s="105">
        <v>111819.93</v>
      </c>
      <c r="E2281" s="30" t="s">
        <v>1157</v>
      </c>
      <c r="F2281" s="106">
        <v>111819.93</v>
      </c>
      <c r="G2281" s="31">
        <f t="shared" si="35"/>
        <v>0</v>
      </c>
      <c r="H2281" s="39" t="s">
        <v>149</v>
      </c>
      <c r="I2281" s="3"/>
      <c r="J2281" s="42"/>
      <c r="K2281" s="3"/>
    </row>
    <row r="2282" spans="1:11" x14ac:dyDescent="0.25">
      <c r="A2282" s="20">
        <v>42117</v>
      </c>
      <c r="B2282" s="183">
        <v>18819</v>
      </c>
      <c r="C2282" s="14" t="s">
        <v>1158</v>
      </c>
      <c r="D2282" s="105">
        <v>11700</v>
      </c>
      <c r="E2282" s="23">
        <v>42117</v>
      </c>
      <c r="F2282" s="106">
        <v>11700</v>
      </c>
      <c r="G2282" s="31">
        <f t="shared" si="35"/>
        <v>0</v>
      </c>
      <c r="H2282" s="39" t="s">
        <v>9</v>
      </c>
      <c r="I2282" s="3"/>
      <c r="J2282" s="42"/>
      <c r="K2282" s="3"/>
    </row>
    <row r="2283" spans="1:11" x14ac:dyDescent="0.25">
      <c r="A2283" s="20">
        <v>42117</v>
      </c>
      <c r="B2283" s="183">
        <v>18820</v>
      </c>
      <c r="C2283" s="14" t="s">
        <v>733</v>
      </c>
      <c r="D2283" s="105">
        <v>4244.79</v>
      </c>
      <c r="E2283" s="23">
        <v>42119</v>
      </c>
      <c r="F2283" s="106">
        <v>4244.79</v>
      </c>
      <c r="G2283" s="31">
        <f t="shared" si="35"/>
        <v>0</v>
      </c>
      <c r="H2283" s="39" t="s">
        <v>149</v>
      </c>
      <c r="I2283" s="3"/>
      <c r="J2283" s="42"/>
      <c r="K2283" s="3"/>
    </row>
    <row r="2284" spans="1:11" x14ac:dyDescent="0.25">
      <c r="A2284" s="20">
        <v>42117</v>
      </c>
      <c r="B2284" s="183">
        <v>18821</v>
      </c>
      <c r="C2284" s="14" t="s">
        <v>203</v>
      </c>
      <c r="D2284" s="105">
        <v>2454.25</v>
      </c>
      <c r="E2284" s="23">
        <v>42119</v>
      </c>
      <c r="F2284" s="106">
        <v>2454.25</v>
      </c>
      <c r="G2284" s="31">
        <f t="shared" si="35"/>
        <v>0</v>
      </c>
      <c r="H2284" s="39" t="s">
        <v>149</v>
      </c>
      <c r="I2284" s="3"/>
      <c r="J2284" s="42"/>
      <c r="K2284" s="3"/>
    </row>
    <row r="2285" spans="1:11" x14ac:dyDescent="0.25">
      <c r="A2285" s="20">
        <v>42117</v>
      </c>
      <c r="B2285" s="183">
        <v>18822</v>
      </c>
      <c r="C2285" s="14" t="s">
        <v>206</v>
      </c>
      <c r="D2285" s="105">
        <v>6776</v>
      </c>
      <c r="E2285" s="30" t="s">
        <v>1159</v>
      </c>
      <c r="F2285" s="106">
        <v>6776</v>
      </c>
      <c r="G2285" s="31">
        <f t="shared" si="35"/>
        <v>0</v>
      </c>
      <c r="H2285" s="39" t="s">
        <v>149</v>
      </c>
      <c r="I2285" s="3"/>
      <c r="J2285" s="42"/>
      <c r="K2285" s="3"/>
    </row>
    <row r="2286" spans="1:11" x14ac:dyDescent="0.25">
      <c r="A2286" s="20">
        <v>42117</v>
      </c>
      <c r="B2286" s="183">
        <v>18823</v>
      </c>
      <c r="C2286" s="14" t="s">
        <v>349</v>
      </c>
      <c r="D2286" s="105">
        <v>5376.6</v>
      </c>
      <c r="E2286" s="23">
        <v>42119</v>
      </c>
      <c r="F2286" s="106">
        <v>5376.6</v>
      </c>
      <c r="G2286" s="31">
        <f t="shared" si="35"/>
        <v>0</v>
      </c>
      <c r="H2286" s="39" t="s">
        <v>149</v>
      </c>
      <c r="I2286" s="3"/>
      <c r="J2286" s="42"/>
      <c r="K2286" s="3"/>
    </row>
    <row r="2287" spans="1:11" x14ac:dyDescent="0.25">
      <c r="A2287" s="20">
        <v>42117</v>
      </c>
      <c r="B2287" s="183">
        <v>18824</v>
      </c>
      <c r="C2287" s="14" t="s">
        <v>200</v>
      </c>
      <c r="D2287" s="105">
        <v>1452</v>
      </c>
      <c r="E2287" s="23">
        <v>42119</v>
      </c>
      <c r="F2287" s="106">
        <v>1452</v>
      </c>
      <c r="G2287" s="31">
        <f t="shared" si="35"/>
        <v>0</v>
      </c>
      <c r="H2287" s="39" t="s">
        <v>149</v>
      </c>
      <c r="I2287" s="3"/>
      <c r="J2287" s="42"/>
      <c r="K2287" s="3"/>
    </row>
    <row r="2288" spans="1:11" x14ac:dyDescent="0.25">
      <c r="A2288" s="20">
        <v>42117</v>
      </c>
      <c r="B2288" s="183">
        <v>18825</v>
      </c>
      <c r="C2288" s="14" t="s">
        <v>141</v>
      </c>
      <c r="D2288" s="105">
        <v>268.39999999999998</v>
      </c>
      <c r="E2288" s="23">
        <v>42117</v>
      </c>
      <c r="F2288" s="106">
        <v>268.39999999999998</v>
      </c>
      <c r="G2288" s="31">
        <f t="shared" si="35"/>
        <v>0</v>
      </c>
      <c r="H2288" s="39" t="s">
        <v>9</v>
      </c>
      <c r="I2288" s="3"/>
      <c r="J2288" s="42"/>
      <c r="K2288" s="3"/>
    </row>
    <row r="2289" spans="1:11" x14ac:dyDescent="0.25">
      <c r="A2289" s="20">
        <v>42117</v>
      </c>
      <c r="B2289" s="183">
        <v>18826</v>
      </c>
      <c r="C2289" s="14" t="s">
        <v>877</v>
      </c>
      <c r="D2289" s="105">
        <v>3727.8</v>
      </c>
      <c r="E2289" s="23">
        <v>42119</v>
      </c>
      <c r="F2289" s="106">
        <v>3727.8</v>
      </c>
      <c r="G2289" s="31">
        <f t="shared" si="35"/>
        <v>0</v>
      </c>
      <c r="H2289" s="39" t="s">
        <v>149</v>
      </c>
      <c r="I2289" s="3"/>
      <c r="J2289" s="42"/>
      <c r="K2289" s="3"/>
    </row>
    <row r="2290" spans="1:11" x14ac:dyDescent="0.25">
      <c r="A2290" s="20">
        <v>42117</v>
      </c>
      <c r="B2290" s="183">
        <v>18827</v>
      </c>
      <c r="C2290" s="14" t="s">
        <v>732</v>
      </c>
      <c r="D2290" s="105">
        <v>6219.87</v>
      </c>
      <c r="E2290" s="23">
        <v>42123</v>
      </c>
      <c r="F2290" s="106">
        <v>6219.87</v>
      </c>
      <c r="G2290" s="31">
        <f t="shared" si="35"/>
        <v>0</v>
      </c>
      <c r="H2290" s="39" t="s">
        <v>149</v>
      </c>
      <c r="I2290" s="3"/>
      <c r="J2290" s="42"/>
      <c r="K2290" s="3"/>
    </row>
    <row r="2291" spans="1:11" x14ac:dyDescent="0.25">
      <c r="A2291" s="20">
        <v>42117</v>
      </c>
      <c r="B2291" s="183">
        <v>18828</v>
      </c>
      <c r="C2291" s="14" t="s">
        <v>552</v>
      </c>
      <c r="D2291" s="105">
        <v>12670.82</v>
      </c>
      <c r="E2291" s="23">
        <v>42119</v>
      </c>
      <c r="F2291" s="106">
        <v>12670.82</v>
      </c>
      <c r="G2291" s="31">
        <f t="shared" si="35"/>
        <v>0</v>
      </c>
      <c r="H2291" s="39" t="s">
        <v>149</v>
      </c>
      <c r="I2291" s="3"/>
      <c r="J2291" s="42"/>
      <c r="K2291" s="3"/>
    </row>
    <row r="2292" spans="1:11" x14ac:dyDescent="0.25">
      <c r="A2292" s="20">
        <v>42117</v>
      </c>
      <c r="B2292" s="183">
        <v>18829</v>
      </c>
      <c r="C2292" s="14" t="s">
        <v>416</v>
      </c>
      <c r="D2292" s="105">
        <v>2630</v>
      </c>
      <c r="E2292" s="23">
        <v>42119</v>
      </c>
      <c r="F2292" s="106">
        <v>2630</v>
      </c>
      <c r="G2292" s="31">
        <f t="shared" si="35"/>
        <v>0</v>
      </c>
      <c r="H2292" s="39" t="s">
        <v>149</v>
      </c>
      <c r="I2292" s="3"/>
      <c r="J2292" s="42"/>
      <c r="K2292" s="3"/>
    </row>
    <row r="2293" spans="1:11" x14ac:dyDescent="0.25">
      <c r="A2293" s="20">
        <v>42117</v>
      </c>
      <c r="B2293" s="183">
        <v>18830</v>
      </c>
      <c r="C2293" s="14" t="s">
        <v>806</v>
      </c>
      <c r="D2293" s="105">
        <v>10448</v>
      </c>
      <c r="E2293" s="23">
        <v>42119</v>
      </c>
      <c r="F2293" s="106">
        <v>10448</v>
      </c>
      <c r="G2293" s="31">
        <f t="shared" si="35"/>
        <v>0</v>
      </c>
      <c r="H2293" s="39" t="s">
        <v>149</v>
      </c>
      <c r="I2293" s="3"/>
      <c r="J2293" s="42"/>
      <c r="K2293" s="3"/>
    </row>
    <row r="2294" spans="1:11" x14ac:dyDescent="0.25">
      <c r="A2294" s="20">
        <v>42117</v>
      </c>
      <c r="B2294" s="183">
        <v>18831</v>
      </c>
      <c r="C2294" s="14" t="s">
        <v>416</v>
      </c>
      <c r="D2294" s="105">
        <v>3417.3</v>
      </c>
      <c r="E2294" s="23">
        <v>42119</v>
      </c>
      <c r="F2294" s="106">
        <v>3417.3</v>
      </c>
      <c r="G2294" s="31">
        <f t="shared" si="35"/>
        <v>0</v>
      </c>
      <c r="H2294" s="39" t="s">
        <v>149</v>
      </c>
      <c r="I2294" s="3"/>
      <c r="J2294" s="42"/>
      <c r="K2294" s="3"/>
    </row>
    <row r="2295" spans="1:11" x14ac:dyDescent="0.25">
      <c r="A2295" s="20">
        <v>42117</v>
      </c>
      <c r="B2295" s="183">
        <v>18832</v>
      </c>
      <c r="C2295" s="14" t="s">
        <v>198</v>
      </c>
      <c r="D2295" s="105">
        <v>11564.7</v>
      </c>
      <c r="E2295" s="23">
        <v>42119</v>
      </c>
      <c r="F2295" s="106">
        <v>11564.7</v>
      </c>
      <c r="G2295" s="31">
        <f t="shared" si="35"/>
        <v>0</v>
      </c>
      <c r="H2295" s="39" t="s">
        <v>149</v>
      </c>
      <c r="I2295" s="3"/>
      <c r="J2295" s="42"/>
      <c r="K2295" s="3"/>
    </row>
    <row r="2296" spans="1:11" x14ac:dyDescent="0.25">
      <c r="A2296" s="20">
        <v>42117</v>
      </c>
      <c r="B2296" s="183">
        <v>18833</v>
      </c>
      <c r="C2296" s="14" t="s">
        <v>284</v>
      </c>
      <c r="D2296" s="105">
        <v>2554.6</v>
      </c>
      <c r="E2296" s="23">
        <v>42118</v>
      </c>
      <c r="F2296" s="106">
        <v>2554.6</v>
      </c>
      <c r="G2296" s="31">
        <f t="shared" si="35"/>
        <v>0</v>
      </c>
      <c r="H2296" s="39" t="s">
        <v>9</v>
      </c>
      <c r="I2296" s="3"/>
      <c r="J2296" s="42"/>
      <c r="K2296" s="3"/>
    </row>
    <row r="2297" spans="1:11" x14ac:dyDescent="0.25">
      <c r="A2297" s="20">
        <v>42117</v>
      </c>
      <c r="B2297" s="183">
        <v>18834</v>
      </c>
      <c r="C2297" s="14" t="s">
        <v>59</v>
      </c>
      <c r="D2297" s="105">
        <v>200</v>
      </c>
      <c r="E2297" s="23">
        <v>42118</v>
      </c>
      <c r="F2297" s="106">
        <v>200</v>
      </c>
      <c r="G2297" s="31">
        <f t="shared" si="35"/>
        <v>0</v>
      </c>
      <c r="H2297" s="39" t="s">
        <v>9</v>
      </c>
      <c r="I2297" s="3"/>
      <c r="J2297" s="42"/>
      <c r="K2297" s="3"/>
    </row>
    <row r="2298" spans="1:11" x14ac:dyDescent="0.25">
      <c r="A2298" s="20">
        <v>42117</v>
      </c>
      <c r="B2298" s="183">
        <v>18835</v>
      </c>
      <c r="C2298" s="14" t="s">
        <v>262</v>
      </c>
      <c r="D2298" s="105">
        <v>33469.1</v>
      </c>
      <c r="E2298" s="23">
        <v>42123</v>
      </c>
      <c r="F2298" s="106">
        <v>33469.1</v>
      </c>
      <c r="G2298" s="31">
        <f t="shared" si="35"/>
        <v>0</v>
      </c>
      <c r="H2298" s="39" t="s">
        <v>149</v>
      </c>
      <c r="I2298" s="3"/>
      <c r="J2298" s="42"/>
      <c r="K2298" s="3"/>
    </row>
    <row r="2299" spans="1:11" x14ac:dyDescent="0.25">
      <c r="A2299" s="20">
        <v>42118</v>
      </c>
      <c r="B2299" s="183">
        <v>18836</v>
      </c>
      <c r="C2299" s="14" t="s">
        <v>16</v>
      </c>
      <c r="D2299" s="105">
        <v>10534.4</v>
      </c>
      <c r="E2299" s="23">
        <v>42118</v>
      </c>
      <c r="F2299" s="106">
        <v>10534.4</v>
      </c>
      <c r="G2299" s="31">
        <f t="shared" si="35"/>
        <v>0</v>
      </c>
      <c r="H2299" s="39" t="s">
        <v>94</v>
      </c>
      <c r="I2299" s="3"/>
      <c r="J2299" s="42"/>
      <c r="K2299" s="3"/>
    </row>
    <row r="2300" spans="1:11" x14ac:dyDescent="0.25">
      <c r="A2300" s="20">
        <v>42118</v>
      </c>
      <c r="B2300" s="183">
        <v>18837</v>
      </c>
      <c r="C2300" s="14" t="s">
        <v>1026</v>
      </c>
      <c r="D2300" s="105">
        <v>4680</v>
      </c>
      <c r="E2300" s="23">
        <v>42118</v>
      </c>
      <c r="F2300" s="106">
        <v>4680</v>
      </c>
      <c r="G2300" s="31">
        <f t="shared" si="35"/>
        <v>0</v>
      </c>
      <c r="H2300" s="39" t="s">
        <v>94</v>
      </c>
      <c r="I2300" s="3"/>
      <c r="J2300" s="42"/>
      <c r="K2300" s="3"/>
    </row>
    <row r="2301" spans="1:11" x14ac:dyDescent="0.25">
      <c r="A2301" s="20">
        <v>42118</v>
      </c>
      <c r="B2301" s="183">
        <v>18838</v>
      </c>
      <c r="C2301" s="14" t="s">
        <v>383</v>
      </c>
      <c r="D2301" s="105">
        <v>3149.8</v>
      </c>
      <c r="E2301" s="23">
        <v>42118</v>
      </c>
      <c r="F2301" s="106">
        <v>3149.8</v>
      </c>
      <c r="G2301" s="31">
        <f t="shared" si="35"/>
        <v>0</v>
      </c>
      <c r="H2301" s="39" t="s">
        <v>9</v>
      </c>
      <c r="I2301" s="3"/>
      <c r="J2301" s="42"/>
      <c r="K2301" s="3"/>
    </row>
    <row r="2302" spans="1:11" x14ac:dyDescent="0.25">
      <c r="A2302" s="20">
        <v>42118</v>
      </c>
      <c r="B2302" s="183">
        <v>18839</v>
      </c>
      <c r="C2302" s="14" t="s">
        <v>18</v>
      </c>
      <c r="D2302" s="105">
        <v>3692.5</v>
      </c>
      <c r="E2302" s="23">
        <v>42118</v>
      </c>
      <c r="F2302" s="106">
        <v>3692.5</v>
      </c>
      <c r="G2302" s="31">
        <f t="shared" si="35"/>
        <v>0</v>
      </c>
      <c r="H2302" s="39" t="s">
        <v>9</v>
      </c>
      <c r="I2302" s="3"/>
      <c r="J2302" s="42"/>
      <c r="K2302" s="3"/>
    </row>
    <row r="2303" spans="1:11" x14ac:dyDescent="0.25">
      <c r="A2303" s="20">
        <v>42118</v>
      </c>
      <c r="B2303" s="183">
        <v>18840</v>
      </c>
      <c r="C2303" s="14" t="s">
        <v>14</v>
      </c>
      <c r="D2303" s="105">
        <v>22606.799999999999</v>
      </c>
      <c r="E2303" s="30">
        <v>42126</v>
      </c>
      <c r="F2303" s="144">
        <v>22606.799999999999</v>
      </c>
      <c r="G2303" s="31">
        <f t="shared" si="35"/>
        <v>0</v>
      </c>
      <c r="H2303" s="39" t="s">
        <v>9</v>
      </c>
      <c r="I2303" s="3"/>
      <c r="J2303" s="42"/>
      <c r="K2303" s="3"/>
    </row>
    <row r="2304" spans="1:11" x14ac:dyDescent="0.25">
      <c r="A2304" s="20">
        <v>42118</v>
      </c>
      <c r="B2304" s="183">
        <v>18841</v>
      </c>
      <c r="C2304" s="14" t="s">
        <v>43</v>
      </c>
      <c r="D2304" s="105">
        <v>12989.8</v>
      </c>
      <c r="E2304" s="23">
        <v>42118</v>
      </c>
      <c r="F2304" s="106">
        <v>12989.8</v>
      </c>
      <c r="G2304" s="31">
        <f t="shared" si="35"/>
        <v>0</v>
      </c>
      <c r="H2304" s="39" t="s">
        <v>9</v>
      </c>
      <c r="I2304" s="3"/>
      <c r="J2304" s="42"/>
      <c r="K2304" s="3"/>
    </row>
    <row r="2305" spans="1:11" x14ac:dyDescent="0.25">
      <c r="A2305" s="20">
        <v>42118</v>
      </c>
      <c r="B2305" s="183">
        <v>18842</v>
      </c>
      <c r="C2305" s="14" t="s">
        <v>285</v>
      </c>
      <c r="D2305" s="105">
        <v>672.6</v>
      </c>
      <c r="E2305" s="23">
        <v>42121</v>
      </c>
      <c r="F2305" s="106">
        <v>672.6</v>
      </c>
      <c r="G2305" s="31">
        <f t="shared" si="35"/>
        <v>0</v>
      </c>
      <c r="H2305" s="39" t="s">
        <v>15</v>
      </c>
      <c r="I2305" s="3"/>
      <c r="J2305" s="42"/>
      <c r="K2305" s="3"/>
    </row>
    <row r="2306" spans="1:11" x14ac:dyDescent="0.25">
      <c r="A2306" s="20">
        <v>42118</v>
      </c>
      <c r="B2306" s="183">
        <v>18843</v>
      </c>
      <c r="C2306" s="14" t="s">
        <v>26</v>
      </c>
      <c r="D2306" s="105">
        <v>3264</v>
      </c>
      <c r="E2306" s="23">
        <v>42118</v>
      </c>
      <c r="F2306" s="106">
        <v>3264</v>
      </c>
      <c r="G2306" s="31">
        <f t="shared" si="35"/>
        <v>0</v>
      </c>
      <c r="H2306" s="39" t="s">
        <v>9</v>
      </c>
      <c r="I2306" s="3"/>
      <c r="J2306" s="42"/>
      <c r="K2306" s="3"/>
    </row>
    <row r="2307" spans="1:11" x14ac:dyDescent="0.25">
      <c r="A2307" s="20">
        <v>42118</v>
      </c>
      <c r="B2307" s="183">
        <v>18844</v>
      </c>
      <c r="C2307" s="14" t="s">
        <v>422</v>
      </c>
      <c r="D2307" s="105">
        <v>292</v>
      </c>
      <c r="E2307" s="23">
        <v>42118</v>
      </c>
      <c r="F2307" s="106">
        <v>292</v>
      </c>
      <c r="G2307" s="31">
        <f t="shared" ref="G2307:G2370" si="36">D2307-F2307</f>
        <v>0</v>
      </c>
      <c r="H2307" s="39" t="s">
        <v>9</v>
      </c>
      <c r="I2307" s="3"/>
      <c r="J2307" s="42"/>
      <c r="K2307" s="3"/>
    </row>
    <row r="2308" spans="1:11" x14ac:dyDescent="0.25">
      <c r="A2308" s="20">
        <v>42118</v>
      </c>
      <c r="B2308" s="183">
        <v>18845</v>
      </c>
      <c r="C2308" s="14" t="s">
        <v>145</v>
      </c>
      <c r="D2308" s="105">
        <v>4292.3999999999996</v>
      </c>
      <c r="E2308" s="23">
        <v>42118</v>
      </c>
      <c r="F2308" s="106">
        <v>4292.3999999999996</v>
      </c>
      <c r="G2308" s="31">
        <f t="shared" si="36"/>
        <v>0</v>
      </c>
      <c r="H2308" s="39" t="s">
        <v>9</v>
      </c>
      <c r="I2308" s="3"/>
      <c r="J2308" s="42"/>
      <c r="K2308" s="3"/>
    </row>
    <row r="2309" spans="1:11" x14ac:dyDescent="0.25">
      <c r="A2309" s="20">
        <v>42118</v>
      </c>
      <c r="B2309" s="183">
        <v>18846</v>
      </c>
      <c r="C2309" s="26" t="s">
        <v>218</v>
      </c>
      <c r="D2309" s="108">
        <v>0</v>
      </c>
      <c r="E2309" s="23"/>
      <c r="F2309" s="106"/>
      <c r="G2309" s="31">
        <f t="shared" si="36"/>
        <v>0</v>
      </c>
      <c r="H2309" s="39" t="s">
        <v>13</v>
      </c>
      <c r="I2309" s="3"/>
      <c r="J2309" s="42"/>
      <c r="K2309" s="3"/>
    </row>
    <row r="2310" spans="1:11" x14ac:dyDescent="0.25">
      <c r="A2310" s="20">
        <v>42118</v>
      </c>
      <c r="B2310" s="183">
        <v>18847</v>
      </c>
      <c r="C2310" s="14" t="s">
        <v>32</v>
      </c>
      <c r="D2310" s="105">
        <v>138933.6</v>
      </c>
      <c r="E2310" s="30">
        <v>42128</v>
      </c>
      <c r="F2310" s="144">
        <v>138933.6</v>
      </c>
      <c r="G2310" s="31">
        <f t="shared" si="36"/>
        <v>0</v>
      </c>
      <c r="H2310" s="39" t="s">
        <v>19</v>
      </c>
      <c r="I2310" s="3"/>
      <c r="J2310" s="42"/>
      <c r="K2310" s="3"/>
    </row>
    <row r="2311" spans="1:11" x14ac:dyDescent="0.25">
      <c r="A2311" s="20">
        <v>42118</v>
      </c>
      <c r="B2311" s="183">
        <v>18848</v>
      </c>
      <c r="C2311" s="14" t="s">
        <v>22</v>
      </c>
      <c r="D2311" s="105">
        <v>4236</v>
      </c>
      <c r="E2311" s="23">
        <v>42118</v>
      </c>
      <c r="F2311" s="106">
        <v>4236</v>
      </c>
      <c r="G2311" s="31">
        <f t="shared" si="36"/>
        <v>0</v>
      </c>
      <c r="H2311" s="39" t="s">
        <v>9</v>
      </c>
      <c r="I2311" s="3"/>
      <c r="J2311" s="42"/>
      <c r="K2311" s="3"/>
    </row>
    <row r="2312" spans="1:11" x14ac:dyDescent="0.25">
      <c r="A2312" s="20">
        <v>42118</v>
      </c>
      <c r="B2312" s="183">
        <v>18849</v>
      </c>
      <c r="C2312" s="14" t="s">
        <v>1012</v>
      </c>
      <c r="D2312" s="105">
        <v>9805.4</v>
      </c>
      <c r="E2312" s="23">
        <v>42118</v>
      </c>
      <c r="F2312" s="106">
        <v>9805.4</v>
      </c>
      <c r="G2312" s="31">
        <f t="shared" si="36"/>
        <v>0</v>
      </c>
      <c r="H2312" s="39" t="s">
        <v>9</v>
      </c>
      <c r="I2312" s="3"/>
      <c r="J2312" s="42"/>
      <c r="K2312" s="3"/>
    </row>
    <row r="2313" spans="1:11" x14ac:dyDescent="0.25">
      <c r="A2313" s="20">
        <v>42118</v>
      </c>
      <c r="B2313" s="183">
        <v>18850</v>
      </c>
      <c r="C2313" s="14" t="s">
        <v>165</v>
      </c>
      <c r="D2313" s="105">
        <v>7503.6</v>
      </c>
      <c r="E2313" s="23">
        <v>42118</v>
      </c>
      <c r="F2313" s="106">
        <v>7503.6</v>
      </c>
      <c r="G2313" s="31">
        <f t="shared" si="36"/>
        <v>0</v>
      </c>
      <c r="H2313" s="39" t="s">
        <v>9</v>
      </c>
      <c r="I2313" s="3"/>
      <c r="J2313" s="42"/>
      <c r="K2313" s="3"/>
    </row>
    <row r="2314" spans="1:11" x14ac:dyDescent="0.25">
      <c r="A2314" s="20">
        <v>42118</v>
      </c>
      <c r="B2314" s="183">
        <v>18851</v>
      </c>
      <c r="C2314" s="14" t="s">
        <v>121</v>
      </c>
      <c r="D2314" s="105">
        <v>2214.5</v>
      </c>
      <c r="E2314" s="23">
        <v>42118</v>
      </c>
      <c r="F2314" s="106">
        <v>2214.5</v>
      </c>
      <c r="G2314" s="31">
        <f t="shared" si="36"/>
        <v>0</v>
      </c>
      <c r="H2314" s="39" t="s">
        <v>9</v>
      </c>
      <c r="I2314" s="3"/>
      <c r="J2314" s="42"/>
      <c r="K2314" s="3"/>
    </row>
    <row r="2315" spans="1:11" x14ac:dyDescent="0.25">
      <c r="A2315" s="20">
        <v>42118</v>
      </c>
      <c r="B2315" s="183">
        <v>18852</v>
      </c>
      <c r="C2315" s="14" t="s">
        <v>1160</v>
      </c>
      <c r="D2315" s="105">
        <v>5070.6000000000004</v>
      </c>
      <c r="E2315" s="23">
        <v>42118</v>
      </c>
      <c r="F2315" s="106">
        <v>5070.6000000000004</v>
      </c>
      <c r="G2315" s="31">
        <f t="shared" si="36"/>
        <v>0</v>
      </c>
      <c r="H2315" s="39" t="s">
        <v>9</v>
      </c>
      <c r="I2315" s="3"/>
      <c r="J2315" s="42"/>
      <c r="K2315" s="3"/>
    </row>
    <row r="2316" spans="1:11" x14ac:dyDescent="0.25">
      <c r="A2316" s="20">
        <v>42118</v>
      </c>
      <c r="B2316" s="183">
        <v>18853</v>
      </c>
      <c r="C2316" s="14" t="s">
        <v>91</v>
      </c>
      <c r="D2316" s="105">
        <v>24401.200000000001</v>
      </c>
      <c r="E2316" s="23">
        <v>42118</v>
      </c>
      <c r="F2316" s="106">
        <v>24401.200000000001</v>
      </c>
      <c r="G2316" s="31">
        <f t="shared" si="36"/>
        <v>0</v>
      </c>
      <c r="H2316" s="39" t="s">
        <v>9</v>
      </c>
      <c r="I2316" s="3"/>
      <c r="J2316" s="42"/>
      <c r="K2316" s="3"/>
    </row>
    <row r="2317" spans="1:11" x14ac:dyDescent="0.25">
      <c r="A2317" s="20">
        <v>42118</v>
      </c>
      <c r="B2317" s="183">
        <v>18854</v>
      </c>
      <c r="C2317" s="14" t="s">
        <v>82</v>
      </c>
      <c r="D2317" s="105">
        <v>2726.4</v>
      </c>
      <c r="E2317" s="23">
        <v>42118</v>
      </c>
      <c r="F2317" s="106">
        <v>2726.4</v>
      </c>
      <c r="G2317" s="31">
        <f t="shared" si="36"/>
        <v>0</v>
      </c>
      <c r="H2317" s="39" t="s">
        <v>59</v>
      </c>
      <c r="I2317" s="3"/>
      <c r="J2317" s="42"/>
      <c r="K2317" s="3"/>
    </row>
    <row r="2318" spans="1:11" x14ac:dyDescent="0.25">
      <c r="A2318" s="20">
        <v>42118</v>
      </c>
      <c r="B2318" s="183">
        <v>18855</v>
      </c>
      <c r="C2318" s="14" t="s">
        <v>155</v>
      </c>
      <c r="D2318" s="105">
        <v>1393.4</v>
      </c>
      <c r="E2318" s="23">
        <v>42118</v>
      </c>
      <c r="F2318" s="106">
        <v>1393.4</v>
      </c>
      <c r="G2318" s="31">
        <f t="shared" si="36"/>
        <v>0</v>
      </c>
      <c r="H2318" s="39" t="s">
        <v>59</v>
      </c>
      <c r="I2318" s="3"/>
      <c r="J2318" s="42"/>
      <c r="K2318" s="3"/>
    </row>
    <row r="2319" spans="1:11" x14ac:dyDescent="0.25">
      <c r="A2319" s="20">
        <v>42118</v>
      </c>
      <c r="B2319" s="183">
        <v>18856</v>
      </c>
      <c r="C2319" s="14" t="s">
        <v>135</v>
      </c>
      <c r="D2319" s="105">
        <v>7548.8</v>
      </c>
      <c r="E2319" s="23">
        <v>42118</v>
      </c>
      <c r="F2319" s="106">
        <v>7548.8</v>
      </c>
      <c r="G2319" s="31">
        <f t="shared" si="36"/>
        <v>0</v>
      </c>
      <c r="H2319" s="39" t="s">
        <v>9</v>
      </c>
      <c r="I2319" s="3"/>
      <c r="J2319" s="42"/>
      <c r="K2319" s="3"/>
    </row>
    <row r="2320" spans="1:11" x14ac:dyDescent="0.25">
      <c r="A2320" s="20">
        <v>42118</v>
      </c>
      <c r="B2320" s="183">
        <v>18857</v>
      </c>
      <c r="C2320" s="14" t="s">
        <v>23</v>
      </c>
      <c r="D2320" s="105">
        <v>5017.3999999999996</v>
      </c>
      <c r="E2320" s="23">
        <v>42118</v>
      </c>
      <c r="F2320" s="106">
        <v>5017.3999999999996</v>
      </c>
      <c r="G2320" s="31">
        <f t="shared" si="36"/>
        <v>0</v>
      </c>
      <c r="H2320" s="39" t="s">
        <v>9</v>
      </c>
      <c r="I2320" s="3"/>
      <c r="J2320" s="42"/>
      <c r="K2320" s="3"/>
    </row>
    <row r="2321" spans="1:11" x14ac:dyDescent="0.25">
      <c r="A2321" s="20">
        <v>42118</v>
      </c>
      <c r="B2321" s="183">
        <v>18858</v>
      </c>
      <c r="C2321" s="14" t="s">
        <v>81</v>
      </c>
      <c r="D2321" s="105">
        <v>2451.1999999999998</v>
      </c>
      <c r="E2321" s="23">
        <v>42118</v>
      </c>
      <c r="F2321" s="106">
        <v>2451.1999999999998</v>
      </c>
      <c r="G2321" s="31">
        <f t="shared" si="36"/>
        <v>0</v>
      </c>
      <c r="H2321" s="39" t="s">
        <v>9</v>
      </c>
      <c r="I2321" s="3"/>
      <c r="J2321" s="42"/>
      <c r="K2321" s="3"/>
    </row>
    <row r="2322" spans="1:11" x14ac:dyDescent="0.25">
      <c r="A2322" s="20">
        <v>42118</v>
      </c>
      <c r="B2322" s="183">
        <v>18859</v>
      </c>
      <c r="C2322" s="14" t="s">
        <v>53</v>
      </c>
      <c r="D2322" s="105">
        <v>1196.8</v>
      </c>
      <c r="E2322" s="23">
        <v>42118</v>
      </c>
      <c r="F2322" s="106">
        <v>1196.8</v>
      </c>
      <c r="G2322" s="31">
        <f t="shared" si="36"/>
        <v>0</v>
      </c>
      <c r="H2322" s="39" t="s">
        <v>59</v>
      </c>
      <c r="I2322" s="3"/>
      <c r="J2322" s="42"/>
      <c r="K2322" s="3"/>
    </row>
    <row r="2323" spans="1:11" x14ac:dyDescent="0.25">
      <c r="A2323" s="20">
        <v>42118</v>
      </c>
      <c r="B2323" s="183">
        <v>18860</v>
      </c>
      <c r="C2323" s="14" t="s">
        <v>21</v>
      </c>
      <c r="D2323" s="105">
        <v>7916</v>
      </c>
      <c r="E2323" s="23">
        <v>42118</v>
      </c>
      <c r="F2323" s="106">
        <v>7916</v>
      </c>
      <c r="G2323" s="31">
        <f t="shared" si="36"/>
        <v>0</v>
      </c>
      <c r="H2323" s="39" t="s">
        <v>9</v>
      </c>
      <c r="I2323" s="3"/>
      <c r="J2323" s="42"/>
      <c r="K2323" s="3"/>
    </row>
    <row r="2324" spans="1:11" x14ac:dyDescent="0.25">
      <c r="A2324" s="20">
        <v>42118</v>
      </c>
      <c r="B2324" s="183">
        <v>18861</v>
      </c>
      <c r="C2324" s="14" t="s">
        <v>226</v>
      </c>
      <c r="D2324" s="105">
        <v>2673</v>
      </c>
      <c r="E2324" s="23">
        <v>42118</v>
      </c>
      <c r="F2324" s="106">
        <v>2673</v>
      </c>
      <c r="G2324" s="31">
        <f t="shared" si="36"/>
        <v>0</v>
      </c>
      <c r="H2324" s="39" t="s">
        <v>41</v>
      </c>
      <c r="I2324" s="3"/>
      <c r="J2324" s="42"/>
      <c r="K2324" s="3"/>
    </row>
    <row r="2325" spans="1:11" x14ac:dyDescent="0.25">
      <c r="A2325" s="20">
        <v>42118</v>
      </c>
      <c r="B2325" s="183">
        <v>18862</v>
      </c>
      <c r="C2325" s="14" t="s">
        <v>604</v>
      </c>
      <c r="D2325" s="105">
        <v>2425.5</v>
      </c>
      <c r="E2325" s="23">
        <v>42118</v>
      </c>
      <c r="F2325" s="106">
        <v>2425.5</v>
      </c>
      <c r="G2325" s="31">
        <f t="shared" si="36"/>
        <v>0</v>
      </c>
      <c r="H2325" s="39" t="s">
        <v>9</v>
      </c>
      <c r="I2325" s="3"/>
      <c r="J2325" s="42"/>
      <c r="K2325" s="3"/>
    </row>
    <row r="2326" spans="1:11" x14ac:dyDescent="0.25">
      <c r="A2326" s="20">
        <v>42118</v>
      </c>
      <c r="B2326" s="183">
        <v>18863</v>
      </c>
      <c r="C2326" s="14" t="s">
        <v>675</v>
      </c>
      <c r="D2326" s="105">
        <v>953.7</v>
      </c>
      <c r="E2326" s="23">
        <v>42118</v>
      </c>
      <c r="F2326" s="106">
        <v>953.7</v>
      </c>
      <c r="G2326" s="31">
        <f t="shared" si="36"/>
        <v>0</v>
      </c>
      <c r="H2326" s="39" t="s">
        <v>9</v>
      </c>
      <c r="I2326" s="3"/>
      <c r="J2326" s="42"/>
      <c r="K2326" s="3"/>
    </row>
    <row r="2327" spans="1:11" x14ac:dyDescent="0.25">
      <c r="A2327" s="20">
        <v>42118</v>
      </c>
      <c r="B2327" s="183">
        <v>18864</v>
      </c>
      <c r="C2327" s="14" t="s">
        <v>854</v>
      </c>
      <c r="D2327" s="105">
        <v>1865.4</v>
      </c>
      <c r="E2327" s="23">
        <v>42118</v>
      </c>
      <c r="F2327" s="106">
        <v>1865.4</v>
      </c>
      <c r="G2327" s="31">
        <f t="shared" si="36"/>
        <v>0</v>
      </c>
      <c r="H2327" s="39" t="s">
        <v>9</v>
      </c>
      <c r="I2327" s="3"/>
      <c r="J2327" s="42"/>
      <c r="K2327" s="3"/>
    </row>
    <row r="2328" spans="1:11" x14ac:dyDescent="0.25">
      <c r="A2328" s="20">
        <v>42118</v>
      </c>
      <c r="B2328" s="183">
        <v>18865</v>
      </c>
      <c r="C2328" s="14" t="s">
        <v>125</v>
      </c>
      <c r="D2328" s="105">
        <v>15377.2</v>
      </c>
      <c r="E2328" s="30">
        <v>42125</v>
      </c>
      <c r="F2328" s="144">
        <v>15377.2</v>
      </c>
      <c r="G2328" s="31">
        <f t="shared" si="36"/>
        <v>0</v>
      </c>
      <c r="H2328" s="39" t="s">
        <v>9</v>
      </c>
      <c r="I2328" s="3"/>
      <c r="J2328" s="42"/>
      <c r="K2328" s="3"/>
    </row>
    <row r="2329" spans="1:11" x14ac:dyDescent="0.25">
      <c r="A2329" s="20">
        <v>42118</v>
      </c>
      <c r="B2329" s="183">
        <v>18866</v>
      </c>
      <c r="C2329" s="14" t="s">
        <v>66</v>
      </c>
      <c r="D2329" s="105">
        <v>2707.84</v>
      </c>
      <c r="E2329" s="23">
        <v>42118</v>
      </c>
      <c r="F2329" s="106">
        <v>2707.84</v>
      </c>
      <c r="G2329" s="31">
        <f t="shared" si="36"/>
        <v>0</v>
      </c>
      <c r="H2329" s="39" t="s">
        <v>9</v>
      </c>
      <c r="I2329" s="3"/>
      <c r="J2329" s="42"/>
      <c r="K2329" s="3"/>
    </row>
    <row r="2330" spans="1:11" x14ac:dyDescent="0.25">
      <c r="A2330" s="20">
        <v>42118</v>
      </c>
      <c r="B2330" s="183">
        <v>18867</v>
      </c>
      <c r="C2330" s="150" t="s">
        <v>1160</v>
      </c>
      <c r="D2330" s="105">
        <v>921</v>
      </c>
      <c r="E2330" s="23">
        <v>42121</v>
      </c>
      <c r="F2330" s="106">
        <v>921</v>
      </c>
      <c r="G2330" s="31">
        <f t="shared" si="36"/>
        <v>0</v>
      </c>
      <c r="H2330" s="39" t="s">
        <v>59</v>
      </c>
      <c r="I2330" s="3"/>
      <c r="J2330" s="42"/>
      <c r="K2330" s="3"/>
    </row>
    <row r="2331" spans="1:11" x14ac:dyDescent="0.25">
      <c r="A2331" s="20">
        <v>42118</v>
      </c>
      <c r="B2331" s="183">
        <v>18868</v>
      </c>
      <c r="C2331" s="14" t="s">
        <v>57</v>
      </c>
      <c r="D2331" s="105">
        <v>1620</v>
      </c>
      <c r="E2331" s="23">
        <v>42118</v>
      </c>
      <c r="F2331" s="106">
        <v>1620</v>
      </c>
      <c r="G2331" s="31">
        <f t="shared" si="36"/>
        <v>0</v>
      </c>
      <c r="H2331" s="39" t="s">
        <v>59</v>
      </c>
      <c r="I2331" s="3"/>
      <c r="J2331" s="42"/>
      <c r="K2331" s="3"/>
    </row>
    <row r="2332" spans="1:11" x14ac:dyDescent="0.25">
      <c r="A2332" s="20">
        <v>42118</v>
      </c>
      <c r="B2332" s="183">
        <v>18869</v>
      </c>
      <c r="C2332" s="110">
        <v>105</v>
      </c>
      <c r="D2332" s="105">
        <v>1800</v>
      </c>
      <c r="E2332" s="23">
        <v>42118</v>
      </c>
      <c r="F2332" s="106">
        <v>1800</v>
      </c>
      <c r="G2332" s="31">
        <f t="shared" si="36"/>
        <v>0</v>
      </c>
      <c r="H2332" s="39" t="s">
        <v>9</v>
      </c>
      <c r="I2332" s="3"/>
      <c r="J2332" s="42"/>
      <c r="K2332" s="3"/>
    </row>
    <row r="2333" spans="1:11" x14ac:dyDescent="0.25">
      <c r="A2333" s="20">
        <v>42118</v>
      </c>
      <c r="B2333" s="183">
        <v>18870</v>
      </c>
      <c r="C2333" s="14" t="s">
        <v>83</v>
      </c>
      <c r="D2333" s="105">
        <v>1468.8</v>
      </c>
      <c r="E2333" s="23">
        <v>42118</v>
      </c>
      <c r="F2333" s="106">
        <v>1468.8</v>
      </c>
      <c r="G2333" s="31">
        <f t="shared" si="36"/>
        <v>0</v>
      </c>
      <c r="H2333" s="39" t="s">
        <v>59</v>
      </c>
      <c r="I2333" s="3"/>
      <c r="J2333" s="42"/>
      <c r="K2333" s="3"/>
    </row>
    <row r="2334" spans="1:11" x14ac:dyDescent="0.25">
      <c r="A2334" s="20">
        <v>42118</v>
      </c>
      <c r="B2334" s="183">
        <v>18871</v>
      </c>
      <c r="C2334" s="14" t="s">
        <v>226</v>
      </c>
      <c r="D2334" s="105">
        <v>794.7</v>
      </c>
      <c r="E2334" s="23">
        <v>42118</v>
      </c>
      <c r="F2334" s="106">
        <v>794.7</v>
      </c>
      <c r="G2334" s="31">
        <f t="shared" si="36"/>
        <v>0</v>
      </c>
      <c r="H2334" s="39" t="s">
        <v>41</v>
      </c>
      <c r="I2334" s="3"/>
      <c r="J2334" s="42"/>
      <c r="K2334" s="3"/>
    </row>
    <row r="2335" spans="1:11" x14ac:dyDescent="0.25">
      <c r="A2335" s="20">
        <v>42118</v>
      </c>
      <c r="B2335" s="183">
        <v>18872</v>
      </c>
      <c r="C2335" s="14" t="s">
        <v>699</v>
      </c>
      <c r="D2335" s="105">
        <v>2323.8000000000002</v>
      </c>
      <c r="E2335" s="30">
        <v>42131</v>
      </c>
      <c r="F2335" s="144">
        <v>2323.8000000000002</v>
      </c>
      <c r="G2335" s="31">
        <f t="shared" si="36"/>
        <v>0</v>
      </c>
      <c r="H2335" s="39" t="s">
        <v>9</v>
      </c>
      <c r="I2335" s="3"/>
      <c r="J2335" s="42"/>
      <c r="K2335" s="3"/>
    </row>
    <row r="2336" spans="1:11" x14ac:dyDescent="0.25">
      <c r="A2336" s="20">
        <v>42118</v>
      </c>
      <c r="B2336" s="183">
        <v>18873</v>
      </c>
      <c r="C2336" s="14" t="s">
        <v>131</v>
      </c>
      <c r="D2336" s="105">
        <v>9783.6</v>
      </c>
      <c r="E2336" s="23">
        <v>42120</v>
      </c>
      <c r="F2336" s="106">
        <v>9783.6</v>
      </c>
      <c r="G2336" s="31">
        <f t="shared" si="36"/>
        <v>0</v>
      </c>
      <c r="H2336" s="39" t="s">
        <v>17</v>
      </c>
      <c r="I2336" s="3"/>
      <c r="J2336" s="42"/>
      <c r="K2336" s="3"/>
    </row>
    <row r="2337" spans="1:11" x14ac:dyDescent="0.25">
      <c r="A2337" s="20">
        <v>42118</v>
      </c>
      <c r="B2337" s="183">
        <v>18874</v>
      </c>
      <c r="C2337" s="14" t="s">
        <v>130</v>
      </c>
      <c r="D2337" s="105">
        <v>4708.3</v>
      </c>
      <c r="E2337" s="23">
        <v>42119</v>
      </c>
      <c r="F2337" s="106">
        <v>4708.3</v>
      </c>
      <c r="G2337" s="31">
        <f t="shared" si="36"/>
        <v>0</v>
      </c>
      <c r="H2337" s="39" t="s">
        <v>17</v>
      </c>
      <c r="I2337" s="3"/>
      <c r="J2337" s="42"/>
      <c r="K2337" s="3"/>
    </row>
    <row r="2338" spans="1:11" x14ac:dyDescent="0.25">
      <c r="A2338" s="20">
        <v>42118</v>
      </c>
      <c r="B2338" s="183">
        <v>18875</v>
      </c>
      <c r="C2338" s="14" t="s">
        <v>128</v>
      </c>
      <c r="D2338" s="105">
        <v>8960.7999999999993</v>
      </c>
      <c r="E2338" s="23">
        <v>42118</v>
      </c>
      <c r="F2338" s="106">
        <v>8960.7999999999993</v>
      </c>
      <c r="G2338" s="31">
        <f t="shared" si="36"/>
        <v>0</v>
      </c>
      <c r="H2338" s="39" t="s">
        <v>17</v>
      </c>
      <c r="I2338" s="3"/>
      <c r="J2338" s="42"/>
      <c r="K2338" s="3"/>
    </row>
    <row r="2339" spans="1:11" x14ac:dyDescent="0.25">
      <c r="A2339" s="20">
        <v>42118</v>
      </c>
      <c r="B2339" s="183">
        <v>18876</v>
      </c>
      <c r="C2339" s="14" t="s">
        <v>675</v>
      </c>
      <c r="D2339" s="105">
        <v>877.8</v>
      </c>
      <c r="E2339" s="23">
        <v>42118</v>
      </c>
      <c r="F2339" s="106">
        <v>877.8</v>
      </c>
      <c r="G2339" s="31">
        <f t="shared" si="36"/>
        <v>0</v>
      </c>
      <c r="H2339" s="39" t="s">
        <v>9</v>
      </c>
      <c r="I2339" s="3"/>
      <c r="J2339" s="42"/>
      <c r="K2339" s="3"/>
    </row>
    <row r="2340" spans="1:11" x14ac:dyDescent="0.25">
      <c r="A2340" s="20">
        <v>42118</v>
      </c>
      <c r="B2340" s="183">
        <v>18877</v>
      </c>
      <c r="C2340" s="14" t="s">
        <v>169</v>
      </c>
      <c r="D2340" s="105">
        <v>2498.1</v>
      </c>
      <c r="E2340" s="23">
        <v>42118</v>
      </c>
      <c r="F2340" s="106">
        <v>2498.1</v>
      </c>
      <c r="G2340" s="31">
        <f t="shared" si="36"/>
        <v>0</v>
      </c>
      <c r="H2340" s="39" t="s">
        <v>59</v>
      </c>
      <c r="I2340" s="3"/>
      <c r="J2340" s="42"/>
      <c r="K2340" s="3"/>
    </row>
    <row r="2341" spans="1:11" x14ac:dyDescent="0.25">
      <c r="A2341" s="20">
        <v>42118</v>
      </c>
      <c r="B2341" s="183">
        <v>18878</v>
      </c>
      <c r="C2341" s="14" t="s">
        <v>1058</v>
      </c>
      <c r="D2341" s="105">
        <v>4727.2</v>
      </c>
      <c r="E2341" s="23">
        <v>42118</v>
      </c>
      <c r="F2341" s="106">
        <v>4727.2</v>
      </c>
      <c r="G2341" s="31">
        <f t="shared" si="36"/>
        <v>0</v>
      </c>
      <c r="H2341" s="39" t="s">
        <v>9</v>
      </c>
      <c r="I2341" s="3"/>
      <c r="J2341" s="42"/>
      <c r="K2341" s="3"/>
    </row>
    <row r="2342" spans="1:11" x14ac:dyDescent="0.25">
      <c r="A2342" s="20">
        <v>42118</v>
      </c>
      <c r="B2342" s="183">
        <v>18879</v>
      </c>
      <c r="C2342" s="14" t="s">
        <v>694</v>
      </c>
      <c r="D2342" s="105">
        <v>2597</v>
      </c>
      <c r="E2342" s="23">
        <v>42118</v>
      </c>
      <c r="F2342" s="106">
        <v>2597</v>
      </c>
      <c r="G2342" s="31">
        <f t="shared" si="36"/>
        <v>0</v>
      </c>
      <c r="H2342" s="39" t="s">
        <v>9</v>
      </c>
      <c r="I2342" s="3"/>
      <c r="J2342" s="42"/>
      <c r="K2342" s="3"/>
    </row>
    <row r="2343" spans="1:11" x14ac:dyDescent="0.25">
      <c r="A2343" s="20">
        <v>42118</v>
      </c>
      <c r="B2343" s="183">
        <v>18880</v>
      </c>
      <c r="C2343" s="14" t="s">
        <v>126</v>
      </c>
      <c r="D2343" s="105">
        <v>3964.6</v>
      </c>
      <c r="E2343" s="23">
        <v>42118</v>
      </c>
      <c r="F2343" s="106">
        <v>3964.6</v>
      </c>
      <c r="G2343" s="31">
        <f t="shared" si="36"/>
        <v>0</v>
      </c>
      <c r="H2343" s="39" t="s">
        <v>9</v>
      </c>
      <c r="I2343" s="3"/>
      <c r="J2343" s="42"/>
      <c r="K2343" s="3"/>
    </row>
    <row r="2344" spans="1:11" x14ac:dyDescent="0.25">
      <c r="A2344" s="20">
        <v>42118</v>
      </c>
      <c r="B2344" s="183">
        <v>18881</v>
      </c>
      <c r="C2344" s="14" t="s">
        <v>375</v>
      </c>
      <c r="D2344" s="105">
        <v>2976.4</v>
      </c>
      <c r="E2344" s="23" t="s">
        <v>1161</v>
      </c>
      <c r="F2344" s="106">
        <f>2836.4+140</f>
        <v>2976.4</v>
      </c>
      <c r="G2344" s="31">
        <f t="shared" si="36"/>
        <v>0</v>
      </c>
      <c r="H2344" s="39" t="s">
        <v>9</v>
      </c>
      <c r="I2344" s="3"/>
      <c r="J2344" s="42"/>
      <c r="K2344" s="3"/>
    </row>
    <row r="2345" spans="1:11" x14ac:dyDescent="0.25">
      <c r="A2345" s="20">
        <v>42118</v>
      </c>
      <c r="B2345" s="183">
        <v>18882</v>
      </c>
      <c r="C2345" s="14" t="s">
        <v>34</v>
      </c>
      <c r="D2345" s="105">
        <v>3826.8</v>
      </c>
      <c r="E2345" s="23">
        <v>42118</v>
      </c>
      <c r="F2345" s="106">
        <v>3826.8</v>
      </c>
      <c r="G2345" s="31">
        <f t="shared" si="36"/>
        <v>0</v>
      </c>
      <c r="H2345" s="39" t="s">
        <v>9</v>
      </c>
      <c r="I2345" s="3"/>
      <c r="J2345" s="42"/>
      <c r="K2345" s="3"/>
    </row>
    <row r="2346" spans="1:11" x14ac:dyDescent="0.25">
      <c r="A2346" s="20">
        <v>42118</v>
      </c>
      <c r="B2346" s="183">
        <v>18883</v>
      </c>
      <c r="C2346" s="14" t="s">
        <v>151</v>
      </c>
      <c r="D2346" s="105">
        <v>914.1</v>
      </c>
      <c r="E2346" s="23">
        <v>42118</v>
      </c>
      <c r="F2346" s="106">
        <v>914.1</v>
      </c>
      <c r="G2346" s="31">
        <f t="shared" si="36"/>
        <v>0</v>
      </c>
      <c r="H2346" s="39" t="s">
        <v>9</v>
      </c>
      <c r="I2346" s="3"/>
      <c r="J2346" s="42"/>
      <c r="K2346" s="3"/>
    </row>
    <row r="2347" spans="1:11" x14ac:dyDescent="0.25">
      <c r="A2347" s="20">
        <v>42118</v>
      </c>
      <c r="B2347" s="183">
        <v>18884</v>
      </c>
      <c r="C2347" s="14" t="s">
        <v>225</v>
      </c>
      <c r="D2347" s="105">
        <v>2385.9</v>
      </c>
      <c r="E2347" s="23">
        <v>42118</v>
      </c>
      <c r="F2347" s="106">
        <v>2385.9</v>
      </c>
      <c r="G2347" s="31">
        <f t="shared" si="36"/>
        <v>0</v>
      </c>
      <c r="H2347" s="39" t="s">
        <v>9</v>
      </c>
      <c r="I2347" s="3"/>
      <c r="J2347" s="42"/>
      <c r="K2347" s="3"/>
    </row>
    <row r="2348" spans="1:11" x14ac:dyDescent="0.25">
      <c r="A2348" s="20">
        <v>42118</v>
      </c>
      <c r="B2348" s="183">
        <v>18885</v>
      </c>
      <c r="C2348" s="14" t="s">
        <v>133</v>
      </c>
      <c r="D2348" s="105">
        <v>25551.599999999999</v>
      </c>
      <c r="E2348" s="23">
        <v>42118</v>
      </c>
      <c r="F2348" s="106">
        <v>25551.599999999999</v>
      </c>
      <c r="G2348" s="31">
        <f t="shared" si="36"/>
        <v>0</v>
      </c>
      <c r="H2348" s="39" t="s">
        <v>9</v>
      </c>
      <c r="I2348" s="3"/>
      <c r="J2348" s="42"/>
      <c r="K2348" s="3"/>
    </row>
    <row r="2349" spans="1:11" x14ac:dyDescent="0.25">
      <c r="A2349" s="20">
        <v>42118</v>
      </c>
      <c r="B2349" s="183">
        <v>18886</v>
      </c>
      <c r="C2349" s="14" t="s">
        <v>14</v>
      </c>
      <c r="D2349" s="105">
        <v>14284.8</v>
      </c>
      <c r="E2349" s="30">
        <v>42126</v>
      </c>
      <c r="F2349" s="144">
        <v>14284.8</v>
      </c>
      <c r="G2349" s="31">
        <f t="shared" si="36"/>
        <v>0</v>
      </c>
      <c r="H2349" s="39" t="s">
        <v>9</v>
      </c>
      <c r="I2349" s="3"/>
      <c r="J2349" s="42"/>
      <c r="K2349" s="3"/>
    </row>
    <row r="2350" spans="1:11" x14ac:dyDescent="0.25">
      <c r="A2350" s="20">
        <v>42118</v>
      </c>
      <c r="B2350" s="183">
        <v>18887</v>
      </c>
      <c r="C2350" s="14" t="s">
        <v>16</v>
      </c>
      <c r="D2350" s="105">
        <v>3168</v>
      </c>
      <c r="E2350" s="23">
        <v>42118</v>
      </c>
      <c r="F2350" s="106">
        <v>3168</v>
      </c>
      <c r="G2350" s="31">
        <f t="shared" si="36"/>
        <v>0</v>
      </c>
      <c r="H2350" s="39" t="s">
        <v>9</v>
      </c>
      <c r="I2350" s="3"/>
      <c r="J2350" s="42"/>
      <c r="K2350" s="3"/>
    </row>
    <row r="2351" spans="1:11" x14ac:dyDescent="0.25">
      <c r="A2351" s="20">
        <v>42118</v>
      </c>
      <c r="B2351" s="183">
        <v>18888</v>
      </c>
      <c r="C2351" s="14" t="s">
        <v>141</v>
      </c>
      <c r="D2351" s="105">
        <v>1978.8</v>
      </c>
      <c r="E2351" s="30">
        <v>42126</v>
      </c>
      <c r="F2351" s="144">
        <v>1978.8</v>
      </c>
      <c r="G2351" s="31">
        <f t="shared" si="36"/>
        <v>0</v>
      </c>
      <c r="H2351" s="39" t="s">
        <v>9</v>
      </c>
      <c r="I2351" s="3"/>
      <c r="J2351" s="42"/>
      <c r="K2351" s="3"/>
    </row>
    <row r="2352" spans="1:11" x14ac:dyDescent="0.25">
      <c r="A2352" s="20">
        <v>42118</v>
      </c>
      <c r="B2352" s="183">
        <v>18889</v>
      </c>
      <c r="C2352" s="14" t="s">
        <v>332</v>
      </c>
      <c r="D2352" s="105">
        <v>2431</v>
      </c>
      <c r="E2352" s="23">
        <v>42118</v>
      </c>
      <c r="F2352" s="106">
        <v>2431</v>
      </c>
      <c r="G2352" s="31">
        <f t="shared" si="36"/>
        <v>0</v>
      </c>
      <c r="H2352" s="39" t="s">
        <v>9</v>
      </c>
      <c r="I2352" s="3"/>
      <c r="J2352" s="42"/>
      <c r="K2352" s="3"/>
    </row>
    <row r="2353" spans="1:11" x14ac:dyDescent="0.25">
      <c r="A2353" s="20">
        <v>42118</v>
      </c>
      <c r="B2353" s="183">
        <v>18890</v>
      </c>
      <c r="C2353" s="14" t="s">
        <v>45</v>
      </c>
      <c r="D2353" s="105">
        <v>90896.9</v>
      </c>
      <c r="E2353" s="30">
        <v>42125</v>
      </c>
      <c r="F2353" s="144">
        <v>90896.9</v>
      </c>
      <c r="G2353" s="31">
        <f t="shared" si="36"/>
        <v>0</v>
      </c>
      <c r="H2353" s="39" t="s">
        <v>46</v>
      </c>
      <c r="I2353" s="3"/>
      <c r="J2353" s="42"/>
      <c r="K2353" s="3"/>
    </row>
    <row r="2354" spans="1:11" x14ac:dyDescent="0.25">
      <c r="A2354" s="20">
        <v>42118</v>
      </c>
      <c r="B2354" s="183">
        <v>18891</v>
      </c>
      <c r="C2354" s="14" t="s">
        <v>86</v>
      </c>
      <c r="D2354" s="105">
        <v>39.6</v>
      </c>
      <c r="E2354" s="23">
        <v>42118</v>
      </c>
      <c r="F2354" s="106">
        <v>39.6</v>
      </c>
      <c r="G2354" s="31">
        <f t="shared" si="36"/>
        <v>0</v>
      </c>
      <c r="H2354" s="39" t="s">
        <v>9</v>
      </c>
      <c r="I2354" s="3"/>
      <c r="J2354" s="42"/>
      <c r="K2354" s="3"/>
    </row>
    <row r="2355" spans="1:11" x14ac:dyDescent="0.25">
      <c r="A2355" s="20">
        <v>42118</v>
      </c>
      <c r="B2355" s="183">
        <v>18892</v>
      </c>
      <c r="C2355" s="14" t="s">
        <v>14</v>
      </c>
      <c r="D2355" s="105">
        <v>3729.2</v>
      </c>
      <c r="E2355" s="30">
        <v>42126</v>
      </c>
      <c r="F2355" s="144">
        <v>3729.2</v>
      </c>
      <c r="G2355" s="31">
        <f t="shared" si="36"/>
        <v>0</v>
      </c>
      <c r="H2355" s="39" t="s">
        <v>9</v>
      </c>
      <c r="I2355" s="3"/>
      <c r="J2355" s="42"/>
      <c r="K2355" s="3"/>
    </row>
    <row r="2356" spans="1:11" x14ac:dyDescent="0.25">
      <c r="A2356" s="20">
        <v>42118</v>
      </c>
      <c r="B2356" s="183">
        <v>18893</v>
      </c>
      <c r="C2356" s="14" t="s">
        <v>1162</v>
      </c>
      <c r="D2356" s="105">
        <v>1080</v>
      </c>
      <c r="E2356" s="23">
        <v>42118</v>
      </c>
      <c r="F2356" s="106">
        <v>1080</v>
      </c>
      <c r="G2356" s="31">
        <f t="shared" si="36"/>
        <v>0</v>
      </c>
      <c r="H2356" s="39" t="s">
        <v>9</v>
      </c>
      <c r="I2356" s="3"/>
      <c r="J2356" s="42"/>
      <c r="K2356" s="3"/>
    </row>
    <row r="2357" spans="1:11" x14ac:dyDescent="0.25">
      <c r="A2357" s="20">
        <v>42118</v>
      </c>
      <c r="B2357" s="183">
        <v>18894</v>
      </c>
      <c r="C2357" s="14" t="s">
        <v>136</v>
      </c>
      <c r="D2357" s="105">
        <v>44030</v>
      </c>
      <c r="E2357" s="23" t="s">
        <v>1163</v>
      </c>
      <c r="F2357" s="106">
        <f>9200+34830</f>
        <v>44030</v>
      </c>
      <c r="G2357" s="31">
        <f t="shared" si="36"/>
        <v>0</v>
      </c>
      <c r="H2357" s="39" t="s">
        <v>9</v>
      </c>
      <c r="I2357" s="3"/>
      <c r="J2357" s="42"/>
      <c r="K2357" s="3"/>
    </row>
    <row r="2358" spans="1:11" x14ac:dyDescent="0.25">
      <c r="A2358" s="20">
        <v>42118</v>
      </c>
      <c r="B2358" s="183">
        <v>18895</v>
      </c>
      <c r="C2358" s="26" t="s">
        <v>218</v>
      </c>
      <c r="D2358" s="108">
        <v>0</v>
      </c>
      <c r="E2358" s="23"/>
      <c r="F2358" s="106"/>
      <c r="G2358" s="31">
        <f t="shared" si="36"/>
        <v>0</v>
      </c>
      <c r="H2358" s="39" t="s">
        <v>13</v>
      </c>
      <c r="I2358" s="3"/>
      <c r="J2358" s="42"/>
      <c r="K2358" s="3"/>
    </row>
    <row r="2359" spans="1:11" x14ac:dyDescent="0.25">
      <c r="A2359" s="20">
        <v>42118</v>
      </c>
      <c r="B2359" s="183">
        <v>18896</v>
      </c>
      <c r="C2359" s="14" t="s">
        <v>141</v>
      </c>
      <c r="D2359" s="105">
        <v>1999.8</v>
      </c>
      <c r="E2359" s="23">
        <v>42118</v>
      </c>
      <c r="F2359" s="106">
        <v>1999.8</v>
      </c>
      <c r="G2359" s="31">
        <f t="shared" si="36"/>
        <v>0</v>
      </c>
      <c r="H2359" s="39" t="s">
        <v>94</v>
      </c>
      <c r="I2359" s="3"/>
      <c r="J2359" s="42"/>
      <c r="K2359" s="3"/>
    </row>
    <row r="2360" spans="1:11" x14ac:dyDescent="0.25">
      <c r="A2360" s="20">
        <v>42118</v>
      </c>
      <c r="B2360" s="183">
        <v>18897</v>
      </c>
      <c r="C2360" s="14" t="s">
        <v>50</v>
      </c>
      <c r="D2360" s="105">
        <v>3260.8</v>
      </c>
      <c r="E2360" s="23">
        <v>42118</v>
      </c>
      <c r="F2360" s="106">
        <v>3260.8</v>
      </c>
      <c r="G2360" s="48">
        <f t="shared" si="36"/>
        <v>0</v>
      </c>
      <c r="H2360" s="39" t="s">
        <v>41</v>
      </c>
      <c r="I2360" s="3"/>
      <c r="J2360" s="42"/>
      <c r="K2360" s="3"/>
    </row>
    <row r="2361" spans="1:11" x14ac:dyDescent="0.25">
      <c r="A2361" s="20">
        <v>42118</v>
      </c>
      <c r="B2361" s="183">
        <v>18898</v>
      </c>
      <c r="C2361" s="14" t="s">
        <v>112</v>
      </c>
      <c r="D2361" s="105">
        <v>4270.6000000000004</v>
      </c>
      <c r="E2361" s="23">
        <v>42118</v>
      </c>
      <c r="F2361" s="106">
        <v>4270.6000000000004</v>
      </c>
      <c r="G2361" s="31">
        <f t="shared" si="36"/>
        <v>0</v>
      </c>
      <c r="H2361" s="39" t="s">
        <v>9</v>
      </c>
      <c r="I2361" s="3"/>
      <c r="J2361" s="42"/>
      <c r="K2361" s="3"/>
    </row>
    <row r="2362" spans="1:11" x14ac:dyDescent="0.25">
      <c r="A2362" s="20">
        <v>42118</v>
      </c>
      <c r="B2362" s="183">
        <v>18899</v>
      </c>
      <c r="C2362" s="14" t="s">
        <v>170</v>
      </c>
      <c r="D2362" s="105">
        <v>5924.8</v>
      </c>
      <c r="E2362" s="23">
        <v>42119</v>
      </c>
      <c r="F2362" s="106">
        <v>5924.8</v>
      </c>
      <c r="G2362" s="31">
        <f t="shared" si="36"/>
        <v>0</v>
      </c>
      <c r="H2362" s="39" t="s">
        <v>9</v>
      </c>
      <c r="I2362" s="3"/>
      <c r="J2362" s="42"/>
      <c r="K2362" s="3"/>
    </row>
    <row r="2363" spans="1:11" x14ac:dyDescent="0.25">
      <c r="A2363" s="20">
        <v>42118</v>
      </c>
      <c r="B2363" s="183">
        <v>18900</v>
      </c>
      <c r="C2363" s="14" t="s">
        <v>426</v>
      </c>
      <c r="D2363" s="105">
        <v>15995.3</v>
      </c>
      <c r="E2363" s="23">
        <v>42119</v>
      </c>
      <c r="F2363" s="106">
        <v>15995.3</v>
      </c>
      <c r="G2363" s="31">
        <f t="shared" si="36"/>
        <v>0</v>
      </c>
      <c r="H2363" s="39" t="s">
        <v>62</v>
      </c>
      <c r="I2363" s="3"/>
      <c r="J2363" s="42"/>
      <c r="K2363" s="3"/>
    </row>
    <row r="2364" spans="1:11" x14ac:dyDescent="0.25">
      <c r="A2364" s="20">
        <v>42118</v>
      </c>
      <c r="B2364" s="183">
        <v>18901</v>
      </c>
      <c r="C2364" s="14" t="s">
        <v>93</v>
      </c>
      <c r="D2364" s="105">
        <v>2053.6</v>
      </c>
      <c r="E2364" s="23">
        <v>42118</v>
      </c>
      <c r="F2364" s="106">
        <v>2053.6</v>
      </c>
      <c r="G2364" s="31">
        <f t="shared" si="36"/>
        <v>0</v>
      </c>
      <c r="H2364" s="39" t="s">
        <v>94</v>
      </c>
      <c r="I2364" s="3"/>
      <c r="J2364" s="42"/>
      <c r="K2364" s="3"/>
    </row>
    <row r="2365" spans="1:11" x14ac:dyDescent="0.25">
      <c r="A2365" s="20">
        <v>42118</v>
      </c>
      <c r="B2365" s="183">
        <v>18902</v>
      </c>
      <c r="C2365" s="14" t="s">
        <v>95</v>
      </c>
      <c r="D2365" s="105">
        <v>1744.2</v>
      </c>
      <c r="E2365" s="23">
        <v>42118</v>
      </c>
      <c r="F2365" s="106">
        <v>1744.2</v>
      </c>
      <c r="G2365" s="31">
        <f t="shared" si="36"/>
        <v>0</v>
      </c>
      <c r="H2365" s="39" t="s">
        <v>94</v>
      </c>
      <c r="I2365" s="3"/>
      <c r="J2365" s="42"/>
      <c r="K2365" s="3"/>
    </row>
    <row r="2366" spans="1:11" x14ac:dyDescent="0.25">
      <c r="A2366" s="20">
        <v>42118</v>
      </c>
      <c r="B2366" s="183">
        <v>18903</v>
      </c>
      <c r="C2366" s="14" t="s">
        <v>78</v>
      </c>
      <c r="D2366" s="105">
        <v>8202.6</v>
      </c>
      <c r="E2366" s="23">
        <v>42119</v>
      </c>
      <c r="F2366" s="106">
        <v>8202.6</v>
      </c>
      <c r="G2366" s="31">
        <f t="shared" si="36"/>
        <v>0</v>
      </c>
      <c r="H2366" s="39" t="s">
        <v>62</v>
      </c>
      <c r="I2366" s="3"/>
      <c r="J2366" s="42"/>
      <c r="K2366" s="3"/>
    </row>
    <row r="2367" spans="1:11" x14ac:dyDescent="0.25">
      <c r="A2367" s="20">
        <v>42118</v>
      </c>
      <c r="B2367" s="183">
        <v>18904</v>
      </c>
      <c r="C2367" s="14" t="s">
        <v>301</v>
      </c>
      <c r="D2367" s="105">
        <v>581.9</v>
      </c>
      <c r="E2367" s="23">
        <v>42118</v>
      </c>
      <c r="F2367" s="106">
        <v>581.9</v>
      </c>
      <c r="G2367" s="31">
        <f t="shared" si="36"/>
        <v>0</v>
      </c>
      <c r="H2367" s="39" t="s">
        <v>94</v>
      </c>
      <c r="I2367" s="3"/>
      <c r="J2367" s="42"/>
      <c r="K2367" s="3"/>
    </row>
    <row r="2368" spans="1:11" x14ac:dyDescent="0.25">
      <c r="A2368" s="20">
        <v>42118</v>
      </c>
      <c r="B2368" s="183">
        <v>18905</v>
      </c>
      <c r="C2368" s="14" t="s">
        <v>67</v>
      </c>
      <c r="D2368" s="105">
        <v>4525.2</v>
      </c>
      <c r="E2368" s="23">
        <v>42119</v>
      </c>
      <c r="F2368" s="106">
        <v>4525.2</v>
      </c>
      <c r="G2368" s="31">
        <f t="shared" si="36"/>
        <v>0</v>
      </c>
      <c r="H2368" s="39" t="s">
        <v>62</v>
      </c>
      <c r="I2368" s="3"/>
      <c r="J2368" s="42"/>
      <c r="K2368" s="3"/>
    </row>
    <row r="2369" spans="1:11" x14ac:dyDescent="0.25">
      <c r="A2369" s="20">
        <v>42118</v>
      </c>
      <c r="B2369" s="183">
        <v>18906</v>
      </c>
      <c r="C2369" s="14" t="s">
        <v>71</v>
      </c>
      <c r="D2369" s="105">
        <v>5843.9</v>
      </c>
      <c r="E2369" s="23">
        <v>42118</v>
      </c>
      <c r="F2369" s="106">
        <v>5843.9</v>
      </c>
      <c r="G2369" s="31">
        <f t="shared" si="36"/>
        <v>0</v>
      </c>
      <c r="H2369" s="39" t="s">
        <v>9</v>
      </c>
      <c r="I2369" s="3"/>
      <c r="J2369" s="42"/>
      <c r="K2369" s="3"/>
    </row>
    <row r="2370" spans="1:11" x14ac:dyDescent="0.25">
      <c r="A2370" s="20">
        <v>42118</v>
      </c>
      <c r="B2370" s="183">
        <v>18907</v>
      </c>
      <c r="C2370" s="14" t="s">
        <v>75</v>
      </c>
      <c r="D2370" s="105">
        <v>15820.2</v>
      </c>
      <c r="E2370" s="23">
        <v>42119</v>
      </c>
      <c r="F2370" s="106">
        <v>15820.2</v>
      </c>
      <c r="G2370" s="31">
        <f t="shared" si="36"/>
        <v>0</v>
      </c>
      <c r="H2370" s="39" t="s">
        <v>62</v>
      </c>
      <c r="I2370" s="3"/>
      <c r="J2370" s="42"/>
      <c r="K2370" s="3"/>
    </row>
    <row r="2371" spans="1:11" x14ac:dyDescent="0.25">
      <c r="A2371" s="20">
        <v>42118</v>
      </c>
      <c r="B2371" s="183">
        <v>18908</v>
      </c>
      <c r="C2371" s="14" t="s">
        <v>173</v>
      </c>
      <c r="D2371" s="105">
        <v>40619.75</v>
      </c>
      <c r="E2371" s="30" t="s">
        <v>1226</v>
      </c>
      <c r="F2371" s="144">
        <v>40619.75</v>
      </c>
      <c r="G2371" s="31">
        <f t="shared" ref="G2371:G2434" si="37">D2371-F2371</f>
        <v>0</v>
      </c>
      <c r="H2371" s="39" t="s">
        <v>62</v>
      </c>
      <c r="I2371" s="3"/>
      <c r="J2371" s="42"/>
      <c r="K2371" s="3"/>
    </row>
    <row r="2372" spans="1:11" x14ac:dyDescent="0.25">
      <c r="A2372" s="20">
        <v>42118</v>
      </c>
      <c r="B2372" s="183">
        <v>18909</v>
      </c>
      <c r="C2372" s="14" t="s">
        <v>84</v>
      </c>
      <c r="D2372" s="105">
        <v>36894.1</v>
      </c>
      <c r="E2372" s="194" t="s">
        <v>1227</v>
      </c>
      <c r="F2372" s="144">
        <v>36894.1</v>
      </c>
      <c r="G2372" s="31">
        <f t="shared" si="37"/>
        <v>0</v>
      </c>
      <c r="H2372" s="39" t="s">
        <v>62</v>
      </c>
      <c r="I2372" s="3"/>
      <c r="J2372" s="42"/>
      <c r="K2372" s="3"/>
    </row>
    <row r="2373" spans="1:11" x14ac:dyDescent="0.25">
      <c r="A2373" s="20">
        <v>42118</v>
      </c>
      <c r="B2373" s="183">
        <v>18910</v>
      </c>
      <c r="C2373" s="14" t="s">
        <v>72</v>
      </c>
      <c r="D2373" s="105">
        <v>11286.6</v>
      </c>
      <c r="E2373" s="30" t="s">
        <v>1228</v>
      </c>
      <c r="F2373" s="144">
        <v>11286.6</v>
      </c>
      <c r="G2373" s="31">
        <f t="shared" si="37"/>
        <v>0</v>
      </c>
      <c r="H2373" s="39" t="s">
        <v>62</v>
      </c>
      <c r="I2373" s="3"/>
      <c r="J2373" s="42"/>
      <c r="K2373" s="3"/>
    </row>
    <row r="2374" spans="1:11" x14ac:dyDescent="0.25">
      <c r="A2374" s="20">
        <v>42118</v>
      </c>
      <c r="B2374" s="183">
        <v>18911</v>
      </c>
      <c r="C2374" s="14" t="s">
        <v>136</v>
      </c>
      <c r="D2374" s="105">
        <v>540</v>
      </c>
      <c r="E2374" s="23">
        <v>42118</v>
      </c>
      <c r="F2374" s="106">
        <v>540</v>
      </c>
      <c r="G2374" s="31">
        <f t="shared" si="37"/>
        <v>0</v>
      </c>
      <c r="H2374" s="39" t="s">
        <v>9</v>
      </c>
      <c r="I2374" s="3"/>
      <c r="J2374" s="42"/>
      <c r="K2374" s="3"/>
    </row>
    <row r="2375" spans="1:11" x14ac:dyDescent="0.25">
      <c r="A2375" s="20">
        <v>42118</v>
      </c>
      <c r="B2375" s="183">
        <v>18912</v>
      </c>
      <c r="C2375" s="14" t="s">
        <v>103</v>
      </c>
      <c r="D2375" s="105">
        <v>24252.53</v>
      </c>
      <c r="E2375" s="23">
        <v>42123</v>
      </c>
      <c r="F2375" s="106">
        <v>24252.53</v>
      </c>
      <c r="G2375" s="31">
        <f t="shared" si="37"/>
        <v>0</v>
      </c>
      <c r="H2375" s="39" t="s">
        <v>9</v>
      </c>
      <c r="I2375" s="3"/>
      <c r="J2375" s="42"/>
      <c r="K2375" s="3"/>
    </row>
    <row r="2376" spans="1:11" x14ac:dyDescent="0.25">
      <c r="A2376" s="20">
        <v>42118</v>
      </c>
      <c r="B2376" s="183">
        <v>18913</v>
      </c>
      <c r="C2376" s="150" t="s">
        <v>24</v>
      </c>
      <c r="D2376" s="105">
        <v>23292.9</v>
      </c>
      <c r="E2376" s="30">
        <v>42144</v>
      </c>
      <c r="F2376" s="144">
        <v>23292.9</v>
      </c>
      <c r="G2376" s="31">
        <f t="shared" si="37"/>
        <v>0</v>
      </c>
      <c r="H2376" s="39" t="s">
        <v>9</v>
      </c>
      <c r="I2376" s="3"/>
      <c r="J2376" s="42"/>
      <c r="K2376" s="3"/>
    </row>
    <row r="2377" spans="1:11" x14ac:dyDescent="0.25">
      <c r="A2377" s="20">
        <v>42118</v>
      </c>
      <c r="B2377" s="183">
        <v>18914</v>
      </c>
      <c r="C2377" s="14" t="s">
        <v>131</v>
      </c>
      <c r="D2377" s="105">
        <v>11480.7</v>
      </c>
      <c r="E2377" s="23" t="s">
        <v>1164</v>
      </c>
      <c r="F2377" s="106">
        <f>4757.5+6723.2</f>
        <v>11480.7</v>
      </c>
      <c r="G2377" s="31">
        <f t="shared" si="37"/>
        <v>0</v>
      </c>
      <c r="H2377" s="39" t="s">
        <v>9</v>
      </c>
      <c r="I2377" s="3"/>
      <c r="J2377" s="42"/>
      <c r="K2377" s="3"/>
    </row>
    <row r="2378" spans="1:11" x14ac:dyDescent="0.25">
      <c r="A2378" s="20">
        <v>42118</v>
      </c>
      <c r="B2378" s="183">
        <v>18915</v>
      </c>
      <c r="C2378" s="14" t="s">
        <v>136</v>
      </c>
      <c r="D2378" s="105">
        <v>108</v>
      </c>
      <c r="E2378" s="23">
        <v>42118</v>
      </c>
      <c r="F2378" s="106">
        <v>108</v>
      </c>
      <c r="G2378" s="31">
        <f t="shared" si="37"/>
        <v>0</v>
      </c>
      <c r="H2378" s="39" t="s">
        <v>9</v>
      </c>
      <c r="I2378" s="3"/>
      <c r="J2378" s="42"/>
      <c r="K2378" s="3"/>
    </row>
    <row r="2379" spans="1:11" x14ac:dyDescent="0.25">
      <c r="A2379" s="20">
        <v>42118</v>
      </c>
      <c r="B2379" s="183">
        <v>18916</v>
      </c>
      <c r="C2379" s="14" t="s">
        <v>55</v>
      </c>
      <c r="D2379" s="105">
        <v>24788.7</v>
      </c>
      <c r="E2379" s="23">
        <v>42119</v>
      </c>
      <c r="F2379" s="106">
        <v>24788.7</v>
      </c>
      <c r="G2379" s="31">
        <f t="shared" si="37"/>
        <v>0</v>
      </c>
      <c r="H2379" s="39" t="s">
        <v>773</v>
      </c>
      <c r="I2379" s="3"/>
      <c r="J2379" s="42"/>
      <c r="K2379" s="3"/>
    </row>
    <row r="2380" spans="1:11" x14ac:dyDescent="0.25">
      <c r="A2380" s="20">
        <v>42118</v>
      </c>
      <c r="B2380" s="183">
        <v>18917</v>
      </c>
      <c r="C2380" s="14" t="s">
        <v>1165</v>
      </c>
      <c r="D2380" s="105">
        <v>14220.4</v>
      </c>
      <c r="E2380" s="23">
        <v>42119</v>
      </c>
      <c r="F2380" s="106">
        <v>14220.4</v>
      </c>
      <c r="G2380" s="31">
        <f t="shared" si="37"/>
        <v>0</v>
      </c>
      <c r="H2380" s="39" t="s">
        <v>773</v>
      </c>
      <c r="I2380" s="3"/>
      <c r="J2380" s="42"/>
      <c r="K2380" s="3"/>
    </row>
    <row r="2381" spans="1:11" x14ac:dyDescent="0.25">
      <c r="A2381" s="20">
        <v>42118</v>
      </c>
      <c r="B2381" s="183">
        <v>18918</v>
      </c>
      <c r="C2381" s="14" t="s">
        <v>37</v>
      </c>
      <c r="D2381" s="105">
        <v>30626</v>
      </c>
      <c r="E2381" s="23">
        <v>42122</v>
      </c>
      <c r="F2381" s="106">
        <v>30626</v>
      </c>
      <c r="G2381" s="31">
        <f t="shared" si="37"/>
        <v>0</v>
      </c>
      <c r="H2381" s="39" t="s">
        <v>773</v>
      </c>
      <c r="I2381" s="3"/>
      <c r="J2381" s="42"/>
      <c r="K2381" s="3"/>
    </row>
    <row r="2382" spans="1:11" x14ac:dyDescent="0.25">
      <c r="A2382" s="20">
        <v>42118</v>
      </c>
      <c r="B2382" s="183">
        <v>18919</v>
      </c>
      <c r="C2382" s="14" t="s">
        <v>256</v>
      </c>
      <c r="D2382" s="105">
        <v>6128.2</v>
      </c>
      <c r="E2382" s="23">
        <v>42119</v>
      </c>
      <c r="F2382" s="106">
        <v>6128.2</v>
      </c>
      <c r="G2382" s="31">
        <f t="shared" si="37"/>
        <v>0</v>
      </c>
      <c r="H2382" s="39" t="s">
        <v>9</v>
      </c>
      <c r="I2382" s="3"/>
      <c r="J2382" s="42"/>
      <c r="K2382" s="3"/>
    </row>
    <row r="2383" spans="1:11" x14ac:dyDescent="0.25">
      <c r="A2383" s="20">
        <v>42118</v>
      </c>
      <c r="B2383" s="183">
        <v>18920</v>
      </c>
      <c r="C2383" s="14" t="s">
        <v>65</v>
      </c>
      <c r="D2383" s="105">
        <v>11342</v>
      </c>
      <c r="E2383" s="65">
        <v>42119</v>
      </c>
      <c r="F2383" s="106">
        <v>11342</v>
      </c>
      <c r="G2383" s="31">
        <f t="shared" si="37"/>
        <v>0</v>
      </c>
      <c r="H2383" s="39" t="s">
        <v>62</v>
      </c>
      <c r="I2383" s="3"/>
      <c r="J2383" s="42"/>
      <c r="K2383" s="3"/>
    </row>
    <row r="2384" spans="1:11" x14ac:dyDescent="0.25">
      <c r="A2384" s="20">
        <v>42118</v>
      </c>
      <c r="B2384" s="183">
        <v>18921</v>
      </c>
      <c r="C2384" s="14" t="s">
        <v>176</v>
      </c>
      <c r="D2384" s="105">
        <v>9627.2999999999993</v>
      </c>
      <c r="E2384" s="74" t="s">
        <v>1229</v>
      </c>
      <c r="F2384" s="144">
        <v>9627.2999999999993</v>
      </c>
      <c r="G2384" s="31">
        <f t="shared" si="37"/>
        <v>0</v>
      </c>
      <c r="H2384" s="39" t="s">
        <v>62</v>
      </c>
      <c r="I2384" s="3"/>
      <c r="J2384" s="42"/>
      <c r="K2384" s="3"/>
    </row>
    <row r="2385" spans="1:11" x14ac:dyDescent="0.25">
      <c r="A2385" s="20">
        <v>42118</v>
      </c>
      <c r="B2385" s="183">
        <v>18922</v>
      </c>
      <c r="C2385" s="14" t="s">
        <v>268</v>
      </c>
      <c r="D2385" s="105">
        <v>22387.5</v>
      </c>
      <c r="E2385" s="65">
        <v>42119</v>
      </c>
      <c r="F2385" s="106">
        <v>22387.5</v>
      </c>
      <c r="G2385" s="31">
        <f t="shared" si="37"/>
        <v>0</v>
      </c>
      <c r="H2385" s="39" t="s">
        <v>62</v>
      </c>
      <c r="I2385" s="3"/>
      <c r="J2385" s="42"/>
      <c r="K2385" s="3"/>
    </row>
    <row r="2386" spans="1:11" x14ac:dyDescent="0.25">
      <c r="A2386" s="20">
        <v>42118</v>
      </c>
      <c r="B2386" s="183">
        <v>18923</v>
      </c>
      <c r="C2386" s="14" t="s">
        <v>1166</v>
      </c>
      <c r="D2386" s="105">
        <v>7935.6</v>
      </c>
      <c r="E2386" s="65">
        <v>42119</v>
      </c>
      <c r="F2386" s="106">
        <v>7935.6</v>
      </c>
      <c r="G2386" s="48">
        <f t="shared" si="37"/>
        <v>0</v>
      </c>
      <c r="H2386" s="39" t="s">
        <v>62</v>
      </c>
      <c r="I2386" s="3"/>
      <c r="J2386" s="42"/>
      <c r="K2386" s="3"/>
    </row>
    <row r="2387" spans="1:11" x14ac:dyDescent="0.25">
      <c r="A2387" s="20">
        <v>42118</v>
      </c>
      <c r="B2387" s="183">
        <v>18924</v>
      </c>
      <c r="C2387" s="14" t="s">
        <v>331</v>
      </c>
      <c r="D2387" s="105">
        <v>1887.6</v>
      </c>
      <c r="E2387" s="65">
        <v>42119</v>
      </c>
      <c r="F2387" s="106">
        <v>1887.6</v>
      </c>
      <c r="G2387" s="31">
        <f t="shared" si="37"/>
        <v>0</v>
      </c>
      <c r="H2387" s="39" t="s">
        <v>62</v>
      </c>
      <c r="I2387" s="3"/>
      <c r="J2387" s="42"/>
      <c r="K2387" s="3"/>
    </row>
    <row r="2388" spans="1:11" x14ac:dyDescent="0.25">
      <c r="A2388" s="20">
        <v>42118</v>
      </c>
      <c r="B2388" s="183">
        <v>18925</v>
      </c>
      <c r="C2388" s="14" t="s">
        <v>56</v>
      </c>
      <c r="D2388" s="105">
        <v>7332.9</v>
      </c>
      <c r="E2388" s="65">
        <v>42119</v>
      </c>
      <c r="F2388" s="106">
        <v>7332.9</v>
      </c>
      <c r="G2388" s="31">
        <f t="shared" si="37"/>
        <v>0</v>
      </c>
      <c r="H2388" s="39" t="s">
        <v>9</v>
      </c>
      <c r="I2388" s="3"/>
      <c r="J2388" s="42"/>
      <c r="K2388" s="3"/>
    </row>
    <row r="2389" spans="1:11" x14ac:dyDescent="0.25">
      <c r="A2389" s="20">
        <v>42118</v>
      </c>
      <c r="B2389" s="183">
        <v>18926</v>
      </c>
      <c r="C2389" s="14" t="s">
        <v>334</v>
      </c>
      <c r="D2389" s="105">
        <v>2562.1999999999998</v>
      </c>
      <c r="E2389" s="65">
        <v>42119</v>
      </c>
      <c r="F2389" s="106">
        <v>2562.1999999999998</v>
      </c>
      <c r="G2389" s="31">
        <f t="shared" si="37"/>
        <v>0</v>
      </c>
      <c r="H2389" s="39" t="s">
        <v>773</v>
      </c>
      <c r="I2389" s="3"/>
      <c r="J2389" s="42"/>
      <c r="K2389" s="3"/>
    </row>
    <row r="2390" spans="1:11" x14ac:dyDescent="0.25">
      <c r="A2390" s="20">
        <v>42118</v>
      </c>
      <c r="B2390" s="183">
        <v>18927</v>
      </c>
      <c r="C2390" s="14" t="s">
        <v>35</v>
      </c>
      <c r="D2390" s="105">
        <v>29886.400000000001</v>
      </c>
      <c r="E2390" s="65">
        <v>42119</v>
      </c>
      <c r="F2390" s="106">
        <v>29886.400000000001</v>
      </c>
      <c r="G2390" s="31">
        <f t="shared" si="37"/>
        <v>0</v>
      </c>
      <c r="H2390" s="39" t="s">
        <v>773</v>
      </c>
      <c r="I2390" s="3"/>
      <c r="J2390" s="42"/>
      <c r="K2390" s="3"/>
    </row>
    <row r="2391" spans="1:11" x14ac:dyDescent="0.25">
      <c r="A2391" s="20">
        <v>42118</v>
      </c>
      <c r="B2391" s="183">
        <v>18928</v>
      </c>
      <c r="C2391" s="14" t="s">
        <v>24</v>
      </c>
      <c r="D2391" s="105">
        <v>34234</v>
      </c>
      <c r="E2391" s="74">
        <v>42144</v>
      </c>
      <c r="F2391" s="144">
        <v>34234</v>
      </c>
      <c r="G2391" s="31">
        <f t="shared" si="37"/>
        <v>0</v>
      </c>
      <c r="H2391" s="39" t="s">
        <v>773</v>
      </c>
      <c r="I2391" s="3"/>
      <c r="J2391" s="42"/>
      <c r="K2391" s="3"/>
    </row>
    <row r="2392" spans="1:11" x14ac:dyDescent="0.25">
      <c r="A2392" s="20">
        <v>42118</v>
      </c>
      <c r="B2392" s="183">
        <v>18929</v>
      </c>
      <c r="C2392" s="14" t="s">
        <v>102</v>
      </c>
      <c r="D2392" s="105">
        <v>3521.6</v>
      </c>
      <c r="E2392" s="65">
        <v>42118</v>
      </c>
      <c r="F2392" s="106">
        <v>3521.6</v>
      </c>
      <c r="G2392" s="31">
        <f t="shared" si="37"/>
        <v>0</v>
      </c>
      <c r="H2392" s="39" t="s">
        <v>9</v>
      </c>
      <c r="I2392" s="3"/>
      <c r="J2392" s="42"/>
      <c r="K2392" s="3"/>
    </row>
    <row r="2393" spans="1:11" x14ac:dyDescent="0.25">
      <c r="A2393" s="20">
        <v>42118</v>
      </c>
      <c r="B2393" s="183">
        <v>18930</v>
      </c>
      <c r="C2393" s="14" t="s">
        <v>215</v>
      </c>
      <c r="D2393" s="105">
        <v>491.3</v>
      </c>
      <c r="E2393" s="65">
        <v>42118</v>
      </c>
      <c r="F2393" s="106">
        <v>491.3</v>
      </c>
      <c r="G2393" s="31">
        <f t="shared" si="37"/>
        <v>0</v>
      </c>
      <c r="H2393" s="39" t="s">
        <v>9</v>
      </c>
      <c r="I2393" s="3"/>
      <c r="J2393" s="42"/>
      <c r="K2393" s="3"/>
    </row>
    <row r="2394" spans="1:11" x14ac:dyDescent="0.25">
      <c r="A2394" s="20">
        <v>42118</v>
      </c>
      <c r="B2394" s="183">
        <v>18931</v>
      </c>
      <c r="C2394" s="14" t="s">
        <v>111</v>
      </c>
      <c r="D2394" s="105">
        <v>147009</v>
      </c>
      <c r="E2394" s="65">
        <v>42122</v>
      </c>
      <c r="F2394" s="106">
        <v>147009</v>
      </c>
      <c r="G2394" s="31">
        <f t="shared" si="37"/>
        <v>0</v>
      </c>
      <c r="H2394" s="39" t="s">
        <v>9</v>
      </c>
      <c r="I2394" s="3"/>
      <c r="J2394" s="42"/>
      <c r="K2394" s="3"/>
    </row>
    <row r="2395" spans="1:11" x14ac:dyDescent="0.25">
      <c r="A2395" s="20">
        <v>42118</v>
      </c>
      <c r="B2395" s="183">
        <v>18932</v>
      </c>
      <c r="C2395" s="14" t="s">
        <v>56</v>
      </c>
      <c r="D2395" s="105">
        <v>3359.2</v>
      </c>
      <c r="E2395" s="65">
        <v>42119</v>
      </c>
      <c r="F2395" s="106">
        <v>3359.2</v>
      </c>
      <c r="G2395" s="31">
        <f t="shared" si="37"/>
        <v>0</v>
      </c>
      <c r="H2395" s="39" t="s">
        <v>773</v>
      </c>
      <c r="I2395" s="3"/>
      <c r="J2395" s="42"/>
      <c r="K2395" s="3"/>
    </row>
    <row r="2396" spans="1:11" x14ac:dyDescent="0.25">
      <c r="A2396" s="20">
        <v>42118</v>
      </c>
      <c r="B2396" s="183">
        <v>18933</v>
      </c>
      <c r="C2396" s="14" t="s">
        <v>252</v>
      </c>
      <c r="D2396" s="105">
        <v>2118</v>
      </c>
      <c r="E2396" s="65">
        <v>42118</v>
      </c>
      <c r="F2396" s="106">
        <v>2118</v>
      </c>
      <c r="G2396" s="31">
        <f t="shared" si="37"/>
        <v>0</v>
      </c>
      <c r="H2396" s="39" t="s">
        <v>9</v>
      </c>
      <c r="I2396" s="3"/>
      <c r="J2396" s="42"/>
      <c r="K2396" s="3"/>
    </row>
    <row r="2397" spans="1:11" x14ac:dyDescent="0.25">
      <c r="A2397" s="20">
        <v>42118</v>
      </c>
      <c r="B2397" s="183">
        <v>18934</v>
      </c>
      <c r="C2397" s="14" t="s">
        <v>651</v>
      </c>
      <c r="D2397" s="105">
        <v>15285</v>
      </c>
      <c r="E2397" s="65">
        <v>42119</v>
      </c>
      <c r="F2397" s="106">
        <v>15285</v>
      </c>
      <c r="G2397" s="31">
        <f t="shared" si="37"/>
        <v>0</v>
      </c>
      <c r="H2397" s="39" t="s">
        <v>17</v>
      </c>
      <c r="I2397" s="3"/>
      <c r="J2397" s="42"/>
      <c r="K2397" s="3"/>
    </row>
    <row r="2398" spans="1:11" x14ac:dyDescent="0.25">
      <c r="A2398" s="20">
        <v>42118</v>
      </c>
      <c r="B2398" s="183">
        <v>18935</v>
      </c>
      <c r="C2398" s="14" t="s">
        <v>1020</v>
      </c>
      <c r="D2398" s="105">
        <v>6145.44</v>
      </c>
      <c r="E2398" s="65">
        <v>42118</v>
      </c>
      <c r="F2398" s="106">
        <v>6145.44</v>
      </c>
      <c r="G2398" s="31">
        <f t="shared" si="37"/>
        <v>0</v>
      </c>
      <c r="H2398" s="39" t="s">
        <v>9</v>
      </c>
      <c r="I2398" s="3"/>
      <c r="J2398" s="42"/>
      <c r="K2398" s="3"/>
    </row>
    <row r="2399" spans="1:11" x14ac:dyDescent="0.25">
      <c r="A2399" s="20">
        <v>42118</v>
      </c>
      <c r="B2399" s="183">
        <v>18936</v>
      </c>
      <c r="C2399" s="14" t="s">
        <v>821</v>
      </c>
      <c r="D2399" s="105">
        <v>2220</v>
      </c>
      <c r="E2399" s="65">
        <v>42118</v>
      </c>
      <c r="F2399" s="106">
        <v>2220</v>
      </c>
      <c r="G2399" s="31">
        <f t="shared" si="37"/>
        <v>0</v>
      </c>
      <c r="H2399" s="39" t="s">
        <v>9</v>
      </c>
      <c r="I2399" s="3"/>
      <c r="J2399" s="42"/>
      <c r="K2399" s="3"/>
    </row>
    <row r="2400" spans="1:11" x14ac:dyDescent="0.25">
      <c r="A2400" s="20">
        <v>42118</v>
      </c>
      <c r="B2400" s="183">
        <v>18937</v>
      </c>
      <c r="C2400" s="14" t="s">
        <v>235</v>
      </c>
      <c r="D2400" s="105">
        <v>1817.4</v>
      </c>
      <c r="E2400" s="186">
        <v>42119</v>
      </c>
      <c r="F2400" s="106">
        <v>1817.4</v>
      </c>
      <c r="G2400" s="31">
        <f t="shared" si="37"/>
        <v>0</v>
      </c>
      <c r="H2400" s="39" t="s">
        <v>17</v>
      </c>
      <c r="I2400" s="3"/>
      <c r="J2400" s="42"/>
      <c r="K2400" s="3"/>
    </row>
    <row r="2401" spans="1:11" x14ac:dyDescent="0.25">
      <c r="A2401" s="20">
        <v>42118</v>
      </c>
      <c r="B2401" s="183">
        <v>18938</v>
      </c>
      <c r="C2401" s="14" t="s">
        <v>336</v>
      </c>
      <c r="D2401" s="105">
        <v>2725.7</v>
      </c>
      <c r="E2401" s="65">
        <v>42118</v>
      </c>
      <c r="F2401" s="106">
        <v>2725.7</v>
      </c>
      <c r="G2401" s="31">
        <f t="shared" si="37"/>
        <v>0</v>
      </c>
      <c r="H2401" s="39" t="s">
        <v>9</v>
      </c>
      <c r="I2401" s="3"/>
      <c r="J2401" s="42"/>
      <c r="K2401" s="3"/>
    </row>
    <row r="2402" spans="1:11" x14ac:dyDescent="0.25">
      <c r="A2402" s="20">
        <v>42118</v>
      </c>
      <c r="B2402" s="183">
        <v>18939</v>
      </c>
      <c r="C2402" s="14" t="s">
        <v>108</v>
      </c>
      <c r="D2402" s="105">
        <v>15344</v>
      </c>
      <c r="E2402" s="65">
        <v>42109</v>
      </c>
      <c r="F2402" s="106">
        <v>15344</v>
      </c>
      <c r="G2402" s="31">
        <f t="shared" si="37"/>
        <v>0</v>
      </c>
      <c r="H2402" s="39" t="s">
        <v>19</v>
      </c>
      <c r="I2402" s="3"/>
      <c r="J2402" s="42"/>
      <c r="K2402" s="3"/>
    </row>
    <row r="2403" spans="1:11" x14ac:dyDescent="0.25">
      <c r="A2403" s="20">
        <v>42118</v>
      </c>
      <c r="B2403" s="183">
        <v>18940</v>
      </c>
      <c r="C2403" s="14" t="s">
        <v>24</v>
      </c>
      <c r="D2403" s="105">
        <v>189273.25</v>
      </c>
      <c r="E2403" s="74">
        <v>42144</v>
      </c>
      <c r="F2403" s="144">
        <v>189273.25</v>
      </c>
      <c r="G2403" s="31">
        <f t="shared" si="37"/>
        <v>0</v>
      </c>
      <c r="H2403" s="39" t="s">
        <v>46</v>
      </c>
      <c r="I2403" s="3"/>
      <c r="J2403" s="42"/>
      <c r="K2403" s="3"/>
    </row>
    <row r="2404" spans="1:11" x14ac:dyDescent="0.25">
      <c r="A2404" s="20">
        <v>42118</v>
      </c>
      <c r="B2404" s="183">
        <v>18941</v>
      </c>
      <c r="C2404" s="14" t="s">
        <v>24</v>
      </c>
      <c r="D2404" s="105">
        <v>39792.800000000003</v>
      </c>
      <c r="E2404" s="74">
        <v>42144</v>
      </c>
      <c r="F2404" s="144">
        <v>39792.800000000003</v>
      </c>
      <c r="G2404" s="31">
        <f t="shared" si="37"/>
        <v>0</v>
      </c>
      <c r="H2404" s="39" t="s">
        <v>46</v>
      </c>
      <c r="I2404" s="3"/>
      <c r="J2404" s="42"/>
      <c r="K2404" s="3"/>
    </row>
    <row r="2405" spans="1:11" x14ac:dyDescent="0.25">
      <c r="A2405" s="20">
        <v>42118</v>
      </c>
      <c r="B2405" s="183">
        <v>18942</v>
      </c>
      <c r="C2405" s="14" t="s">
        <v>24</v>
      </c>
      <c r="D2405" s="105">
        <v>7695</v>
      </c>
      <c r="E2405" s="74">
        <v>42144</v>
      </c>
      <c r="F2405" s="144">
        <v>7695</v>
      </c>
      <c r="G2405" s="31">
        <f t="shared" si="37"/>
        <v>0</v>
      </c>
      <c r="H2405" s="39" t="s">
        <v>9</v>
      </c>
      <c r="I2405" s="3"/>
      <c r="J2405" s="42"/>
      <c r="K2405" s="3"/>
    </row>
    <row r="2406" spans="1:11" x14ac:dyDescent="0.25">
      <c r="A2406" s="20">
        <v>42118</v>
      </c>
      <c r="B2406" s="183">
        <v>18943</v>
      </c>
      <c r="C2406" s="14" t="s">
        <v>110</v>
      </c>
      <c r="D2406" s="105">
        <v>13911.88</v>
      </c>
      <c r="E2406" s="74">
        <v>42126</v>
      </c>
      <c r="F2406" s="144">
        <v>13911.88</v>
      </c>
      <c r="G2406" s="31">
        <f t="shared" si="37"/>
        <v>0</v>
      </c>
      <c r="H2406" s="39" t="s">
        <v>41</v>
      </c>
      <c r="I2406" s="3"/>
      <c r="J2406" s="42"/>
      <c r="K2406" s="3"/>
    </row>
    <row r="2407" spans="1:11" x14ac:dyDescent="0.25">
      <c r="A2407" s="20">
        <v>42118</v>
      </c>
      <c r="B2407" s="183">
        <v>18944</v>
      </c>
      <c r="C2407" s="14" t="s">
        <v>483</v>
      </c>
      <c r="D2407" s="105">
        <v>1400</v>
      </c>
      <c r="E2407" s="65">
        <v>42118</v>
      </c>
      <c r="F2407" s="106">
        <v>1400</v>
      </c>
      <c r="G2407" s="31">
        <f t="shared" si="37"/>
        <v>0</v>
      </c>
      <c r="H2407" s="39" t="s">
        <v>9</v>
      </c>
      <c r="I2407" s="3"/>
      <c r="J2407" s="42"/>
      <c r="K2407" s="3"/>
    </row>
    <row r="2408" spans="1:11" x14ac:dyDescent="0.25">
      <c r="A2408" s="20">
        <v>42118</v>
      </c>
      <c r="B2408" s="183">
        <v>18945</v>
      </c>
      <c r="C2408" s="14" t="s">
        <v>159</v>
      </c>
      <c r="D2408" s="105">
        <v>10018.5</v>
      </c>
      <c r="E2408" s="65">
        <v>42118</v>
      </c>
      <c r="F2408" s="106">
        <v>10018.5</v>
      </c>
      <c r="G2408" s="31">
        <f t="shared" si="37"/>
        <v>0</v>
      </c>
      <c r="H2408" s="39" t="s">
        <v>9</v>
      </c>
      <c r="I2408" s="3"/>
      <c r="J2408" s="42"/>
      <c r="K2408" s="3"/>
    </row>
    <row r="2409" spans="1:11" x14ac:dyDescent="0.25">
      <c r="A2409" s="20">
        <v>42118</v>
      </c>
      <c r="B2409" s="183">
        <v>18946</v>
      </c>
      <c r="C2409" s="14" t="s">
        <v>829</v>
      </c>
      <c r="D2409" s="105">
        <v>10135.5</v>
      </c>
      <c r="E2409" s="65">
        <v>42118</v>
      </c>
      <c r="F2409" s="106">
        <v>10135.5</v>
      </c>
      <c r="G2409" s="31">
        <f t="shared" si="37"/>
        <v>0</v>
      </c>
      <c r="H2409" s="39" t="s">
        <v>9</v>
      </c>
      <c r="I2409" s="3"/>
      <c r="J2409" s="42"/>
      <c r="K2409" s="3"/>
    </row>
    <row r="2410" spans="1:11" x14ac:dyDescent="0.25">
      <c r="A2410" s="20">
        <v>42118</v>
      </c>
      <c r="B2410" s="183">
        <v>18947</v>
      </c>
      <c r="C2410" s="14" t="s">
        <v>854</v>
      </c>
      <c r="D2410" s="105">
        <v>4841.55</v>
      </c>
      <c r="E2410" s="65">
        <v>42118</v>
      </c>
      <c r="F2410" s="106">
        <v>4841.55</v>
      </c>
      <c r="G2410" s="31">
        <f t="shared" si="37"/>
        <v>0</v>
      </c>
      <c r="H2410" s="39" t="s">
        <v>9</v>
      </c>
      <c r="I2410" s="3"/>
      <c r="J2410" s="42"/>
      <c r="K2410" s="3"/>
    </row>
    <row r="2411" spans="1:11" x14ac:dyDescent="0.25">
      <c r="A2411" s="20">
        <v>42118</v>
      </c>
      <c r="B2411" s="183">
        <v>18948</v>
      </c>
      <c r="C2411" s="150" t="s">
        <v>91</v>
      </c>
      <c r="D2411" s="105">
        <v>8662</v>
      </c>
      <c r="E2411" s="65">
        <v>42119</v>
      </c>
      <c r="F2411" s="106">
        <v>8662</v>
      </c>
      <c r="G2411" s="31">
        <f t="shared" si="37"/>
        <v>0</v>
      </c>
      <c r="H2411" s="39" t="s">
        <v>59</v>
      </c>
      <c r="I2411" s="3"/>
      <c r="J2411" s="42"/>
      <c r="K2411" s="3"/>
    </row>
    <row r="2412" spans="1:11" x14ac:dyDescent="0.25">
      <c r="A2412" s="20">
        <v>42118</v>
      </c>
      <c r="B2412" s="183">
        <v>18949</v>
      </c>
      <c r="C2412" s="14" t="s">
        <v>90</v>
      </c>
      <c r="D2412" s="105">
        <v>1102.7</v>
      </c>
      <c r="E2412" s="65">
        <v>42118</v>
      </c>
      <c r="F2412" s="106">
        <v>1102.7</v>
      </c>
      <c r="G2412" s="31">
        <f t="shared" si="37"/>
        <v>0</v>
      </c>
      <c r="H2412" s="39" t="s">
        <v>9</v>
      </c>
      <c r="I2412" s="3"/>
      <c r="J2412" s="42"/>
      <c r="K2412" s="3"/>
    </row>
    <row r="2413" spans="1:11" x14ac:dyDescent="0.25">
      <c r="A2413" s="20">
        <v>42118</v>
      </c>
      <c r="B2413" s="183">
        <v>18950</v>
      </c>
      <c r="C2413" s="14" t="s">
        <v>829</v>
      </c>
      <c r="D2413" s="105">
        <v>567</v>
      </c>
      <c r="E2413" s="65">
        <v>42118</v>
      </c>
      <c r="F2413" s="106">
        <v>567</v>
      </c>
      <c r="G2413" s="31">
        <f t="shared" si="37"/>
        <v>0</v>
      </c>
      <c r="H2413" s="39" t="s">
        <v>9</v>
      </c>
      <c r="I2413" s="3"/>
      <c r="J2413" s="42"/>
      <c r="K2413" s="3"/>
    </row>
    <row r="2414" spans="1:11" x14ac:dyDescent="0.25">
      <c r="A2414" s="20">
        <v>42118</v>
      </c>
      <c r="B2414" s="183">
        <v>18951</v>
      </c>
      <c r="C2414" s="14" t="s">
        <v>110</v>
      </c>
      <c r="D2414" s="105">
        <v>22506.12</v>
      </c>
      <c r="E2414" s="74">
        <v>42126</v>
      </c>
      <c r="F2414" s="144">
        <v>22506.12</v>
      </c>
      <c r="G2414" s="31">
        <f t="shared" si="37"/>
        <v>0</v>
      </c>
      <c r="H2414" s="39" t="s">
        <v>19</v>
      </c>
      <c r="I2414" s="3"/>
      <c r="J2414" s="42"/>
      <c r="K2414" s="3"/>
    </row>
    <row r="2415" spans="1:11" x14ac:dyDescent="0.25">
      <c r="A2415" s="20">
        <v>42118</v>
      </c>
      <c r="B2415" s="183">
        <v>18952</v>
      </c>
      <c r="C2415" s="14" t="s">
        <v>1101</v>
      </c>
      <c r="D2415" s="105">
        <v>344.1</v>
      </c>
      <c r="E2415" s="65">
        <v>42118</v>
      </c>
      <c r="F2415" s="106">
        <v>344.1</v>
      </c>
      <c r="G2415" s="31">
        <f t="shared" si="37"/>
        <v>0</v>
      </c>
      <c r="H2415" s="39" t="s">
        <v>9</v>
      </c>
      <c r="I2415" s="3"/>
      <c r="J2415" s="42"/>
      <c r="K2415" s="3"/>
    </row>
    <row r="2416" spans="1:11" x14ac:dyDescent="0.25">
      <c r="A2416" s="20">
        <v>42118</v>
      </c>
      <c r="B2416" s="183">
        <v>18953</v>
      </c>
      <c r="C2416" s="14" t="s">
        <v>106</v>
      </c>
      <c r="D2416" s="105">
        <v>23210.400000000001</v>
      </c>
      <c r="E2416" s="74">
        <v>42128</v>
      </c>
      <c r="F2416" s="144">
        <v>23210.400000000001</v>
      </c>
      <c r="G2416" s="31">
        <f t="shared" si="37"/>
        <v>0</v>
      </c>
      <c r="H2416" s="39" t="s">
        <v>9</v>
      </c>
      <c r="I2416" s="3"/>
      <c r="J2416" s="42"/>
      <c r="K2416" s="3"/>
    </row>
    <row r="2417" spans="1:11" x14ac:dyDescent="0.25">
      <c r="A2417" s="20">
        <v>42118</v>
      </c>
      <c r="B2417" s="183">
        <v>18954</v>
      </c>
      <c r="C2417" s="14" t="s">
        <v>697</v>
      </c>
      <c r="D2417" s="105">
        <v>3449.6</v>
      </c>
      <c r="E2417" s="74" t="s">
        <v>1249</v>
      </c>
      <c r="F2417" s="144">
        <v>3449.6</v>
      </c>
      <c r="G2417" s="31">
        <f t="shared" si="37"/>
        <v>0</v>
      </c>
      <c r="H2417" s="39" t="s">
        <v>94</v>
      </c>
      <c r="I2417" s="3"/>
      <c r="J2417" s="42"/>
      <c r="K2417" s="3"/>
    </row>
    <row r="2418" spans="1:11" x14ac:dyDescent="0.25">
      <c r="A2418" s="20">
        <v>42118</v>
      </c>
      <c r="B2418" s="183">
        <v>18955</v>
      </c>
      <c r="C2418" s="14" t="s">
        <v>80</v>
      </c>
      <c r="D2418" s="105">
        <v>6830.6</v>
      </c>
      <c r="E2418" s="65">
        <v>42118</v>
      </c>
      <c r="F2418" s="106">
        <v>6830.6</v>
      </c>
      <c r="G2418" s="31">
        <f t="shared" si="37"/>
        <v>0</v>
      </c>
      <c r="H2418" s="39" t="s">
        <v>9</v>
      </c>
      <c r="I2418" s="3"/>
      <c r="J2418" s="42"/>
      <c r="K2418" s="3"/>
    </row>
    <row r="2419" spans="1:11" x14ac:dyDescent="0.25">
      <c r="A2419" s="20">
        <v>42118</v>
      </c>
      <c r="B2419" s="183">
        <v>18956</v>
      </c>
      <c r="C2419" s="14" t="s">
        <v>141</v>
      </c>
      <c r="D2419" s="105">
        <v>861</v>
      </c>
      <c r="E2419" s="65">
        <v>42118</v>
      </c>
      <c r="F2419" s="106">
        <v>861</v>
      </c>
      <c r="G2419" s="31">
        <f t="shared" si="37"/>
        <v>0</v>
      </c>
      <c r="H2419" s="39" t="s">
        <v>9</v>
      </c>
      <c r="I2419" s="3"/>
      <c r="J2419" s="42"/>
      <c r="K2419" s="3"/>
    </row>
    <row r="2420" spans="1:11" x14ac:dyDescent="0.25">
      <c r="A2420" s="20">
        <v>42118</v>
      </c>
      <c r="B2420" s="183">
        <v>18957</v>
      </c>
      <c r="C2420" s="14" t="s">
        <v>102</v>
      </c>
      <c r="D2420" s="105">
        <v>2162.4</v>
      </c>
      <c r="E2420" s="65">
        <v>42119</v>
      </c>
      <c r="F2420" s="106">
        <v>2162.4</v>
      </c>
      <c r="G2420" s="31">
        <f t="shared" si="37"/>
        <v>0</v>
      </c>
      <c r="H2420" s="39" t="s">
        <v>9</v>
      </c>
      <c r="I2420" s="3"/>
      <c r="J2420" s="42"/>
      <c r="K2420" s="3"/>
    </row>
    <row r="2421" spans="1:11" x14ac:dyDescent="0.25">
      <c r="A2421" s="20">
        <v>42119</v>
      </c>
      <c r="B2421" s="183">
        <v>18958</v>
      </c>
      <c r="C2421" s="14" t="s">
        <v>1012</v>
      </c>
      <c r="D2421" s="105">
        <v>16697.599999999999</v>
      </c>
      <c r="E2421" s="65">
        <v>42119</v>
      </c>
      <c r="F2421" s="106">
        <v>16697.599999999999</v>
      </c>
      <c r="G2421" s="31">
        <f t="shared" si="37"/>
        <v>0</v>
      </c>
      <c r="H2421" s="39" t="s">
        <v>9</v>
      </c>
      <c r="I2421" s="3"/>
      <c r="J2421" s="42"/>
      <c r="K2421" s="3"/>
    </row>
    <row r="2422" spans="1:11" x14ac:dyDescent="0.25">
      <c r="A2422" s="20">
        <v>42119</v>
      </c>
      <c r="B2422" s="183">
        <v>18959</v>
      </c>
      <c r="C2422" s="14" t="s">
        <v>112</v>
      </c>
      <c r="D2422" s="105">
        <v>25980.799999999999</v>
      </c>
      <c r="E2422" s="65" t="s">
        <v>1153</v>
      </c>
      <c r="F2422" s="106">
        <f>10000+15980.8</f>
        <v>25980.799999999999</v>
      </c>
      <c r="G2422" s="31">
        <f t="shared" si="37"/>
        <v>0</v>
      </c>
      <c r="H2422" s="39" t="s">
        <v>9</v>
      </c>
      <c r="I2422" s="3"/>
      <c r="J2422" s="42"/>
      <c r="K2422" s="3"/>
    </row>
    <row r="2423" spans="1:11" x14ac:dyDescent="0.25">
      <c r="A2423" s="20">
        <v>42119</v>
      </c>
      <c r="B2423" s="183">
        <v>18960</v>
      </c>
      <c r="C2423" s="14" t="s">
        <v>464</v>
      </c>
      <c r="D2423" s="105">
        <v>1584.36</v>
      </c>
      <c r="E2423" s="65">
        <v>42119</v>
      </c>
      <c r="F2423" s="106">
        <v>1584.36</v>
      </c>
      <c r="G2423" s="31">
        <f t="shared" si="37"/>
        <v>0</v>
      </c>
      <c r="H2423" s="39" t="s">
        <v>9</v>
      </c>
      <c r="I2423" s="3"/>
      <c r="J2423" s="42"/>
      <c r="K2423" s="3"/>
    </row>
    <row r="2424" spans="1:11" x14ac:dyDescent="0.25">
      <c r="A2424" s="20">
        <v>42119</v>
      </c>
      <c r="B2424" s="183">
        <v>18961</v>
      </c>
      <c r="C2424" s="14" t="s">
        <v>18</v>
      </c>
      <c r="D2424" s="105">
        <v>2618</v>
      </c>
      <c r="E2424" s="65">
        <v>42119</v>
      </c>
      <c r="F2424" s="106">
        <v>2618</v>
      </c>
      <c r="G2424" s="31">
        <f t="shared" si="37"/>
        <v>0</v>
      </c>
      <c r="H2424" s="39" t="s">
        <v>9</v>
      </c>
      <c r="I2424" s="3"/>
      <c r="J2424" s="42"/>
      <c r="K2424" s="3"/>
    </row>
    <row r="2425" spans="1:11" x14ac:dyDescent="0.25">
      <c r="A2425" s="20">
        <v>42119</v>
      </c>
      <c r="B2425" s="183">
        <v>18962</v>
      </c>
      <c r="C2425" s="14" t="s">
        <v>383</v>
      </c>
      <c r="D2425" s="105">
        <v>4143.6000000000004</v>
      </c>
      <c r="E2425" s="65">
        <v>42119</v>
      </c>
      <c r="F2425" s="106">
        <v>4143.6000000000004</v>
      </c>
      <c r="G2425" s="31">
        <f t="shared" si="37"/>
        <v>0</v>
      </c>
      <c r="H2425" s="39" t="s">
        <v>9</v>
      </c>
      <c r="I2425" s="3"/>
      <c r="J2425" s="42"/>
      <c r="K2425" s="3"/>
    </row>
    <row r="2426" spans="1:11" x14ac:dyDescent="0.25">
      <c r="A2426" s="20">
        <v>42119</v>
      </c>
      <c r="B2426" s="183">
        <v>18963</v>
      </c>
      <c r="C2426" s="14" t="s">
        <v>1160</v>
      </c>
      <c r="D2426" s="105">
        <v>740.1</v>
      </c>
      <c r="E2426" s="65">
        <v>42119</v>
      </c>
      <c r="F2426" s="106">
        <v>740.1</v>
      </c>
      <c r="G2426" s="31">
        <f t="shared" si="37"/>
        <v>0</v>
      </c>
      <c r="H2426" s="39" t="s">
        <v>9</v>
      </c>
      <c r="I2426" s="3"/>
      <c r="J2426" s="42"/>
      <c r="K2426" s="3"/>
    </row>
    <row r="2427" spans="1:11" x14ac:dyDescent="0.25">
      <c r="A2427" s="20">
        <v>42119</v>
      </c>
      <c r="B2427" s="183">
        <v>18964</v>
      </c>
      <c r="C2427" s="14" t="s">
        <v>121</v>
      </c>
      <c r="D2427" s="105">
        <v>2038.5</v>
      </c>
      <c r="E2427" s="65">
        <v>42119</v>
      </c>
      <c r="F2427" s="106">
        <v>2038.5</v>
      </c>
      <c r="G2427" s="31">
        <f t="shared" si="37"/>
        <v>0</v>
      </c>
      <c r="H2427" s="39" t="s">
        <v>9</v>
      </c>
      <c r="I2427" s="3"/>
      <c r="J2427" s="42"/>
      <c r="K2427" s="3"/>
    </row>
    <row r="2428" spans="1:11" x14ac:dyDescent="0.25">
      <c r="A2428" s="20">
        <v>42119</v>
      </c>
      <c r="B2428" s="183">
        <v>18965</v>
      </c>
      <c r="C2428" s="26" t="s">
        <v>218</v>
      </c>
      <c r="D2428" s="108">
        <v>0</v>
      </c>
      <c r="E2428" s="65"/>
      <c r="F2428" s="106"/>
      <c r="G2428" s="31">
        <f t="shared" si="37"/>
        <v>0</v>
      </c>
      <c r="H2428" s="39" t="s">
        <v>13</v>
      </c>
      <c r="I2428" s="3"/>
      <c r="J2428" s="42"/>
      <c r="K2428" s="3"/>
    </row>
    <row r="2429" spans="1:11" x14ac:dyDescent="0.25">
      <c r="A2429" s="20">
        <v>42119</v>
      </c>
      <c r="B2429" s="183">
        <v>18966</v>
      </c>
      <c r="C2429" s="14" t="s">
        <v>211</v>
      </c>
      <c r="D2429" s="105">
        <v>52226.8</v>
      </c>
      <c r="E2429" s="65">
        <v>42124</v>
      </c>
      <c r="F2429" s="106">
        <v>52226.8</v>
      </c>
      <c r="G2429" s="31">
        <f t="shared" si="37"/>
        <v>0</v>
      </c>
      <c r="H2429" s="39" t="s">
        <v>9</v>
      </c>
      <c r="I2429" s="3"/>
      <c r="J2429" s="42"/>
      <c r="K2429" s="3"/>
    </row>
    <row r="2430" spans="1:11" x14ac:dyDescent="0.25">
      <c r="A2430" s="20">
        <v>42119</v>
      </c>
      <c r="B2430" s="183">
        <v>18967</v>
      </c>
      <c r="C2430" s="14" t="s">
        <v>863</v>
      </c>
      <c r="D2430" s="105">
        <v>8658.1</v>
      </c>
      <c r="E2430" s="65">
        <v>42119</v>
      </c>
      <c r="F2430" s="106">
        <v>8658.1</v>
      </c>
      <c r="G2430" s="31">
        <f t="shared" si="37"/>
        <v>0</v>
      </c>
      <c r="H2430" s="39" t="s">
        <v>9</v>
      </c>
      <c r="I2430" s="3"/>
      <c r="J2430" s="42"/>
      <c r="K2430" s="3"/>
    </row>
    <row r="2431" spans="1:11" x14ac:dyDescent="0.25">
      <c r="A2431" s="20">
        <v>42119</v>
      </c>
      <c r="B2431" s="183">
        <v>18968</v>
      </c>
      <c r="C2431" s="14" t="s">
        <v>116</v>
      </c>
      <c r="D2431" s="105">
        <v>14581.2</v>
      </c>
      <c r="E2431" s="65">
        <v>42119</v>
      </c>
      <c r="F2431" s="106">
        <v>14581.2</v>
      </c>
      <c r="G2431" s="31">
        <f t="shared" si="37"/>
        <v>0</v>
      </c>
      <c r="H2431" s="39" t="s">
        <v>9</v>
      </c>
      <c r="I2431" s="3"/>
      <c r="J2431" s="42"/>
      <c r="K2431" s="3"/>
    </row>
    <row r="2432" spans="1:11" x14ac:dyDescent="0.25">
      <c r="A2432" s="20">
        <v>42119</v>
      </c>
      <c r="B2432" s="183">
        <v>18969</v>
      </c>
      <c r="C2432" s="14" t="s">
        <v>1128</v>
      </c>
      <c r="D2432" s="105">
        <v>1125.75</v>
      </c>
      <c r="E2432" s="65">
        <v>42119</v>
      </c>
      <c r="F2432" s="106">
        <v>1125.75</v>
      </c>
      <c r="G2432" s="31">
        <f t="shared" si="37"/>
        <v>0</v>
      </c>
      <c r="H2432" s="39" t="s">
        <v>9</v>
      </c>
      <c r="I2432" s="3"/>
      <c r="J2432" s="42"/>
      <c r="K2432" s="3"/>
    </row>
    <row r="2433" spans="1:11" x14ac:dyDescent="0.25">
      <c r="A2433" s="20">
        <v>42119</v>
      </c>
      <c r="B2433" s="183">
        <v>18970</v>
      </c>
      <c r="C2433" s="14" t="s">
        <v>16</v>
      </c>
      <c r="D2433" s="105">
        <v>12038.4</v>
      </c>
      <c r="E2433" s="65">
        <v>42119</v>
      </c>
      <c r="F2433" s="106">
        <v>12038.4</v>
      </c>
      <c r="G2433" s="31">
        <f t="shared" si="37"/>
        <v>0</v>
      </c>
      <c r="H2433" s="39" t="s">
        <v>9</v>
      </c>
      <c r="I2433" s="3"/>
      <c r="J2433" s="42"/>
      <c r="K2433" s="3"/>
    </row>
    <row r="2434" spans="1:11" x14ac:dyDescent="0.25">
      <c r="A2434" s="20">
        <v>42119</v>
      </c>
      <c r="B2434" s="183">
        <v>18971</v>
      </c>
      <c r="C2434" s="14" t="s">
        <v>14</v>
      </c>
      <c r="D2434" s="105">
        <v>34908</v>
      </c>
      <c r="E2434" s="74">
        <v>42126</v>
      </c>
      <c r="F2434" s="144">
        <v>34908</v>
      </c>
      <c r="G2434" s="31">
        <f t="shared" si="37"/>
        <v>0</v>
      </c>
      <c r="H2434" s="39" t="s">
        <v>15</v>
      </c>
      <c r="I2434" s="3"/>
      <c r="J2434" s="42"/>
      <c r="K2434" s="3"/>
    </row>
    <row r="2435" spans="1:11" x14ac:dyDescent="0.25">
      <c r="A2435" s="20">
        <v>42119</v>
      </c>
      <c r="B2435" s="183">
        <v>18972</v>
      </c>
      <c r="C2435" s="14" t="s">
        <v>21</v>
      </c>
      <c r="D2435" s="105">
        <v>9524.5</v>
      </c>
      <c r="E2435" s="65">
        <v>42119</v>
      </c>
      <c r="F2435" s="106">
        <v>9524.5</v>
      </c>
      <c r="G2435" s="31">
        <f t="shared" ref="G2435:G2498" si="38">D2435-F2435</f>
        <v>0</v>
      </c>
      <c r="H2435" s="39" t="s">
        <v>9</v>
      </c>
      <c r="I2435" s="3"/>
      <c r="J2435" s="42"/>
      <c r="K2435" s="3"/>
    </row>
    <row r="2436" spans="1:11" x14ac:dyDescent="0.25">
      <c r="A2436" s="20">
        <v>42119</v>
      </c>
      <c r="B2436" s="183">
        <v>18973</v>
      </c>
      <c r="C2436" s="14" t="s">
        <v>88</v>
      </c>
      <c r="D2436" s="105">
        <v>1569</v>
      </c>
      <c r="E2436" s="65">
        <v>42119</v>
      </c>
      <c r="F2436" s="106">
        <v>1569</v>
      </c>
      <c r="G2436" s="31">
        <f t="shared" si="38"/>
        <v>0</v>
      </c>
      <c r="H2436" s="39" t="s">
        <v>9</v>
      </c>
      <c r="I2436" s="3"/>
      <c r="J2436" s="42"/>
      <c r="K2436" s="3"/>
    </row>
    <row r="2437" spans="1:11" x14ac:dyDescent="0.25">
      <c r="A2437" s="20">
        <v>42119</v>
      </c>
      <c r="B2437" s="183">
        <v>18974</v>
      </c>
      <c r="C2437" s="14" t="s">
        <v>296</v>
      </c>
      <c r="D2437" s="105">
        <v>1496.25</v>
      </c>
      <c r="E2437" s="65">
        <v>42119</v>
      </c>
      <c r="F2437" s="106">
        <v>1496.25</v>
      </c>
      <c r="G2437" s="31">
        <f t="shared" si="38"/>
        <v>0</v>
      </c>
      <c r="H2437" s="39" t="s">
        <v>9</v>
      </c>
      <c r="I2437" s="3"/>
      <c r="J2437" s="42"/>
      <c r="K2437" s="3"/>
    </row>
    <row r="2438" spans="1:11" x14ac:dyDescent="0.25">
      <c r="A2438" s="20">
        <v>42119</v>
      </c>
      <c r="B2438" s="183">
        <v>18975</v>
      </c>
      <c r="C2438" s="14" t="s">
        <v>24</v>
      </c>
      <c r="D2438" s="105">
        <v>45591.4</v>
      </c>
      <c r="E2438" s="74">
        <v>42144</v>
      </c>
      <c r="F2438" s="144">
        <v>45591.4</v>
      </c>
      <c r="G2438" s="31">
        <f t="shared" si="38"/>
        <v>0</v>
      </c>
      <c r="H2438" s="39" t="s">
        <v>9</v>
      </c>
      <c r="I2438" s="3"/>
      <c r="J2438" s="42"/>
      <c r="K2438" s="3"/>
    </row>
    <row r="2439" spans="1:11" x14ac:dyDescent="0.25">
      <c r="A2439" s="20">
        <v>42119</v>
      </c>
      <c r="B2439" s="183">
        <v>18976</v>
      </c>
      <c r="C2439" s="14" t="s">
        <v>26</v>
      </c>
      <c r="D2439" s="105">
        <v>1632</v>
      </c>
      <c r="E2439" s="65">
        <v>42119</v>
      </c>
      <c r="F2439" s="106">
        <v>1632</v>
      </c>
      <c r="G2439" s="31">
        <f t="shared" si="38"/>
        <v>0</v>
      </c>
      <c r="H2439" s="39" t="s">
        <v>27</v>
      </c>
      <c r="I2439" s="3"/>
      <c r="J2439" s="42"/>
      <c r="K2439" s="3"/>
    </row>
    <row r="2440" spans="1:11" x14ac:dyDescent="0.25">
      <c r="A2440" s="20">
        <v>42119</v>
      </c>
      <c r="B2440" s="183">
        <v>18977</v>
      </c>
      <c r="C2440" s="14" t="s">
        <v>854</v>
      </c>
      <c r="D2440" s="105">
        <v>3734</v>
      </c>
      <c r="E2440" s="65">
        <v>42119</v>
      </c>
      <c r="F2440" s="106">
        <v>3734</v>
      </c>
      <c r="G2440" s="31">
        <f t="shared" si="38"/>
        <v>0</v>
      </c>
      <c r="H2440" s="39" t="s">
        <v>9</v>
      </c>
      <c r="I2440" s="3"/>
      <c r="J2440" s="42"/>
      <c r="K2440" s="3"/>
    </row>
    <row r="2441" spans="1:11" x14ac:dyDescent="0.25">
      <c r="A2441" s="20">
        <v>42119</v>
      </c>
      <c r="B2441" s="183">
        <v>18978</v>
      </c>
      <c r="C2441" s="14" t="s">
        <v>23</v>
      </c>
      <c r="D2441" s="105">
        <v>1358.5</v>
      </c>
      <c r="E2441" s="65">
        <v>42119</v>
      </c>
      <c r="F2441" s="106">
        <v>1358.5</v>
      </c>
      <c r="G2441" s="31">
        <f t="shared" si="38"/>
        <v>0</v>
      </c>
      <c r="H2441" s="39" t="s">
        <v>9</v>
      </c>
      <c r="I2441" s="3"/>
      <c r="J2441" s="42"/>
      <c r="K2441" s="3"/>
    </row>
    <row r="2442" spans="1:11" x14ac:dyDescent="0.25">
      <c r="A2442" s="20">
        <v>42119</v>
      </c>
      <c r="B2442" s="183">
        <v>18979</v>
      </c>
      <c r="C2442" s="14" t="s">
        <v>125</v>
      </c>
      <c r="D2442" s="105">
        <v>16151.2</v>
      </c>
      <c r="E2442" s="74">
        <v>42127</v>
      </c>
      <c r="F2442" s="144">
        <v>16151.2</v>
      </c>
      <c r="G2442" s="31">
        <f t="shared" si="38"/>
        <v>0</v>
      </c>
      <c r="H2442" s="39" t="s">
        <v>9</v>
      </c>
      <c r="I2442" s="3"/>
      <c r="J2442" s="42"/>
      <c r="K2442" s="3"/>
    </row>
    <row r="2443" spans="1:11" x14ac:dyDescent="0.25">
      <c r="A2443" s="20">
        <v>42119</v>
      </c>
      <c r="B2443" s="183">
        <v>18980</v>
      </c>
      <c r="C2443" s="14" t="s">
        <v>89</v>
      </c>
      <c r="D2443" s="105">
        <v>2948.8</v>
      </c>
      <c r="E2443" s="65">
        <v>42119</v>
      </c>
      <c r="F2443" s="106">
        <v>2948.8</v>
      </c>
      <c r="G2443" s="31">
        <f t="shared" si="38"/>
        <v>0</v>
      </c>
      <c r="H2443" s="39" t="s">
        <v>9</v>
      </c>
      <c r="I2443" s="3"/>
      <c r="J2443" s="42"/>
      <c r="K2443" s="3"/>
    </row>
    <row r="2444" spans="1:11" x14ac:dyDescent="0.25">
      <c r="A2444" s="20">
        <v>42119</v>
      </c>
      <c r="B2444" s="183">
        <v>18981</v>
      </c>
      <c r="C2444" s="14" t="s">
        <v>239</v>
      </c>
      <c r="D2444" s="105">
        <v>1923.1</v>
      </c>
      <c r="E2444" s="65" t="s">
        <v>1167</v>
      </c>
      <c r="F2444" s="106">
        <f>500+1423.1</f>
        <v>1923.1</v>
      </c>
      <c r="G2444" s="31">
        <f t="shared" si="38"/>
        <v>0</v>
      </c>
      <c r="H2444" s="39" t="s">
        <v>9</v>
      </c>
      <c r="I2444" s="3"/>
      <c r="J2444" s="42"/>
      <c r="K2444" s="3"/>
    </row>
    <row r="2445" spans="1:11" x14ac:dyDescent="0.25">
      <c r="A2445" s="20">
        <v>42119</v>
      </c>
      <c r="B2445" s="183">
        <v>18982</v>
      </c>
      <c r="C2445" s="14" t="s">
        <v>912</v>
      </c>
      <c r="D2445" s="105">
        <v>2585.6</v>
      </c>
      <c r="E2445" s="65">
        <v>42119</v>
      </c>
      <c r="F2445" s="106">
        <v>2585.6</v>
      </c>
      <c r="G2445" s="31">
        <f t="shared" si="38"/>
        <v>0</v>
      </c>
      <c r="H2445" s="39" t="s">
        <v>19</v>
      </c>
      <c r="I2445" s="3"/>
      <c r="J2445" s="42"/>
      <c r="K2445" s="3"/>
    </row>
    <row r="2446" spans="1:11" x14ac:dyDescent="0.25">
      <c r="A2446" s="20">
        <v>42119</v>
      </c>
      <c r="B2446" s="183">
        <v>18983</v>
      </c>
      <c r="C2446" s="14" t="s">
        <v>34</v>
      </c>
      <c r="D2446" s="105">
        <v>4399.2</v>
      </c>
      <c r="E2446" s="65">
        <v>42119</v>
      </c>
      <c r="F2446" s="106">
        <v>4399.2</v>
      </c>
      <c r="G2446" s="31">
        <f t="shared" si="38"/>
        <v>0</v>
      </c>
      <c r="H2446" s="39" t="s">
        <v>9</v>
      </c>
      <c r="I2446" s="3"/>
      <c r="J2446" s="42"/>
      <c r="K2446" s="3"/>
    </row>
    <row r="2447" spans="1:11" x14ac:dyDescent="0.25">
      <c r="A2447" s="20">
        <v>42119</v>
      </c>
      <c r="B2447" s="183">
        <v>18984</v>
      </c>
      <c r="C2447" s="14" t="s">
        <v>215</v>
      </c>
      <c r="D2447" s="105">
        <v>16916.599999999999</v>
      </c>
      <c r="E2447" s="65">
        <v>42119</v>
      </c>
      <c r="F2447" s="106">
        <v>16916.599999999999</v>
      </c>
      <c r="G2447" s="31">
        <f t="shared" si="38"/>
        <v>0</v>
      </c>
      <c r="H2447" s="39" t="s">
        <v>19</v>
      </c>
      <c r="I2447" s="3"/>
      <c r="J2447" s="42"/>
      <c r="K2447" s="3"/>
    </row>
    <row r="2448" spans="1:11" x14ac:dyDescent="0.25">
      <c r="A2448" s="20">
        <v>42119</v>
      </c>
      <c r="B2448" s="183">
        <v>18985</v>
      </c>
      <c r="C2448" s="14" t="s">
        <v>367</v>
      </c>
      <c r="D2448" s="105">
        <v>13494.6</v>
      </c>
      <c r="E2448" s="74">
        <v>42137</v>
      </c>
      <c r="F2448" s="144">
        <v>13494.6</v>
      </c>
      <c r="G2448" s="31">
        <f t="shared" si="38"/>
        <v>0</v>
      </c>
      <c r="H2448" s="39" t="s">
        <v>773</v>
      </c>
      <c r="I2448" s="3"/>
      <c r="J2448" s="42"/>
      <c r="K2448" s="3"/>
    </row>
    <row r="2449" spans="1:11" x14ac:dyDescent="0.25">
      <c r="A2449" s="20">
        <v>42119</v>
      </c>
      <c r="B2449" s="183">
        <v>18986</v>
      </c>
      <c r="C2449" s="14" t="s">
        <v>906</v>
      </c>
      <c r="D2449" s="105">
        <v>1191.3</v>
      </c>
      <c r="E2449" s="65">
        <v>42119</v>
      </c>
      <c r="F2449" s="106">
        <v>1191.3</v>
      </c>
      <c r="G2449" s="31">
        <f t="shared" si="38"/>
        <v>0</v>
      </c>
      <c r="H2449" s="39" t="s">
        <v>41</v>
      </c>
      <c r="I2449" s="3"/>
      <c r="J2449" s="42"/>
      <c r="K2449" s="3"/>
    </row>
    <row r="2450" spans="1:11" x14ac:dyDescent="0.25">
      <c r="A2450" s="20">
        <v>42119</v>
      </c>
      <c r="B2450" s="183">
        <v>18987</v>
      </c>
      <c r="C2450" s="14" t="s">
        <v>333</v>
      </c>
      <c r="D2450" s="105">
        <v>6854.1</v>
      </c>
      <c r="E2450" s="65">
        <v>42119</v>
      </c>
      <c r="F2450" s="106">
        <v>6854.1</v>
      </c>
      <c r="G2450" s="31">
        <f t="shared" si="38"/>
        <v>0</v>
      </c>
      <c r="H2450" s="39" t="s">
        <v>41</v>
      </c>
      <c r="I2450" s="3"/>
      <c r="J2450" s="42"/>
      <c r="K2450" s="3"/>
    </row>
    <row r="2451" spans="1:11" x14ac:dyDescent="0.25">
      <c r="A2451" s="20">
        <v>42119</v>
      </c>
      <c r="B2451" s="183">
        <v>18988</v>
      </c>
      <c r="C2451" s="14" t="s">
        <v>50</v>
      </c>
      <c r="D2451" s="105">
        <v>3585.6</v>
      </c>
      <c r="E2451" s="65">
        <v>42119</v>
      </c>
      <c r="F2451" s="106">
        <v>3585.6</v>
      </c>
      <c r="G2451" s="31">
        <f t="shared" si="38"/>
        <v>0</v>
      </c>
      <c r="H2451" s="39" t="s">
        <v>41</v>
      </c>
      <c r="I2451" s="3"/>
      <c r="J2451" s="42"/>
      <c r="K2451" s="3"/>
    </row>
    <row r="2452" spans="1:11" x14ac:dyDescent="0.25">
      <c r="A2452" s="20">
        <v>42119</v>
      </c>
      <c r="B2452" s="183">
        <v>18989</v>
      </c>
      <c r="C2452" s="14" t="s">
        <v>91</v>
      </c>
      <c r="D2452" s="105">
        <v>25301.7</v>
      </c>
      <c r="E2452" s="65">
        <v>42119</v>
      </c>
      <c r="F2452" s="106">
        <v>25301.7</v>
      </c>
      <c r="G2452" s="31">
        <f t="shared" si="38"/>
        <v>0</v>
      </c>
      <c r="H2452" s="39" t="s">
        <v>59</v>
      </c>
      <c r="I2452" s="3"/>
      <c r="J2452" s="42"/>
      <c r="K2452" s="3"/>
    </row>
    <row r="2453" spans="1:11" x14ac:dyDescent="0.25">
      <c r="A2453" s="20">
        <v>42119</v>
      </c>
      <c r="B2453" s="183">
        <v>18990</v>
      </c>
      <c r="C2453" s="14" t="s">
        <v>1058</v>
      </c>
      <c r="D2453" s="105">
        <v>3532.6</v>
      </c>
      <c r="E2453" s="65">
        <v>42119</v>
      </c>
      <c r="F2453" s="106">
        <v>3532.6</v>
      </c>
      <c r="G2453" s="31">
        <f t="shared" si="38"/>
        <v>0</v>
      </c>
      <c r="H2453" s="39" t="s">
        <v>9</v>
      </c>
      <c r="I2453" s="3"/>
      <c r="J2453" s="42"/>
      <c r="K2453" s="3"/>
    </row>
    <row r="2454" spans="1:11" x14ac:dyDescent="0.25">
      <c r="A2454" s="20">
        <v>42119</v>
      </c>
      <c r="B2454" s="183">
        <v>18991</v>
      </c>
      <c r="C2454" s="14" t="s">
        <v>161</v>
      </c>
      <c r="D2454" s="105">
        <v>2273.6999999999998</v>
      </c>
      <c r="E2454" s="65">
        <v>42119</v>
      </c>
      <c r="F2454" s="106">
        <v>2273.6999999999998</v>
      </c>
      <c r="G2454" s="31">
        <f t="shared" si="38"/>
        <v>0</v>
      </c>
      <c r="H2454" s="39" t="s">
        <v>9</v>
      </c>
      <c r="I2454" s="3"/>
      <c r="J2454" s="42"/>
      <c r="K2454" s="3"/>
    </row>
    <row r="2455" spans="1:11" x14ac:dyDescent="0.25">
      <c r="A2455" s="20">
        <v>42119</v>
      </c>
      <c r="B2455" s="183">
        <v>18992</v>
      </c>
      <c r="C2455" s="14" t="s">
        <v>169</v>
      </c>
      <c r="D2455" s="105">
        <v>2293.5</v>
      </c>
      <c r="E2455" s="65">
        <v>42119</v>
      </c>
      <c r="F2455" s="106">
        <v>2293.5</v>
      </c>
      <c r="G2455" s="31">
        <f t="shared" si="38"/>
        <v>0</v>
      </c>
      <c r="H2455" s="39" t="s">
        <v>1013</v>
      </c>
      <c r="I2455" s="3"/>
      <c r="J2455" s="42"/>
      <c r="K2455" s="3"/>
    </row>
    <row r="2456" spans="1:11" x14ac:dyDescent="0.25">
      <c r="A2456" s="20">
        <v>42119</v>
      </c>
      <c r="B2456" s="183">
        <v>18993</v>
      </c>
      <c r="C2456" s="14" t="s">
        <v>126</v>
      </c>
      <c r="D2456" s="105">
        <v>780</v>
      </c>
      <c r="E2456" s="65">
        <v>42119</v>
      </c>
      <c r="F2456" s="106">
        <v>780</v>
      </c>
      <c r="G2456" s="31">
        <f t="shared" si="38"/>
        <v>0</v>
      </c>
      <c r="H2456" s="39" t="s">
        <v>59</v>
      </c>
      <c r="I2456" s="3"/>
      <c r="J2456" s="42"/>
      <c r="K2456" s="3"/>
    </row>
    <row r="2457" spans="1:11" x14ac:dyDescent="0.25">
      <c r="A2457" s="20">
        <v>42119</v>
      </c>
      <c r="B2457" s="183">
        <v>18994</v>
      </c>
      <c r="C2457" s="14" t="s">
        <v>118</v>
      </c>
      <c r="D2457" s="105">
        <v>6848</v>
      </c>
      <c r="E2457" s="65" t="s">
        <v>1168</v>
      </c>
      <c r="F2457" s="106">
        <f>468+6380</f>
        <v>6848</v>
      </c>
      <c r="G2457" s="31">
        <f t="shared" si="38"/>
        <v>0</v>
      </c>
      <c r="H2457" s="39" t="s">
        <v>59</v>
      </c>
      <c r="I2457" s="3"/>
      <c r="J2457" s="42"/>
      <c r="K2457" s="3"/>
    </row>
    <row r="2458" spans="1:11" x14ac:dyDescent="0.25">
      <c r="A2458" s="20">
        <v>42119</v>
      </c>
      <c r="B2458" s="183">
        <v>18995</v>
      </c>
      <c r="C2458" s="14" t="s">
        <v>82</v>
      </c>
      <c r="D2458" s="105">
        <v>3009.8</v>
      </c>
      <c r="E2458" s="65">
        <v>42119</v>
      </c>
      <c r="F2458" s="106">
        <v>3009.8</v>
      </c>
      <c r="G2458" s="31">
        <f t="shared" si="38"/>
        <v>0</v>
      </c>
      <c r="H2458" s="39" t="s">
        <v>59</v>
      </c>
      <c r="I2458" s="3"/>
      <c r="J2458" s="42"/>
      <c r="K2458" s="3"/>
    </row>
    <row r="2459" spans="1:11" x14ac:dyDescent="0.25">
      <c r="A2459" s="20">
        <v>42119</v>
      </c>
      <c r="B2459" s="183">
        <v>18996</v>
      </c>
      <c r="C2459" s="14" t="s">
        <v>81</v>
      </c>
      <c r="D2459" s="105">
        <v>2417.6</v>
      </c>
      <c r="E2459" s="65">
        <v>42119</v>
      </c>
      <c r="F2459" s="106">
        <v>2417.6</v>
      </c>
      <c r="G2459" s="31">
        <f t="shared" si="38"/>
        <v>0</v>
      </c>
      <c r="H2459" s="39" t="s">
        <v>59</v>
      </c>
      <c r="I2459" s="3"/>
      <c r="J2459" s="42"/>
      <c r="K2459" s="3"/>
    </row>
    <row r="2460" spans="1:11" x14ac:dyDescent="0.25">
      <c r="A2460" s="20">
        <v>42119</v>
      </c>
      <c r="B2460" s="183">
        <v>18997</v>
      </c>
      <c r="C2460" s="14" t="s">
        <v>167</v>
      </c>
      <c r="D2460" s="105">
        <v>307.2</v>
      </c>
      <c r="E2460" s="65">
        <v>42119</v>
      </c>
      <c r="F2460" s="106">
        <v>307.2</v>
      </c>
      <c r="G2460" s="31">
        <f t="shared" si="38"/>
        <v>0</v>
      </c>
      <c r="H2460" s="39" t="s">
        <v>59</v>
      </c>
      <c r="I2460" s="3"/>
      <c r="J2460" s="42"/>
      <c r="K2460" s="3"/>
    </row>
    <row r="2461" spans="1:11" x14ac:dyDescent="0.25">
      <c r="A2461" s="20">
        <v>42119</v>
      </c>
      <c r="B2461" s="183">
        <v>18998</v>
      </c>
      <c r="C2461" s="14" t="s">
        <v>45</v>
      </c>
      <c r="D2461" s="105">
        <v>5515.2</v>
      </c>
      <c r="E2461" s="74">
        <v>42125</v>
      </c>
      <c r="F2461" s="144">
        <v>5515.2</v>
      </c>
      <c r="G2461" s="31">
        <f t="shared" si="38"/>
        <v>0</v>
      </c>
      <c r="H2461" s="39" t="s">
        <v>1013</v>
      </c>
      <c r="I2461" s="3"/>
      <c r="J2461" s="42"/>
      <c r="K2461" s="3"/>
    </row>
    <row r="2462" spans="1:11" x14ac:dyDescent="0.25">
      <c r="A2462" s="20">
        <v>42119</v>
      </c>
      <c r="B2462" s="183">
        <v>18999</v>
      </c>
      <c r="C2462" s="14" t="s">
        <v>168</v>
      </c>
      <c r="D2462" s="105">
        <v>9250.2000000000007</v>
      </c>
      <c r="E2462" s="65">
        <v>42119</v>
      </c>
      <c r="F2462" s="106">
        <v>9250.2000000000007</v>
      </c>
      <c r="G2462" s="31">
        <f t="shared" si="38"/>
        <v>0</v>
      </c>
      <c r="H2462" s="39" t="s">
        <v>59</v>
      </c>
      <c r="I2462" s="3"/>
      <c r="J2462" s="42"/>
      <c r="K2462" s="3"/>
    </row>
    <row r="2463" spans="1:11" x14ac:dyDescent="0.25">
      <c r="A2463" s="20">
        <v>42119</v>
      </c>
      <c r="B2463" s="183">
        <v>19000</v>
      </c>
      <c r="C2463" s="14" t="s">
        <v>116</v>
      </c>
      <c r="D2463" s="105">
        <v>1550.15</v>
      </c>
      <c r="E2463" s="65">
        <v>42119</v>
      </c>
      <c r="F2463" s="106">
        <v>1550.15</v>
      </c>
      <c r="G2463" s="31">
        <f t="shared" si="38"/>
        <v>0</v>
      </c>
      <c r="H2463" s="39" t="s">
        <v>9</v>
      </c>
      <c r="I2463" s="3"/>
      <c r="J2463" s="42"/>
      <c r="K2463" s="3"/>
    </row>
    <row r="2464" spans="1:11" x14ac:dyDescent="0.25">
      <c r="A2464" s="20">
        <v>42119</v>
      </c>
      <c r="B2464" s="183">
        <v>19001</v>
      </c>
      <c r="C2464" s="14" t="s">
        <v>375</v>
      </c>
      <c r="D2464" s="105">
        <v>4450</v>
      </c>
      <c r="E2464" s="65" t="s">
        <v>1169</v>
      </c>
      <c r="F2464" s="106">
        <f>2660+1790</f>
        <v>4450</v>
      </c>
      <c r="G2464" s="31">
        <f t="shared" si="38"/>
        <v>0</v>
      </c>
      <c r="H2464" s="39" t="s">
        <v>9</v>
      </c>
      <c r="I2464" s="3"/>
      <c r="J2464" s="42"/>
      <c r="K2464" s="3"/>
    </row>
    <row r="2465" spans="1:11" x14ac:dyDescent="0.25">
      <c r="A2465" s="20">
        <v>42119</v>
      </c>
      <c r="B2465" s="183">
        <v>19002</v>
      </c>
      <c r="C2465" s="14" t="s">
        <v>133</v>
      </c>
      <c r="D2465" s="105">
        <v>1872</v>
      </c>
      <c r="E2465" s="65">
        <v>42119</v>
      </c>
      <c r="F2465" s="106">
        <v>1872</v>
      </c>
      <c r="G2465" s="31">
        <f t="shared" si="38"/>
        <v>0</v>
      </c>
      <c r="H2465" s="39" t="s">
        <v>9</v>
      </c>
      <c r="I2465" s="3"/>
      <c r="J2465" s="42"/>
      <c r="K2465" s="3"/>
    </row>
    <row r="2466" spans="1:11" x14ac:dyDescent="0.25">
      <c r="A2466" s="20">
        <v>42119</v>
      </c>
      <c r="B2466" s="183">
        <v>19003</v>
      </c>
      <c r="C2466" s="14" t="s">
        <v>157</v>
      </c>
      <c r="D2466" s="105">
        <v>4072.2</v>
      </c>
      <c r="E2466" s="65">
        <v>42119</v>
      </c>
      <c r="F2466" s="106">
        <v>4072.2</v>
      </c>
      <c r="G2466" s="31">
        <f t="shared" si="38"/>
        <v>0</v>
      </c>
      <c r="H2466" s="39" t="s">
        <v>9</v>
      </c>
      <c r="I2466" s="3"/>
      <c r="J2466" s="42"/>
      <c r="K2466" s="3"/>
    </row>
    <row r="2467" spans="1:11" x14ac:dyDescent="0.25">
      <c r="A2467" s="20">
        <v>42119</v>
      </c>
      <c r="B2467" s="183">
        <v>19004</v>
      </c>
      <c r="C2467" s="14" t="s">
        <v>83</v>
      </c>
      <c r="D2467" s="105">
        <v>5351.6</v>
      </c>
      <c r="E2467" s="65">
        <v>42119</v>
      </c>
      <c r="F2467" s="106">
        <v>5351.6</v>
      </c>
      <c r="G2467" s="31">
        <f t="shared" si="38"/>
        <v>0</v>
      </c>
      <c r="H2467" s="39" t="s">
        <v>59</v>
      </c>
      <c r="I2467" s="3"/>
      <c r="J2467" s="42"/>
      <c r="K2467" s="3"/>
    </row>
    <row r="2468" spans="1:11" x14ac:dyDescent="0.25">
      <c r="A2468" s="20">
        <v>42119</v>
      </c>
      <c r="B2468" s="183">
        <v>19005</v>
      </c>
      <c r="C2468" s="14" t="s">
        <v>108</v>
      </c>
      <c r="D2468" s="105">
        <v>50703.3</v>
      </c>
      <c r="E2468" s="74">
        <v>42130</v>
      </c>
      <c r="F2468" s="144">
        <v>50703.3</v>
      </c>
      <c r="G2468" s="31">
        <f t="shared" si="38"/>
        <v>0</v>
      </c>
      <c r="H2468" s="39" t="s">
        <v>46</v>
      </c>
      <c r="I2468" s="3"/>
      <c r="J2468" s="42"/>
      <c r="K2468" s="3"/>
    </row>
    <row r="2469" spans="1:11" x14ac:dyDescent="0.25">
      <c r="A2469" s="20">
        <v>42119</v>
      </c>
      <c r="B2469" s="183">
        <v>19006</v>
      </c>
      <c r="C2469" s="150" t="s">
        <v>57</v>
      </c>
      <c r="D2469" s="105">
        <v>2160</v>
      </c>
      <c r="E2469" s="65">
        <v>42119</v>
      </c>
      <c r="F2469" s="106">
        <v>2160</v>
      </c>
      <c r="G2469" s="31">
        <f t="shared" si="38"/>
        <v>0</v>
      </c>
      <c r="H2469" s="39" t="s">
        <v>59</v>
      </c>
      <c r="I2469" s="3"/>
      <c r="J2469" s="42"/>
      <c r="K2469" s="3"/>
    </row>
    <row r="2470" spans="1:11" x14ac:dyDescent="0.25">
      <c r="A2470" s="20">
        <v>42119</v>
      </c>
      <c r="B2470" s="183">
        <v>19007</v>
      </c>
      <c r="C2470" s="14" t="s">
        <v>53</v>
      </c>
      <c r="D2470" s="105">
        <v>2250.8000000000002</v>
      </c>
      <c r="E2470" s="65">
        <v>42119</v>
      </c>
      <c r="F2470" s="106">
        <v>2250.8000000000002</v>
      </c>
      <c r="G2470" s="31">
        <f t="shared" si="38"/>
        <v>0</v>
      </c>
      <c r="H2470" s="39" t="s">
        <v>59</v>
      </c>
      <c r="I2470" s="3"/>
      <c r="J2470" s="42"/>
      <c r="K2470" s="3"/>
    </row>
    <row r="2471" spans="1:11" x14ac:dyDescent="0.25">
      <c r="A2471" s="20">
        <v>42119</v>
      </c>
      <c r="B2471" s="183">
        <v>19008</v>
      </c>
      <c r="C2471" s="110">
        <v>105</v>
      </c>
      <c r="D2471" s="105">
        <v>3240</v>
      </c>
      <c r="E2471" s="65">
        <v>42119</v>
      </c>
      <c r="F2471" s="106">
        <v>3240</v>
      </c>
      <c r="G2471" s="31">
        <f t="shared" si="38"/>
        <v>0</v>
      </c>
      <c r="H2471" s="39" t="s">
        <v>59</v>
      </c>
      <c r="I2471" s="3"/>
      <c r="J2471" s="42"/>
      <c r="K2471" s="3"/>
    </row>
    <row r="2472" spans="1:11" x14ac:dyDescent="0.25">
      <c r="A2472" s="20">
        <v>42119</v>
      </c>
      <c r="B2472" s="183">
        <v>19009</v>
      </c>
      <c r="C2472" s="14" t="s">
        <v>130</v>
      </c>
      <c r="D2472" s="105">
        <v>7110.6</v>
      </c>
      <c r="E2472" s="65">
        <v>42121</v>
      </c>
      <c r="F2472" s="106">
        <v>7110.6</v>
      </c>
      <c r="G2472" s="31">
        <f t="shared" si="38"/>
        <v>0</v>
      </c>
      <c r="H2472" s="39" t="s">
        <v>17</v>
      </c>
      <c r="I2472" s="3"/>
      <c r="J2472" s="42"/>
      <c r="K2472" s="3"/>
    </row>
    <row r="2473" spans="1:11" x14ac:dyDescent="0.25">
      <c r="A2473" s="20">
        <v>42119</v>
      </c>
      <c r="B2473" s="183">
        <v>19010</v>
      </c>
      <c r="C2473" s="14" t="s">
        <v>131</v>
      </c>
      <c r="D2473" s="105">
        <v>10156.200000000001</v>
      </c>
      <c r="E2473" s="65">
        <v>42120</v>
      </c>
      <c r="F2473" s="106">
        <v>10156.200000000001</v>
      </c>
      <c r="G2473" s="31">
        <f t="shared" si="38"/>
        <v>0</v>
      </c>
      <c r="H2473" s="39" t="s">
        <v>17</v>
      </c>
      <c r="I2473" s="3"/>
      <c r="J2473" s="42"/>
      <c r="K2473" s="3"/>
    </row>
    <row r="2474" spans="1:11" x14ac:dyDescent="0.25">
      <c r="A2474" s="20">
        <v>42119</v>
      </c>
      <c r="B2474" s="183">
        <v>19011</v>
      </c>
      <c r="C2474" s="14" t="s">
        <v>165</v>
      </c>
      <c r="D2474" s="105">
        <v>2897.1</v>
      </c>
      <c r="E2474" s="65">
        <v>42119</v>
      </c>
      <c r="F2474" s="106">
        <v>2897.1</v>
      </c>
      <c r="G2474" s="31">
        <f t="shared" si="38"/>
        <v>0</v>
      </c>
      <c r="H2474" s="39" t="s">
        <v>17</v>
      </c>
      <c r="I2474" s="3"/>
      <c r="J2474" s="42"/>
      <c r="K2474" s="3"/>
    </row>
    <row r="2475" spans="1:11" x14ac:dyDescent="0.25">
      <c r="A2475" s="20">
        <v>42119</v>
      </c>
      <c r="B2475" s="183">
        <v>19012</v>
      </c>
      <c r="C2475" s="14" t="s">
        <v>128</v>
      </c>
      <c r="D2475" s="105">
        <v>4636.8</v>
      </c>
      <c r="E2475" s="65">
        <v>42119</v>
      </c>
      <c r="F2475" s="106">
        <v>4636.8</v>
      </c>
      <c r="G2475" s="31">
        <f t="shared" si="38"/>
        <v>0</v>
      </c>
      <c r="H2475" s="39" t="s">
        <v>17</v>
      </c>
      <c r="I2475" s="3"/>
      <c r="J2475" s="42"/>
      <c r="K2475" s="3"/>
    </row>
    <row r="2476" spans="1:11" x14ac:dyDescent="0.25">
      <c r="A2476" s="20">
        <v>42119</v>
      </c>
      <c r="B2476" s="183">
        <v>19013</v>
      </c>
      <c r="C2476" s="14" t="s">
        <v>151</v>
      </c>
      <c r="D2476" s="105">
        <v>1924.4</v>
      </c>
      <c r="E2476" s="65">
        <v>42121</v>
      </c>
      <c r="F2476" s="106">
        <v>1924.4</v>
      </c>
      <c r="G2476" s="31">
        <f t="shared" si="38"/>
        <v>0</v>
      </c>
      <c r="H2476" s="39" t="s">
        <v>9</v>
      </c>
      <c r="I2476" s="3"/>
      <c r="J2476" s="42"/>
      <c r="K2476" s="3"/>
    </row>
    <row r="2477" spans="1:11" x14ac:dyDescent="0.25">
      <c r="A2477" s="20">
        <v>42119</v>
      </c>
      <c r="B2477" s="183">
        <v>19014</v>
      </c>
      <c r="C2477" s="14" t="s">
        <v>141</v>
      </c>
      <c r="D2477" s="105">
        <v>9309.7999999999993</v>
      </c>
      <c r="E2477" s="74">
        <v>42138</v>
      </c>
      <c r="F2477" s="144">
        <v>9309.7999999999993</v>
      </c>
      <c r="G2477" s="31">
        <f t="shared" si="38"/>
        <v>0</v>
      </c>
      <c r="H2477" s="39" t="s">
        <v>9</v>
      </c>
      <c r="I2477" s="3"/>
      <c r="J2477" s="42"/>
      <c r="K2477" s="3"/>
    </row>
    <row r="2478" spans="1:11" x14ac:dyDescent="0.25">
      <c r="A2478" s="20">
        <v>42119</v>
      </c>
      <c r="B2478" s="183">
        <v>19015</v>
      </c>
      <c r="C2478" s="14" t="s">
        <v>191</v>
      </c>
      <c r="D2478" s="105">
        <v>13395.2</v>
      </c>
      <c r="E2478" s="65">
        <v>42119</v>
      </c>
      <c r="F2478" s="106">
        <v>13395.2</v>
      </c>
      <c r="G2478" s="31">
        <f t="shared" si="38"/>
        <v>0</v>
      </c>
      <c r="H2478" s="39" t="s">
        <v>9</v>
      </c>
      <c r="I2478" s="3"/>
      <c r="J2478" s="42"/>
      <c r="K2478" s="3"/>
    </row>
    <row r="2479" spans="1:11" x14ac:dyDescent="0.25">
      <c r="A2479" s="20">
        <v>42119</v>
      </c>
      <c r="B2479" s="183">
        <v>19016</v>
      </c>
      <c r="C2479" s="14" t="s">
        <v>141</v>
      </c>
      <c r="D2479" s="105">
        <v>780</v>
      </c>
      <c r="E2479" s="65">
        <v>42124</v>
      </c>
      <c r="F2479" s="106">
        <v>780</v>
      </c>
      <c r="G2479" s="31">
        <f t="shared" si="38"/>
        <v>0</v>
      </c>
      <c r="H2479" s="39" t="s">
        <v>9</v>
      </c>
      <c r="I2479" s="3"/>
      <c r="J2479" s="42"/>
      <c r="K2479" s="3"/>
    </row>
    <row r="2480" spans="1:11" x14ac:dyDescent="0.25">
      <c r="A2480" s="20">
        <v>42119</v>
      </c>
      <c r="B2480" s="183">
        <v>19017</v>
      </c>
      <c r="C2480" s="14" t="s">
        <v>570</v>
      </c>
      <c r="D2480" s="105">
        <v>2010.25</v>
      </c>
      <c r="E2480" s="65">
        <v>42119</v>
      </c>
      <c r="F2480" s="106">
        <v>2010.25</v>
      </c>
      <c r="G2480" s="31">
        <f t="shared" si="38"/>
        <v>0</v>
      </c>
      <c r="H2480" s="39" t="s">
        <v>9</v>
      </c>
      <c r="I2480" s="3"/>
      <c r="J2480" s="42"/>
      <c r="K2480" s="3"/>
    </row>
    <row r="2481" spans="1:11" x14ac:dyDescent="0.25">
      <c r="A2481" s="20">
        <v>42119</v>
      </c>
      <c r="B2481" s="183">
        <v>19018</v>
      </c>
      <c r="C2481" s="14" t="s">
        <v>137</v>
      </c>
      <c r="D2481" s="105">
        <v>569.20000000000005</v>
      </c>
      <c r="E2481" s="65">
        <v>42119</v>
      </c>
      <c r="F2481" s="106">
        <v>569.20000000000005</v>
      </c>
      <c r="G2481" s="31">
        <f t="shared" si="38"/>
        <v>0</v>
      </c>
      <c r="H2481" s="39" t="s">
        <v>9</v>
      </c>
      <c r="I2481" s="3"/>
      <c r="J2481" s="42"/>
      <c r="K2481" s="3"/>
    </row>
    <row r="2482" spans="1:11" x14ac:dyDescent="0.25">
      <c r="A2482" s="20">
        <v>42119</v>
      </c>
      <c r="B2482" s="183">
        <v>19019</v>
      </c>
      <c r="C2482" s="14" t="s">
        <v>367</v>
      </c>
      <c r="D2482" s="105">
        <v>1788.5</v>
      </c>
      <c r="E2482" s="74">
        <v>42137</v>
      </c>
      <c r="F2482" s="144">
        <v>1788.5</v>
      </c>
      <c r="G2482" s="31">
        <f t="shared" si="38"/>
        <v>0</v>
      </c>
      <c r="H2482" s="39" t="s">
        <v>9</v>
      </c>
      <c r="I2482" s="3"/>
      <c r="J2482" s="42"/>
      <c r="K2482" s="3"/>
    </row>
    <row r="2483" spans="1:11" x14ac:dyDescent="0.25">
      <c r="A2483" s="20">
        <v>42119</v>
      </c>
      <c r="B2483" s="183">
        <v>19020</v>
      </c>
      <c r="C2483" s="14" t="s">
        <v>102</v>
      </c>
      <c r="D2483" s="105">
        <v>3145.6</v>
      </c>
      <c r="E2483" s="65">
        <v>42119</v>
      </c>
      <c r="F2483" s="106">
        <v>3145.6</v>
      </c>
      <c r="G2483" s="31">
        <f t="shared" si="38"/>
        <v>0</v>
      </c>
      <c r="H2483" s="39" t="s">
        <v>9</v>
      </c>
      <c r="I2483" s="3"/>
      <c r="J2483" s="42"/>
      <c r="K2483" s="3"/>
    </row>
    <row r="2484" spans="1:11" x14ac:dyDescent="0.25">
      <c r="A2484" s="20">
        <v>42119</v>
      </c>
      <c r="B2484" s="183">
        <v>19021</v>
      </c>
      <c r="C2484" s="14" t="s">
        <v>285</v>
      </c>
      <c r="D2484" s="105">
        <v>1009.2</v>
      </c>
      <c r="E2484" s="65">
        <v>42121</v>
      </c>
      <c r="F2484" s="106">
        <v>1009.2</v>
      </c>
      <c r="G2484" s="31">
        <f t="shared" si="38"/>
        <v>0</v>
      </c>
      <c r="H2484" s="39" t="s">
        <v>15</v>
      </c>
      <c r="I2484" s="3"/>
      <c r="J2484" s="42"/>
      <c r="K2484" s="3"/>
    </row>
    <row r="2485" spans="1:11" x14ac:dyDescent="0.25">
      <c r="A2485" s="20">
        <v>42119</v>
      </c>
      <c r="B2485" s="183">
        <v>19022</v>
      </c>
      <c r="C2485" s="14" t="s">
        <v>179</v>
      </c>
      <c r="D2485" s="105">
        <v>3315.2</v>
      </c>
      <c r="E2485" s="65">
        <v>42121</v>
      </c>
      <c r="F2485" s="106">
        <v>3315.2</v>
      </c>
      <c r="G2485" s="31">
        <f t="shared" si="38"/>
        <v>0</v>
      </c>
      <c r="H2485" s="39" t="s">
        <v>15</v>
      </c>
      <c r="I2485" s="3"/>
      <c r="J2485" s="42"/>
      <c r="K2485" s="3"/>
    </row>
    <row r="2486" spans="1:11" x14ac:dyDescent="0.25">
      <c r="A2486" s="20">
        <v>42119</v>
      </c>
      <c r="B2486" s="183">
        <v>19023</v>
      </c>
      <c r="C2486" s="14" t="s">
        <v>1117</v>
      </c>
      <c r="D2486" s="105">
        <v>2570.5</v>
      </c>
      <c r="E2486" s="65">
        <v>42119</v>
      </c>
      <c r="F2486" s="106">
        <v>2570.5</v>
      </c>
      <c r="G2486" s="31">
        <f t="shared" si="38"/>
        <v>0</v>
      </c>
      <c r="H2486" s="39" t="s">
        <v>9</v>
      </c>
      <c r="I2486" s="3"/>
      <c r="J2486" s="42"/>
      <c r="K2486" s="3"/>
    </row>
    <row r="2487" spans="1:11" x14ac:dyDescent="0.25">
      <c r="A2487" s="20">
        <v>42119</v>
      </c>
      <c r="B2487" s="183">
        <v>19024</v>
      </c>
      <c r="C2487" s="14" t="s">
        <v>136</v>
      </c>
      <c r="D2487" s="105">
        <v>540</v>
      </c>
      <c r="E2487" s="65">
        <v>42119</v>
      </c>
      <c r="F2487" s="106">
        <v>540</v>
      </c>
      <c r="G2487" s="31">
        <f t="shared" si="38"/>
        <v>0</v>
      </c>
      <c r="H2487" s="39" t="s">
        <v>9</v>
      </c>
      <c r="I2487" s="3"/>
      <c r="J2487" s="42"/>
      <c r="K2487" s="3"/>
    </row>
    <row r="2488" spans="1:11" x14ac:dyDescent="0.25">
      <c r="A2488" s="20">
        <v>42119</v>
      </c>
      <c r="B2488" s="183">
        <v>19025</v>
      </c>
      <c r="C2488" s="14" t="s">
        <v>135</v>
      </c>
      <c r="D2488" s="105">
        <v>1204</v>
      </c>
      <c r="E2488" s="65">
        <v>42119</v>
      </c>
      <c r="F2488" s="106">
        <v>1204</v>
      </c>
      <c r="G2488" s="31">
        <f t="shared" si="38"/>
        <v>0</v>
      </c>
      <c r="H2488" s="39" t="s">
        <v>9</v>
      </c>
      <c r="I2488" s="3"/>
      <c r="J2488" s="42"/>
      <c r="K2488" s="3"/>
    </row>
    <row r="2489" spans="1:11" x14ac:dyDescent="0.25">
      <c r="A2489" s="20">
        <v>42119</v>
      </c>
      <c r="B2489" s="183">
        <v>19026</v>
      </c>
      <c r="C2489" s="150" t="s">
        <v>111</v>
      </c>
      <c r="D2489" s="105">
        <v>289667</v>
      </c>
      <c r="E2489" s="65">
        <v>42122</v>
      </c>
      <c r="F2489" s="106">
        <v>289667</v>
      </c>
      <c r="G2489" s="31">
        <f t="shared" si="38"/>
        <v>0</v>
      </c>
      <c r="H2489" s="39" t="s">
        <v>9</v>
      </c>
      <c r="I2489" s="3"/>
      <c r="J2489" s="42"/>
      <c r="K2489" s="3"/>
    </row>
    <row r="2490" spans="1:11" x14ac:dyDescent="0.25">
      <c r="A2490" s="20">
        <v>42119</v>
      </c>
      <c r="B2490" s="183">
        <v>19027</v>
      </c>
      <c r="C2490" s="14" t="s">
        <v>1162</v>
      </c>
      <c r="D2490" s="105">
        <v>720</v>
      </c>
      <c r="E2490" s="65">
        <v>42119</v>
      </c>
      <c r="F2490" s="106">
        <v>720</v>
      </c>
      <c r="G2490" s="31">
        <f t="shared" si="38"/>
        <v>0</v>
      </c>
      <c r="H2490" s="39" t="s">
        <v>9</v>
      </c>
      <c r="I2490" s="3"/>
      <c r="J2490" s="42"/>
      <c r="K2490" s="3"/>
    </row>
    <row r="2491" spans="1:11" x14ac:dyDescent="0.25">
      <c r="A2491" s="20">
        <v>42119</v>
      </c>
      <c r="B2491" s="183">
        <v>19028</v>
      </c>
      <c r="C2491" s="14" t="s">
        <v>411</v>
      </c>
      <c r="D2491" s="105">
        <v>1486.8</v>
      </c>
      <c r="E2491" s="65">
        <v>42119</v>
      </c>
      <c r="F2491" s="106">
        <v>1486.8</v>
      </c>
      <c r="G2491" s="31">
        <f t="shared" si="38"/>
        <v>0</v>
      </c>
      <c r="H2491" s="39" t="s">
        <v>9</v>
      </c>
      <c r="I2491" s="3"/>
      <c r="J2491" s="42"/>
      <c r="K2491" s="3"/>
    </row>
    <row r="2492" spans="1:11" x14ac:dyDescent="0.25">
      <c r="A2492" s="20">
        <v>42119</v>
      </c>
      <c r="B2492" s="183">
        <v>19029</v>
      </c>
      <c r="C2492" s="14" t="s">
        <v>66</v>
      </c>
      <c r="D2492" s="105">
        <v>172</v>
      </c>
      <c r="E2492" s="65">
        <v>42119</v>
      </c>
      <c r="F2492" s="106">
        <v>172</v>
      </c>
      <c r="G2492" s="31">
        <f t="shared" si="38"/>
        <v>0</v>
      </c>
      <c r="H2492" s="39" t="s">
        <v>9</v>
      </c>
      <c r="I2492" s="3"/>
      <c r="J2492" s="42"/>
      <c r="K2492" s="3"/>
    </row>
    <row r="2493" spans="1:11" x14ac:dyDescent="0.25">
      <c r="A2493" s="20">
        <v>42119</v>
      </c>
      <c r="B2493" s="183">
        <v>19030</v>
      </c>
      <c r="C2493" s="14" t="s">
        <v>110</v>
      </c>
      <c r="D2493" s="105">
        <v>10343.799999999999</v>
      </c>
      <c r="E2493" s="74">
        <v>42126</v>
      </c>
      <c r="F2493" s="144">
        <v>10343.799999999999</v>
      </c>
      <c r="G2493" s="31">
        <f t="shared" si="38"/>
        <v>0</v>
      </c>
      <c r="H2493" s="39" t="s">
        <v>46</v>
      </c>
      <c r="I2493" s="3"/>
      <c r="J2493" s="42"/>
      <c r="K2493" s="3"/>
    </row>
    <row r="2494" spans="1:11" x14ac:dyDescent="0.25">
      <c r="A2494" s="20">
        <v>42119</v>
      </c>
      <c r="B2494" s="183">
        <v>19031</v>
      </c>
      <c r="C2494" s="14" t="s">
        <v>102</v>
      </c>
      <c r="D2494" s="105">
        <v>264</v>
      </c>
      <c r="E2494" s="65">
        <v>42119</v>
      </c>
      <c r="F2494" s="106">
        <v>264</v>
      </c>
      <c r="G2494" s="31">
        <f t="shared" si="38"/>
        <v>0</v>
      </c>
      <c r="H2494" s="39" t="s">
        <v>9</v>
      </c>
      <c r="I2494" s="3"/>
      <c r="J2494" s="42"/>
      <c r="K2494" s="3"/>
    </row>
    <row r="2495" spans="1:11" x14ac:dyDescent="0.25">
      <c r="A2495" s="20">
        <v>42119</v>
      </c>
      <c r="B2495" s="183">
        <v>19032</v>
      </c>
      <c r="C2495" s="14" t="s">
        <v>110</v>
      </c>
      <c r="D2495" s="105">
        <v>89228.52</v>
      </c>
      <c r="E2495" s="74">
        <v>42126</v>
      </c>
      <c r="F2495" s="144">
        <v>89228.52</v>
      </c>
      <c r="G2495" s="31">
        <f t="shared" si="38"/>
        <v>0</v>
      </c>
      <c r="H2495" s="39" t="s">
        <v>46</v>
      </c>
      <c r="I2495" s="3"/>
      <c r="J2495" s="42"/>
      <c r="K2495" s="3"/>
    </row>
    <row r="2496" spans="1:11" x14ac:dyDescent="0.25">
      <c r="A2496" s="20">
        <v>42119</v>
      </c>
      <c r="B2496" s="183">
        <v>19033</v>
      </c>
      <c r="C2496" s="14" t="s">
        <v>35</v>
      </c>
      <c r="D2496" s="105">
        <v>180</v>
      </c>
      <c r="E2496" s="65">
        <v>42119</v>
      </c>
      <c r="F2496" s="106">
        <v>180</v>
      </c>
      <c r="G2496" s="31">
        <f t="shared" si="38"/>
        <v>0</v>
      </c>
      <c r="H2496" s="39" t="s">
        <v>9</v>
      </c>
      <c r="I2496" s="3"/>
      <c r="J2496" s="42"/>
      <c r="K2496" s="3"/>
    </row>
    <row r="2497" spans="1:11" x14ac:dyDescent="0.25">
      <c r="A2497" s="20">
        <v>42119</v>
      </c>
      <c r="B2497" s="183">
        <v>19034</v>
      </c>
      <c r="C2497" s="14" t="s">
        <v>47</v>
      </c>
      <c r="D2497" s="105">
        <v>19186.8</v>
      </c>
      <c r="E2497" s="65">
        <v>42119</v>
      </c>
      <c r="F2497" s="106">
        <v>19186.8</v>
      </c>
      <c r="G2497" s="31">
        <f t="shared" si="38"/>
        <v>0</v>
      </c>
      <c r="H2497" s="39" t="s">
        <v>773</v>
      </c>
      <c r="I2497" s="3"/>
      <c r="J2497" s="42"/>
      <c r="K2497" s="3"/>
    </row>
    <row r="2498" spans="1:11" x14ac:dyDescent="0.25">
      <c r="A2498" s="20">
        <v>42119</v>
      </c>
      <c r="B2498" s="183">
        <v>19035</v>
      </c>
      <c r="C2498" s="14" t="s">
        <v>256</v>
      </c>
      <c r="D2498" s="105">
        <v>6967.4</v>
      </c>
      <c r="E2498" s="65">
        <v>42121</v>
      </c>
      <c r="F2498" s="106">
        <v>6967.4</v>
      </c>
      <c r="G2498" s="31">
        <f t="shared" si="38"/>
        <v>0</v>
      </c>
      <c r="H2498" s="39" t="s">
        <v>773</v>
      </c>
      <c r="I2498" s="3"/>
      <c r="J2498" s="42"/>
      <c r="K2498" s="3"/>
    </row>
    <row r="2499" spans="1:11" x14ac:dyDescent="0.25">
      <c r="A2499" s="20">
        <v>42119</v>
      </c>
      <c r="B2499" s="183">
        <v>19036</v>
      </c>
      <c r="C2499" s="14" t="s">
        <v>440</v>
      </c>
      <c r="D2499" s="105">
        <v>9753.6</v>
      </c>
      <c r="E2499" s="65">
        <v>42119</v>
      </c>
      <c r="F2499" s="106">
        <v>9753.6</v>
      </c>
      <c r="G2499" s="31">
        <f t="shared" ref="G2499:G2562" si="39">D2499-F2499</f>
        <v>0</v>
      </c>
      <c r="H2499" s="39" t="s">
        <v>9</v>
      </c>
      <c r="I2499" s="3"/>
      <c r="J2499" s="42"/>
      <c r="K2499" s="3"/>
    </row>
    <row r="2500" spans="1:11" x14ac:dyDescent="0.25">
      <c r="A2500" s="20">
        <v>42119</v>
      </c>
      <c r="B2500" s="183">
        <v>19037</v>
      </c>
      <c r="C2500" s="14" t="s">
        <v>130</v>
      </c>
      <c r="D2500" s="105">
        <v>12275.9</v>
      </c>
      <c r="E2500" s="65">
        <v>42121</v>
      </c>
      <c r="F2500" s="106">
        <v>12275.9</v>
      </c>
      <c r="G2500" s="31">
        <f t="shared" si="39"/>
        <v>0</v>
      </c>
      <c r="H2500" s="39" t="s">
        <v>17</v>
      </c>
      <c r="I2500" s="3"/>
      <c r="J2500" s="42"/>
      <c r="K2500" s="3"/>
    </row>
    <row r="2501" spans="1:11" x14ac:dyDescent="0.25">
      <c r="A2501" s="20">
        <v>42119</v>
      </c>
      <c r="B2501" s="183">
        <v>19038</v>
      </c>
      <c r="C2501" s="14" t="s">
        <v>291</v>
      </c>
      <c r="D2501" s="105">
        <v>11168.3</v>
      </c>
      <c r="E2501" s="65">
        <v>42119</v>
      </c>
      <c r="F2501" s="106">
        <v>11168.3</v>
      </c>
      <c r="G2501" s="31">
        <f t="shared" si="39"/>
        <v>0</v>
      </c>
      <c r="H2501" s="39" t="s">
        <v>9</v>
      </c>
      <c r="I2501" s="3"/>
      <c r="J2501" s="42"/>
      <c r="K2501" s="3"/>
    </row>
    <row r="2502" spans="1:11" x14ac:dyDescent="0.25">
      <c r="A2502" s="20">
        <v>42119</v>
      </c>
      <c r="B2502" s="183">
        <v>19039</v>
      </c>
      <c r="C2502" s="14" t="s">
        <v>56</v>
      </c>
      <c r="D2502" s="105">
        <v>3822.8</v>
      </c>
      <c r="E2502" s="65">
        <v>42121</v>
      </c>
      <c r="F2502" s="106">
        <v>3822.8</v>
      </c>
      <c r="G2502" s="31">
        <f t="shared" si="39"/>
        <v>0</v>
      </c>
      <c r="H2502" s="39" t="s">
        <v>9</v>
      </c>
      <c r="I2502" s="3"/>
      <c r="J2502" s="42"/>
      <c r="K2502" s="3"/>
    </row>
    <row r="2503" spans="1:11" x14ac:dyDescent="0.25">
      <c r="A2503" s="20">
        <v>42119</v>
      </c>
      <c r="B2503" s="183">
        <v>19040</v>
      </c>
      <c r="C2503" s="14" t="s">
        <v>406</v>
      </c>
      <c r="D2503" s="105">
        <v>20903.400000000001</v>
      </c>
      <c r="E2503" s="65">
        <v>42121</v>
      </c>
      <c r="F2503" s="106">
        <v>20903.400000000001</v>
      </c>
      <c r="G2503" s="31">
        <f t="shared" si="39"/>
        <v>0</v>
      </c>
      <c r="H2503" s="39" t="s">
        <v>773</v>
      </c>
      <c r="I2503" s="3"/>
      <c r="J2503" s="42"/>
      <c r="K2503" s="3"/>
    </row>
    <row r="2504" spans="1:11" x14ac:dyDescent="0.25">
      <c r="A2504" s="20">
        <v>42119</v>
      </c>
      <c r="B2504" s="183">
        <v>19041</v>
      </c>
      <c r="C2504" s="14" t="s">
        <v>821</v>
      </c>
      <c r="D2504" s="105">
        <v>6231</v>
      </c>
      <c r="E2504" s="65">
        <v>42119</v>
      </c>
      <c r="F2504" s="106">
        <v>6231</v>
      </c>
      <c r="G2504" s="31">
        <f t="shared" si="39"/>
        <v>0</v>
      </c>
      <c r="H2504" s="39" t="s">
        <v>9</v>
      </c>
      <c r="I2504" s="3"/>
      <c r="J2504" s="42"/>
      <c r="K2504" s="3"/>
    </row>
    <row r="2505" spans="1:11" x14ac:dyDescent="0.25">
      <c r="A2505" s="20">
        <v>42119</v>
      </c>
      <c r="B2505" s="183">
        <v>19042</v>
      </c>
      <c r="C2505" s="14" t="s">
        <v>158</v>
      </c>
      <c r="D2505" s="105">
        <v>1097.5999999999999</v>
      </c>
      <c r="E2505" s="65">
        <v>42119</v>
      </c>
      <c r="F2505" s="106">
        <v>1097.5999999999999</v>
      </c>
      <c r="G2505" s="31">
        <f t="shared" si="39"/>
        <v>0</v>
      </c>
      <c r="H2505" s="39" t="s">
        <v>9</v>
      </c>
      <c r="I2505" s="3"/>
      <c r="J2505" s="42"/>
      <c r="K2505" s="3"/>
    </row>
    <row r="2506" spans="1:11" x14ac:dyDescent="0.25">
      <c r="A2506" s="20">
        <v>42119</v>
      </c>
      <c r="B2506" s="183">
        <v>19043</v>
      </c>
      <c r="C2506" s="14" t="s">
        <v>158</v>
      </c>
      <c r="D2506" s="105">
        <v>1576.6</v>
      </c>
      <c r="E2506" s="65">
        <v>42119</v>
      </c>
      <c r="F2506" s="106">
        <v>1576.6</v>
      </c>
      <c r="G2506" s="31">
        <f t="shared" si="39"/>
        <v>0</v>
      </c>
      <c r="H2506" s="39" t="s">
        <v>9</v>
      </c>
      <c r="I2506" s="3"/>
      <c r="J2506" s="42"/>
      <c r="K2506" s="3"/>
    </row>
    <row r="2507" spans="1:11" x14ac:dyDescent="0.25">
      <c r="A2507" s="20">
        <v>42119</v>
      </c>
      <c r="B2507" s="183">
        <v>19044</v>
      </c>
      <c r="C2507" s="14" t="s">
        <v>834</v>
      </c>
      <c r="D2507" s="105">
        <v>7564.6</v>
      </c>
      <c r="E2507" s="65">
        <v>42119</v>
      </c>
      <c r="F2507" s="106">
        <v>7564.6</v>
      </c>
      <c r="G2507" s="31">
        <f t="shared" si="39"/>
        <v>0</v>
      </c>
      <c r="H2507" s="39" t="s">
        <v>9</v>
      </c>
      <c r="I2507" s="3"/>
      <c r="J2507" s="42"/>
      <c r="K2507" s="3"/>
    </row>
    <row r="2508" spans="1:11" x14ac:dyDescent="0.25">
      <c r="A2508" s="20">
        <v>42119</v>
      </c>
      <c r="B2508" s="183">
        <v>19045</v>
      </c>
      <c r="C2508" s="14" t="s">
        <v>37</v>
      </c>
      <c r="D2508" s="105">
        <v>329.7</v>
      </c>
      <c r="E2508" s="65">
        <v>42119</v>
      </c>
      <c r="F2508" s="106">
        <v>329.7</v>
      </c>
      <c r="G2508" s="31">
        <f t="shared" si="39"/>
        <v>0</v>
      </c>
      <c r="H2508" s="39" t="s">
        <v>9</v>
      </c>
      <c r="I2508" s="3"/>
      <c r="J2508" s="42"/>
      <c r="K2508" s="3"/>
    </row>
    <row r="2509" spans="1:11" x14ac:dyDescent="0.25">
      <c r="A2509" s="20">
        <v>42119</v>
      </c>
      <c r="B2509" s="183">
        <v>19046</v>
      </c>
      <c r="C2509" s="14" t="s">
        <v>104</v>
      </c>
      <c r="D2509" s="105">
        <v>2575.8000000000002</v>
      </c>
      <c r="E2509" s="65">
        <v>42121</v>
      </c>
      <c r="F2509" s="106">
        <v>2575.8000000000002</v>
      </c>
      <c r="G2509" s="31">
        <f t="shared" si="39"/>
        <v>0</v>
      </c>
      <c r="H2509" s="39" t="s">
        <v>19</v>
      </c>
      <c r="I2509" s="3"/>
      <c r="J2509" s="42"/>
      <c r="K2509" s="3"/>
    </row>
    <row r="2510" spans="1:11" x14ac:dyDescent="0.25">
      <c r="A2510" s="20">
        <v>42119</v>
      </c>
      <c r="B2510" s="183">
        <v>19047</v>
      </c>
      <c r="C2510" s="14" t="s">
        <v>624</v>
      </c>
      <c r="D2510" s="105">
        <v>5137.6000000000004</v>
      </c>
      <c r="E2510" s="65">
        <v>42119</v>
      </c>
      <c r="F2510" s="106">
        <v>5137.6000000000004</v>
      </c>
      <c r="G2510" s="31">
        <f t="shared" si="39"/>
        <v>0</v>
      </c>
      <c r="H2510" s="39" t="s">
        <v>41</v>
      </c>
      <c r="I2510" s="3"/>
      <c r="J2510" s="42"/>
      <c r="K2510" s="3"/>
    </row>
    <row r="2511" spans="1:11" x14ac:dyDescent="0.25">
      <c r="A2511" s="20">
        <v>42119</v>
      </c>
      <c r="B2511" s="183">
        <v>19048</v>
      </c>
      <c r="C2511" s="14" t="s">
        <v>93</v>
      </c>
      <c r="D2511" s="105">
        <v>2461.6</v>
      </c>
      <c r="E2511" s="65">
        <v>42121</v>
      </c>
      <c r="F2511" s="106">
        <v>2461.6</v>
      </c>
      <c r="G2511" s="31">
        <f t="shared" si="39"/>
        <v>0</v>
      </c>
      <c r="H2511" s="39" t="s">
        <v>19</v>
      </c>
      <c r="I2511" s="3"/>
      <c r="J2511" s="42"/>
      <c r="K2511" s="3"/>
    </row>
    <row r="2512" spans="1:11" x14ac:dyDescent="0.25">
      <c r="A2512" s="20">
        <v>42119</v>
      </c>
      <c r="B2512" s="183">
        <v>19049</v>
      </c>
      <c r="C2512" s="14" t="s">
        <v>95</v>
      </c>
      <c r="D2512" s="105">
        <v>4137.8</v>
      </c>
      <c r="E2512" s="65">
        <v>42121</v>
      </c>
      <c r="F2512" s="106">
        <v>4137.8</v>
      </c>
      <c r="G2512" s="31">
        <f t="shared" si="39"/>
        <v>0</v>
      </c>
      <c r="H2512" s="39" t="s">
        <v>19</v>
      </c>
      <c r="I2512" s="3"/>
      <c r="J2512" s="42"/>
      <c r="K2512" s="3"/>
    </row>
    <row r="2513" spans="1:11" x14ac:dyDescent="0.25">
      <c r="A2513" s="20">
        <v>42119</v>
      </c>
      <c r="B2513" s="183">
        <v>19050</v>
      </c>
      <c r="C2513" s="14" t="s">
        <v>136</v>
      </c>
      <c r="D2513" s="105">
        <v>34455.599999999999</v>
      </c>
      <c r="E2513" s="65">
        <v>42119</v>
      </c>
      <c r="F2513" s="106">
        <v>34455.599999999999</v>
      </c>
      <c r="G2513" s="31">
        <f t="shared" si="39"/>
        <v>0</v>
      </c>
      <c r="H2513" s="39" t="s">
        <v>9</v>
      </c>
      <c r="I2513" s="3"/>
      <c r="J2513" s="42"/>
      <c r="K2513" s="3"/>
    </row>
    <row r="2514" spans="1:11" x14ac:dyDescent="0.25">
      <c r="A2514" s="20">
        <v>42119</v>
      </c>
      <c r="B2514" s="183">
        <v>19051</v>
      </c>
      <c r="C2514" s="14" t="s">
        <v>98</v>
      </c>
      <c r="D2514" s="105">
        <v>2632.9</v>
      </c>
      <c r="E2514" s="65">
        <v>42121</v>
      </c>
      <c r="F2514" s="106">
        <v>2632.9</v>
      </c>
      <c r="G2514" s="31">
        <f t="shared" si="39"/>
        <v>0</v>
      </c>
      <c r="H2514" s="39" t="s">
        <v>19</v>
      </c>
      <c r="I2514" s="3"/>
      <c r="J2514" s="42"/>
      <c r="K2514" s="3"/>
    </row>
    <row r="2515" spans="1:11" x14ac:dyDescent="0.25">
      <c r="A2515" s="20">
        <v>42119</v>
      </c>
      <c r="B2515" s="183">
        <v>19052</v>
      </c>
      <c r="C2515" s="14" t="s">
        <v>213</v>
      </c>
      <c r="D2515" s="105">
        <v>51744</v>
      </c>
      <c r="E2515" s="65">
        <v>42122</v>
      </c>
      <c r="F2515" s="106">
        <v>51744</v>
      </c>
      <c r="G2515" s="31">
        <f t="shared" si="39"/>
        <v>0</v>
      </c>
      <c r="H2515" s="39" t="s">
        <v>1013</v>
      </c>
      <c r="I2515" s="3"/>
      <c r="J2515" s="42"/>
      <c r="K2515" s="3"/>
    </row>
    <row r="2516" spans="1:11" x14ac:dyDescent="0.25">
      <c r="A2516" s="20">
        <v>42119</v>
      </c>
      <c r="B2516" s="183">
        <v>19053</v>
      </c>
      <c r="C2516" s="14" t="s">
        <v>111</v>
      </c>
      <c r="D2516" s="105">
        <v>50173.19</v>
      </c>
      <c r="E2516" s="65">
        <v>42122</v>
      </c>
      <c r="F2516" s="106">
        <v>50173.19</v>
      </c>
      <c r="G2516" s="31">
        <f t="shared" si="39"/>
        <v>0</v>
      </c>
      <c r="H2516" s="39" t="s">
        <v>1013</v>
      </c>
      <c r="I2516" s="3"/>
      <c r="J2516" s="42"/>
      <c r="K2516" s="3"/>
    </row>
    <row r="2517" spans="1:11" x14ac:dyDescent="0.25">
      <c r="A2517" s="20">
        <v>42119</v>
      </c>
      <c r="B2517" s="183">
        <v>19054</v>
      </c>
      <c r="C2517" s="14" t="s">
        <v>1116</v>
      </c>
      <c r="D2517" s="105">
        <v>1650.8</v>
      </c>
      <c r="E2517" s="65">
        <v>42121</v>
      </c>
      <c r="F2517" s="106">
        <v>1650.8</v>
      </c>
      <c r="G2517" s="31">
        <f t="shared" si="39"/>
        <v>0</v>
      </c>
      <c r="H2517" s="39" t="s">
        <v>19</v>
      </c>
      <c r="I2517" s="3"/>
      <c r="J2517" s="42"/>
      <c r="K2517" s="3"/>
    </row>
    <row r="2518" spans="1:11" x14ac:dyDescent="0.25">
      <c r="A2518" s="20">
        <v>42119</v>
      </c>
      <c r="B2518" s="183">
        <v>19055</v>
      </c>
      <c r="C2518" s="14" t="s">
        <v>106</v>
      </c>
      <c r="D2518" s="105">
        <v>11787.72</v>
      </c>
      <c r="E2518" s="65">
        <v>42121</v>
      </c>
      <c r="F2518" s="106">
        <v>11787.72</v>
      </c>
      <c r="G2518" s="31">
        <f t="shared" si="39"/>
        <v>0</v>
      </c>
      <c r="H2518" s="39" t="s">
        <v>19</v>
      </c>
      <c r="I2518" s="3"/>
      <c r="J2518" s="42"/>
      <c r="K2518" s="3"/>
    </row>
    <row r="2519" spans="1:11" x14ac:dyDescent="0.25">
      <c r="A2519" s="20">
        <v>42119</v>
      </c>
      <c r="B2519" s="183">
        <v>19056</v>
      </c>
      <c r="C2519" s="14" t="s">
        <v>484</v>
      </c>
      <c r="D2519" s="105">
        <v>14897.4</v>
      </c>
      <c r="E2519" s="74">
        <v>42126</v>
      </c>
      <c r="F2519" s="144">
        <v>14897.4</v>
      </c>
      <c r="G2519" s="31">
        <f t="shared" si="39"/>
        <v>0</v>
      </c>
      <c r="H2519" s="39" t="s">
        <v>9</v>
      </c>
      <c r="I2519" s="3"/>
      <c r="J2519" s="42"/>
      <c r="K2519" s="3"/>
    </row>
    <row r="2520" spans="1:11" x14ac:dyDescent="0.25">
      <c r="A2520" s="20">
        <v>42119</v>
      </c>
      <c r="B2520" s="183">
        <v>19057</v>
      </c>
      <c r="C2520" s="14" t="s">
        <v>791</v>
      </c>
      <c r="D2520" s="105">
        <v>432.2</v>
      </c>
      <c r="E2520" s="65">
        <v>42121</v>
      </c>
      <c r="F2520" s="106">
        <v>432.2</v>
      </c>
      <c r="G2520" s="31">
        <f t="shared" si="39"/>
        <v>0</v>
      </c>
      <c r="H2520" s="39" t="s">
        <v>9</v>
      </c>
      <c r="I2520" s="3"/>
      <c r="J2520" s="42"/>
      <c r="K2520" s="3"/>
    </row>
    <row r="2521" spans="1:11" x14ac:dyDescent="0.25">
      <c r="A2521" s="20">
        <v>42119</v>
      </c>
      <c r="B2521" s="183">
        <v>19058</v>
      </c>
      <c r="C2521" s="14" t="s">
        <v>125</v>
      </c>
      <c r="D2521" s="105">
        <v>10422.799999999999</v>
      </c>
      <c r="E2521" s="74" t="s">
        <v>1214</v>
      </c>
      <c r="F2521" s="144">
        <f>3000+7422.8</f>
        <v>10422.799999999999</v>
      </c>
      <c r="G2521" s="31">
        <f t="shared" si="39"/>
        <v>0</v>
      </c>
      <c r="H2521" s="39" t="s">
        <v>17</v>
      </c>
      <c r="I2521" s="3"/>
      <c r="J2521" s="42"/>
      <c r="K2521" s="3"/>
    </row>
    <row r="2522" spans="1:11" x14ac:dyDescent="0.25">
      <c r="A2522" s="20">
        <v>42119</v>
      </c>
      <c r="B2522" s="183">
        <v>19059</v>
      </c>
      <c r="C2522" s="14" t="s">
        <v>624</v>
      </c>
      <c r="D2522" s="105">
        <v>700</v>
      </c>
      <c r="E2522" s="65">
        <v>42119</v>
      </c>
      <c r="F2522" s="106">
        <v>700</v>
      </c>
      <c r="G2522" s="31">
        <f t="shared" si="39"/>
        <v>0</v>
      </c>
      <c r="H2522" s="39" t="s">
        <v>9</v>
      </c>
      <c r="I2522" s="3"/>
      <c r="J2522" s="42"/>
      <c r="K2522" s="3"/>
    </row>
    <row r="2523" spans="1:11" x14ac:dyDescent="0.25">
      <c r="A2523" s="20">
        <v>42119</v>
      </c>
      <c r="B2523" s="183">
        <v>19060</v>
      </c>
      <c r="C2523" s="14" t="s">
        <v>1101</v>
      </c>
      <c r="D2523" s="105">
        <v>156</v>
      </c>
      <c r="E2523" s="65">
        <v>42119</v>
      </c>
      <c r="F2523" s="106">
        <v>156</v>
      </c>
      <c r="G2523" s="31">
        <f t="shared" si="39"/>
        <v>0</v>
      </c>
      <c r="H2523" s="39" t="s">
        <v>9</v>
      </c>
      <c r="I2523" s="3"/>
      <c r="J2523" s="42"/>
      <c r="K2523" s="3"/>
    </row>
    <row r="2524" spans="1:11" x14ac:dyDescent="0.25">
      <c r="A2524" s="20">
        <v>42119</v>
      </c>
      <c r="B2524" s="183">
        <v>19061</v>
      </c>
      <c r="C2524" s="26" t="s">
        <v>218</v>
      </c>
      <c r="D2524" s="108">
        <v>0</v>
      </c>
      <c r="E2524" s="65"/>
      <c r="F2524" s="106"/>
      <c r="G2524" s="31">
        <f t="shared" si="39"/>
        <v>0</v>
      </c>
      <c r="H2524" s="39" t="s">
        <v>13</v>
      </c>
      <c r="I2524" s="3"/>
      <c r="J2524" s="42"/>
      <c r="K2524" s="3"/>
    </row>
    <row r="2525" spans="1:11" x14ac:dyDescent="0.25">
      <c r="A2525" s="20">
        <v>42119</v>
      </c>
      <c r="B2525" s="183">
        <v>19062</v>
      </c>
      <c r="C2525" s="14" t="s">
        <v>161</v>
      </c>
      <c r="D2525" s="105">
        <v>25056</v>
      </c>
      <c r="E2525" s="65">
        <v>42119</v>
      </c>
      <c r="F2525" s="106">
        <v>25056</v>
      </c>
      <c r="G2525" s="31">
        <f t="shared" si="39"/>
        <v>0</v>
      </c>
      <c r="H2525" s="39" t="s">
        <v>9</v>
      </c>
      <c r="I2525" s="3"/>
      <c r="J2525" s="42"/>
      <c r="K2525" s="3"/>
    </row>
    <row r="2526" spans="1:11" x14ac:dyDescent="0.25">
      <c r="A2526" s="20">
        <v>42119</v>
      </c>
      <c r="B2526" s="183">
        <v>19063</v>
      </c>
      <c r="C2526" s="14" t="s">
        <v>1058</v>
      </c>
      <c r="D2526" s="105">
        <v>2354</v>
      </c>
      <c r="E2526" s="65">
        <v>42119</v>
      </c>
      <c r="F2526" s="106">
        <v>2354</v>
      </c>
      <c r="G2526" s="31">
        <f t="shared" si="39"/>
        <v>0</v>
      </c>
      <c r="H2526" s="39" t="s">
        <v>9</v>
      </c>
      <c r="I2526" s="3"/>
      <c r="J2526" s="42"/>
      <c r="K2526" s="3"/>
    </row>
    <row r="2527" spans="1:11" x14ac:dyDescent="0.25">
      <c r="A2527" s="20">
        <v>42119</v>
      </c>
      <c r="B2527" s="183">
        <v>19064</v>
      </c>
      <c r="C2527" s="14" t="s">
        <v>24</v>
      </c>
      <c r="D2527" s="105">
        <v>258451.41</v>
      </c>
      <c r="E2527" s="74">
        <v>42144</v>
      </c>
      <c r="F2527" s="144">
        <v>258451.41</v>
      </c>
      <c r="G2527" s="31">
        <f t="shared" si="39"/>
        <v>0</v>
      </c>
      <c r="H2527" s="39" t="s">
        <v>46</v>
      </c>
      <c r="I2527" s="3"/>
      <c r="J2527" s="42"/>
      <c r="K2527" s="3"/>
    </row>
    <row r="2528" spans="1:11" x14ac:dyDescent="0.25">
      <c r="A2528" s="20">
        <v>42119</v>
      </c>
      <c r="B2528" s="183">
        <v>19065</v>
      </c>
      <c r="C2528" s="14" t="s">
        <v>24</v>
      </c>
      <c r="D2528" s="105">
        <v>28061.4</v>
      </c>
      <c r="E2528" s="74">
        <v>42144</v>
      </c>
      <c r="F2528" s="144">
        <v>28061.4</v>
      </c>
      <c r="G2528" s="31">
        <f t="shared" si="39"/>
        <v>0</v>
      </c>
      <c r="H2528" s="39" t="s">
        <v>149</v>
      </c>
      <c r="I2528" s="3"/>
      <c r="J2528" s="42"/>
      <c r="K2528" s="3"/>
    </row>
    <row r="2529" spans="1:11" x14ac:dyDescent="0.25">
      <c r="A2529" s="20">
        <v>42119</v>
      </c>
      <c r="B2529" s="183">
        <v>19066</v>
      </c>
      <c r="C2529" s="14" t="s">
        <v>47</v>
      </c>
      <c r="D2529" s="105">
        <v>707.72</v>
      </c>
      <c r="E2529" s="65">
        <v>42122</v>
      </c>
      <c r="F2529" s="106">
        <v>707.72</v>
      </c>
      <c r="G2529" s="31">
        <f t="shared" si="39"/>
        <v>0</v>
      </c>
      <c r="H2529" s="39" t="s">
        <v>9</v>
      </c>
      <c r="I2529" s="3"/>
      <c r="J2529" s="42"/>
      <c r="K2529" s="3"/>
    </row>
    <row r="2530" spans="1:11" x14ac:dyDescent="0.25">
      <c r="A2530" s="20">
        <v>42119</v>
      </c>
      <c r="B2530" s="183">
        <v>19067</v>
      </c>
      <c r="C2530" s="14" t="s">
        <v>66</v>
      </c>
      <c r="D2530" s="105">
        <v>307.8</v>
      </c>
      <c r="E2530" s="65">
        <v>42119</v>
      </c>
      <c r="F2530" s="106">
        <v>307.8</v>
      </c>
      <c r="G2530" s="31">
        <f t="shared" si="39"/>
        <v>0</v>
      </c>
      <c r="H2530" s="39" t="s">
        <v>9</v>
      </c>
      <c r="I2530" s="3"/>
      <c r="J2530" s="42"/>
      <c r="K2530" s="3"/>
    </row>
    <row r="2531" spans="1:11" x14ac:dyDescent="0.25">
      <c r="A2531" s="20">
        <v>42119</v>
      </c>
      <c r="B2531" s="183">
        <v>19068</v>
      </c>
      <c r="C2531" s="150" t="s">
        <v>294</v>
      </c>
      <c r="D2531" s="105">
        <v>1470.4</v>
      </c>
      <c r="E2531" s="65">
        <v>42119</v>
      </c>
      <c r="F2531" s="106">
        <v>1470.4</v>
      </c>
      <c r="G2531" s="31">
        <f t="shared" si="39"/>
        <v>0</v>
      </c>
      <c r="H2531" s="39" t="s">
        <v>9</v>
      </c>
      <c r="I2531" s="3"/>
      <c r="J2531" s="42"/>
      <c r="K2531" s="3"/>
    </row>
    <row r="2532" spans="1:11" x14ac:dyDescent="0.25">
      <c r="A2532" s="20">
        <v>42119</v>
      </c>
      <c r="B2532" s="183">
        <v>19069</v>
      </c>
      <c r="C2532" s="14" t="s">
        <v>1020</v>
      </c>
      <c r="D2532" s="105">
        <v>4804.8</v>
      </c>
      <c r="E2532" s="65">
        <v>42119</v>
      </c>
      <c r="F2532" s="106">
        <v>4804.8</v>
      </c>
      <c r="G2532" s="31">
        <f t="shared" si="39"/>
        <v>0</v>
      </c>
      <c r="H2532" s="39" t="s">
        <v>9</v>
      </c>
      <c r="I2532" s="3"/>
      <c r="J2532" s="42"/>
      <c r="K2532" s="3"/>
    </row>
    <row r="2533" spans="1:11" x14ac:dyDescent="0.25">
      <c r="A2533" s="20">
        <v>42119</v>
      </c>
      <c r="B2533" s="183">
        <v>19070</v>
      </c>
      <c r="C2533" s="14" t="s">
        <v>14</v>
      </c>
      <c r="D2533" s="105">
        <v>97824.01</v>
      </c>
      <c r="E2533" s="74">
        <v>42126</v>
      </c>
      <c r="F2533" s="144">
        <v>97824.01</v>
      </c>
      <c r="G2533" s="31">
        <f t="shared" si="39"/>
        <v>0</v>
      </c>
      <c r="H2533" s="39" t="s">
        <v>15</v>
      </c>
      <c r="I2533" s="3"/>
      <c r="J2533" s="42"/>
      <c r="K2533" s="3"/>
    </row>
    <row r="2534" spans="1:11" x14ac:dyDescent="0.25">
      <c r="A2534" s="20">
        <v>42120</v>
      </c>
      <c r="B2534" s="183">
        <v>19071</v>
      </c>
      <c r="C2534" s="14" t="s">
        <v>21</v>
      </c>
      <c r="D2534" s="105">
        <v>6485.6</v>
      </c>
      <c r="E2534" s="65">
        <v>42120</v>
      </c>
      <c r="F2534" s="106">
        <v>6485.6</v>
      </c>
      <c r="G2534" s="31">
        <f t="shared" si="39"/>
        <v>0</v>
      </c>
      <c r="H2534" s="39" t="s">
        <v>9</v>
      </c>
      <c r="I2534" s="3"/>
      <c r="J2534" s="42"/>
      <c r="K2534" s="3"/>
    </row>
    <row r="2535" spans="1:11" x14ac:dyDescent="0.25">
      <c r="A2535" s="20">
        <v>42120</v>
      </c>
      <c r="B2535" s="183">
        <v>19072</v>
      </c>
      <c r="C2535" s="14" t="s">
        <v>1012</v>
      </c>
      <c r="D2535" s="105">
        <v>11820.2</v>
      </c>
      <c r="E2535" s="65">
        <v>42120</v>
      </c>
      <c r="F2535" s="106">
        <v>11820.2</v>
      </c>
      <c r="G2535" s="31">
        <f t="shared" si="39"/>
        <v>0</v>
      </c>
      <c r="H2535" s="39" t="s">
        <v>9</v>
      </c>
      <c r="I2535" s="3"/>
      <c r="J2535" s="42"/>
      <c r="K2535" s="3"/>
    </row>
    <row r="2536" spans="1:11" x14ac:dyDescent="0.25">
      <c r="A2536" s="20">
        <v>42120</v>
      </c>
      <c r="B2536" s="183">
        <v>19073</v>
      </c>
      <c r="C2536" s="14" t="s">
        <v>16</v>
      </c>
      <c r="D2536" s="105">
        <v>8220</v>
      </c>
      <c r="E2536" s="65">
        <v>42120</v>
      </c>
      <c r="F2536" s="106">
        <v>8220</v>
      </c>
      <c r="G2536" s="31">
        <f t="shared" si="39"/>
        <v>0</v>
      </c>
      <c r="H2536" s="39" t="s">
        <v>62</v>
      </c>
      <c r="I2536" s="3"/>
      <c r="J2536" s="42"/>
      <c r="K2536" s="3"/>
    </row>
    <row r="2537" spans="1:11" x14ac:dyDescent="0.25">
      <c r="A2537" s="20">
        <v>42120</v>
      </c>
      <c r="B2537" s="183">
        <v>19074</v>
      </c>
      <c r="C2537" s="14" t="s">
        <v>383</v>
      </c>
      <c r="D2537" s="105">
        <v>2725.4</v>
      </c>
      <c r="E2537" s="65">
        <v>42120</v>
      </c>
      <c r="F2537" s="106">
        <v>2725.4</v>
      </c>
      <c r="G2537" s="31">
        <f t="shared" si="39"/>
        <v>0</v>
      </c>
      <c r="H2537" s="39" t="s">
        <v>9</v>
      </c>
      <c r="I2537" s="3"/>
      <c r="J2537" s="42"/>
      <c r="K2537" s="3"/>
    </row>
    <row r="2538" spans="1:11" x14ac:dyDescent="0.25">
      <c r="A2538" s="20">
        <v>42120</v>
      </c>
      <c r="B2538" s="183">
        <v>19075</v>
      </c>
      <c r="C2538" s="14" t="s">
        <v>215</v>
      </c>
      <c r="D2538" s="105">
        <v>10408.6</v>
      </c>
      <c r="E2538" s="65">
        <v>42120</v>
      </c>
      <c r="F2538" s="106">
        <v>10408.6</v>
      </c>
      <c r="G2538" s="31">
        <f t="shared" si="39"/>
        <v>0</v>
      </c>
      <c r="H2538" s="39" t="s">
        <v>62</v>
      </c>
      <c r="I2538" s="3"/>
      <c r="J2538" s="42"/>
      <c r="K2538" s="3"/>
    </row>
    <row r="2539" spans="1:11" x14ac:dyDescent="0.25">
      <c r="A2539" s="20">
        <v>42120</v>
      </c>
      <c r="B2539" s="183">
        <v>19076</v>
      </c>
      <c r="C2539" s="14" t="s">
        <v>53</v>
      </c>
      <c r="D2539" s="105">
        <v>1931.2</v>
      </c>
      <c r="E2539" s="65">
        <v>42121</v>
      </c>
      <c r="F2539" s="106">
        <v>1931.2</v>
      </c>
      <c r="G2539" s="31">
        <f t="shared" si="39"/>
        <v>0</v>
      </c>
      <c r="H2539" s="39" t="s">
        <v>59</v>
      </c>
      <c r="I2539" s="3"/>
      <c r="J2539" s="42"/>
      <c r="K2539" s="3"/>
    </row>
    <row r="2540" spans="1:11" x14ac:dyDescent="0.25">
      <c r="A2540" s="20">
        <v>42120</v>
      </c>
      <c r="B2540" s="183">
        <v>19077</v>
      </c>
      <c r="C2540" s="14" t="s">
        <v>120</v>
      </c>
      <c r="D2540" s="105">
        <v>1563.9</v>
      </c>
      <c r="E2540" s="65">
        <v>42121</v>
      </c>
      <c r="F2540" s="106">
        <v>1563.9</v>
      </c>
      <c r="G2540" s="31">
        <f t="shared" si="39"/>
        <v>0</v>
      </c>
      <c r="H2540" s="39" t="s">
        <v>59</v>
      </c>
      <c r="I2540" s="3"/>
      <c r="J2540" s="42"/>
      <c r="K2540" s="3"/>
    </row>
    <row r="2541" spans="1:11" x14ac:dyDescent="0.25">
      <c r="A2541" s="20">
        <v>42120</v>
      </c>
      <c r="B2541" s="183">
        <v>19078</v>
      </c>
      <c r="C2541" s="14" t="s">
        <v>155</v>
      </c>
      <c r="D2541" s="105">
        <v>3986.4</v>
      </c>
      <c r="E2541" s="65">
        <v>42121</v>
      </c>
      <c r="F2541" s="106">
        <v>3986.4</v>
      </c>
      <c r="G2541" s="31">
        <f t="shared" si="39"/>
        <v>0</v>
      </c>
      <c r="H2541" s="39" t="s">
        <v>59</v>
      </c>
      <c r="I2541" s="3"/>
      <c r="J2541" s="42"/>
      <c r="K2541" s="3"/>
    </row>
    <row r="2542" spans="1:11" x14ac:dyDescent="0.25">
      <c r="A2542" s="20">
        <v>42120</v>
      </c>
      <c r="B2542" s="183">
        <v>19079</v>
      </c>
      <c r="C2542" s="14" t="s">
        <v>152</v>
      </c>
      <c r="D2542" s="105">
        <v>9954.4500000000007</v>
      </c>
      <c r="E2542" s="65">
        <v>42121</v>
      </c>
      <c r="F2542" s="106">
        <v>9954.4500000000007</v>
      </c>
      <c r="G2542" s="31">
        <f t="shared" si="39"/>
        <v>0</v>
      </c>
      <c r="H2542" s="39" t="s">
        <v>59</v>
      </c>
      <c r="I2542" s="3"/>
      <c r="J2542" s="42"/>
      <c r="K2542" s="3"/>
    </row>
    <row r="2543" spans="1:11" x14ac:dyDescent="0.25">
      <c r="A2543" s="20">
        <v>42120</v>
      </c>
      <c r="B2543" s="183">
        <v>19080</v>
      </c>
      <c r="C2543" s="14" t="s">
        <v>915</v>
      </c>
      <c r="D2543" s="105">
        <v>1077.8</v>
      </c>
      <c r="E2543" s="65">
        <v>42121</v>
      </c>
      <c r="F2543" s="106">
        <v>1077.8</v>
      </c>
      <c r="G2543" s="31">
        <f t="shared" si="39"/>
        <v>0</v>
      </c>
      <c r="H2543" s="39" t="s">
        <v>59</v>
      </c>
      <c r="I2543" s="3"/>
      <c r="J2543" s="42"/>
      <c r="K2543" s="3"/>
    </row>
    <row r="2544" spans="1:11" x14ac:dyDescent="0.25">
      <c r="A2544" s="20">
        <v>42120</v>
      </c>
      <c r="B2544" s="183">
        <v>19081</v>
      </c>
      <c r="C2544" s="14" t="s">
        <v>854</v>
      </c>
      <c r="D2544" s="105">
        <v>2084.5</v>
      </c>
      <c r="E2544" s="65">
        <v>42120</v>
      </c>
      <c r="F2544" s="106">
        <v>2084.5</v>
      </c>
      <c r="G2544" s="31">
        <f t="shared" si="39"/>
        <v>0</v>
      </c>
      <c r="H2544" s="39" t="s">
        <v>9</v>
      </c>
      <c r="I2544" s="3"/>
      <c r="J2544" s="42"/>
      <c r="K2544" s="3"/>
    </row>
    <row r="2545" spans="1:11" x14ac:dyDescent="0.25">
      <c r="A2545" s="20">
        <v>42120</v>
      </c>
      <c r="B2545" s="183">
        <v>19082</v>
      </c>
      <c r="C2545" s="14" t="s">
        <v>125</v>
      </c>
      <c r="D2545" s="105">
        <v>37375.5</v>
      </c>
      <c r="E2545" s="65">
        <v>42121</v>
      </c>
      <c r="F2545" s="106">
        <v>37375.5</v>
      </c>
      <c r="G2545" s="31">
        <f t="shared" si="39"/>
        <v>0</v>
      </c>
      <c r="H2545" s="39" t="s">
        <v>187</v>
      </c>
      <c r="I2545" s="3"/>
      <c r="J2545" s="42"/>
      <c r="K2545" s="3"/>
    </row>
    <row r="2546" spans="1:11" x14ac:dyDescent="0.25">
      <c r="A2546" s="20">
        <v>42120</v>
      </c>
      <c r="B2546" s="183">
        <v>19083</v>
      </c>
      <c r="C2546" s="14" t="s">
        <v>130</v>
      </c>
      <c r="D2546" s="105">
        <v>5302.5</v>
      </c>
      <c r="E2546" s="65">
        <v>42121</v>
      </c>
      <c r="F2546" s="106">
        <v>5302.5</v>
      </c>
      <c r="G2546" s="31">
        <f t="shared" si="39"/>
        <v>0</v>
      </c>
      <c r="H2546" s="39" t="s">
        <v>17</v>
      </c>
      <c r="I2546" s="3"/>
      <c r="J2546" s="42"/>
      <c r="K2546" s="3"/>
    </row>
    <row r="2547" spans="1:11" x14ac:dyDescent="0.25">
      <c r="A2547" s="20">
        <v>42120</v>
      </c>
      <c r="B2547" s="183">
        <v>19084</v>
      </c>
      <c r="C2547" s="14" t="s">
        <v>131</v>
      </c>
      <c r="D2547" s="105">
        <v>5302.7</v>
      </c>
      <c r="E2547" s="65">
        <v>42120</v>
      </c>
      <c r="F2547" s="106">
        <v>5302.7</v>
      </c>
      <c r="G2547" s="31">
        <f t="shared" si="39"/>
        <v>0</v>
      </c>
      <c r="H2547" s="39" t="s">
        <v>17</v>
      </c>
      <c r="I2547" s="3"/>
      <c r="J2547" s="42"/>
      <c r="K2547" s="3"/>
    </row>
    <row r="2548" spans="1:11" x14ac:dyDescent="0.25">
      <c r="A2548" s="20">
        <v>42120</v>
      </c>
      <c r="B2548" s="183">
        <v>19085</v>
      </c>
      <c r="C2548" s="14" t="s">
        <v>165</v>
      </c>
      <c r="D2548" s="105">
        <v>2781</v>
      </c>
      <c r="E2548" s="65">
        <v>42120</v>
      </c>
      <c r="F2548" s="106">
        <v>2781</v>
      </c>
      <c r="G2548" s="31">
        <f t="shared" si="39"/>
        <v>0</v>
      </c>
      <c r="H2548" s="39" t="s">
        <v>17</v>
      </c>
      <c r="I2548" s="3"/>
      <c r="J2548" s="42"/>
      <c r="K2548" s="3"/>
    </row>
    <row r="2549" spans="1:11" x14ac:dyDescent="0.25">
      <c r="A2549" s="20">
        <v>42120</v>
      </c>
      <c r="B2549" s="183">
        <v>19086</v>
      </c>
      <c r="C2549" s="14" t="s">
        <v>82</v>
      </c>
      <c r="D2549" s="105">
        <v>2480.4</v>
      </c>
      <c r="E2549" s="65">
        <v>42121</v>
      </c>
      <c r="F2549" s="106">
        <v>2480.4</v>
      </c>
      <c r="G2549" s="31">
        <f t="shared" si="39"/>
        <v>0</v>
      </c>
      <c r="H2549" s="39" t="s">
        <v>59</v>
      </c>
      <c r="I2549" s="3"/>
      <c r="J2549" s="42"/>
      <c r="K2549" s="3"/>
    </row>
    <row r="2550" spans="1:11" x14ac:dyDescent="0.25">
      <c r="A2550" s="20">
        <v>42120</v>
      </c>
      <c r="B2550" s="183">
        <v>19087</v>
      </c>
      <c r="C2550" s="14" t="s">
        <v>55</v>
      </c>
      <c r="D2550" s="105">
        <v>25571.7</v>
      </c>
      <c r="E2550" s="65">
        <v>42121</v>
      </c>
      <c r="F2550" s="106">
        <v>25571.7</v>
      </c>
      <c r="G2550" s="31">
        <f t="shared" si="39"/>
        <v>0</v>
      </c>
      <c r="H2550" s="39" t="s">
        <v>773</v>
      </c>
      <c r="I2550" s="3"/>
      <c r="J2550" s="42"/>
      <c r="K2550" s="3"/>
    </row>
    <row r="2551" spans="1:11" x14ac:dyDescent="0.25">
      <c r="A2551" s="20">
        <v>42120</v>
      </c>
      <c r="B2551" s="183">
        <v>19088</v>
      </c>
      <c r="C2551" s="26" t="s">
        <v>218</v>
      </c>
      <c r="D2551" s="108">
        <v>0</v>
      </c>
      <c r="E2551" s="65"/>
      <c r="F2551" s="106"/>
      <c r="G2551" s="31">
        <f t="shared" si="39"/>
        <v>0</v>
      </c>
      <c r="H2551" s="39" t="s">
        <v>13</v>
      </c>
      <c r="I2551" s="3"/>
      <c r="J2551" s="42"/>
      <c r="K2551" s="3"/>
    </row>
    <row r="2552" spans="1:11" x14ac:dyDescent="0.25">
      <c r="A2552" s="20">
        <v>42120</v>
      </c>
      <c r="B2552" s="183">
        <v>19089</v>
      </c>
      <c r="C2552" s="14" t="s">
        <v>256</v>
      </c>
      <c r="D2552" s="105">
        <v>6452.6</v>
      </c>
      <c r="E2552" s="65">
        <v>42121</v>
      </c>
      <c r="F2552" s="106">
        <v>6452.6</v>
      </c>
      <c r="G2552" s="31">
        <f t="shared" si="39"/>
        <v>0</v>
      </c>
      <c r="H2552" s="39" t="s">
        <v>773</v>
      </c>
      <c r="I2552" s="3"/>
      <c r="J2552" s="42"/>
      <c r="K2552" s="3"/>
    </row>
    <row r="2553" spans="1:11" x14ac:dyDescent="0.25">
      <c r="A2553" s="20">
        <v>42120</v>
      </c>
      <c r="B2553" s="183">
        <v>19090</v>
      </c>
      <c r="C2553" s="110">
        <v>105</v>
      </c>
      <c r="D2553" s="105">
        <v>2520</v>
      </c>
      <c r="E2553" s="65">
        <v>42122</v>
      </c>
      <c r="F2553" s="106">
        <v>2520</v>
      </c>
      <c r="G2553" s="31">
        <f t="shared" si="39"/>
        <v>0</v>
      </c>
      <c r="H2553" s="39" t="s">
        <v>59</v>
      </c>
      <c r="I2553" s="3"/>
      <c r="J2553" s="42"/>
      <c r="K2553" s="3"/>
    </row>
    <row r="2554" spans="1:11" x14ac:dyDescent="0.25">
      <c r="A2554" s="20">
        <v>42120</v>
      </c>
      <c r="B2554" s="183">
        <v>19091</v>
      </c>
      <c r="C2554" s="14" t="s">
        <v>103</v>
      </c>
      <c r="D2554" s="105">
        <v>25026.6</v>
      </c>
      <c r="E2554" s="65">
        <v>42123</v>
      </c>
      <c r="F2554" s="106">
        <v>25026.6</v>
      </c>
      <c r="G2554" s="31">
        <f t="shared" si="39"/>
        <v>0</v>
      </c>
      <c r="H2554" s="39" t="s">
        <v>773</v>
      </c>
      <c r="I2554" s="3"/>
      <c r="J2554" s="42"/>
      <c r="K2554" s="3"/>
    </row>
    <row r="2555" spans="1:11" x14ac:dyDescent="0.25">
      <c r="A2555" s="20">
        <v>42120</v>
      </c>
      <c r="B2555" s="183">
        <v>19092</v>
      </c>
      <c r="C2555" s="14" t="s">
        <v>141</v>
      </c>
      <c r="D2555" s="105">
        <v>11061.8</v>
      </c>
      <c r="E2555" s="74" t="s">
        <v>1251</v>
      </c>
      <c r="F2555" s="144">
        <f>7000+4061.8</f>
        <v>11061.8</v>
      </c>
      <c r="G2555" s="31">
        <f t="shared" si="39"/>
        <v>0</v>
      </c>
      <c r="H2555" s="39" t="s">
        <v>17</v>
      </c>
      <c r="I2555" s="3"/>
      <c r="J2555" s="42"/>
      <c r="K2555" s="3"/>
    </row>
    <row r="2556" spans="1:11" x14ac:dyDescent="0.25">
      <c r="A2556" s="20">
        <v>42120</v>
      </c>
      <c r="B2556" s="183">
        <v>19093</v>
      </c>
      <c r="C2556" s="14" t="s">
        <v>66</v>
      </c>
      <c r="D2556" s="105">
        <v>1473.25</v>
      </c>
      <c r="E2556" s="65">
        <v>42120</v>
      </c>
      <c r="F2556" s="106">
        <v>1473.25</v>
      </c>
      <c r="G2556" s="31">
        <f t="shared" si="39"/>
        <v>0</v>
      </c>
      <c r="H2556" s="39" t="s">
        <v>9</v>
      </c>
      <c r="I2556" s="3"/>
      <c r="J2556" s="42"/>
      <c r="K2556" s="3"/>
    </row>
    <row r="2557" spans="1:11" x14ac:dyDescent="0.25">
      <c r="A2557" s="20">
        <v>42120</v>
      </c>
      <c r="B2557" s="183">
        <v>19094</v>
      </c>
      <c r="C2557" s="14" t="s">
        <v>375</v>
      </c>
      <c r="D2557" s="105">
        <v>4800.6000000000004</v>
      </c>
      <c r="E2557" s="65">
        <v>42120</v>
      </c>
      <c r="F2557" s="106">
        <v>4800.6000000000004</v>
      </c>
      <c r="G2557" s="31">
        <f t="shared" si="39"/>
        <v>0</v>
      </c>
      <c r="H2557" s="39" t="s">
        <v>9</v>
      </c>
      <c r="I2557" s="3"/>
      <c r="J2557" s="42"/>
      <c r="K2557" s="3"/>
    </row>
    <row r="2558" spans="1:11" x14ac:dyDescent="0.25">
      <c r="A2558" s="20">
        <v>42120</v>
      </c>
      <c r="B2558" s="183">
        <v>19095</v>
      </c>
      <c r="C2558" s="14" t="s">
        <v>34</v>
      </c>
      <c r="D2558" s="105">
        <v>3132</v>
      </c>
      <c r="E2558" s="65">
        <v>42120</v>
      </c>
      <c r="F2558" s="106">
        <v>3132</v>
      </c>
      <c r="G2558" s="31">
        <f t="shared" si="39"/>
        <v>0</v>
      </c>
      <c r="H2558" s="39" t="s">
        <v>9</v>
      </c>
      <c r="I2558" s="3"/>
      <c r="J2558" s="42"/>
      <c r="K2558" s="3"/>
    </row>
    <row r="2559" spans="1:11" x14ac:dyDescent="0.25">
      <c r="A2559" s="20">
        <v>42120</v>
      </c>
      <c r="B2559" s="183">
        <v>19096</v>
      </c>
      <c r="C2559" s="14" t="s">
        <v>1116</v>
      </c>
      <c r="D2559" s="105">
        <v>720</v>
      </c>
      <c r="E2559" s="65">
        <v>42121</v>
      </c>
      <c r="F2559" s="106">
        <v>720</v>
      </c>
      <c r="G2559" s="31">
        <f t="shared" si="39"/>
        <v>0</v>
      </c>
      <c r="H2559" s="39" t="s">
        <v>59</v>
      </c>
      <c r="I2559" s="3"/>
      <c r="J2559" s="42"/>
      <c r="K2559" s="3"/>
    </row>
    <row r="2560" spans="1:11" x14ac:dyDescent="0.25">
      <c r="A2560" s="20">
        <v>42120</v>
      </c>
      <c r="B2560" s="183">
        <v>19097</v>
      </c>
      <c r="C2560" s="14" t="s">
        <v>215</v>
      </c>
      <c r="D2560" s="105">
        <v>15096</v>
      </c>
      <c r="E2560" s="65">
        <v>42120</v>
      </c>
      <c r="F2560" s="106">
        <v>15096</v>
      </c>
      <c r="G2560" s="31">
        <f t="shared" si="39"/>
        <v>0</v>
      </c>
      <c r="H2560" s="39" t="s">
        <v>9</v>
      </c>
      <c r="I2560" s="3"/>
      <c r="J2560" s="42"/>
      <c r="K2560" s="3"/>
    </row>
    <row r="2561" spans="1:11" x14ac:dyDescent="0.25">
      <c r="A2561" s="20">
        <v>42120</v>
      </c>
      <c r="B2561" s="183">
        <v>19098</v>
      </c>
      <c r="C2561" s="150" t="s">
        <v>236</v>
      </c>
      <c r="D2561" s="105">
        <v>35487.199999999997</v>
      </c>
      <c r="E2561" s="74" t="s">
        <v>1233</v>
      </c>
      <c r="F2561" s="144">
        <f>32387.46+3099.74</f>
        <v>35487.199999999997</v>
      </c>
      <c r="G2561" s="31">
        <f t="shared" si="39"/>
        <v>0</v>
      </c>
      <c r="H2561" s="39" t="s">
        <v>773</v>
      </c>
      <c r="I2561" s="3"/>
      <c r="J2561" s="42"/>
      <c r="K2561" s="3"/>
    </row>
    <row r="2562" spans="1:11" x14ac:dyDescent="0.25">
      <c r="A2562" s="20">
        <v>42120</v>
      </c>
      <c r="B2562" s="183">
        <v>19099</v>
      </c>
      <c r="C2562" s="14" t="s">
        <v>137</v>
      </c>
      <c r="D2562" s="105">
        <v>578.54999999999995</v>
      </c>
      <c r="E2562" s="65">
        <v>42120</v>
      </c>
      <c r="F2562" s="106">
        <v>578.54999999999995</v>
      </c>
      <c r="G2562" s="31">
        <f t="shared" si="39"/>
        <v>0</v>
      </c>
      <c r="H2562" s="39" t="s">
        <v>9</v>
      </c>
      <c r="I2562" s="3"/>
      <c r="J2562" s="42"/>
      <c r="K2562" s="3"/>
    </row>
    <row r="2563" spans="1:11" x14ac:dyDescent="0.25">
      <c r="A2563" s="20">
        <v>42120</v>
      </c>
      <c r="B2563" s="183">
        <v>19100</v>
      </c>
      <c r="C2563" s="14" t="s">
        <v>86</v>
      </c>
      <c r="D2563" s="105">
        <v>293.55</v>
      </c>
      <c r="E2563" s="65">
        <v>42120</v>
      </c>
      <c r="F2563" s="106">
        <v>293.55</v>
      </c>
      <c r="G2563" s="31">
        <f t="shared" ref="G2563:G2626" si="40">D2563-F2563</f>
        <v>0</v>
      </c>
      <c r="H2563" s="39" t="s">
        <v>9</v>
      </c>
      <c r="I2563" s="3"/>
      <c r="J2563" s="42"/>
      <c r="K2563" s="3"/>
    </row>
    <row r="2564" spans="1:11" x14ac:dyDescent="0.25">
      <c r="A2564" s="20">
        <v>42120</v>
      </c>
      <c r="B2564" s="183">
        <v>19101</v>
      </c>
      <c r="C2564" s="14" t="s">
        <v>32</v>
      </c>
      <c r="D2564" s="105">
        <v>34512.400000000001</v>
      </c>
      <c r="E2564" s="74">
        <v>42128</v>
      </c>
      <c r="F2564" s="144">
        <v>34512.400000000001</v>
      </c>
      <c r="G2564" s="31">
        <f t="shared" si="40"/>
        <v>0</v>
      </c>
      <c r="H2564" s="39" t="s">
        <v>9</v>
      </c>
      <c r="I2564" s="3"/>
      <c r="J2564" s="42"/>
      <c r="K2564" s="3"/>
    </row>
    <row r="2565" spans="1:11" x14ac:dyDescent="0.25">
      <c r="A2565" s="20">
        <v>42120</v>
      </c>
      <c r="B2565" s="183">
        <v>19102</v>
      </c>
      <c r="C2565" s="14" t="s">
        <v>26</v>
      </c>
      <c r="D2565" s="105">
        <v>2176</v>
      </c>
      <c r="E2565" s="65">
        <v>42120</v>
      </c>
      <c r="F2565" s="106">
        <v>2176</v>
      </c>
      <c r="G2565" s="31">
        <f t="shared" si="40"/>
        <v>0</v>
      </c>
      <c r="H2565" s="39" t="s">
        <v>187</v>
      </c>
      <c r="I2565" s="3"/>
      <c r="J2565" s="42"/>
      <c r="K2565" s="3"/>
    </row>
    <row r="2566" spans="1:11" x14ac:dyDescent="0.25">
      <c r="A2566" s="20">
        <v>42120</v>
      </c>
      <c r="B2566" s="183">
        <v>19103</v>
      </c>
      <c r="C2566" s="14" t="s">
        <v>225</v>
      </c>
      <c r="D2566" s="105">
        <v>2427.4</v>
      </c>
      <c r="E2566" s="65">
        <v>42120</v>
      </c>
      <c r="F2566" s="106">
        <v>2427.4</v>
      </c>
      <c r="G2566" s="31">
        <f t="shared" si="40"/>
        <v>0</v>
      </c>
      <c r="H2566" s="39" t="s">
        <v>9</v>
      </c>
      <c r="I2566" s="3"/>
      <c r="J2566" s="42"/>
      <c r="K2566" s="3"/>
    </row>
    <row r="2567" spans="1:11" x14ac:dyDescent="0.25">
      <c r="A2567" s="20">
        <v>42120</v>
      </c>
      <c r="B2567" s="183">
        <v>19104</v>
      </c>
      <c r="C2567" s="14" t="s">
        <v>48</v>
      </c>
      <c r="D2567" s="105">
        <v>5028</v>
      </c>
      <c r="E2567" s="65">
        <v>42120</v>
      </c>
      <c r="F2567" s="106">
        <v>5028</v>
      </c>
      <c r="G2567" s="31">
        <f t="shared" si="40"/>
        <v>0</v>
      </c>
      <c r="H2567" s="39" t="s">
        <v>187</v>
      </c>
      <c r="I2567" s="3"/>
      <c r="J2567" s="42"/>
      <c r="K2567" s="3"/>
    </row>
    <row r="2568" spans="1:11" x14ac:dyDescent="0.25">
      <c r="A2568" s="20">
        <v>42120</v>
      </c>
      <c r="B2568" s="183">
        <v>19105</v>
      </c>
      <c r="C2568" s="14" t="s">
        <v>399</v>
      </c>
      <c r="D2568" s="105">
        <v>506</v>
      </c>
      <c r="E2568" s="65">
        <v>42120</v>
      </c>
      <c r="F2568" s="106">
        <v>506</v>
      </c>
      <c r="G2568" s="31">
        <f t="shared" si="40"/>
        <v>0</v>
      </c>
      <c r="H2568" s="39" t="s">
        <v>15</v>
      </c>
      <c r="I2568" s="3"/>
      <c r="J2568" s="42"/>
      <c r="K2568" s="3"/>
    </row>
    <row r="2569" spans="1:11" x14ac:dyDescent="0.25">
      <c r="A2569" s="20">
        <v>42120</v>
      </c>
      <c r="B2569" s="183">
        <v>19106</v>
      </c>
      <c r="C2569" s="14" t="s">
        <v>1142</v>
      </c>
      <c r="D2569" s="105">
        <v>2409</v>
      </c>
      <c r="E2569" s="65">
        <v>42120</v>
      </c>
      <c r="F2569" s="106">
        <v>2409</v>
      </c>
      <c r="G2569" s="31">
        <f t="shared" si="40"/>
        <v>0</v>
      </c>
      <c r="H2569" s="39" t="s">
        <v>9</v>
      </c>
      <c r="I2569" s="3"/>
      <c r="J2569" s="42"/>
      <c r="K2569" s="3"/>
    </row>
    <row r="2570" spans="1:11" x14ac:dyDescent="0.25">
      <c r="A2570" s="20">
        <v>42120</v>
      </c>
      <c r="B2570" s="183">
        <v>19107</v>
      </c>
      <c r="C2570" s="14" t="s">
        <v>45</v>
      </c>
      <c r="D2570" s="105">
        <v>16318.4</v>
      </c>
      <c r="E2570" s="74">
        <v>42125</v>
      </c>
      <c r="F2570" s="144">
        <v>16318.4</v>
      </c>
      <c r="G2570" s="31">
        <f t="shared" si="40"/>
        <v>0</v>
      </c>
      <c r="H2570" s="39" t="s">
        <v>187</v>
      </c>
      <c r="I2570" s="3"/>
      <c r="J2570" s="42"/>
      <c r="K2570" s="3"/>
    </row>
    <row r="2571" spans="1:11" x14ac:dyDescent="0.25">
      <c r="A2571" s="20">
        <v>42120</v>
      </c>
      <c r="B2571" s="183">
        <v>19108</v>
      </c>
      <c r="C2571" s="14" t="s">
        <v>136</v>
      </c>
      <c r="D2571" s="105">
        <v>540</v>
      </c>
      <c r="E2571" s="65">
        <v>42120</v>
      </c>
      <c r="F2571" s="106">
        <v>540</v>
      </c>
      <c r="G2571" s="31">
        <f t="shared" si="40"/>
        <v>0</v>
      </c>
      <c r="H2571" s="39" t="s">
        <v>9</v>
      </c>
      <c r="I2571" s="3"/>
      <c r="J2571" s="42"/>
      <c r="K2571" s="3"/>
    </row>
    <row r="2572" spans="1:11" x14ac:dyDescent="0.25">
      <c r="A2572" s="20">
        <v>42120</v>
      </c>
      <c r="B2572" s="183">
        <v>19109</v>
      </c>
      <c r="C2572" s="14" t="s">
        <v>100</v>
      </c>
      <c r="D2572" s="105">
        <v>1914</v>
      </c>
      <c r="E2572" s="65">
        <v>42120</v>
      </c>
      <c r="F2572" s="106">
        <v>1914</v>
      </c>
      <c r="G2572" s="31">
        <f t="shared" si="40"/>
        <v>0</v>
      </c>
      <c r="H2572" s="39" t="s">
        <v>9</v>
      </c>
      <c r="I2572" s="3"/>
      <c r="J2572" s="42"/>
      <c r="K2572" s="3"/>
    </row>
    <row r="2573" spans="1:11" x14ac:dyDescent="0.25">
      <c r="A2573" s="20">
        <v>42120</v>
      </c>
      <c r="B2573" s="183">
        <v>19110</v>
      </c>
      <c r="C2573" s="14" t="s">
        <v>21</v>
      </c>
      <c r="D2573" s="105">
        <v>1268.4000000000001</v>
      </c>
      <c r="E2573" s="65">
        <v>42120</v>
      </c>
      <c r="F2573" s="106">
        <v>1268.4000000000001</v>
      </c>
      <c r="G2573" s="31">
        <f t="shared" si="40"/>
        <v>0</v>
      </c>
      <c r="H2573" s="39" t="s">
        <v>9</v>
      </c>
      <c r="I2573" s="3"/>
      <c r="J2573" s="42"/>
      <c r="K2573" s="3"/>
    </row>
    <row r="2574" spans="1:11" x14ac:dyDescent="0.25">
      <c r="A2574" s="20">
        <v>42120</v>
      </c>
      <c r="B2574" s="183">
        <v>19111</v>
      </c>
      <c r="C2574" s="14" t="s">
        <v>1162</v>
      </c>
      <c r="D2574" s="105">
        <v>540</v>
      </c>
      <c r="E2574" s="65">
        <v>42120</v>
      </c>
      <c r="F2574" s="106">
        <v>540</v>
      </c>
      <c r="G2574" s="31">
        <f t="shared" si="40"/>
        <v>0</v>
      </c>
      <c r="H2574" s="39" t="s">
        <v>9</v>
      </c>
      <c r="I2574" s="3"/>
      <c r="J2574" s="42"/>
      <c r="K2574" s="3"/>
    </row>
    <row r="2575" spans="1:11" x14ac:dyDescent="0.25">
      <c r="A2575" s="20">
        <v>42120</v>
      </c>
      <c r="B2575" s="183">
        <v>19112</v>
      </c>
      <c r="C2575" s="14" t="s">
        <v>1170</v>
      </c>
      <c r="D2575" s="105">
        <v>2893.14</v>
      </c>
      <c r="E2575" s="65">
        <v>42120</v>
      </c>
      <c r="F2575" s="106">
        <v>2893.14</v>
      </c>
      <c r="G2575" s="31">
        <f t="shared" si="40"/>
        <v>0</v>
      </c>
      <c r="H2575" s="39" t="s">
        <v>9</v>
      </c>
      <c r="I2575" s="3"/>
      <c r="J2575" s="42"/>
      <c r="K2575" s="3"/>
    </row>
    <row r="2576" spans="1:11" x14ac:dyDescent="0.25">
      <c r="A2576" s="20">
        <v>42120</v>
      </c>
      <c r="B2576" s="183">
        <v>19113</v>
      </c>
      <c r="C2576" s="14" t="s">
        <v>854</v>
      </c>
      <c r="D2576" s="105">
        <v>1461.6</v>
      </c>
      <c r="E2576" s="65">
        <v>42120</v>
      </c>
      <c r="F2576" s="106">
        <v>1461.6</v>
      </c>
      <c r="G2576" s="31">
        <f t="shared" si="40"/>
        <v>0</v>
      </c>
      <c r="H2576" s="39" t="s">
        <v>9</v>
      </c>
      <c r="I2576" s="3"/>
      <c r="J2576" s="42"/>
      <c r="K2576" s="3"/>
    </row>
    <row r="2577" spans="1:11" x14ac:dyDescent="0.25">
      <c r="A2577" s="20">
        <v>42120</v>
      </c>
      <c r="B2577" s="183">
        <v>19114</v>
      </c>
      <c r="C2577" s="14" t="s">
        <v>229</v>
      </c>
      <c r="D2577" s="105">
        <v>3780.64</v>
      </c>
      <c r="E2577" s="65">
        <v>42120</v>
      </c>
      <c r="F2577" s="106">
        <v>3780.64</v>
      </c>
      <c r="G2577" s="31">
        <f t="shared" si="40"/>
        <v>0</v>
      </c>
      <c r="H2577" s="39" t="s">
        <v>9</v>
      </c>
      <c r="I2577" s="3"/>
      <c r="J2577" s="42"/>
      <c r="K2577" s="3"/>
    </row>
    <row r="2578" spans="1:11" x14ac:dyDescent="0.25">
      <c r="A2578" s="20">
        <v>42120</v>
      </c>
      <c r="B2578" s="183">
        <v>19115</v>
      </c>
      <c r="C2578" s="14" t="s">
        <v>229</v>
      </c>
      <c r="D2578" s="105">
        <v>1038.4000000000001</v>
      </c>
      <c r="E2578" s="65">
        <v>42120</v>
      </c>
      <c r="F2578" s="106">
        <v>1038.4000000000001</v>
      </c>
      <c r="G2578" s="31">
        <f t="shared" si="40"/>
        <v>0</v>
      </c>
      <c r="H2578" s="39" t="s">
        <v>9</v>
      </c>
      <c r="I2578" s="3"/>
      <c r="J2578" s="42"/>
      <c r="K2578" s="3"/>
    </row>
    <row r="2579" spans="1:11" x14ac:dyDescent="0.25">
      <c r="A2579" s="20">
        <v>42120</v>
      </c>
      <c r="B2579" s="183">
        <v>19116</v>
      </c>
      <c r="C2579" s="14" t="s">
        <v>16</v>
      </c>
      <c r="D2579" s="105">
        <v>6508.8</v>
      </c>
      <c r="E2579" s="65">
        <v>42120</v>
      </c>
      <c r="F2579" s="106">
        <v>6508.8</v>
      </c>
      <c r="G2579" s="31">
        <f t="shared" si="40"/>
        <v>0</v>
      </c>
      <c r="H2579" s="39" t="s">
        <v>62</v>
      </c>
      <c r="I2579" s="3"/>
      <c r="J2579" s="42"/>
      <c r="K2579" s="3"/>
    </row>
    <row r="2580" spans="1:11" x14ac:dyDescent="0.25">
      <c r="A2580" s="20">
        <v>42120</v>
      </c>
      <c r="B2580" s="183">
        <v>19117</v>
      </c>
      <c r="C2580" s="14" t="s">
        <v>571</v>
      </c>
      <c r="D2580" s="105">
        <v>46966.7</v>
      </c>
      <c r="E2580" s="74">
        <v>42125</v>
      </c>
      <c r="F2580" s="144">
        <v>46966.7</v>
      </c>
      <c r="G2580" s="31">
        <f t="shared" si="40"/>
        <v>0</v>
      </c>
      <c r="H2580" s="39" t="s">
        <v>17</v>
      </c>
      <c r="I2580" s="3"/>
      <c r="J2580" s="42"/>
      <c r="K2580" s="3"/>
    </row>
    <row r="2581" spans="1:11" x14ac:dyDescent="0.25">
      <c r="A2581" s="20">
        <v>42120</v>
      </c>
      <c r="B2581" s="183">
        <v>19118</v>
      </c>
      <c r="C2581" s="14" t="s">
        <v>80</v>
      </c>
      <c r="D2581" s="105">
        <v>7027.8</v>
      </c>
      <c r="E2581" s="65">
        <v>42120</v>
      </c>
      <c r="F2581" s="106">
        <v>7027.8</v>
      </c>
      <c r="G2581" s="31">
        <f t="shared" si="40"/>
        <v>0</v>
      </c>
      <c r="H2581" s="39" t="s">
        <v>9</v>
      </c>
      <c r="I2581" s="3"/>
      <c r="J2581" s="42"/>
      <c r="K2581" s="3"/>
    </row>
    <row r="2582" spans="1:11" x14ac:dyDescent="0.25">
      <c r="A2582" s="20">
        <v>42120</v>
      </c>
      <c r="B2582" s="183">
        <v>19119</v>
      </c>
      <c r="C2582" s="14" t="s">
        <v>24</v>
      </c>
      <c r="D2582" s="105">
        <v>14214.3</v>
      </c>
      <c r="E2582" s="74">
        <v>42144</v>
      </c>
      <c r="F2582" s="144">
        <v>14214.3</v>
      </c>
      <c r="G2582" s="31">
        <f t="shared" si="40"/>
        <v>0</v>
      </c>
      <c r="H2582" s="39" t="s">
        <v>62</v>
      </c>
      <c r="I2582" s="3"/>
      <c r="J2582" s="42"/>
      <c r="K2582" s="3"/>
    </row>
    <row r="2583" spans="1:11" x14ac:dyDescent="0.25">
      <c r="A2583" s="20">
        <v>42120</v>
      </c>
      <c r="B2583" s="183">
        <v>19120</v>
      </c>
      <c r="C2583" s="14" t="s">
        <v>1101</v>
      </c>
      <c r="D2583" s="105">
        <v>754.4</v>
      </c>
      <c r="E2583" s="65">
        <v>42120</v>
      </c>
      <c r="F2583" s="106">
        <v>754.4</v>
      </c>
      <c r="G2583" s="31">
        <f t="shared" si="40"/>
        <v>0</v>
      </c>
      <c r="H2583" s="39" t="s">
        <v>9</v>
      </c>
      <c r="I2583" s="3"/>
      <c r="J2583" s="42"/>
      <c r="K2583" s="3"/>
    </row>
    <row r="2584" spans="1:11" x14ac:dyDescent="0.25">
      <c r="A2584" s="20">
        <v>42120</v>
      </c>
      <c r="B2584" s="183">
        <v>19121</v>
      </c>
      <c r="C2584" s="14" t="s">
        <v>1160</v>
      </c>
      <c r="D2584" s="105">
        <v>48</v>
      </c>
      <c r="E2584" s="65">
        <v>42120</v>
      </c>
      <c r="F2584" s="106">
        <v>48</v>
      </c>
      <c r="G2584" s="31">
        <f t="shared" si="40"/>
        <v>0</v>
      </c>
      <c r="H2584" s="39" t="s">
        <v>9</v>
      </c>
      <c r="I2584" s="3"/>
      <c r="J2584" s="42"/>
      <c r="K2584" s="3"/>
    </row>
    <row r="2585" spans="1:11" x14ac:dyDescent="0.25">
      <c r="A2585" s="20">
        <v>42120</v>
      </c>
      <c r="B2585" s="183">
        <v>19122</v>
      </c>
      <c r="C2585" s="14" t="s">
        <v>158</v>
      </c>
      <c r="D2585" s="105">
        <v>6876</v>
      </c>
      <c r="E2585" s="65">
        <v>42120</v>
      </c>
      <c r="F2585" s="106">
        <v>6876</v>
      </c>
      <c r="G2585" s="31">
        <f t="shared" si="40"/>
        <v>0</v>
      </c>
      <c r="H2585" s="39" t="s">
        <v>9</v>
      </c>
      <c r="I2585" s="3"/>
      <c r="J2585" s="42"/>
      <c r="K2585" s="3"/>
    </row>
    <row r="2586" spans="1:11" x14ac:dyDescent="0.25">
      <c r="A2586" s="20">
        <v>42121</v>
      </c>
      <c r="B2586" s="183">
        <v>19123</v>
      </c>
      <c r="C2586" s="14" t="s">
        <v>35</v>
      </c>
      <c r="D2586" s="105">
        <v>24764.400000000001</v>
      </c>
      <c r="E2586" s="65">
        <v>42121</v>
      </c>
      <c r="F2586" s="106">
        <v>24764.400000000001</v>
      </c>
      <c r="G2586" s="31">
        <f t="shared" si="40"/>
        <v>0</v>
      </c>
      <c r="H2586" s="39" t="s">
        <v>9</v>
      </c>
      <c r="I2586" s="3"/>
      <c r="J2586" s="42"/>
      <c r="K2586" s="3"/>
    </row>
    <row r="2587" spans="1:11" x14ac:dyDescent="0.25">
      <c r="A2587" s="20">
        <v>42121</v>
      </c>
      <c r="B2587" s="183">
        <v>19124</v>
      </c>
      <c r="C2587" s="14" t="s">
        <v>863</v>
      </c>
      <c r="D2587" s="105">
        <v>7812.3</v>
      </c>
      <c r="E2587" s="65">
        <v>42121</v>
      </c>
      <c r="F2587" s="106">
        <v>7812.3</v>
      </c>
      <c r="G2587" s="31">
        <f t="shared" si="40"/>
        <v>0</v>
      </c>
      <c r="H2587" s="39" t="s">
        <v>9</v>
      </c>
      <c r="I2587" s="3"/>
      <c r="J2587" s="42"/>
      <c r="K2587" s="3"/>
    </row>
    <row r="2588" spans="1:11" x14ac:dyDescent="0.25">
      <c r="A2588" s="20">
        <v>42121</v>
      </c>
      <c r="B2588" s="183">
        <v>19125</v>
      </c>
      <c r="C2588" s="14" t="s">
        <v>1031</v>
      </c>
      <c r="D2588" s="105">
        <v>2670.3</v>
      </c>
      <c r="E2588" s="65">
        <v>42121</v>
      </c>
      <c r="F2588" s="106">
        <v>2670.3</v>
      </c>
      <c r="G2588" s="31">
        <f t="shared" si="40"/>
        <v>0</v>
      </c>
      <c r="H2588" s="39" t="s">
        <v>9</v>
      </c>
      <c r="I2588" s="3"/>
      <c r="J2588" s="42"/>
      <c r="K2588" s="3"/>
    </row>
    <row r="2589" spans="1:11" x14ac:dyDescent="0.25">
      <c r="A2589" s="20">
        <v>42121</v>
      </c>
      <c r="B2589" s="183">
        <v>19126</v>
      </c>
      <c r="C2589" s="14" t="s">
        <v>1012</v>
      </c>
      <c r="D2589" s="105">
        <v>11316.4</v>
      </c>
      <c r="E2589" s="65">
        <v>42121</v>
      </c>
      <c r="F2589" s="106">
        <v>11316.4</v>
      </c>
      <c r="G2589" s="31">
        <f t="shared" si="40"/>
        <v>0</v>
      </c>
      <c r="H2589" s="39" t="s">
        <v>9</v>
      </c>
      <c r="I2589" s="3"/>
      <c r="J2589" s="42"/>
      <c r="K2589" s="3"/>
    </row>
    <row r="2590" spans="1:11" x14ac:dyDescent="0.25">
      <c r="A2590" s="20">
        <v>42121</v>
      </c>
      <c r="B2590" s="183">
        <v>19127</v>
      </c>
      <c r="C2590" s="14" t="s">
        <v>1012</v>
      </c>
      <c r="D2590" s="105">
        <v>3510</v>
      </c>
      <c r="E2590" s="65">
        <v>42121</v>
      </c>
      <c r="F2590" s="106">
        <v>3510</v>
      </c>
      <c r="G2590" s="31">
        <f t="shared" si="40"/>
        <v>0</v>
      </c>
      <c r="H2590" s="39" t="s">
        <v>9</v>
      </c>
      <c r="I2590" s="3"/>
      <c r="J2590" s="42"/>
      <c r="K2590" s="3"/>
    </row>
    <row r="2591" spans="1:11" x14ac:dyDescent="0.25">
      <c r="A2591" s="20">
        <v>42121</v>
      </c>
      <c r="B2591" s="183">
        <v>19128</v>
      </c>
      <c r="C2591" s="14" t="s">
        <v>383</v>
      </c>
      <c r="D2591" s="105">
        <v>2984.2</v>
      </c>
      <c r="E2591" s="65">
        <v>42121</v>
      </c>
      <c r="F2591" s="106">
        <v>2984.2</v>
      </c>
      <c r="G2591" s="31">
        <f t="shared" si="40"/>
        <v>0</v>
      </c>
      <c r="H2591" s="39" t="s">
        <v>9</v>
      </c>
      <c r="I2591" s="3"/>
      <c r="J2591" s="42"/>
      <c r="K2591" s="3"/>
    </row>
    <row r="2592" spans="1:11" x14ac:dyDescent="0.25">
      <c r="A2592" s="20">
        <v>42121</v>
      </c>
      <c r="B2592" s="183">
        <v>19129</v>
      </c>
      <c r="C2592" s="14" t="s">
        <v>14</v>
      </c>
      <c r="D2592" s="105">
        <v>24996.7</v>
      </c>
      <c r="E2592" s="74">
        <v>42126</v>
      </c>
      <c r="F2592" s="144">
        <v>24996.7</v>
      </c>
      <c r="G2592" s="31">
        <f t="shared" si="40"/>
        <v>0</v>
      </c>
      <c r="H2592" s="39" t="s">
        <v>9</v>
      </c>
      <c r="I2592" s="3"/>
      <c r="J2592" s="42"/>
      <c r="K2592" s="3"/>
    </row>
    <row r="2593" spans="1:11" x14ac:dyDescent="0.25">
      <c r="A2593" s="20">
        <v>42121</v>
      </c>
      <c r="B2593" s="183">
        <v>19130</v>
      </c>
      <c r="C2593" s="14" t="s">
        <v>16</v>
      </c>
      <c r="D2593" s="105">
        <v>8640</v>
      </c>
      <c r="E2593" s="65">
        <v>42121</v>
      </c>
      <c r="F2593" s="106">
        <v>8640</v>
      </c>
      <c r="G2593" s="31">
        <f t="shared" si="40"/>
        <v>0</v>
      </c>
      <c r="H2593" s="39" t="s">
        <v>62</v>
      </c>
      <c r="I2593" s="3"/>
      <c r="J2593" s="42"/>
      <c r="K2593" s="3"/>
    </row>
    <row r="2594" spans="1:11" x14ac:dyDescent="0.25">
      <c r="A2594" s="20">
        <v>42121</v>
      </c>
      <c r="B2594" s="183">
        <v>19131</v>
      </c>
      <c r="C2594" s="14" t="s">
        <v>1171</v>
      </c>
      <c r="D2594" s="105">
        <v>2016.9</v>
      </c>
      <c r="E2594" s="65">
        <v>42121</v>
      </c>
      <c r="F2594" s="106">
        <v>2016.9</v>
      </c>
      <c r="G2594" s="31">
        <f t="shared" si="40"/>
        <v>0</v>
      </c>
      <c r="H2594" s="39" t="s">
        <v>9</v>
      </c>
      <c r="I2594" s="3"/>
      <c r="J2594" s="42"/>
      <c r="K2594" s="3"/>
    </row>
    <row r="2595" spans="1:11" x14ac:dyDescent="0.25">
      <c r="A2595" s="20">
        <v>42121</v>
      </c>
      <c r="B2595" s="183">
        <v>19132</v>
      </c>
      <c r="C2595" s="14" t="s">
        <v>21</v>
      </c>
      <c r="D2595" s="105">
        <v>7756.5</v>
      </c>
      <c r="E2595" s="65">
        <v>42121</v>
      </c>
      <c r="F2595" s="106">
        <v>7756.5</v>
      </c>
      <c r="G2595" s="31">
        <f t="shared" si="40"/>
        <v>0</v>
      </c>
      <c r="H2595" s="39" t="s">
        <v>9</v>
      </c>
      <c r="I2595" s="3"/>
      <c r="J2595" s="42"/>
      <c r="K2595" s="3"/>
    </row>
    <row r="2596" spans="1:11" x14ac:dyDescent="0.25">
      <c r="A2596" s="20">
        <v>42121</v>
      </c>
      <c r="B2596" s="183">
        <v>19133</v>
      </c>
      <c r="C2596" s="14" t="s">
        <v>103</v>
      </c>
      <c r="D2596" s="105">
        <v>22545.93</v>
      </c>
      <c r="E2596" s="65">
        <v>42123</v>
      </c>
      <c r="F2596" s="106">
        <v>22545.93</v>
      </c>
      <c r="G2596" s="31">
        <f t="shared" si="40"/>
        <v>0</v>
      </c>
      <c r="H2596" s="39" t="s">
        <v>94</v>
      </c>
      <c r="I2596" s="3"/>
      <c r="J2596" s="42"/>
      <c r="K2596" s="3"/>
    </row>
    <row r="2597" spans="1:11" x14ac:dyDescent="0.25">
      <c r="A2597" s="20">
        <v>42121</v>
      </c>
      <c r="B2597" s="183">
        <v>19134</v>
      </c>
      <c r="C2597" s="14" t="s">
        <v>114</v>
      </c>
      <c r="D2597" s="105">
        <v>2525.6</v>
      </c>
      <c r="E2597" s="65">
        <v>42121</v>
      </c>
      <c r="F2597" s="106">
        <v>2525.6</v>
      </c>
      <c r="G2597" s="31">
        <f t="shared" si="40"/>
        <v>0</v>
      </c>
      <c r="H2597" s="39" t="s">
        <v>9</v>
      </c>
      <c r="I2597" s="3"/>
      <c r="J2597" s="42"/>
      <c r="K2597" s="3"/>
    </row>
    <row r="2598" spans="1:11" x14ac:dyDescent="0.25">
      <c r="A2598" s="20">
        <v>42121</v>
      </c>
      <c r="B2598" s="183">
        <v>19135</v>
      </c>
      <c r="C2598" s="14" t="s">
        <v>1058</v>
      </c>
      <c r="D2598" s="105">
        <v>3364.7</v>
      </c>
      <c r="E2598" s="65">
        <v>42121</v>
      </c>
      <c r="F2598" s="106">
        <v>3364.7</v>
      </c>
      <c r="G2598" s="31">
        <f t="shared" si="40"/>
        <v>0</v>
      </c>
      <c r="H2598" s="39" t="s">
        <v>9</v>
      </c>
      <c r="I2598" s="3"/>
      <c r="J2598" s="42"/>
      <c r="K2598" s="3"/>
    </row>
    <row r="2599" spans="1:11" x14ac:dyDescent="0.25">
      <c r="A2599" s="20">
        <v>42121</v>
      </c>
      <c r="B2599" s="183">
        <v>19136</v>
      </c>
      <c r="C2599" s="150" t="s">
        <v>18</v>
      </c>
      <c r="D2599" s="105">
        <v>2197.8000000000002</v>
      </c>
      <c r="E2599" s="65">
        <v>42121</v>
      </c>
      <c r="F2599" s="106">
        <v>2197.8000000000002</v>
      </c>
      <c r="G2599" s="31">
        <f t="shared" si="40"/>
        <v>0</v>
      </c>
      <c r="H2599" s="39" t="s">
        <v>9</v>
      </c>
      <c r="I2599" s="3"/>
      <c r="J2599" s="42"/>
      <c r="K2599" s="3"/>
    </row>
    <row r="2600" spans="1:11" x14ac:dyDescent="0.25">
      <c r="A2600" s="20">
        <v>42121</v>
      </c>
      <c r="B2600" s="183">
        <v>19137</v>
      </c>
      <c r="C2600" s="14" t="s">
        <v>56</v>
      </c>
      <c r="D2600" s="105">
        <v>9158</v>
      </c>
      <c r="E2600" s="65">
        <v>42121</v>
      </c>
      <c r="F2600" s="106">
        <v>9158</v>
      </c>
      <c r="G2600" s="31">
        <f t="shared" si="40"/>
        <v>0</v>
      </c>
      <c r="H2600" s="39" t="s">
        <v>773</v>
      </c>
      <c r="I2600" s="3"/>
      <c r="J2600" s="42"/>
      <c r="K2600" s="3"/>
    </row>
    <row r="2601" spans="1:11" x14ac:dyDescent="0.25">
      <c r="A2601" s="20">
        <v>42121</v>
      </c>
      <c r="B2601" s="183">
        <v>19138</v>
      </c>
      <c r="C2601" s="14" t="s">
        <v>696</v>
      </c>
      <c r="D2601" s="105">
        <v>12017.52</v>
      </c>
      <c r="E2601" s="65">
        <v>42121</v>
      </c>
      <c r="F2601" s="106">
        <v>12017.52</v>
      </c>
      <c r="G2601" s="31">
        <f t="shared" si="40"/>
        <v>0</v>
      </c>
      <c r="H2601" s="39" t="s">
        <v>9</v>
      </c>
      <c r="I2601" s="3"/>
      <c r="J2601" s="42"/>
      <c r="K2601" s="3"/>
    </row>
    <row r="2602" spans="1:11" x14ac:dyDescent="0.25">
      <c r="A2602" s="20">
        <v>42121</v>
      </c>
      <c r="B2602" s="183">
        <v>19139</v>
      </c>
      <c r="C2602" s="14" t="s">
        <v>1172</v>
      </c>
      <c r="D2602" s="105">
        <v>11787.85</v>
      </c>
      <c r="E2602" s="65">
        <v>42121</v>
      </c>
      <c r="F2602" s="106">
        <v>11787.85</v>
      </c>
      <c r="G2602" s="31">
        <f t="shared" si="40"/>
        <v>0</v>
      </c>
      <c r="H2602" s="39" t="s">
        <v>9</v>
      </c>
      <c r="I2602" s="3"/>
      <c r="J2602" s="42"/>
      <c r="K2602" s="3"/>
    </row>
    <row r="2603" spans="1:11" x14ac:dyDescent="0.25">
      <c r="A2603" s="20">
        <v>42121</v>
      </c>
      <c r="B2603" s="183">
        <v>19140</v>
      </c>
      <c r="C2603" s="14" t="s">
        <v>1173</v>
      </c>
      <c r="D2603" s="105">
        <v>4226.75</v>
      </c>
      <c r="E2603" s="65">
        <v>42121</v>
      </c>
      <c r="F2603" s="106">
        <v>4226.75</v>
      </c>
      <c r="G2603" s="31">
        <f t="shared" si="40"/>
        <v>0</v>
      </c>
      <c r="H2603" s="39" t="s">
        <v>9</v>
      </c>
      <c r="I2603" s="3"/>
      <c r="J2603" s="42"/>
      <c r="K2603" s="3"/>
    </row>
    <row r="2604" spans="1:11" x14ac:dyDescent="0.25">
      <c r="A2604" s="20">
        <v>42121</v>
      </c>
      <c r="B2604" s="183">
        <v>19141</v>
      </c>
      <c r="C2604" s="14" t="s">
        <v>1174</v>
      </c>
      <c r="D2604" s="105">
        <v>2117.35</v>
      </c>
      <c r="E2604" s="65">
        <v>42121</v>
      </c>
      <c r="F2604" s="106">
        <v>2117.35</v>
      </c>
      <c r="G2604" s="31">
        <f t="shared" si="40"/>
        <v>0</v>
      </c>
      <c r="H2604" s="39" t="s">
        <v>9</v>
      </c>
      <c r="I2604" s="3"/>
      <c r="J2604" s="42"/>
      <c r="K2604" s="3"/>
    </row>
    <row r="2605" spans="1:11" x14ac:dyDescent="0.25">
      <c r="A2605" s="20">
        <v>42121</v>
      </c>
      <c r="B2605" s="183">
        <v>19142</v>
      </c>
      <c r="C2605" s="14" t="s">
        <v>1175</v>
      </c>
      <c r="D2605" s="105">
        <v>11474.5</v>
      </c>
      <c r="E2605" s="65">
        <v>42121</v>
      </c>
      <c r="F2605" s="106">
        <v>11474.5</v>
      </c>
      <c r="G2605" s="31">
        <f t="shared" si="40"/>
        <v>0</v>
      </c>
      <c r="H2605" s="39" t="s">
        <v>9</v>
      </c>
      <c r="I2605" s="3"/>
      <c r="J2605" s="42"/>
      <c r="K2605" s="3"/>
    </row>
    <row r="2606" spans="1:11" x14ac:dyDescent="0.25">
      <c r="A2606" s="20">
        <v>42121</v>
      </c>
      <c r="B2606" s="183">
        <v>19143</v>
      </c>
      <c r="C2606" s="14" t="s">
        <v>121</v>
      </c>
      <c r="D2606" s="105">
        <v>2761</v>
      </c>
      <c r="E2606" s="65">
        <v>42121</v>
      </c>
      <c r="F2606" s="106">
        <v>2761</v>
      </c>
      <c r="G2606" s="31">
        <f t="shared" si="40"/>
        <v>0</v>
      </c>
      <c r="H2606" s="39" t="s">
        <v>9</v>
      </c>
      <c r="I2606" s="3"/>
      <c r="J2606" s="42"/>
      <c r="K2606" s="3"/>
    </row>
    <row r="2607" spans="1:11" x14ac:dyDescent="0.25">
      <c r="A2607" s="20">
        <v>42121</v>
      </c>
      <c r="B2607" s="183">
        <v>19144</v>
      </c>
      <c r="C2607" s="14" t="s">
        <v>137</v>
      </c>
      <c r="D2607" s="105">
        <v>2600.1</v>
      </c>
      <c r="E2607" s="65">
        <v>42121</v>
      </c>
      <c r="F2607" s="106">
        <v>2600.1</v>
      </c>
      <c r="G2607" s="31">
        <f t="shared" si="40"/>
        <v>0</v>
      </c>
      <c r="H2607" s="39" t="s">
        <v>9</v>
      </c>
      <c r="I2607" s="3"/>
      <c r="J2607" s="42"/>
      <c r="K2607" s="3"/>
    </row>
    <row r="2608" spans="1:11" x14ac:dyDescent="0.25">
      <c r="A2608" s="20">
        <v>42121</v>
      </c>
      <c r="B2608" s="183">
        <v>19145</v>
      </c>
      <c r="C2608" s="14" t="s">
        <v>56</v>
      </c>
      <c r="D2608" s="105">
        <v>4177</v>
      </c>
      <c r="E2608" s="65">
        <v>42121</v>
      </c>
      <c r="F2608" s="106">
        <v>4177</v>
      </c>
      <c r="G2608" s="31">
        <f t="shared" si="40"/>
        <v>0</v>
      </c>
      <c r="H2608" s="39" t="s">
        <v>9</v>
      </c>
      <c r="I2608" s="3"/>
      <c r="J2608" s="42"/>
      <c r="K2608" s="3"/>
    </row>
    <row r="2609" spans="1:11" x14ac:dyDescent="0.25">
      <c r="A2609" s="20">
        <v>42121</v>
      </c>
      <c r="B2609" s="183">
        <v>19146</v>
      </c>
      <c r="C2609" s="14" t="s">
        <v>791</v>
      </c>
      <c r="D2609" s="105">
        <v>2483.5</v>
      </c>
      <c r="E2609" s="74">
        <v>42125</v>
      </c>
      <c r="F2609" s="144">
        <v>2483.5</v>
      </c>
      <c r="G2609" s="31">
        <f t="shared" si="40"/>
        <v>0</v>
      </c>
      <c r="H2609" s="39" t="s">
        <v>9</v>
      </c>
      <c r="I2609" s="3"/>
      <c r="J2609" s="42"/>
      <c r="K2609" s="3"/>
    </row>
    <row r="2610" spans="1:11" x14ac:dyDescent="0.25">
      <c r="A2610" s="20">
        <v>42121</v>
      </c>
      <c r="B2610" s="183">
        <v>19147</v>
      </c>
      <c r="C2610" s="14" t="s">
        <v>135</v>
      </c>
      <c r="D2610" s="105">
        <v>19486.400000000001</v>
      </c>
      <c r="E2610" s="65">
        <v>42121</v>
      </c>
      <c r="F2610" s="106">
        <v>19486.400000000001</v>
      </c>
      <c r="G2610" s="31">
        <f t="shared" si="40"/>
        <v>0</v>
      </c>
      <c r="H2610" s="39" t="s">
        <v>9</v>
      </c>
      <c r="I2610" s="3"/>
      <c r="J2610" s="42"/>
      <c r="K2610" s="3"/>
    </row>
    <row r="2611" spans="1:11" x14ac:dyDescent="0.25">
      <c r="A2611" s="20">
        <v>42121</v>
      </c>
      <c r="B2611" s="183">
        <v>19148</v>
      </c>
      <c r="C2611" s="14" t="s">
        <v>24</v>
      </c>
      <c r="D2611" s="105">
        <v>56736.5</v>
      </c>
      <c r="E2611" s="74">
        <v>42144</v>
      </c>
      <c r="F2611" s="144">
        <v>56736.5</v>
      </c>
      <c r="G2611" s="31">
        <f t="shared" si="40"/>
        <v>0</v>
      </c>
      <c r="H2611" s="39" t="s">
        <v>19</v>
      </c>
      <c r="I2611" s="3"/>
      <c r="J2611" s="42"/>
      <c r="K2611" s="3"/>
    </row>
    <row r="2612" spans="1:11" x14ac:dyDescent="0.25">
      <c r="A2612" s="20">
        <v>42121</v>
      </c>
      <c r="B2612" s="183">
        <v>19149</v>
      </c>
      <c r="C2612" s="14" t="s">
        <v>125</v>
      </c>
      <c r="D2612" s="105">
        <v>15327.6</v>
      </c>
      <c r="E2612" s="65">
        <v>42122</v>
      </c>
      <c r="F2612" s="106">
        <v>15327.6</v>
      </c>
      <c r="G2612" s="31">
        <f t="shared" si="40"/>
        <v>0</v>
      </c>
      <c r="H2612" s="39" t="s">
        <v>9</v>
      </c>
      <c r="I2612" s="3"/>
      <c r="J2612" s="42"/>
      <c r="K2612" s="3"/>
    </row>
    <row r="2613" spans="1:11" x14ac:dyDescent="0.25">
      <c r="A2613" s="20">
        <v>42121</v>
      </c>
      <c r="B2613" s="183">
        <v>19150</v>
      </c>
      <c r="C2613" s="14" t="s">
        <v>14</v>
      </c>
      <c r="D2613" s="105">
        <v>259811.82</v>
      </c>
      <c r="E2613" s="74">
        <v>42126</v>
      </c>
      <c r="F2613" s="144">
        <v>259811.82</v>
      </c>
      <c r="G2613" s="31">
        <f t="shared" si="40"/>
        <v>0</v>
      </c>
      <c r="H2613" s="39" t="s">
        <v>46</v>
      </c>
      <c r="I2613" s="3"/>
      <c r="J2613" s="42"/>
      <c r="K2613" s="3"/>
    </row>
    <row r="2614" spans="1:11" x14ac:dyDescent="0.25">
      <c r="A2614" s="20">
        <v>42121</v>
      </c>
      <c r="B2614" s="183">
        <v>19151</v>
      </c>
      <c r="C2614" s="14" t="s">
        <v>32</v>
      </c>
      <c r="D2614" s="105">
        <v>68115.600000000006</v>
      </c>
      <c r="E2614" s="74">
        <v>42128</v>
      </c>
      <c r="F2614" s="144">
        <v>68115.600000000006</v>
      </c>
      <c r="G2614" s="31">
        <f t="shared" si="40"/>
        <v>0</v>
      </c>
      <c r="H2614" s="39" t="s">
        <v>149</v>
      </c>
      <c r="I2614" s="3"/>
      <c r="J2614" s="42"/>
      <c r="K2614" s="3"/>
    </row>
    <row r="2615" spans="1:11" x14ac:dyDescent="0.25">
      <c r="A2615" s="20">
        <v>42121</v>
      </c>
      <c r="B2615" s="183">
        <v>19152</v>
      </c>
      <c r="C2615" s="14" t="s">
        <v>26</v>
      </c>
      <c r="D2615" s="105">
        <v>1632</v>
      </c>
      <c r="E2615" s="65">
        <v>42121</v>
      </c>
      <c r="F2615" s="106">
        <v>1632</v>
      </c>
      <c r="G2615" s="31">
        <f t="shared" si="40"/>
        <v>0</v>
      </c>
      <c r="H2615" s="39" t="s">
        <v>59</v>
      </c>
      <c r="I2615" s="3"/>
      <c r="J2615" s="42"/>
      <c r="K2615" s="3"/>
    </row>
    <row r="2616" spans="1:11" x14ac:dyDescent="0.25">
      <c r="A2616" s="20">
        <v>42121</v>
      </c>
      <c r="B2616" s="183">
        <v>19153</v>
      </c>
      <c r="C2616" s="14" t="s">
        <v>91</v>
      </c>
      <c r="D2616" s="105">
        <v>25474.5</v>
      </c>
      <c r="E2616" s="65">
        <v>42121</v>
      </c>
      <c r="F2616" s="106">
        <v>25474.5</v>
      </c>
      <c r="G2616" s="31">
        <f t="shared" si="40"/>
        <v>0</v>
      </c>
      <c r="H2616" s="39" t="s">
        <v>17</v>
      </c>
      <c r="I2616" s="3"/>
      <c r="J2616" s="42"/>
      <c r="K2616" s="3"/>
    </row>
    <row r="2617" spans="1:11" x14ac:dyDescent="0.25">
      <c r="A2617" s="20">
        <v>42121</v>
      </c>
      <c r="B2617" s="183">
        <v>19154</v>
      </c>
      <c r="C2617" s="14" t="s">
        <v>151</v>
      </c>
      <c r="D2617" s="105">
        <v>3788.4</v>
      </c>
      <c r="E2617" s="65">
        <v>42122</v>
      </c>
      <c r="F2617" s="106">
        <v>3788.4</v>
      </c>
      <c r="G2617" s="31">
        <f t="shared" si="40"/>
        <v>0</v>
      </c>
      <c r="H2617" s="39" t="s">
        <v>9</v>
      </c>
      <c r="I2617" s="3"/>
      <c r="J2617" s="42"/>
      <c r="K2617" s="3"/>
    </row>
    <row r="2618" spans="1:11" x14ac:dyDescent="0.25">
      <c r="A2618" s="20">
        <v>42121</v>
      </c>
      <c r="B2618" s="183">
        <v>19155</v>
      </c>
      <c r="C2618" s="14" t="s">
        <v>238</v>
      </c>
      <c r="D2618" s="105">
        <v>333.6</v>
      </c>
      <c r="E2618" s="65">
        <v>42121</v>
      </c>
      <c r="F2618" s="106">
        <v>333.6</v>
      </c>
      <c r="G2618" s="31">
        <f t="shared" si="40"/>
        <v>0</v>
      </c>
      <c r="H2618" s="39" t="s">
        <v>59</v>
      </c>
      <c r="I2618" s="3"/>
      <c r="J2618" s="42"/>
      <c r="K2618" s="3"/>
    </row>
    <row r="2619" spans="1:11" x14ac:dyDescent="0.25">
      <c r="A2619" s="20">
        <v>42121</v>
      </c>
      <c r="B2619" s="183">
        <v>19156</v>
      </c>
      <c r="C2619" s="14" t="s">
        <v>167</v>
      </c>
      <c r="D2619" s="105">
        <v>338.4</v>
      </c>
      <c r="E2619" s="65">
        <v>42121</v>
      </c>
      <c r="F2619" s="106">
        <v>338.4</v>
      </c>
      <c r="G2619" s="31">
        <f t="shared" si="40"/>
        <v>0</v>
      </c>
      <c r="H2619" s="39" t="s">
        <v>59</v>
      </c>
      <c r="I2619" s="3"/>
      <c r="J2619" s="42"/>
      <c r="K2619" s="3"/>
    </row>
    <row r="2620" spans="1:11" x14ac:dyDescent="0.25">
      <c r="A2620" s="20">
        <v>42121</v>
      </c>
      <c r="B2620" s="183">
        <v>19157</v>
      </c>
      <c r="C2620" s="14" t="s">
        <v>53</v>
      </c>
      <c r="D2620" s="105">
        <v>989.4</v>
      </c>
      <c r="E2620" s="65">
        <v>42121</v>
      </c>
      <c r="F2620" s="106">
        <v>989.4</v>
      </c>
      <c r="G2620" s="31">
        <f t="shared" si="40"/>
        <v>0</v>
      </c>
      <c r="H2620" s="39" t="s">
        <v>59</v>
      </c>
      <c r="I2620" s="3"/>
      <c r="J2620" s="42"/>
      <c r="K2620" s="3"/>
    </row>
    <row r="2621" spans="1:11" x14ac:dyDescent="0.25">
      <c r="A2621" s="20">
        <v>42121</v>
      </c>
      <c r="B2621" s="183">
        <v>19158</v>
      </c>
      <c r="C2621" s="14" t="s">
        <v>1131</v>
      </c>
      <c r="D2621" s="105">
        <v>635.70000000000005</v>
      </c>
      <c r="E2621" s="65">
        <v>42121</v>
      </c>
      <c r="F2621" s="106">
        <v>635.70000000000005</v>
      </c>
      <c r="G2621" s="31">
        <f t="shared" si="40"/>
        <v>0</v>
      </c>
      <c r="H2621" s="39" t="s">
        <v>59</v>
      </c>
      <c r="I2621" s="3"/>
      <c r="J2621" s="42"/>
      <c r="K2621" s="3"/>
    </row>
    <row r="2622" spans="1:11" x14ac:dyDescent="0.25">
      <c r="A2622" s="20">
        <v>42121</v>
      </c>
      <c r="B2622" s="183">
        <v>19159</v>
      </c>
      <c r="C2622" s="14" t="s">
        <v>126</v>
      </c>
      <c r="D2622" s="105">
        <v>1689.8</v>
      </c>
      <c r="E2622" s="65">
        <v>42121</v>
      </c>
      <c r="F2622" s="106">
        <v>1689.8</v>
      </c>
      <c r="G2622" s="31">
        <f t="shared" si="40"/>
        <v>0</v>
      </c>
      <c r="H2622" s="39" t="s">
        <v>59</v>
      </c>
      <c r="I2622" s="3"/>
      <c r="J2622" s="42"/>
      <c r="K2622" s="3"/>
    </row>
    <row r="2623" spans="1:11" x14ac:dyDescent="0.25">
      <c r="A2623" s="20">
        <v>42121</v>
      </c>
      <c r="B2623" s="183">
        <v>19160</v>
      </c>
      <c r="C2623" s="14" t="s">
        <v>34</v>
      </c>
      <c r="D2623" s="105">
        <v>3276</v>
      </c>
      <c r="E2623" s="65">
        <v>42121</v>
      </c>
      <c r="F2623" s="106">
        <v>3276</v>
      </c>
      <c r="G2623" s="31">
        <f t="shared" si="40"/>
        <v>0</v>
      </c>
      <c r="H2623" s="39" t="s">
        <v>9</v>
      </c>
      <c r="I2623" s="3"/>
      <c r="J2623" s="42"/>
      <c r="K2623" s="3"/>
    </row>
    <row r="2624" spans="1:11" x14ac:dyDescent="0.25">
      <c r="A2624" s="20">
        <v>42121</v>
      </c>
      <c r="B2624" s="183">
        <v>19161</v>
      </c>
      <c r="C2624" s="14" t="s">
        <v>83</v>
      </c>
      <c r="D2624" s="105">
        <v>4290.8</v>
      </c>
      <c r="E2624" s="65">
        <v>42121</v>
      </c>
      <c r="F2624" s="106">
        <v>4290.8</v>
      </c>
      <c r="G2624" s="31">
        <f t="shared" si="40"/>
        <v>0</v>
      </c>
      <c r="H2624" s="39" t="s">
        <v>59</v>
      </c>
      <c r="I2624" s="3"/>
      <c r="J2624" s="42"/>
      <c r="K2624" s="3"/>
    </row>
    <row r="2625" spans="1:11" x14ac:dyDescent="0.25">
      <c r="A2625" s="20">
        <v>42121</v>
      </c>
      <c r="B2625" s="183">
        <v>19162</v>
      </c>
      <c r="C2625" s="14" t="s">
        <v>82</v>
      </c>
      <c r="D2625" s="105">
        <v>2010.8</v>
      </c>
      <c r="E2625" s="65">
        <v>42121</v>
      </c>
      <c r="F2625" s="106">
        <v>2010.8</v>
      </c>
      <c r="G2625" s="31">
        <f t="shared" si="40"/>
        <v>0</v>
      </c>
      <c r="H2625" s="39" t="s">
        <v>59</v>
      </c>
      <c r="I2625" s="3"/>
      <c r="J2625" s="42"/>
      <c r="K2625" s="3"/>
    </row>
    <row r="2626" spans="1:11" x14ac:dyDescent="0.25">
      <c r="A2626" s="20">
        <v>42121</v>
      </c>
      <c r="B2626" s="183">
        <v>19163</v>
      </c>
      <c r="C2626" s="14" t="s">
        <v>99</v>
      </c>
      <c r="D2626" s="105">
        <v>2088.9</v>
      </c>
      <c r="E2626" s="65">
        <v>42121</v>
      </c>
      <c r="F2626" s="106">
        <v>2088.9</v>
      </c>
      <c r="G2626" s="31">
        <f t="shared" si="40"/>
        <v>0</v>
      </c>
      <c r="H2626" s="39" t="s">
        <v>149</v>
      </c>
      <c r="I2626" s="3"/>
      <c r="J2626" s="42"/>
      <c r="K2626" s="3"/>
    </row>
    <row r="2627" spans="1:11" x14ac:dyDescent="0.25">
      <c r="A2627" s="20">
        <v>42121</v>
      </c>
      <c r="B2627" s="183">
        <v>19164</v>
      </c>
      <c r="C2627" s="14" t="s">
        <v>57</v>
      </c>
      <c r="D2627" s="105">
        <v>1335.6</v>
      </c>
      <c r="E2627" s="65">
        <v>42121</v>
      </c>
      <c r="F2627" s="106">
        <v>1335.6</v>
      </c>
      <c r="G2627" s="31">
        <f t="shared" ref="G2627:G2690" si="41">D2627-F2627</f>
        <v>0</v>
      </c>
      <c r="H2627" s="39" t="s">
        <v>59</v>
      </c>
      <c r="I2627" s="3"/>
      <c r="J2627" s="42"/>
      <c r="K2627" s="3"/>
    </row>
    <row r="2628" spans="1:11" x14ac:dyDescent="0.25">
      <c r="A2628" s="20">
        <v>42121</v>
      </c>
      <c r="B2628" s="183">
        <v>19165</v>
      </c>
      <c r="C2628" s="14" t="s">
        <v>112</v>
      </c>
      <c r="D2628" s="105">
        <v>15002.4</v>
      </c>
      <c r="E2628" s="65" t="s">
        <v>1176</v>
      </c>
      <c r="F2628" s="106">
        <f>2150+12852.4</f>
        <v>15002.4</v>
      </c>
      <c r="G2628" s="31">
        <f t="shared" si="41"/>
        <v>0</v>
      </c>
      <c r="H2628" s="39" t="s">
        <v>9</v>
      </c>
      <c r="I2628" s="3"/>
      <c r="J2628" s="42"/>
      <c r="K2628" s="3"/>
    </row>
    <row r="2629" spans="1:11" x14ac:dyDescent="0.25">
      <c r="A2629" s="20">
        <v>42121</v>
      </c>
      <c r="B2629" s="183">
        <v>19166</v>
      </c>
      <c r="C2629" s="14" t="s">
        <v>81</v>
      </c>
      <c r="D2629" s="105">
        <v>2309.4</v>
      </c>
      <c r="E2629" s="65">
        <v>42121</v>
      </c>
      <c r="F2629" s="106">
        <v>2309.4</v>
      </c>
      <c r="G2629" s="31">
        <f t="shared" si="41"/>
        <v>0</v>
      </c>
      <c r="H2629" s="39" t="s">
        <v>27</v>
      </c>
      <c r="I2629" s="3"/>
      <c r="J2629" s="42"/>
      <c r="K2629" s="3"/>
    </row>
    <row r="2630" spans="1:11" x14ac:dyDescent="0.25">
      <c r="A2630" s="20">
        <v>42121</v>
      </c>
      <c r="B2630" s="183">
        <v>19167</v>
      </c>
      <c r="C2630" s="14" t="s">
        <v>906</v>
      </c>
      <c r="D2630" s="105">
        <v>1315.4</v>
      </c>
      <c r="E2630" s="65">
        <v>42121</v>
      </c>
      <c r="F2630" s="106">
        <v>1315.4</v>
      </c>
      <c r="G2630" s="31">
        <f t="shared" si="41"/>
        <v>0</v>
      </c>
      <c r="H2630" s="39" t="s">
        <v>149</v>
      </c>
      <c r="I2630" s="3"/>
      <c r="J2630" s="42"/>
      <c r="K2630" s="3"/>
    </row>
    <row r="2631" spans="1:11" x14ac:dyDescent="0.25">
      <c r="A2631" s="20">
        <v>42121</v>
      </c>
      <c r="B2631" s="183">
        <v>19168</v>
      </c>
      <c r="C2631" s="187" t="s">
        <v>218</v>
      </c>
      <c r="D2631" s="188">
        <v>0</v>
      </c>
      <c r="E2631" s="65"/>
      <c r="F2631" s="106"/>
      <c r="G2631" s="31">
        <f t="shared" si="41"/>
        <v>0</v>
      </c>
      <c r="H2631" s="39" t="s">
        <v>13</v>
      </c>
      <c r="I2631" s="3"/>
      <c r="J2631" s="42"/>
      <c r="K2631" s="3"/>
    </row>
    <row r="2632" spans="1:11" x14ac:dyDescent="0.25">
      <c r="A2632" s="20">
        <v>42121</v>
      </c>
      <c r="B2632" s="183">
        <v>19169</v>
      </c>
      <c r="C2632" s="14" t="s">
        <v>285</v>
      </c>
      <c r="D2632" s="105">
        <v>566.85</v>
      </c>
      <c r="E2632" s="65">
        <v>42121</v>
      </c>
      <c r="F2632" s="106">
        <v>566.85</v>
      </c>
      <c r="G2632" s="31">
        <f t="shared" si="41"/>
        <v>0</v>
      </c>
      <c r="H2632" s="39" t="s">
        <v>149</v>
      </c>
      <c r="I2632" s="3"/>
      <c r="J2632" s="42"/>
      <c r="K2632" s="3"/>
    </row>
    <row r="2633" spans="1:11" x14ac:dyDescent="0.25">
      <c r="A2633" s="20">
        <v>42121</v>
      </c>
      <c r="B2633" s="183">
        <v>19170</v>
      </c>
      <c r="C2633" s="14" t="s">
        <v>102</v>
      </c>
      <c r="D2633" s="105">
        <v>2138.4</v>
      </c>
      <c r="E2633" s="65">
        <v>42121</v>
      </c>
      <c r="F2633" s="106">
        <v>2138.4</v>
      </c>
      <c r="G2633" s="31">
        <f t="shared" si="41"/>
        <v>0</v>
      </c>
      <c r="H2633" s="39" t="s">
        <v>9</v>
      </c>
      <c r="I2633" s="3"/>
      <c r="J2633" s="42"/>
      <c r="K2633" s="3"/>
    </row>
    <row r="2634" spans="1:11" x14ac:dyDescent="0.25">
      <c r="A2634" s="20">
        <v>42121</v>
      </c>
      <c r="B2634" s="183">
        <v>19171</v>
      </c>
      <c r="C2634" s="14" t="s">
        <v>169</v>
      </c>
      <c r="D2634" s="105">
        <v>1804</v>
      </c>
      <c r="E2634" s="65">
        <v>42122</v>
      </c>
      <c r="F2634" s="106">
        <v>1804</v>
      </c>
      <c r="G2634" s="31">
        <f t="shared" si="41"/>
        <v>0</v>
      </c>
      <c r="H2634" s="39" t="s">
        <v>9</v>
      </c>
      <c r="I2634" s="3"/>
      <c r="J2634" s="42"/>
      <c r="K2634" s="3"/>
    </row>
    <row r="2635" spans="1:11" x14ac:dyDescent="0.25">
      <c r="A2635" s="20">
        <v>42121</v>
      </c>
      <c r="B2635" s="183">
        <v>19172</v>
      </c>
      <c r="C2635" s="14" t="s">
        <v>45</v>
      </c>
      <c r="D2635" s="105">
        <v>66599.820000000007</v>
      </c>
      <c r="E2635" s="74" t="s">
        <v>1245</v>
      </c>
      <c r="F2635" s="144">
        <f>65449.21+1150.61</f>
        <v>66599.819999999992</v>
      </c>
      <c r="G2635" s="31">
        <f t="shared" si="41"/>
        <v>0</v>
      </c>
      <c r="H2635" s="39" t="s">
        <v>46</v>
      </c>
      <c r="I2635" s="3"/>
      <c r="J2635" s="42"/>
      <c r="K2635" s="3"/>
    </row>
    <row r="2636" spans="1:11" x14ac:dyDescent="0.25">
      <c r="A2636" s="20">
        <v>42121</v>
      </c>
      <c r="B2636" s="183">
        <v>19173</v>
      </c>
      <c r="C2636" s="14" t="s">
        <v>226</v>
      </c>
      <c r="D2636" s="105">
        <v>730</v>
      </c>
      <c r="E2636" s="65">
        <v>42121</v>
      </c>
      <c r="F2636" s="106">
        <v>730</v>
      </c>
      <c r="G2636" s="31">
        <f t="shared" si="41"/>
        <v>0</v>
      </c>
      <c r="H2636" s="39" t="s">
        <v>149</v>
      </c>
      <c r="I2636" s="3"/>
      <c r="J2636" s="42"/>
      <c r="K2636" s="3"/>
    </row>
    <row r="2637" spans="1:11" x14ac:dyDescent="0.25">
      <c r="A2637" s="20">
        <v>42121</v>
      </c>
      <c r="B2637" s="183">
        <v>19174</v>
      </c>
      <c r="C2637" s="14" t="s">
        <v>91</v>
      </c>
      <c r="D2637" s="105">
        <v>3757</v>
      </c>
      <c r="E2637" s="65">
        <v>42121</v>
      </c>
      <c r="F2637" s="106">
        <v>3757</v>
      </c>
      <c r="G2637" s="31">
        <f t="shared" si="41"/>
        <v>0</v>
      </c>
      <c r="H2637" s="39" t="s">
        <v>59</v>
      </c>
      <c r="I2637" s="3"/>
      <c r="J2637" s="42"/>
      <c r="K2637" s="3"/>
    </row>
    <row r="2638" spans="1:11" x14ac:dyDescent="0.25">
      <c r="A2638" s="20">
        <v>42121</v>
      </c>
      <c r="B2638" s="183">
        <v>19175</v>
      </c>
      <c r="C2638" s="14" t="s">
        <v>130</v>
      </c>
      <c r="D2638" s="105">
        <v>5967.9</v>
      </c>
      <c r="E2638" s="65">
        <v>42123</v>
      </c>
      <c r="F2638" s="106">
        <v>5967.9</v>
      </c>
      <c r="G2638" s="31">
        <f t="shared" si="41"/>
        <v>0</v>
      </c>
      <c r="H2638" s="39" t="s">
        <v>17</v>
      </c>
      <c r="I2638" s="3"/>
      <c r="J2638" s="42"/>
      <c r="K2638" s="3"/>
    </row>
    <row r="2639" spans="1:11" x14ac:dyDescent="0.25">
      <c r="A2639" s="20">
        <v>42121</v>
      </c>
      <c r="B2639" s="183">
        <v>19176</v>
      </c>
      <c r="C2639" s="14" t="s">
        <v>165</v>
      </c>
      <c r="D2639" s="105">
        <v>2612.5</v>
      </c>
      <c r="E2639" s="65">
        <v>42121</v>
      </c>
      <c r="F2639" s="106">
        <v>2612.5</v>
      </c>
      <c r="G2639" s="31">
        <f t="shared" si="41"/>
        <v>0</v>
      </c>
      <c r="H2639" s="39" t="s">
        <v>19</v>
      </c>
      <c r="I2639" s="3"/>
      <c r="J2639" s="42"/>
      <c r="K2639" s="3"/>
    </row>
    <row r="2640" spans="1:11" x14ac:dyDescent="0.25">
      <c r="A2640" s="20">
        <v>42121</v>
      </c>
      <c r="B2640" s="183">
        <v>19177</v>
      </c>
      <c r="C2640" s="14" t="s">
        <v>128</v>
      </c>
      <c r="D2640" s="105">
        <v>5096.8</v>
      </c>
      <c r="E2640" s="65">
        <v>42123</v>
      </c>
      <c r="F2640" s="106">
        <v>5096.8</v>
      </c>
      <c r="G2640" s="31">
        <f t="shared" si="41"/>
        <v>0</v>
      </c>
      <c r="H2640" s="39" t="s">
        <v>17</v>
      </c>
      <c r="I2640" s="3"/>
      <c r="J2640" s="42"/>
      <c r="K2640" s="3"/>
    </row>
    <row r="2641" spans="1:11" x14ac:dyDescent="0.25">
      <c r="A2641" s="20">
        <v>42121</v>
      </c>
      <c r="B2641" s="183">
        <v>19178</v>
      </c>
      <c r="C2641" s="14" t="s">
        <v>229</v>
      </c>
      <c r="D2641" s="105">
        <v>2262.0100000000002</v>
      </c>
      <c r="E2641" s="65">
        <v>42121</v>
      </c>
      <c r="F2641" s="106">
        <v>2262.0100000000002</v>
      </c>
      <c r="G2641" s="31">
        <f t="shared" si="41"/>
        <v>0</v>
      </c>
      <c r="H2641" s="39" t="s">
        <v>9</v>
      </c>
      <c r="I2641" s="3"/>
      <c r="J2641" s="42"/>
      <c r="K2641" s="3"/>
    </row>
    <row r="2642" spans="1:11" x14ac:dyDescent="0.25">
      <c r="A2642" s="20">
        <v>42121</v>
      </c>
      <c r="B2642" s="183">
        <v>19179</v>
      </c>
      <c r="C2642" s="14" t="s">
        <v>375</v>
      </c>
      <c r="D2642" s="105">
        <v>2024</v>
      </c>
      <c r="E2642" s="65" t="s">
        <v>1177</v>
      </c>
      <c r="F2642" s="106">
        <f>1800+224</f>
        <v>2024</v>
      </c>
      <c r="G2642" s="31">
        <f t="shared" si="41"/>
        <v>0</v>
      </c>
      <c r="H2642" s="39" t="s">
        <v>9</v>
      </c>
      <c r="I2642" s="3"/>
      <c r="J2642" s="42"/>
      <c r="K2642" s="3"/>
    </row>
    <row r="2643" spans="1:11" x14ac:dyDescent="0.25">
      <c r="A2643" s="20">
        <v>42121</v>
      </c>
      <c r="B2643" s="183">
        <v>19180</v>
      </c>
      <c r="C2643" s="14" t="s">
        <v>50</v>
      </c>
      <c r="D2643" s="105">
        <v>572</v>
      </c>
      <c r="E2643" s="65">
        <v>42122</v>
      </c>
      <c r="F2643" s="106">
        <v>572</v>
      </c>
      <c r="G2643" s="31">
        <f t="shared" si="41"/>
        <v>0</v>
      </c>
      <c r="H2643" s="39" t="s">
        <v>19</v>
      </c>
      <c r="I2643" s="3"/>
      <c r="J2643" s="42"/>
      <c r="K2643" s="3"/>
    </row>
    <row r="2644" spans="1:11" x14ac:dyDescent="0.25">
      <c r="A2644" s="20">
        <v>42121</v>
      </c>
      <c r="B2644" s="183">
        <v>19181</v>
      </c>
      <c r="C2644" s="14" t="s">
        <v>169</v>
      </c>
      <c r="D2644" s="105">
        <v>200</v>
      </c>
      <c r="E2644" s="65">
        <v>42121</v>
      </c>
      <c r="F2644" s="106">
        <v>200</v>
      </c>
      <c r="G2644" s="31">
        <f t="shared" si="41"/>
        <v>0</v>
      </c>
      <c r="H2644" s="39" t="s">
        <v>59</v>
      </c>
      <c r="I2644" s="3"/>
      <c r="J2644" s="42"/>
      <c r="K2644" s="3"/>
    </row>
    <row r="2645" spans="1:11" x14ac:dyDescent="0.25">
      <c r="A2645" s="20">
        <v>42121</v>
      </c>
      <c r="B2645" s="183">
        <v>19182</v>
      </c>
      <c r="C2645" s="14" t="s">
        <v>1012</v>
      </c>
      <c r="D2645" s="105">
        <v>1266</v>
      </c>
      <c r="E2645" s="65">
        <v>42122</v>
      </c>
      <c r="F2645" s="106">
        <v>1266</v>
      </c>
      <c r="G2645" s="31">
        <f t="shared" si="41"/>
        <v>0</v>
      </c>
      <c r="H2645" s="39" t="s">
        <v>19</v>
      </c>
      <c r="I2645" s="3"/>
      <c r="J2645" s="42"/>
      <c r="K2645" s="3"/>
    </row>
    <row r="2646" spans="1:11" x14ac:dyDescent="0.25">
      <c r="A2646" s="20">
        <v>42121</v>
      </c>
      <c r="B2646" s="183">
        <v>19183</v>
      </c>
      <c r="C2646" s="14" t="s">
        <v>130</v>
      </c>
      <c r="D2646" s="105">
        <v>11395.5</v>
      </c>
      <c r="E2646" s="74" t="s">
        <v>1202</v>
      </c>
      <c r="F2646" s="144">
        <f>5281.55+6113.95</f>
        <v>11395.5</v>
      </c>
      <c r="G2646" s="31">
        <f t="shared" si="41"/>
        <v>0</v>
      </c>
      <c r="H2646" s="39" t="s">
        <v>17</v>
      </c>
      <c r="I2646" s="3"/>
      <c r="J2646" s="42"/>
      <c r="K2646" s="3"/>
    </row>
    <row r="2647" spans="1:11" x14ac:dyDescent="0.25">
      <c r="A2647" s="20">
        <v>42121</v>
      </c>
      <c r="B2647" s="183">
        <v>19184</v>
      </c>
      <c r="C2647" s="14" t="s">
        <v>694</v>
      </c>
      <c r="D2647" s="105">
        <v>1154.25</v>
      </c>
      <c r="E2647" s="65">
        <v>42121</v>
      </c>
      <c r="F2647" s="106">
        <v>1154.25</v>
      </c>
      <c r="G2647" s="31">
        <f t="shared" si="41"/>
        <v>0</v>
      </c>
      <c r="H2647" s="39" t="s">
        <v>9</v>
      </c>
      <c r="I2647" s="3"/>
      <c r="J2647" s="42"/>
      <c r="K2647" s="3"/>
    </row>
    <row r="2648" spans="1:11" x14ac:dyDescent="0.25">
      <c r="A2648" s="20">
        <v>42121</v>
      </c>
      <c r="B2648" s="183">
        <v>19185</v>
      </c>
      <c r="C2648" s="14" t="s">
        <v>131</v>
      </c>
      <c r="D2648" s="105">
        <v>8024.5</v>
      </c>
      <c r="E2648" s="65">
        <v>42121</v>
      </c>
      <c r="F2648" s="106">
        <v>8024.5</v>
      </c>
      <c r="G2648" s="31">
        <f t="shared" si="41"/>
        <v>0</v>
      </c>
      <c r="H2648" s="39" t="s">
        <v>17</v>
      </c>
      <c r="I2648" s="3"/>
      <c r="J2648" s="42"/>
      <c r="K2648" s="3"/>
    </row>
    <row r="2649" spans="1:11" x14ac:dyDescent="0.25">
      <c r="A2649" s="20">
        <v>42121</v>
      </c>
      <c r="B2649" s="183">
        <v>19186</v>
      </c>
      <c r="C2649" s="14" t="s">
        <v>24</v>
      </c>
      <c r="D2649" s="105">
        <v>4055.4</v>
      </c>
      <c r="E2649" s="74">
        <v>42144</v>
      </c>
      <c r="F2649" s="144">
        <v>4055.4</v>
      </c>
      <c r="G2649" s="31">
        <f t="shared" si="41"/>
        <v>0</v>
      </c>
      <c r="H2649" s="39" t="s">
        <v>9</v>
      </c>
      <c r="I2649" s="3"/>
      <c r="J2649" s="42"/>
      <c r="K2649" s="3"/>
    </row>
    <row r="2650" spans="1:11" x14ac:dyDescent="0.25">
      <c r="A2650" s="20">
        <v>42121</v>
      </c>
      <c r="B2650" s="183">
        <v>19187</v>
      </c>
      <c r="C2650" s="14" t="s">
        <v>67</v>
      </c>
      <c r="D2650" s="105">
        <v>2955.4</v>
      </c>
      <c r="E2650" s="65">
        <v>42122</v>
      </c>
      <c r="F2650" s="106">
        <v>2955.4</v>
      </c>
      <c r="G2650" s="31">
        <f t="shared" si="41"/>
        <v>0</v>
      </c>
      <c r="H2650" s="39" t="s">
        <v>62</v>
      </c>
      <c r="I2650" s="3"/>
      <c r="J2650" s="42"/>
      <c r="K2650" s="3"/>
    </row>
    <row r="2651" spans="1:11" x14ac:dyDescent="0.25">
      <c r="A2651" s="20">
        <v>42121</v>
      </c>
      <c r="B2651" s="183">
        <v>19188</v>
      </c>
      <c r="C2651" s="14" t="s">
        <v>78</v>
      </c>
      <c r="D2651" s="105">
        <v>8332.7999999999993</v>
      </c>
      <c r="E2651" s="65">
        <v>42122</v>
      </c>
      <c r="F2651" s="106">
        <v>8332.7999999999993</v>
      </c>
      <c r="G2651" s="31">
        <f t="shared" si="41"/>
        <v>0</v>
      </c>
      <c r="H2651" s="39" t="s">
        <v>62</v>
      </c>
      <c r="I2651" s="3"/>
      <c r="J2651" s="42"/>
      <c r="K2651" s="3"/>
    </row>
    <row r="2652" spans="1:11" x14ac:dyDescent="0.25">
      <c r="A2652" s="20">
        <v>42121</v>
      </c>
      <c r="B2652" s="183">
        <v>19189</v>
      </c>
      <c r="C2652" s="14" t="s">
        <v>170</v>
      </c>
      <c r="D2652" s="105">
        <v>4433.8</v>
      </c>
      <c r="E2652" s="65">
        <v>42122</v>
      </c>
      <c r="F2652" s="106">
        <v>4433.8</v>
      </c>
      <c r="G2652" s="31">
        <f t="shared" si="41"/>
        <v>0</v>
      </c>
      <c r="H2652" s="39" t="s">
        <v>62</v>
      </c>
      <c r="I2652" s="3"/>
      <c r="J2652" s="42"/>
      <c r="K2652" s="3"/>
    </row>
    <row r="2653" spans="1:11" x14ac:dyDescent="0.25">
      <c r="A2653" s="20">
        <v>42121</v>
      </c>
      <c r="B2653" s="183">
        <v>19190</v>
      </c>
      <c r="C2653" s="14" t="s">
        <v>24</v>
      </c>
      <c r="D2653" s="105">
        <v>516</v>
      </c>
      <c r="E2653" s="74">
        <v>42144</v>
      </c>
      <c r="F2653" s="144">
        <v>516</v>
      </c>
      <c r="G2653" s="31">
        <f t="shared" si="41"/>
        <v>0</v>
      </c>
      <c r="H2653" s="39" t="s">
        <v>9</v>
      </c>
      <c r="I2653" s="3"/>
      <c r="J2653" s="42"/>
      <c r="K2653" s="3"/>
    </row>
    <row r="2654" spans="1:11" x14ac:dyDescent="0.25">
      <c r="A2654" s="20">
        <v>42121</v>
      </c>
      <c r="B2654" s="183">
        <v>19191</v>
      </c>
      <c r="C2654" s="14" t="s">
        <v>131</v>
      </c>
      <c r="D2654" s="105">
        <v>1806</v>
      </c>
      <c r="E2654" s="65">
        <v>42121</v>
      </c>
      <c r="F2654" s="106">
        <v>1806</v>
      </c>
      <c r="G2654" s="31">
        <f t="shared" si="41"/>
        <v>0</v>
      </c>
      <c r="H2654" s="39" t="s">
        <v>17</v>
      </c>
      <c r="I2654" s="3"/>
      <c r="J2654" s="42"/>
      <c r="K2654" s="3"/>
    </row>
    <row r="2655" spans="1:11" x14ac:dyDescent="0.25">
      <c r="A2655" s="20">
        <v>42121</v>
      </c>
      <c r="B2655" s="183">
        <v>19192</v>
      </c>
      <c r="C2655" s="14" t="s">
        <v>328</v>
      </c>
      <c r="D2655" s="105">
        <v>8964.6</v>
      </c>
      <c r="E2655" s="65">
        <v>42122</v>
      </c>
      <c r="F2655" s="106">
        <v>8964.6</v>
      </c>
      <c r="G2655" s="31">
        <f t="shared" si="41"/>
        <v>0</v>
      </c>
      <c r="H2655" s="39" t="s">
        <v>9</v>
      </c>
      <c r="I2655" s="3"/>
      <c r="J2655" s="42"/>
      <c r="K2655" s="3"/>
    </row>
    <row r="2656" spans="1:11" x14ac:dyDescent="0.25">
      <c r="A2656" s="20">
        <v>42121</v>
      </c>
      <c r="B2656" s="183">
        <v>19193</v>
      </c>
      <c r="C2656" s="14" t="s">
        <v>426</v>
      </c>
      <c r="D2656" s="105">
        <v>13273.2</v>
      </c>
      <c r="E2656" s="65">
        <v>42122</v>
      </c>
      <c r="F2656" s="106">
        <v>13273.2</v>
      </c>
      <c r="G2656" s="31">
        <f t="shared" si="41"/>
        <v>0</v>
      </c>
      <c r="H2656" s="39" t="s">
        <v>62</v>
      </c>
      <c r="I2656" s="3"/>
      <c r="J2656" s="42"/>
      <c r="K2656" s="3"/>
    </row>
    <row r="2657" spans="1:11" x14ac:dyDescent="0.25">
      <c r="A2657" s="20">
        <v>42121</v>
      </c>
      <c r="B2657" s="183">
        <v>19194</v>
      </c>
      <c r="C2657" s="14" t="s">
        <v>718</v>
      </c>
      <c r="D2657" s="105">
        <v>2190.4</v>
      </c>
      <c r="E2657" s="74">
        <v>42128</v>
      </c>
      <c r="F2657" s="144">
        <v>2190.4</v>
      </c>
      <c r="G2657" s="31">
        <f t="shared" si="41"/>
        <v>0</v>
      </c>
      <c r="H2657" s="39" t="s">
        <v>17</v>
      </c>
      <c r="I2657" s="3"/>
      <c r="J2657" s="42"/>
      <c r="K2657" s="3"/>
    </row>
    <row r="2658" spans="1:11" x14ac:dyDescent="0.25">
      <c r="A2658" s="20">
        <v>42121</v>
      </c>
      <c r="B2658" s="183">
        <v>19195</v>
      </c>
      <c r="C2658" s="14" t="s">
        <v>173</v>
      </c>
      <c r="D2658" s="105">
        <v>13704.6</v>
      </c>
      <c r="E2658" s="74" t="s">
        <v>1242</v>
      </c>
      <c r="F2658" s="144">
        <v>13704.6</v>
      </c>
      <c r="G2658" s="31">
        <f t="shared" si="41"/>
        <v>0</v>
      </c>
      <c r="H2658" s="39" t="s">
        <v>62</v>
      </c>
      <c r="I2658" s="3"/>
      <c r="J2658" s="42"/>
      <c r="K2658" s="3"/>
    </row>
    <row r="2659" spans="1:11" x14ac:dyDescent="0.25">
      <c r="A2659" s="20">
        <v>42121</v>
      </c>
      <c r="B2659" s="183">
        <v>19196</v>
      </c>
      <c r="C2659" s="14" t="s">
        <v>72</v>
      </c>
      <c r="D2659" s="105">
        <v>21962.1</v>
      </c>
      <c r="E2659" s="74" t="s">
        <v>1248</v>
      </c>
      <c r="F2659" s="144">
        <v>21962.1</v>
      </c>
      <c r="G2659" s="31">
        <f t="shared" si="41"/>
        <v>0</v>
      </c>
      <c r="H2659" s="39" t="s">
        <v>62</v>
      </c>
      <c r="I2659" s="3"/>
      <c r="J2659" s="42"/>
      <c r="K2659" s="3"/>
    </row>
    <row r="2660" spans="1:11" x14ac:dyDescent="0.25">
      <c r="A2660" s="20">
        <v>42121</v>
      </c>
      <c r="B2660" s="183">
        <v>19197</v>
      </c>
      <c r="C2660" s="14" t="s">
        <v>84</v>
      </c>
      <c r="D2660" s="105">
        <v>42768.6</v>
      </c>
      <c r="E2660" s="74" t="s">
        <v>1243</v>
      </c>
      <c r="F2660" s="144">
        <v>42768.6</v>
      </c>
      <c r="G2660" s="31">
        <f t="shared" si="41"/>
        <v>0</v>
      </c>
      <c r="H2660" s="39" t="s">
        <v>62</v>
      </c>
      <c r="I2660" s="3"/>
      <c r="J2660" s="42"/>
      <c r="K2660" s="3"/>
    </row>
    <row r="2661" spans="1:11" x14ac:dyDescent="0.25">
      <c r="A2661" s="20">
        <v>42121</v>
      </c>
      <c r="B2661" s="183">
        <v>19198</v>
      </c>
      <c r="C2661" s="14" t="s">
        <v>243</v>
      </c>
      <c r="D2661" s="105">
        <v>1198.56</v>
      </c>
      <c r="E2661" s="65">
        <v>42122</v>
      </c>
      <c r="F2661" s="106">
        <v>1198.56</v>
      </c>
      <c r="G2661" s="31">
        <f t="shared" si="41"/>
        <v>0</v>
      </c>
      <c r="H2661" s="39" t="s">
        <v>62</v>
      </c>
      <c r="I2661" s="3"/>
      <c r="J2661" s="42"/>
      <c r="K2661" s="3"/>
    </row>
    <row r="2662" spans="1:11" x14ac:dyDescent="0.25">
      <c r="A2662" s="20">
        <v>42121</v>
      </c>
      <c r="B2662" s="183">
        <v>19199</v>
      </c>
      <c r="C2662" s="14" t="s">
        <v>75</v>
      </c>
      <c r="D2662" s="105">
        <v>15447.8</v>
      </c>
      <c r="E2662" s="65">
        <v>42122</v>
      </c>
      <c r="F2662" s="106">
        <v>15447.8</v>
      </c>
      <c r="G2662" s="31">
        <f t="shared" si="41"/>
        <v>0</v>
      </c>
      <c r="H2662" s="39" t="s">
        <v>62</v>
      </c>
      <c r="I2662" s="3"/>
      <c r="J2662" s="42"/>
      <c r="K2662" s="3"/>
    </row>
    <row r="2663" spans="1:11" x14ac:dyDescent="0.25">
      <c r="A2663" s="20">
        <v>42121</v>
      </c>
      <c r="B2663" s="183">
        <v>19200</v>
      </c>
      <c r="C2663" s="14" t="s">
        <v>65</v>
      </c>
      <c r="D2663" s="105">
        <v>23644.98</v>
      </c>
      <c r="E2663" s="65">
        <v>42122</v>
      </c>
      <c r="F2663" s="106">
        <v>23644.98</v>
      </c>
      <c r="G2663" s="31">
        <f t="shared" si="41"/>
        <v>0</v>
      </c>
      <c r="H2663" s="39" t="s">
        <v>62</v>
      </c>
      <c r="I2663" s="3"/>
      <c r="J2663" s="42"/>
      <c r="K2663" s="3"/>
    </row>
    <row r="2664" spans="1:11" x14ac:dyDescent="0.25">
      <c r="A2664" s="20">
        <v>42121</v>
      </c>
      <c r="B2664" s="183">
        <v>19201</v>
      </c>
      <c r="C2664" s="14" t="s">
        <v>65</v>
      </c>
      <c r="D2664" s="105">
        <v>1140</v>
      </c>
      <c r="E2664" s="65">
        <v>42122</v>
      </c>
      <c r="F2664" s="106">
        <v>1140</v>
      </c>
      <c r="G2664" s="31">
        <f t="shared" si="41"/>
        <v>0</v>
      </c>
      <c r="H2664" s="39" t="s">
        <v>62</v>
      </c>
      <c r="I2664" s="3"/>
      <c r="J2664" s="42"/>
      <c r="K2664" s="3"/>
    </row>
    <row r="2665" spans="1:11" x14ac:dyDescent="0.25">
      <c r="A2665" s="20">
        <v>42121</v>
      </c>
      <c r="B2665" s="183">
        <v>19202</v>
      </c>
      <c r="C2665" s="14" t="s">
        <v>176</v>
      </c>
      <c r="D2665" s="105">
        <v>13832.1</v>
      </c>
      <c r="E2665" s="74" t="s">
        <v>1230</v>
      </c>
      <c r="F2665" s="144">
        <v>13832.1</v>
      </c>
      <c r="G2665" s="31">
        <f t="shared" si="41"/>
        <v>0</v>
      </c>
      <c r="H2665" s="39" t="s">
        <v>62</v>
      </c>
      <c r="I2665" s="3"/>
      <c r="J2665" s="42"/>
      <c r="K2665" s="3"/>
    </row>
    <row r="2666" spans="1:11" x14ac:dyDescent="0.25">
      <c r="A2666" s="20">
        <v>42121</v>
      </c>
      <c r="B2666" s="183">
        <v>19203</v>
      </c>
      <c r="C2666" s="14" t="s">
        <v>268</v>
      </c>
      <c r="D2666" s="105">
        <v>4723.2</v>
      </c>
      <c r="E2666" s="65">
        <v>42122</v>
      </c>
      <c r="F2666" s="106">
        <v>4723.2</v>
      </c>
      <c r="G2666" s="31">
        <f t="shared" si="41"/>
        <v>0</v>
      </c>
      <c r="H2666" s="39" t="s">
        <v>9</v>
      </c>
      <c r="I2666" s="3"/>
      <c r="J2666" s="42"/>
      <c r="K2666" s="3"/>
    </row>
    <row r="2667" spans="1:11" x14ac:dyDescent="0.25">
      <c r="A2667" s="20">
        <v>42121</v>
      </c>
      <c r="B2667" s="183">
        <v>19204</v>
      </c>
      <c r="C2667" s="14" t="s">
        <v>158</v>
      </c>
      <c r="D2667" s="105">
        <v>5537.5</v>
      </c>
      <c r="E2667" s="65">
        <v>42121</v>
      </c>
      <c r="F2667" s="106">
        <v>5537.5</v>
      </c>
      <c r="G2667" s="31">
        <f t="shared" si="41"/>
        <v>0</v>
      </c>
      <c r="H2667" s="39" t="s">
        <v>9</v>
      </c>
      <c r="I2667" s="3"/>
      <c r="J2667" s="42"/>
      <c r="K2667" s="3"/>
    </row>
    <row r="2668" spans="1:11" x14ac:dyDescent="0.25">
      <c r="A2668" s="20">
        <v>42121</v>
      </c>
      <c r="B2668" s="183">
        <v>19205</v>
      </c>
      <c r="C2668" s="14" t="s">
        <v>89</v>
      </c>
      <c r="D2668" s="105">
        <v>3679.4</v>
      </c>
      <c r="E2668" s="65">
        <v>42121</v>
      </c>
      <c r="F2668" s="106">
        <v>3679.4</v>
      </c>
      <c r="G2668" s="31">
        <f t="shared" si="41"/>
        <v>0</v>
      </c>
      <c r="H2668" s="39" t="s">
        <v>9</v>
      </c>
      <c r="I2668" s="3"/>
      <c r="J2668" s="42"/>
      <c r="K2668" s="3"/>
    </row>
    <row r="2669" spans="1:11" x14ac:dyDescent="0.25">
      <c r="A2669" s="20">
        <v>42121</v>
      </c>
      <c r="B2669" s="183">
        <v>19206</v>
      </c>
      <c r="C2669" s="14" t="s">
        <v>1178</v>
      </c>
      <c r="D2669" s="105">
        <v>2538.6999999999998</v>
      </c>
      <c r="E2669" s="65">
        <v>42121</v>
      </c>
      <c r="F2669" s="106">
        <v>2538.6999999999998</v>
      </c>
      <c r="G2669" s="31">
        <f t="shared" si="41"/>
        <v>0</v>
      </c>
      <c r="H2669" s="39" t="s">
        <v>9</v>
      </c>
      <c r="I2669" s="3"/>
      <c r="J2669" s="42"/>
      <c r="K2669" s="3"/>
    </row>
    <row r="2670" spans="1:11" x14ac:dyDescent="0.25">
      <c r="A2670" s="20">
        <v>42121</v>
      </c>
      <c r="B2670" s="183">
        <v>19207</v>
      </c>
      <c r="C2670" s="14" t="s">
        <v>1179</v>
      </c>
      <c r="D2670" s="105">
        <v>540</v>
      </c>
      <c r="E2670" s="65">
        <v>42121</v>
      </c>
      <c r="F2670" s="106">
        <v>540</v>
      </c>
      <c r="G2670" s="31">
        <f t="shared" si="41"/>
        <v>0</v>
      </c>
      <c r="H2670" s="39" t="s">
        <v>9</v>
      </c>
      <c r="I2670" s="3"/>
      <c r="J2670" s="42"/>
      <c r="K2670" s="3"/>
    </row>
    <row r="2671" spans="1:11" x14ac:dyDescent="0.25">
      <c r="A2671" s="20">
        <v>42121</v>
      </c>
      <c r="B2671" s="183">
        <v>19208</v>
      </c>
      <c r="C2671" s="14" t="s">
        <v>399</v>
      </c>
      <c r="D2671" s="105">
        <v>4018.8</v>
      </c>
      <c r="E2671" s="65">
        <v>42121</v>
      </c>
      <c r="F2671" s="106">
        <v>4018.8</v>
      </c>
      <c r="G2671" s="31">
        <f t="shared" si="41"/>
        <v>0</v>
      </c>
      <c r="H2671" s="39" t="s">
        <v>773</v>
      </c>
      <c r="I2671" s="3"/>
      <c r="J2671" s="42"/>
      <c r="K2671" s="3"/>
    </row>
    <row r="2672" spans="1:11" x14ac:dyDescent="0.25">
      <c r="A2672" s="20">
        <v>42121</v>
      </c>
      <c r="B2672" s="183">
        <v>19209</v>
      </c>
      <c r="C2672" s="14" t="s">
        <v>61</v>
      </c>
      <c r="D2672" s="105">
        <v>7061.96</v>
      </c>
      <c r="E2672" s="65">
        <v>42122</v>
      </c>
      <c r="F2672" s="106">
        <v>7061.96</v>
      </c>
      <c r="G2672" s="31">
        <f t="shared" si="41"/>
        <v>0</v>
      </c>
      <c r="H2672" s="39" t="s">
        <v>9</v>
      </c>
      <c r="I2672" s="3"/>
      <c r="J2672" s="42"/>
      <c r="K2672" s="3"/>
    </row>
    <row r="2673" spans="1:11" x14ac:dyDescent="0.25">
      <c r="A2673" s="20">
        <v>42121</v>
      </c>
      <c r="B2673" s="183">
        <v>19210</v>
      </c>
      <c r="C2673" s="14" t="s">
        <v>131</v>
      </c>
      <c r="D2673" s="105">
        <v>10976.6</v>
      </c>
      <c r="E2673" s="65">
        <v>42122</v>
      </c>
      <c r="F2673" s="106">
        <v>10976.6</v>
      </c>
      <c r="G2673" s="31">
        <f t="shared" si="41"/>
        <v>0</v>
      </c>
      <c r="H2673" s="39" t="s">
        <v>9</v>
      </c>
      <c r="I2673" s="3"/>
      <c r="J2673" s="42"/>
      <c r="K2673" s="3"/>
    </row>
    <row r="2674" spans="1:11" x14ac:dyDescent="0.25">
      <c r="A2674" s="20">
        <v>42121</v>
      </c>
      <c r="B2674" s="183">
        <v>19211</v>
      </c>
      <c r="C2674" s="14" t="s">
        <v>250</v>
      </c>
      <c r="D2674" s="105">
        <v>1765</v>
      </c>
      <c r="E2674" s="65">
        <v>42122</v>
      </c>
      <c r="F2674" s="106">
        <v>1765</v>
      </c>
      <c r="G2674" s="31">
        <f t="shared" si="41"/>
        <v>0</v>
      </c>
      <c r="H2674" s="39" t="s">
        <v>19</v>
      </c>
      <c r="I2674" s="3"/>
      <c r="J2674" s="42"/>
      <c r="K2674" s="3"/>
    </row>
    <row r="2675" spans="1:11" x14ac:dyDescent="0.25">
      <c r="A2675" s="20">
        <v>42121</v>
      </c>
      <c r="B2675" s="183">
        <v>19212</v>
      </c>
      <c r="C2675" s="14" t="s">
        <v>93</v>
      </c>
      <c r="D2675" s="105">
        <v>1927.8</v>
      </c>
      <c r="E2675" s="65">
        <v>42122</v>
      </c>
      <c r="F2675" s="106">
        <v>1927.8</v>
      </c>
      <c r="G2675" s="31">
        <f t="shared" si="41"/>
        <v>0</v>
      </c>
      <c r="H2675" s="39" t="s">
        <v>19</v>
      </c>
      <c r="I2675" s="3"/>
      <c r="J2675" s="42"/>
      <c r="K2675" s="3"/>
    </row>
    <row r="2676" spans="1:11" x14ac:dyDescent="0.25">
      <c r="A2676" s="20">
        <v>42121</v>
      </c>
      <c r="B2676" s="183">
        <v>19213</v>
      </c>
      <c r="C2676" s="14" t="s">
        <v>110</v>
      </c>
      <c r="D2676" s="105">
        <v>32688.560000000001</v>
      </c>
      <c r="E2676" s="74">
        <v>42126</v>
      </c>
      <c r="F2676" s="144">
        <v>32688.560000000001</v>
      </c>
      <c r="G2676" s="31">
        <f t="shared" si="41"/>
        <v>0</v>
      </c>
      <c r="H2676" s="39" t="s">
        <v>94</v>
      </c>
      <c r="I2676" s="3"/>
      <c r="J2676" s="42"/>
      <c r="K2676" s="3"/>
    </row>
    <row r="2677" spans="1:11" x14ac:dyDescent="0.25">
      <c r="A2677" s="20">
        <v>42121</v>
      </c>
      <c r="B2677" s="183">
        <v>19214</v>
      </c>
      <c r="C2677" s="14" t="s">
        <v>95</v>
      </c>
      <c r="D2677" s="105">
        <v>1995.8</v>
      </c>
      <c r="E2677" s="65">
        <v>42122</v>
      </c>
      <c r="F2677" s="106">
        <v>1995.8</v>
      </c>
      <c r="G2677" s="31">
        <f t="shared" si="41"/>
        <v>0</v>
      </c>
      <c r="H2677" s="39" t="s">
        <v>19</v>
      </c>
      <c r="I2677" s="3"/>
      <c r="J2677" s="42"/>
      <c r="K2677" s="3"/>
    </row>
    <row r="2678" spans="1:11" x14ac:dyDescent="0.25">
      <c r="A2678" s="20">
        <v>42121</v>
      </c>
      <c r="B2678" s="183">
        <v>19215</v>
      </c>
      <c r="C2678" s="14" t="s">
        <v>335</v>
      </c>
      <c r="D2678" s="105">
        <v>570</v>
      </c>
      <c r="E2678" s="65">
        <v>42121</v>
      </c>
      <c r="F2678" s="106">
        <v>570</v>
      </c>
      <c r="G2678" s="31">
        <f t="shared" si="41"/>
        <v>0</v>
      </c>
      <c r="H2678" s="39" t="s">
        <v>9</v>
      </c>
      <c r="I2678" s="3"/>
      <c r="J2678" s="42"/>
      <c r="K2678" s="3"/>
    </row>
    <row r="2679" spans="1:11" x14ac:dyDescent="0.25">
      <c r="A2679" s="20">
        <v>42121</v>
      </c>
      <c r="B2679" s="183">
        <v>19216</v>
      </c>
      <c r="C2679" s="14" t="s">
        <v>98</v>
      </c>
      <c r="D2679" s="105">
        <v>3896.45</v>
      </c>
      <c r="E2679" s="65">
        <v>42122</v>
      </c>
      <c r="F2679" s="106">
        <v>3896.45</v>
      </c>
      <c r="G2679" s="31">
        <f t="shared" si="41"/>
        <v>0</v>
      </c>
      <c r="H2679" s="39" t="s">
        <v>19</v>
      </c>
      <c r="I2679" s="3"/>
      <c r="J2679" s="42"/>
      <c r="K2679" s="3"/>
    </row>
    <row r="2680" spans="1:11" x14ac:dyDescent="0.25">
      <c r="A2680" s="20">
        <v>42121</v>
      </c>
      <c r="B2680" s="183">
        <v>19217</v>
      </c>
      <c r="C2680" s="14" t="s">
        <v>104</v>
      </c>
      <c r="D2680" s="105">
        <v>2798.4</v>
      </c>
      <c r="E2680" s="65">
        <v>42122</v>
      </c>
      <c r="F2680" s="106">
        <v>2798.4</v>
      </c>
      <c r="G2680" s="31">
        <f t="shared" si="41"/>
        <v>0</v>
      </c>
      <c r="H2680" s="39" t="s">
        <v>19</v>
      </c>
      <c r="I2680" s="3"/>
      <c r="J2680" s="42"/>
      <c r="K2680" s="3"/>
    </row>
    <row r="2681" spans="1:11" x14ac:dyDescent="0.25">
      <c r="A2681" s="20">
        <v>42121</v>
      </c>
      <c r="B2681" s="183">
        <v>19218</v>
      </c>
      <c r="C2681" s="14" t="s">
        <v>332</v>
      </c>
      <c r="D2681" s="105">
        <v>299.25</v>
      </c>
      <c r="E2681" s="65">
        <v>42121</v>
      </c>
      <c r="F2681" s="106">
        <v>299.25</v>
      </c>
      <c r="G2681" s="31">
        <f t="shared" si="41"/>
        <v>0</v>
      </c>
      <c r="H2681" s="39" t="s">
        <v>9</v>
      </c>
      <c r="I2681" s="3"/>
      <c r="J2681" s="42"/>
      <c r="K2681" s="3"/>
    </row>
    <row r="2682" spans="1:11" x14ac:dyDescent="0.25">
      <c r="A2682" s="20">
        <v>42121</v>
      </c>
      <c r="B2682" s="183">
        <v>19219</v>
      </c>
      <c r="C2682" s="14" t="s">
        <v>180</v>
      </c>
      <c r="D2682" s="105">
        <v>5656.7</v>
      </c>
      <c r="E2682" s="65">
        <v>42121</v>
      </c>
      <c r="F2682" s="106">
        <v>5656.7</v>
      </c>
      <c r="G2682" s="31">
        <f t="shared" si="41"/>
        <v>0</v>
      </c>
      <c r="H2682" s="39" t="s">
        <v>9</v>
      </c>
      <c r="I2682" s="3"/>
      <c r="J2682" s="42"/>
      <c r="K2682" s="3"/>
    </row>
    <row r="2683" spans="1:11" x14ac:dyDescent="0.25">
      <c r="A2683" s="20">
        <v>42121</v>
      </c>
      <c r="B2683" s="183">
        <v>19220</v>
      </c>
      <c r="C2683" s="14" t="s">
        <v>1116</v>
      </c>
      <c r="D2683" s="105">
        <v>1516.2</v>
      </c>
      <c r="E2683" s="65">
        <v>42122</v>
      </c>
      <c r="F2683" s="106">
        <v>1516.2</v>
      </c>
      <c r="G2683" s="31">
        <f t="shared" si="41"/>
        <v>0</v>
      </c>
      <c r="H2683" s="39" t="s">
        <v>19</v>
      </c>
      <c r="I2683" s="3"/>
      <c r="J2683" s="42"/>
      <c r="K2683" s="3"/>
    </row>
    <row r="2684" spans="1:11" x14ac:dyDescent="0.25">
      <c r="A2684" s="20">
        <v>42121</v>
      </c>
      <c r="B2684" s="183">
        <v>19221</v>
      </c>
      <c r="C2684" s="14" t="s">
        <v>136</v>
      </c>
      <c r="D2684" s="105">
        <v>34605.199999999997</v>
      </c>
      <c r="E2684" s="65">
        <v>42123</v>
      </c>
      <c r="F2684" s="106">
        <v>34605.199999999997</v>
      </c>
      <c r="G2684" s="31">
        <f t="shared" si="41"/>
        <v>0</v>
      </c>
      <c r="H2684" s="39" t="s">
        <v>9</v>
      </c>
      <c r="I2684" s="3"/>
      <c r="J2684" s="42"/>
      <c r="K2684" s="3"/>
    </row>
    <row r="2685" spans="1:11" x14ac:dyDescent="0.25">
      <c r="A2685" s="20">
        <v>42121</v>
      </c>
      <c r="B2685" s="183">
        <v>19222</v>
      </c>
      <c r="C2685" s="14" t="s">
        <v>101</v>
      </c>
      <c r="D2685" s="105">
        <v>1093</v>
      </c>
      <c r="E2685" s="65">
        <v>42122</v>
      </c>
      <c r="F2685" s="106">
        <v>1093</v>
      </c>
      <c r="G2685" s="31">
        <f t="shared" si="41"/>
        <v>0</v>
      </c>
      <c r="H2685" s="39" t="s">
        <v>19</v>
      </c>
      <c r="I2685" s="3"/>
      <c r="J2685" s="42"/>
      <c r="K2685" s="3"/>
    </row>
    <row r="2686" spans="1:11" x14ac:dyDescent="0.25">
      <c r="A2686" s="20">
        <v>42121</v>
      </c>
      <c r="B2686" s="183">
        <v>19223</v>
      </c>
      <c r="C2686" s="14" t="s">
        <v>829</v>
      </c>
      <c r="D2686" s="105">
        <v>5805.6</v>
      </c>
      <c r="E2686" s="65">
        <v>42121</v>
      </c>
      <c r="F2686" s="106">
        <v>5805.6</v>
      </c>
      <c r="G2686" s="31">
        <f t="shared" si="41"/>
        <v>0</v>
      </c>
      <c r="H2686" s="39" t="s">
        <v>9</v>
      </c>
      <c r="I2686" s="3"/>
      <c r="J2686" s="42"/>
      <c r="K2686" s="3"/>
    </row>
    <row r="2687" spans="1:11" x14ac:dyDescent="0.25">
      <c r="A2687" s="20">
        <v>42121</v>
      </c>
      <c r="B2687" s="183">
        <v>19224</v>
      </c>
      <c r="C2687" s="14" t="s">
        <v>136</v>
      </c>
      <c r="D2687" s="105">
        <v>3536</v>
      </c>
      <c r="E2687" s="65">
        <v>42121</v>
      </c>
      <c r="F2687" s="106">
        <v>3536</v>
      </c>
      <c r="G2687" s="31">
        <f t="shared" si="41"/>
        <v>0</v>
      </c>
      <c r="H2687" s="39" t="s">
        <v>9</v>
      </c>
      <c r="I2687" s="3"/>
      <c r="J2687" s="42"/>
      <c r="K2687" s="3"/>
    </row>
    <row r="2688" spans="1:11" x14ac:dyDescent="0.25">
      <c r="A2688" s="20">
        <v>42121</v>
      </c>
      <c r="B2688" s="183">
        <v>19225</v>
      </c>
      <c r="C2688" s="14" t="s">
        <v>127</v>
      </c>
      <c r="D2688" s="105">
        <v>1185.5999999999999</v>
      </c>
      <c r="E2688" s="65">
        <v>42121</v>
      </c>
      <c r="F2688" s="106">
        <v>1185.5999999999999</v>
      </c>
      <c r="G2688" s="31">
        <f t="shared" si="41"/>
        <v>0</v>
      </c>
      <c r="H2688" s="39" t="s">
        <v>9</v>
      </c>
      <c r="I2688" s="3"/>
      <c r="J2688" s="42"/>
      <c r="K2688" s="3"/>
    </row>
    <row r="2689" spans="1:11" x14ac:dyDescent="0.25">
      <c r="A2689" s="20">
        <v>42121</v>
      </c>
      <c r="B2689" s="183">
        <v>19226</v>
      </c>
      <c r="C2689" s="14" t="s">
        <v>336</v>
      </c>
      <c r="D2689" s="105">
        <v>2736.8</v>
      </c>
      <c r="E2689" s="65">
        <v>42121</v>
      </c>
      <c r="F2689" s="106">
        <v>2736.8</v>
      </c>
      <c r="G2689" s="31">
        <f t="shared" si="41"/>
        <v>0</v>
      </c>
      <c r="H2689" s="39" t="s">
        <v>9</v>
      </c>
      <c r="I2689" s="3"/>
      <c r="J2689" s="42"/>
      <c r="K2689" s="3"/>
    </row>
    <row r="2690" spans="1:11" x14ac:dyDescent="0.25">
      <c r="A2690" s="20">
        <v>42121</v>
      </c>
      <c r="B2690" s="183">
        <v>19227</v>
      </c>
      <c r="C2690" s="14" t="s">
        <v>1180</v>
      </c>
      <c r="D2690" s="105">
        <v>1280</v>
      </c>
      <c r="E2690" s="74">
        <v>42125</v>
      </c>
      <c r="F2690" s="144">
        <v>1280</v>
      </c>
      <c r="G2690" s="31">
        <f t="shared" si="41"/>
        <v>0</v>
      </c>
      <c r="H2690" s="39" t="s">
        <v>9</v>
      </c>
      <c r="I2690" s="3"/>
      <c r="J2690" s="42"/>
      <c r="K2690" s="3"/>
    </row>
    <row r="2691" spans="1:11" x14ac:dyDescent="0.25">
      <c r="A2691" s="20">
        <v>42121</v>
      </c>
      <c r="B2691" s="183">
        <v>19228</v>
      </c>
      <c r="C2691" s="14" t="s">
        <v>47</v>
      </c>
      <c r="D2691" s="105">
        <v>6274.8</v>
      </c>
      <c r="E2691" s="65">
        <v>42124</v>
      </c>
      <c r="F2691" s="106">
        <v>6274.8</v>
      </c>
      <c r="G2691" s="31">
        <f t="shared" ref="G2691:G2754" si="42">D2691-F2691</f>
        <v>0</v>
      </c>
      <c r="H2691" s="39" t="s">
        <v>9</v>
      </c>
      <c r="I2691" s="3"/>
      <c r="J2691" s="42"/>
      <c r="K2691" s="3"/>
    </row>
    <row r="2692" spans="1:11" x14ac:dyDescent="0.25">
      <c r="A2692" s="20">
        <v>42121</v>
      </c>
      <c r="B2692" s="183">
        <v>19229</v>
      </c>
      <c r="C2692" s="14" t="s">
        <v>1050</v>
      </c>
      <c r="D2692" s="105">
        <v>9196.76</v>
      </c>
      <c r="E2692" s="74" t="s">
        <v>1442</v>
      </c>
      <c r="F2692" s="144">
        <v>9196.76</v>
      </c>
      <c r="G2692" s="31">
        <f t="shared" si="42"/>
        <v>0</v>
      </c>
      <c r="H2692" s="39" t="s">
        <v>9</v>
      </c>
      <c r="I2692" s="3"/>
      <c r="J2692" s="42"/>
      <c r="K2692" s="3"/>
    </row>
    <row r="2693" spans="1:11" x14ac:dyDescent="0.25">
      <c r="A2693" s="20">
        <v>42121</v>
      </c>
      <c r="B2693" s="183">
        <v>19230</v>
      </c>
      <c r="C2693" s="14" t="s">
        <v>256</v>
      </c>
      <c r="D2693" s="105">
        <v>2838</v>
      </c>
      <c r="E2693" s="65">
        <v>42122</v>
      </c>
      <c r="F2693" s="106">
        <v>2838</v>
      </c>
      <c r="G2693" s="31">
        <f t="shared" si="42"/>
        <v>0</v>
      </c>
      <c r="H2693" s="39" t="s">
        <v>773</v>
      </c>
      <c r="I2693" s="3"/>
      <c r="J2693" s="42"/>
      <c r="K2693" s="3"/>
    </row>
    <row r="2694" spans="1:11" x14ac:dyDescent="0.25">
      <c r="A2694" s="20">
        <v>42121</v>
      </c>
      <c r="B2694" s="183">
        <v>19231</v>
      </c>
      <c r="C2694" s="14" t="s">
        <v>35</v>
      </c>
      <c r="D2694" s="105">
        <v>22702.14</v>
      </c>
      <c r="E2694" s="65">
        <v>42122</v>
      </c>
      <c r="F2694" s="106">
        <v>22702.14</v>
      </c>
      <c r="G2694" s="31">
        <f t="shared" si="42"/>
        <v>0</v>
      </c>
      <c r="H2694" s="39" t="s">
        <v>773</v>
      </c>
      <c r="I2694" s="3"/>
      <c r="J2694" s="42"/>
      <c r="K2694" s="3"/>
    </row>
    <row r="2695" spans="1:11" x14ac:dyDescent="0.25">
      <c r="A2695" s="20">
        <v>42121</v>
      </c>
      <c r="B2695" s="183">
        <v>19232</v>
      </c>
      <c r="C2695" s="14" t="s">
        <v>1101</v>
      </c>
      <c r="D2695" s="105">
        <v>242.4</v>
      </c>
      <c r="E2695" s="65">
        <v>42121</v>
      </c>
      <c r="F2695" s="106">
        <v>242.4</v>
      </c>
      <c r="G2695" s="31">
        <f t="shared" si="42"/>
        <v>0</v>
      </c>
      <c r="H2695" s="39" t="s">
        <v>9</v>
      </c>
      <c r="I2695" s="3"/>
      <c r="J2695" s="42"/>
      <c r="K2695" s="3"/>
    </row>
    <row r="2696" spans="1:11" x14ac:dyDescent="0.25">
      <c r="A2696" s="20">
        <v>42121</v>
      </c>
      <c r="B2696" s="183">
        <v>19233</v>
      </c>
      <c r="C2696" s="14" t="s">
        <v>207</v>
      </c>
      <c r="D2696" s="105">
        <v>23134.92</v>
      </c>
      <c r="E2696" s="74">
        <v>42126</v>
      </c>
      <c r="F2696" s="144">
        <v>23134.92</v>
      </c>
      <c r="G2696" s="31">
        <f t="shared" si="42"/>
        <v>0</v>
      </c>
      <c r="H2696" s="39" t="s">
        <v>149</v>
      </c>
      <c r="I2696" s="3"/>
      <c r="J2696" s="42"/>
      <c r="K2696" s="3"/>
    </row>
    <row r="2697" spans="1:11" x14ac:dyDescent="0.25">
      <c r="A2697" s="20">
        <v>42121</v>
      </c>
      <c r="B2697" s="183">
        <v>19234</v>
      </c>
      <c r="C2697" s="14" t="s">
        <v>206</v>
      </c>
      <c r="D2697" s="105">
        <v>31984.35</v>
      </c>
      <c r="E2697" s="74" t="s">
        <v>1231</v>
      </c>
      <c r="F2697" s="144">
        <v>31984.35</v>
      </c>
      <c r="G2697" s="31">
        <f t="shared" si="42"/>
        <v>0</v>
      </c>
      <c r="H2697" s="39" t="s">
        <v>9</v>
      </c>
      <c r="I2697" s="3"/>
      <c r="J2697" s="42"/>
      <c r="K2697" s="3"/>
    </row>
    <row r="2698" spans="1:11" x14ac:dyDescent="0.25">
      <c r="A2698" s="20">
        <v>42121</v>
      </c>
      <c r="B2698" s="183">
        <v>19235</v>
      </c>
      <c r="C2698" s="14" t="s">
        <v>195</v>
      </c>
      <c r="D2698" s="105">
        <v>130539.94</v>
      </c>
      <c r="E2698" s="74" t="s">
        <v>1181</v>
      </c>
      <c r="F2698" s="106">
        <v>130539.94</v>
      </c>
      <c r="G2698" s="31">
        <f t="shared" si="42"/>
        <v>0</v>
      </c>
      <c r="H2698" s="39" t="s">
        <v>149</v>
      </c>
      <c r="I2698" s="3"/>
      <c r="J2698" s="42"/>
      <c r="K2698" s="3"/>
    </row>
    <row r="2699" spans="1:11" x14ac:dyDescent="0.25">
      <c r="A2699" s="20">
        <v>42121</v>
      </c>
      <c r="B2699" s="183">
        <v>19236</v>
      </c>
      <c r="C2699" s="14" t="s">
        <v>202</v>
      </c>
      <c r="D2699" s="105">
        <v>3509.8</v>
      </c>
      <c r="E2699" s="65">
        <v>42123</v>
      </c>
      <c r="F2699" s="106">
        <v>3509.8</v>
      </c>
      <c r="G2699" s="31">
        <f t="shared" si="42"/>
        <v>0</v>
      </c>
      <c r="H2699" s="39" t="s">
        <v>149</v>
      </c>
      <c r="I2699" s="3"/>
      <c r="J2699" s="42"/>
      <c r="K2699" s="3"/>
    </row>
    <row r="2700" spans="1:11" x14ac:dyDescent="0.25">
      <c r="A2700" s="20">
        <v>42121</v>
      </c>
      <c r="B2700" s="183">
        <v>19237</v>
      </c>
      <c r="C2700" s="14" t="s">
        <v>199</v>
      </c>
      <c r="D2700" s="105">
        <v>9973</v>
      </c>
      <c r="E2700" s="65">
        <v>42123</v>
      </c>
      <c r="F2700" s="106">
        <v>9973</v>
      </c>
      <c r="G2700" s="31">
        <f t="shared" si="42"/>
        <v>0</v>
      </c>
      <c r="H2700" s="39" t="s">
        <v>149</v>
      </c>
      <c r="I2700" s="3"/>
      <c r="J2700" s="42"/>
      <c r="K2700" s="3"/>
    </row>
    <row r="2701" spans="1:11" x14ac:dyDescent="0.25">
      <c r="A2701" s="20">
        <v>42121</v>
      </c>
      <c r="B2701" s="183">
        <v>19238</v>
      </c>
      <c r="C2701" s="14" t="s">
        <v>106</v>
      </c>
      <c r="D2701" s="105">
        <v>8514</v>
      </c>
      <c r="E2701" s="74" t="s">
        <v>1210</v>
      </c>
      <c r="F2701" s="144">
        <f>5000+3514</f>
        <v>8514</v>
      </c>
      <c r="G2701" s="31">
        <f t="shared" si="42"/>
        <v>0</v>
      </c>
      <c r="H2701" s="39" t="s">
        <v>9</v>
      </c>
      <c r="I2701" s="3"/>
      <c r="J2701" s="42"/>
      <c r="K2701" s="3"/>
    </row>
    <row r="2702" spans="1:11" x14ac:dyDescent="0.25">
      <c r="A2702" s="20">
        <v>42121</v>
      </c>
      <c r="B2702" s="183">
        <v>19239</v>
      </c>
      <c r="C2702" s="14" t="s">
        <v>200</v>
      </c>
      <c r="D2702" s="105">
        <v>2462.1999999999998</v>
      </c>
      <c r="E2702" s="65">
        <v>42123</v>
      </c>
      <c r="F2702" s="106">
        <v>2462.1999999999998</v>
      </c>
      <c r="G2702" s="31">
        <f t="shared" si="42"/>
        <v>0</v>
      </c>
      <c r="H2702" s="39" t="s">
        <v>149</v>
      </c>
      <c r="I2702" s="3"/>
      <c r="J2702" s="42"/>
      <c r="K2702" s="3"/>
    </row>
    <row r="2703" spans="1:11" x14ac:dyDescent="0.25">
      <c r="A2703" s="20">
        <v>42121</v>
      </c>
      <c r="B2703" s="183">
        <v>19240</v>
      </c>
      <c r="C2703" s="14" t="s">
        <v>215</v>
      </c>
      <c r="D2703" s="105">
        <v>19479</v>
      </c>
      <c r="E2703" s="65">
        <v>42121</v>
      </c>
      <c r="F2703" s="106">
        <v>19479</v>
      </c>
      <c r="G2703" s="31">
        <f t="shared" si="42"/>
        <v>0</v>
      </c>
      <c r="H2703" s="39" t="s">
        <v>9</v>
      </c>
      <c r="I2703" s="3"/>
      <c r="J2703" s="42"/>
      <c r="K2703" s="3"/>
    </row>
    <row r="2704" spans="1:11" x14ac:dyDescent="0.25">
      <c r="A2704" s="20">
        <v>42121</v>
      </c>
      <c r="B2704" s="183">
        <v>19241</v>
      </c>
      <c r="C2704" s="14" t="s">
        <v>261</v>
      </c>
      <c r="D2704" s="105">
        <v>8096.4</v>
      </c>
      <c r="E2704" s="65">
        <v>42123</v>
      </c>
      <c r="F2704" s="106">
        <v>8096.4</v>
      </c>
      <c r="G2704" s="31">
        <f t="shared" si="42"/>
        <v>0</v>
      </c>
      <c r="H2704" s="39" t="s">
        <v>149</v>
      </c>
      <c r="I2704" s="3"/>
      <c r="J2704" s="42"/>
      <c r="K2704" s="3"/>
    </row>
    <row r="2705" spans="1:11" x14ac:dyDescent="0.25">
      <c r="A2705" s="20">
        <v>42121</v>
      </c>
      <c r="B2705" s="183">
        <v>19242</v>
      </c>
      <c r="C2705" s="14" t="s">
        <v>204</v>
      </c>
      <c r="D2705" s="105">
        <v>3234.2</v>
      </c>
      <c r="E2705" s="65">
        <v>42123</v>
      </c>
      <c r="F2705" s="106">
        <v>3234.2</v>
      </c>
      <c r="G2705" s="31">
        <f t="shared" si="42"/>
        <v>0</v>
      </c>
      <c r="H2705" s="39" t="s">
        <v>149</v>
      </c>
      <c r="I2705" s="3"/>
      <c r="J2705" s="42"/>
      <c r="K2705" s="3"/>
    </row>
    <row r="2706" spans="1:11" x14ac:dyDescent="0.25">
      <c r="A2706" s="20">
        <v>42121</v>
      </c>
      <c r="B2706" s="183">
        <v>19243</v>
      </c>
      <c r="C2706" s="150" t="s">
        <v>262</v>
      </c>
      <c r="D2706" s="105">
        <v>22609.7</v>
      </c>
      <c r="E2706" s="74">
        <v>42126</v>
      </c>
      <c r="F2706" s="144">
        <v>22609.7</v>
      </c>
      <c r="G2706" s="31">
        <f t="shared" si="42"/>
        <v>0</v>
      </c>
      <c r="H2706" s="39" t="s">
        <v>149</v>
      </c>
      <c r="I2706" s="3"/>
      <c r="J2706" s="42"/>
      <c r="K2706" s="3"/>
    </row>
    <row r="2707" spans="1:11" x14ac:dyDescent="0.25">
      <c r="A2707" s="20">
        <v>42121</v>
      </c>
      <c r="B2707" s="183">
        <v>19244</v>
      </c>
      <c r="C2707" s="14" t="s">
        <v>877</v>
      </c>
      <c r="D2707" s="105">
        <v>7243.7</v>
      </c>
      <c r="E2707" s="65">
        <v>42123</v>
      </c>
      <c r="F2707" s="106">
        <v>7243.7</v>
      </c>
      <c r="G2707" s="31">
        <f t="shared" si="42"/>
        <v>0</v>
      </c>
      <c r="H2707" s="39" t="s">
        <v>149</v>
      </c>
      <c r="I2707" s="3"/>
      <c r="J2707" s="42"/>
      <c r="K2707" s="3"/>
    </row>
    <row r="2708" spans="1:11" x14ac:dyDescent="0.25">
      <c r="A2708" s="20">
        <v>42121</v>
      </c>
      <c r="B2708" s="183">
        <v>19245</v>
      </c>
      <c r="C2708" s="14" t="s">
        <v>552</v>
      </c>
      <c r="D2708" s="105">
        <v>15429.7</v>
      </c>
      <c r="E2708" s="65">
        <v>42123</v>
      </c>
      <c r="F2708" s="106">
        <v>15429.7</v>
      </c>
      <c r="G2708" s="31">
        <f t="shared" si="42"/>
        <v>0</v>
      </c>
      <c r="H2708" s="39" t="s">
        <v>149</v>
      </c>
      <c r="I2708" s="3"/>
      <c r="J2708" s="42"/>
      <c r="K2708" s="3"/>
    </row>
    <row r="2709" spans="1:11" x14ac:dyDescent="0.25">
      <c r="A2709" s="20">
        <v>42121</v>
      </c>
      <c r="B2709" s="183">
        <v>19246</v>
      </c>
      <c r="C2709" s="14" t="s">
        <v>420</v>
      </c>
      <c r="D2709" s="105">
        <v>9066.2999999999993</v>
      </c>
      <c r="E2709" s="65">
        <v>42123</v>
      </c>
      <c r="F2709" s="106">
        <v>9066.2999999999993</v>
      </c>
      <c r="G2709" s="31">
        <f t="shared" si="42"/>
        <v>0</v>
      </c>
      <c r="H2709" s="39" t="s">
        <v>149</v>
      </c>
      <c r="I2709" s="3"/>
      <c r="J2709" s="42"/>
      <c r="K2709" s="3"/>
    </row>
    <row r="2710" spans="1:11" x14ac:dyDescent="0.25">
      <c r="A2710" s="20">
        <v>42121</v>
      </c>
      <c r="B2710" s="183">
        <v>19247</v>
      </c>
      <c r="C2710" s="14" t="s">
        <v>733</v>
      </c>
      <c r="D2710" s="105">
        <v>6292.55</v>
      </c>
      <c r="E2710" s="65">
        <v>42123</v>
      </c>
      <c r="F2710" s="106">
        <v>6292.55</v>
      </c>
      <c r="G2710" s="31">
        <f t="shared" si="42"/>
        <v>0</v>
      </c>
      <c r="H2710" s="39" t="s">
        <v>149</v>
      </c>
      <c r="I2710" s="3"/>
      <c r="J2710" s="42"/>
      <c r="K2710" s="3"/>
    </row>
    <row r="2711" spans="1:11" x14ac:dyDescent="0.25">
      <c r="A2711" s="20">
        <v>42121</v>
      </c>
      <c r="B2711" s="183">
        <v>19248</v>
      </c>
      <c r="C2711" s="14" t="s">
        <v>141</v>
      </c>
      <c r="D2711" s="105">
        <v>2168.4</v>
      </c>
      <c r="E2711" s="65">
        <v>42121</v>
      </c>
      <c r="F2711" s="106">
        <v>2168.4</v>
      </c>
      <c r="G2711" s="31">
        <f t="shared" si="42"/>
        <v>0</v>
      </c>
      <c r="H2711" s="39" t="s">
        <v>9</v>
      </c>
      <c r="I2711" s="3"/>
      <c r="J2711" s="42"/>
      <c r="K2711" s="3"/>
    </row>
    <row r="2712" spans="1:11" x14ac:dyDescent="0.25">
      <c r="A2712" s="20">
        <v>42121</v>
      </c>
      <c r="B2712" s="183">
        <v>19249</v>
      </c>
      <c r="C2712" s="14" t="s">
        <v>1103</v>
      </c>
      <c r="D2712" s="105">
        <v>19964.5</v>
      </c>
      <c r="E2712" s="65">
        <v>42123</v>
      </c>
      <c r="F2712" s="106">
        <v>19964.5</v>
      </c>
      <c r="G2712" s="31">
        <f t="shared" si="42"/>
        <v>0</v>
      </c>
      <c r="H2712" s="39" t="s">
        <v>149</v>
      </c>
      <c r="I2712" s="3"/>
      <c r="J2712" s="42"/>
      <c r="K2712" s="3"/>
    </row>
    <row r="2713" spans="1:11" x14ac:dyDescent="0.25">
      <c r="A2713" s="20">
        <v>42121</v>
      </c>
      <c r="B2713" s="183">
        <v>19250</v>
      </c>
      <c r="C2713" s="14" t="s">
        <v>733</v>
      </c>
      <c r="D2713" s="105">
        <v>13562.7</v>
      </c>
      <c r="E2713" s="65">
        <v>42123</v>
      </c>
      <c r="F2713" s="106">
        <v>13562.7</v>
      </c>
      <c r="G2713" s="31">
        <f t="shared" si="42"/>
        <v>0</v>
      </c>
      <c r="H2713" s="39" t="s">
        <v>149</v>
      </c>
      <c r="I2713" s="3"/>
      <c r="J2713" s="42"/>
      <c r="K2713" s="3"/>
    </row>
    <row r="2714" spans="1:11" x14ac:dyDescent="0.25">
      <c r="A2714" s="20">
        <v>42121</v>
      </c>
      <c r="B2714" s="183">
        <v>19251</v>
      </c>
      <c r="C2714" s="14" t="s">
        <v>198</v>
      </c>
      <c r="D2714" s="105">
        <v>16084.36</v>
      </c>
      <c r="E2714" s="65">
        <v>42123</v>
      </c>
      <c r="F2714" s="106">
        <v>16084.36</v>
      </c>
      <c r="G2714" s="31">
        <f t="shared" si="42"/>
        <v>0</v>
      </c>
      <c r="H2714" s="39" t="s">
        <v>149</v>
      </c>
      <c r="I2714" s="3"/>
      <c r="J2714" s="42"/>
      <c r="K2714" s="3"/>
    </row>
    <row r="2715" spans="1:11" x14ac:dyDescent="0.25">
      <c r="A2715" s="20">
        <v>42121</v>
      </c>
      <c r="B2715" s="183">
        <v>19252</v>
      </c>
      <c r="C2715" s="14" t="s">
        <v>350</v>
      </c>
      <c r="D2715" s="105">
        <v>2491.5</v>
      </c>
      <c r="E2715" s="65">
        <v>42123</v>
      </c>
      <c r="F2715" s="106">
        <v>2491.5</v>
      </c>
      <c r="G2715" s="31">
        <f t="shared" si="42"/>
        <v>0</v>
      </c>
      <c r="H2715" s="39" t="s">
        <v>149</v>
      </c>
      <c r="I2715" s="3"/>
      <c r="J2715" s="42"/>
      <c r="K2715" s="3"/>
    </row>
    <row r="2716" spans="1:11" x14ac:dyDescent="0.25">
      <c r="A2716" s="20">
        <v>42121</v>
      </c>
      <c r="B2716" s="183">
        <v>19253</v>
      </c>
      <c r="C2716" s="14" t="s">
        <v>90</v>
      </c>
      <c r="D2716" s="105">
        <v>1039.5999999999999</v>
      </c>
      <c r="E2716" s="65">
        <v>42121</v>
      </c>
      <c r="F2716" s="106">
        <v>1039.5999999999999</v>
      </c>
      <c r="G2716" s="31">
        <f t="shared" si="42"/>
        <v>0</v>
      </c>
      <c r="H2716" s="39" t="s">
        <v>9</v>
      </c>
      <c r="I2716" s="3"/>
      <c r="J2716" s="42"/>
      <c r="K2716" s="3"/>
    </row>
    <row r="2717" spans="1:11" x14ac:dyDescent="0.25">
      <c r="A2717" s="20">
        <v>42121</v>
      </c>
      <c r="B2717" s="183">
        <v>19254</v>
      </c>
      <c r="C2717" s="14" t="s">
        <v>24</v>
      </c>
      <c r="D2717" s="105">
        <v>235756.06</v>
      </c>
      <c r="E2717" s="74">
        <v>42144</v>
      </c>
      <c r="F2717" s="144">
        <v>235756.06</v>
      </c>
      <c r="G2717" s="31">
        <f t="shared" si="42"/>
        <v>0</v>
      </c>
      <c r="H2717" s="39" t="s">
        <v>9</v>
      </c>
      <c r="I2717" s="3"/>
      <c r="J2717" s="42"/>
      <c r="K2717" s="3"/>
    </row>
    <row r="2718" spans="1:11" x14ac:dyDescent="0.25">
      <c r="A2718" s="20">
        <v>42121</v>
      </c>
      <c r="B2718" s="183">
        <v>19255</v>
      </c>
      <c r="C2718" s="14" t="s">
        <v>80</v>
      </c>
      <c r="D2718" s="105">
        <v>7255.6</v>
      </c>
      <c r="E2718" s="65">
        <v>42121</v>
      </c>
      <c r="F2718" s="106">
        <v>7255.6</v>
      </c>
      <c r="G2718" s="31">
        <f t="shared" si="42"/>
        <v>0</v>
      </c>
      <c r="H2718" s="39" t="s">
        <v>9</v>
      </c>
      <c r="I2718" s="3"/>
      <c r="J2718" s="42"/>
      <c r="K2718" s="3"/>
    </row>
    <row r="2719" spans="1:11" x14ac:dyDescent="0.25">
      <c r="A2719" s="20">
        <v>42121</v>
      </c>
      <c r="B2719" s="183">
        <v>19256</v>
      </c>
      <c r="C2719" s="14" t="s">
        <v>195</v>
      </c>
      <c r="D2719" s="105">
        <v>132</v>
      </c>
      <c r="E2719" s="65">
        <v>42123</v>
      </c>
      <c r="F2719" s="106">
        <v>132</v>
      </c>
      <c r="G2719" s="31">
        <f t="shared" si="42"/>
        <v>0</v>
      </c>
      <c r="H2719" s="39" t="s">
        <v>149</v>
      </c>
      <c r="I2719" s="3"/>
      <c r="J2719" s="42"/>
      <c r="K2719" s="3"/>
    </row>
    <row r="2720" spans="1:11" x14ac:dyDescent="0.25">
      <c r="A2720" s="20">
        <v>42121</v>
      </c>
      <c r="B2720" s="183">
        <v>19257</v>
      </c>
      <c r="C2720" s="14" t="s">
        <v>851</v>
      </c>
      <c r="D2720" s="105">
        <v>2223.6</v>
      </c>
      <c r="E2720" s="65">
        <v>42123</v>
      </c>
      <c r="F2720" s="106">
        <v>2223.6</v>
      </c>
      <c r="G2720" s="31">
        <f t="shared" si="42"/>
        <v>0</v>
      </c>
      <c r="H2720" s="39" t="s">
        <v>9</v>
      </c>
      <c r="I2720" s="3"/>
      <c r="J2720" s="42"/>
      <c r="K2720" s="3"/>
    </row>
    <row r="2721" spans="1:11" x14ac:dyDescent="0.25">
      <c r="A2721" s="20">
        <v>42121</v>
      </c>
      <c r="B2721" s="183">
        <v>19258</v>
      </c>
      <c r="C2721" s="14" t="s">
        <v>1182</v>
      </c>
      <c r="D2721" s="105">
        <v>129.6</v>
      </c>
      <c r="E2721" s="65">
        <v>42121</v>
      </c>
      <c r="F2721" s="106">
        <v>129.6</v>
      </c>
      <c r="G2721" s="31">
        <f t="shared" si="42"/>
        <v>0</v>
      </c>
      <c r="H2721" s="39" t="s">
        <v>9</v>
      </c>
      <c r="I2721" s="3"/>
      <c r="J2721" s="42"/>
      <c r="K2721" s="3"/>
    </row>
    <row r="2722" spans="1:11" x14ac:dyDescent="0.25">
      <c r="A2722" s="20">
        <v>42121</v>
      </c>
      <c r="B2722" s="183">
        <v>19259</v>
      </c>
      <c r="C2722" s="14" t="s">
        <v>80</v>
      </c>
      <c r="D2722" s="105">
        <v>68</v>
      </c>
      <c r="E2722" s="65">
        <v>42121</v>
      </c>
      <c r="F2722" s="106">
        <v>68</v>
      </c>
      <c r="G2722" s="31">
        <f t="shared" si="42"/>
        <v>0</v>
      </c>
      <c r="H2722" s="39" t="s">
        <v>9</v>
      </c>
      <c r="I2722" s="3"/>
      <c r="J2722" s="42"/>
      <c r="K2722" s="3"/>
    </row>
    <row r="2723" spans="1:11" x14ac:dyDescent="0.25">
      <c r="A2723" s="20">
        <v>42122</v>
      </c>
      <c r="B2723" s="183">
        <v>19260</v>
      </c>
      <c r="C2723" s="14" t="s">
        <v>383</v>
      </c>
      <c r="D2723" s="105">
        <v>3446.8</v>
      </c>
      <c r="E2723" s="65">
        <v>42122</v>
      </c>
      <c r="F2723" s="106">
        <v>3446.8</v>
      </c>
      <c r="G2723" s="31">
        <f t="shared" si="42"/>
        <v>0</v>
      </c>
      <c r="H2723" s="39" t="s">
        <v>9</v>
      </c>
      <c r="I2723" s="3"/>
      <c r="J2723" s="42"/>
      <c r="K2723" s="3"/>
    </row>
    <row r="2724" spans="1:11" x14ac:dyDescent="0.25">
      <c r="A2724" s="20">
        <v>42122</v>
      </c>
      <c r="B2724" s="183">
        <v>19261</v>
      </c>
      <c r="C2724" s="14" t="s">
        <v>1128</v>
      </c>
      <c r="D2724" s="105">
        <v>2732.4</v>
      </c>
      <c r="E2724" s="65">
        <v>42122</v>
      </c>
      <c r="F2724" s="106">
        <v>2732.4</v>
      </c>
      <c r="G2724" s="31">
        <f t="shared" si="42"/>
        <v>0</v>
      </c>
      <c r="H2724" s="39" t="s">
        <v>9</v>
      </c>
      <c r="I2724" s="3"/>
      <c r="J2724" s="42"/>
      <c r="K2724" s="3"/>
    </row>
    <row r="2725" spans="1:11" x14ac:dyDescent="0.25">
      <c r="A2725" s="20">
        <v>42122</v>
      </c>
      <c r="B2725" s="183">
        <v>19262</v>
      </c>
      <c r="C2725" s="14" t="s">
        <v>14</v>
      </c>
      <c r="D2725" s="105">
        <v>13382.5</v>
      </c>
      <c r="E2725" s="74">
        <v>42126</v>
      </c>
      <c r="F2725" s="144">
        <v>13382.5</v>
      </c>
      <c r="G2725" s="31">
        <f t="shared" si="42"/>
        <v>0</v>
      </c>
      <c r="H2725" s="39" t="s">
        <v>15</v>
      </c>
      <c r="I2725" s="3"/>
      <c r="J2725" s="42"/>
      <c r="K2725" s="3"/>
    </row>
    <row r="2726" spans="1:11" x14ac:dyDescent="0.25">
      <c r="A2726" s="20">
        <v>42122</v>
      </c>
      <c r="B2726" s="183">
        <v>19263</v>
      </c>
      <c r="C2726" s="14" t="s">
        <v>1012</v>
      </c>
      <c r="D2726" s="105">
        <v>11903.9</v>
      </c>
      <c r="E2726" s="65">
        <v>42122</v>
      </c>
      <c r="F2726" s="106">
        <v>11903.9</v>
      </c>
      <c r="G2726" s="31">
        <f t="shared" si="42"/>
        <v>0</v>
      </c>
      <c r="H2726" s="39" t="s">
        <v>9</v>
      </c>
      <c r="I2726" s="3"/>
      <c r="J2726" s="42"/>
      <c r="K2726" s="3"/>
    </row>
    <row r="2727" spans="1:11" x14ac:dyDescent="0.25">
      <c r="A2727" s="20">
        <v>42122</v>
      </c>
      <c r="B2727" s="183">
        <v>19264</v>
      </c>
      <c r="C2727" s="14" t="s">
        <v>213</v>
      </c>
      <c r="D2727" s="105">
        <v>21847</v>
      </c>
      <c r="E2727" s="65">
        <v>42122</v>
      </c>
      <c r="F2727" s="106">
        <v>21847</v>
      </c>
      <c r="G2727" s="31">
        <f t="shared" si="42"/>
        <v>0</v>
      </c>
      <c r="H2727" s="39" t="s">
        <v>9</v>
      </c>
      <c r="I2727" s="3"/>
      <c r="J2727" s="42"/>
      <c r="K2727" s="3"/>
    </row>
    <row r="2728" spans="1:11" x14ac:dyDescent="0.25">
      <c r="A2728" s="20">
        <v>42122</v>
      </c>
      <c r="B2728" s="183">
        <v>19265</v>
      </c>
      <c r="C2728" s="14" t="s">
        <v>21</v>
      </c>
      <c r="D2728" s="105">
        <v>7403.8</v>
      </c>
      <c r="E2728" s="65">
        <v>42122</v>
      </c>
      <c r="F2728" s="106">
        <v>7403.8</v>
      </c>
      <c r="G2728" s="31">
        <f t="shared" si="42"/>
        <v>0</v>
      </c>
      <c r="H2728" s="39" t="s">
        <v>9</v>
      </c>
      <c r="I2728" s="3"/>
      <c r="J2728" s="42"/>
      <c r="K2728" s="3"/>
    </row>
    <row r="2729" spans="1:11" x14ac:dyDescent="0.25">
      <c r="A2729" s="20">
        <v>42122</v>
      </c>
      <c r="B2729" s="183">
        <v>19266</v>
      </c>
      <c r="C2729" s="14" t="s">
        <v>211</v>
      </c>
      <c r="D2729" s="105">
        <v>68695.149999999994</v>
      </c>
      <c r="E2729" s="65">
        <v>42124</v>
      </c>
      <c r="F2729" s="106">
        <v>68695.149999999994</v>
      </c>
      <c r="G2729" s="31">
        <f t="shared" si="42"/>
        <v>0</v>
      </c>
      <c r="H2729" s="39" t="s">
        <v>9</v>
      </c>
      <c r="I2729" s="3"/>
      <c r="J2729" s="42"/>
      <c r="K2729" s="3"/>
    </row>
    <row r="2730" spans="1:11" x14ac:dyDescent="0.25">
      <c r="A2730" s="20">
        <v>42122</v>
      </c>
      <c r="B2730" s="183">
        <v>19267</v>
      </c>
      <c r="C2730" s="14" t="s">
        <v>422</v>
      </c>
      <c r="D2730" s="105">
        <v>391.6</v>
      </c>
      <c r="E2730" s="65">
        <v>42122</v>
      </c>
      <c r="F2730" s="106">
        <v>391.6</v>
      </c>
      <c r="G2730" s="31">
        <f t="shared" si="42"/>
        <v>0</v>
      </c>
      <c r="H2730" s="39" t="s">
        <v>9</v>
      </c>
      <c r="I2730" s="3"/>
      <c r="J2730" s="42"/>
      <c r="K2730" s="3"/>
    </row>
    <row r="2731" spans="1:11" x14ac:dyDescent="0.25">
      <c r="A2731" s="20">
        <v>42122</v>
      </c>
      <c r="B2731" s="183">
        <v>19268</v>
      </c>
      <c r="C2731" s="14" t="s">
        <v>20</v>
      </c>
      <c r="D2731" s="105">
        <v>9916.2999999999993</v>
      </c>
      <c r="E2731" s="65">
        <v>42123</v>
      </c>
      <c r="F2731" s="106">
        <v>9916.2999999999993</v>
      </c>
      <c r="G2731" s="31">
        <f t="shared" si="42"/>
        <v>0</v>
      </c>
      <c r="H2731" s="39" t="s">
        <v>94</v>
      </c>
      <c r="I2731" s="3"/>
      <c r="J2731" s="42"/>
      <c r="K2731" s="3"/>
    </row>
    <row r="2732" spans="1:11" x14ac:dyDescent="0.25">
      <c r="A2732" s="20">
        <v>42122</v>
      </c>
      <c r="B2732" s="183">
        <v>19269</v>
      </c>
      <c r="C2732" s="150" t="s">
        <v>24</v>
      </c>
      <c r="D2732" s="105">
        <v>4785</v>
      </c>
      <c r="E2732" s="74">
        <v>42144</v>
      </c>
      <c r="F2732" s="144">
        <v>4785</v>
      </c>
      <c r="G2732" s="31">
        <f t="shared" si="42"/>
        <v>0</v>
      </c>
      <c r="H2732" s="39" t="s">
        <v>9</v>
      </c>
      <c r="I2732" s="3"/>
      <c r="J2732" s="42"/>
      <c r="K2732" s="3"/>
    </row>
    <row r="2733" spans="1:11" x14ac:dyDescent="0.25">
      <c r="A2733" s="20">
        <v>42122</v>
      </c>
      <c r="B2733" s="183">
        <v>19270</v>
      </c>
      <c r="C2733" s="14" t="s">
        <v>161</v>
      </c>
      <c r="D2733" s="105">
        <v>3083.4</v>
      </c>
      <c r="E2733" s="65" t="s">
        <v>1183</v>
      </c>
      <c r="F2733" s="106">
        <f>2900+183.4</f>
        <v>3083.4</v>
      </c>
      <c r="G2733" s="31">
        <f t="shared" si="42"/>
        <v>0</v>
      </c>
      <c r="H2733" s="39" t="s">
        <v>9</v>
      </c>
      <c r="I2733" s="3"/>
      <c r="J2733" s="42"/>
      <c r="K2733" s="3"/>
    </row>
    <row r="2734" spans="1:11" x14ac:dyDescent="0.25">
      <c r="A2734" s="20">
        <v>42122</v>
      </c>
      <c r="B2734" s="183">
        <v>19271</v>
      </c>
      <c r="C2734" s="14" t="s">
        <v>16</v>
      </c>
      <c r="D2734" s="105">
        <v>7142.4</v>
      </c>
      <c r="E2734" s="65">
        <v>42122</v>
      </c>
      <c r="F2734" s="106">
        <v>7142.4</v>
      </c>
      <c r="G2734" s="31">
        <f t="shared" si="42"/>
        <v>0</v>
      </c>
      <c r="H2734" s="39" t="s">
        <v>17</v>
      </c>
      <c r="I2734" s="3"/>
      <c r="J2734" s="42"/>
      <c r="K2734" s="3"/>
    </row>
    <row r="2735" spans="1:11" x14ac:dyDescent="0.25">
      <c r="A2735" s="20">
        <v>42122</v>
      </c>
      <c r="B2735" s="183">
        <v>19272</v>
      </c>
      <c r="C2735" s="14" t="s">
        <v>1184</v>
      </c>
      <c r="D2735" s="105">
        <v>262.2</v>
      </c>
      <c r="E2735" s="65">
        <v>42122</v>
      </c>
      <c r="F2735" s="106">
        <v>262.2</v>
      </c>
      <c r="G2735" s="31">
        <f t="shared" si="42"/>
        <v>0</v>
      </c>
      <c r="H2735" s="39" t="s">
        <v>9</v>
      </c>
      <c r="I2735" s="3"/>
      <c r="J2735" s="42"/>
      <c r="K2735" s="3"/>
    </row>
    <row r="2736" spans="1:11" x14ac:dyDescent="0.25">
      <c r="A2736" s="20">
        <v>42122</v>
      </c>
      <c r="B2736" s="183">
        <v>19273</v>
      </c>
      <c r="C2736" s="14" t="s">
        <v>151</v>
      </c>
      <c r="D2736" s="105">
        <v>2280.3000000000002</v>
      </c>
      <c r="E2736" s="65">
        <v>42123</v>
      </c>
      <c r="F2736" s="106">
        <v>2280.3000000000002</v>
      </c>
      <c r="G2736" s="31">
        <f t="shared" si="42"/>
        <v>0</v>
      </c>
      <c r="H2736" s="39" t="s">
        <v>9</v>
      </c>
      <c r="I2736" s="3"/>
      <c r="J2736" s="42"/>
      <c r="K2736" s="3"/>
    </row>
    <row r="2737" spans="1:11" x14ac:dyDescent="0.25">
      <c r="A2737" s="20">
        <v>42122</v>
      </c>
      <c r="B2737" s="183">
        <v>19274</v>
      </c>
      <c r="C2737" s="14" t="s">
        <v>400</v>
      </c>
      <c r="D2737" s="105">
        <v>782.4</v>
      </c>
      <c r="E2737" s="65">
        <v>42122</v>
      </c>
      <c r="F2737" s="106">
        <v>782.4</v>
      </c>
      <c r="G2737" s="31">
        <f t="shared" si="42"/>
        <v>0</v>
      </c>
      <c r="H2737" s="39" t="s">
        <v>9</v>
      </c>
      <c r="I2737" s="3"/>
      <c r="J2737" s="42"/>
      <c r="K2737" s="3"/>
    </row>
    <row r="2738" spans="1:11" x14ac:dyDescent="0.25">
      <c r="A2738" s="20">
        <v>42122</v>
      </c>
      <c r="B2738" s="183">
        <v>19275</v>
      </c>
      <c r="C2738" s="26" t="s">
        <v>218</v>
      </c>
      <c r="D2738" s="108">
        <v>0</v>
      </c>
      <c r="E2738" s="65"/>
      <c r="F2738" s="106"/>
      <c r="G2738" s="31">
        <f t="shared" si="42"/>
        <v>0</v>
      </c>
      <c r="H2738" s="39" t="s">
        <v>13</v>
      </c>
      <c r="I2738" s="3"/>
      <c r="J2738" s="42"/>
      <c r="K2738" s="3"/>
    </row>
    <row r="2739" spans="1:11" x14ac:dyDescent="0.25">
      <c r="A2739" s="20">
        <v>42122</v>
      </c>
      <c r="B2739" s="183">
        <v>19276</v>
      </c>
      <c r="C2739" s="14" t="s">
        <v>1185</v>
      </c>
      <c r="D2739" s="105">
        <v>2748.6</v>
      </c>
      <c r="E2739" s="65">
        <v>42122</v>
      </c>
      <c r="F2739" s="106">
        <v>2748.6</v>
      </c>
      <c r="G2739" s="31">
        <f t="shared" si="42"/>
        <v>0</v>
      </c>
      <c r="H2739" s="39" t="s">
        <v>9</v>
      </c>
      <c r="I2739" s="3"/>
      <c r="J2739" s="42"/>
      <c r="K2739" s="3"/>
    </row>
    <row r="2740" spans="1:11" x14ac:dyDescent="0.25">
      <c r="A2740" s="20">
        <v>42122</v>
      </c>
      <c r="B2740" s="183">
        <v>19277</v>
      </c>
      <c r="C2740" s="14" t="s">
        <v>114</v>
      </c>
      <c r="D2740" s="105">
        <v>3292.8</v>
      </c>
      <c r="E2740" s="65">
        <v>42122</v>
      </c>
      <c r="F2740" s="106">
        <v>3292.8</v>
      </c>
      <c r="G2740" s="31">
        <f t="shared" si="42"/>
        <v>0</v>
      </c>
      <c r="H2740" s="39" t="s">
        <v>9</v>
      </c>
      <c r="I2740" s="3"/>
      <c r="J2740" s="42"/>
      <c r="K2740" s="3"/>
    </row>
    <row r="2741" spans="1:11" x14ac:dyDescent="0.25">
      <c r="A2741" s="20">
        <v>42122</v>
      </c>
      <c r="B2741" s="183">
        <v>19278</v>
      </c>
      <c r="C2741" s="14" t="s">
        <v>1174</v>
      </c>
      <c r="D2741" s="105">
        <v>2368.8000000000002</v>
      </c>
      <c r="E2741" s="65">
        <v>42122</v>
      </c>
      <c r="F2741" s="106">
        <v>2368.8000000000002</v>
      </c>
      <c r="G2741" s="31">
        <f t="shared" si="42"/>
        <v>0</v>
      </c>
      <c r="H2741" s="39" t="s">
        <v>9</v>
      </c>
      <c r="I2741" s="3"/>
      <c r="J2741" s="42"/>
      <c r="K2741" s="3"/>
    </row>
    <row r="2742" spans="1:11" x14ac:dyDescent="0.25">
      <c r="A2742" s="20">
        <v>42122</v>
      </c>
      <c r="B2742" s="183">
        <v>19279</v>
      </c>
      <c r="C2742" s="14" t="s">
        <v>1186</v>
      </c>
      <c r="D2742" s="105">
        <v>10855.9</v>
      </c>
      <c r="E2742" s="65">
        <v>42122</v>
      </c>
      <c r="F2742" s="106">
        <v>10855.9</v>
      </c>
      <c r="G2742" s="31">
        <f t="shared" si="42"/>
        <v>0</v>
      </c>
      <c r="H2742" s="39" t="s">
        <v>9</v>
      </c>
      <c r="I2742" s="3"/>
      <c r="J2742" s="42"/>
      <c r="K2742" s="3"/>
    </row>
    <row r="2743" spans="1:11" x14ac:dyDescent="0.25">
      <c r="A2743" s="20">
        <v>42122</v>
      </c>
      <c r="B2743" s="183">
        <v>19280</v>
      </c>
      <c r="C2743" s="14" t="s">
        <v>696</v>
      </c>
      <c r="D2743" s="105">
        <v>14209.3</v>
      </c>
      <c r="E2743" s="65">
        <v>42122</v>
      </c>
      <c r="F2743" s="106">
        <v>14209.3</v>
      </c>
      <c r="G2743" s="31">
        <f t="shared" si="42"/>
        <v>0</v>
      </c>
      <c r="H2743" s="39" t="s">
        <v>9</v>
      </c>
      <c r="I2743" s="3"/>
      <c r="J2743" s="42"/>
      <c r="K2743" s="3"/>
    </row>
    <row r="2744" spans="1:11" x14ac:dyDescent="0.25">
      <c r="A2744" s="20">
        <v>42122</v>
      </c>
      <c r="B2744" s="183">
        <v>19281</v>
      </c>
      <c r="C2744" s="14" t="s">
        <v>940</v>
      </c>
      <c r="D2744" s="105">
        <v>3712.55</v>
      </c>
      <c r="E2744" s="65">
        <v>42122</v>
      </c>
      <c r="F2744" s="106">
        <v>3712.55</v>
      </c>
      <c r="G2744" s="31">
        <f t="shared" si="42"/>
        <v>0</v>
      </c>
      <c r="H2744" s="39" t="s">
        <v>9</v>
      </c>
      <c r="I2744" s="3"/>
      <c r="J2744" s="42"/>
      <c r="K2744" s="3"/>
    </row>
    <row r="2745" spans="1:11" x14ac:dyDescent="0.25">
      <c r="A2745" s="20">
        <v>42122</v>
      </c>
      <c r="B2745" s="183">
        <v>19282</v>
      </c>
      <c r="C2745" s="14" t="s">
        <v>1175</v>
      </c>
      <c r="D2745" s="105">
        <v>4359.6000000000004</v>
      </c>
      <c r="E2745" s="65">
        <v>42122</v>
      </c>
      <c r="F2745" s="106">
        <v>4359.6000000000004</v>
      </c>
      <c r="G2745" s="31">
        <f t="shared" si="42"/>
        <v>0</v>
      </c>
      <c r="H2745" s="39" t="s">
        <v>9</v>
      </c>
      <c r="I2745" s="3"/>
      <c r="J2745" s="42"/>
      <c r="K2745" s="3"/>
    </row>
    <row r="2746" spans="1:11" x14ac:dyDescent="0.25">
      <c r="A2746" s="20">
        <v>42122</v>
      </c>
      <c r="B2746" s="183">
        <v>19283</v>
      </c>
      <c r="C2746" s="14" t="s">
        <v>43</v>
      </c>
      <c r="D2746" s="105">
        <v>7111.6</v>
      </c>
      <c r="E2746" s="65">
        <v>42122</v>
      </c>
      <c r="F2746" s="106">
        <v>7111.6</v>
      </c>
      <c r="G2746" s="31">
        <f t="shared" si="42"/>
        <v>0</v>
      </c>
      <c r="H2746" s="39" t="s">
        <v>9</v>
      </c>
      <c r="I2746" s="3"/>
      <c r="J2746" s="42"/>
      <c r="K2746" s="3"/>
    </row>
    <row r="2747" spans="1:11" x14ac:dyDescent="0.25">
      <c r="A2747" s="20">
        <v>42122</v>
      </c>
      <c r="B2747" s="183">
        <v>19284</v>
      </c>
      <c r="C2747" s="14" t="s">
        <v>239</v>
      </c>
      <c r="D2747" s="105">
        <v>945.4</v>
      </c>
      <c r="E2747" s="65">
        <v>42122</v>
      </c>
      <c r="F2747" s="106">
        <v>945.4</v>
      </c>
      <c r="G2747" s="31">
        <f t="shared" si="42"/>
        <v>0</v>
      </c>
      <c r="H2747" s="39" t="s">
        <v>9</v>
      </c>
      <c r="I2747" s="3"/>
      <c r="J2747" s="42"/>
      <c r="K2747" s="3"/>
    </row>
    <row r="2748" spans="1:11" x14ac:dyDescent="0.25">
      <c r="A2748" s="20">
        <v>42122</v>
      </c>
      <c r="B2748" s="183">
        <v>19285</v>
      </c>
      <c r="C2748" s="14" t="s">
        <v>32</v>
      </c>
      <c r="D2748" s="105">
        <v>76171.600000000006</v>
      </c>
      <c r="E2748" s="74">
        <v>42128</v>
      </c>
      <c r="F2748" s="144">
        <v>76171.600000000006</v>
      </c>
      <c r="G2748" s="31">
        <f t="shared" si="42"/>
        <v>0</v>
      </c>
      <c r="H2748" s="39" t="s">
        <v>19</v>
      </c>
      <c r="I2748" s="3"/>
      <c r="J2748" s="42"/>
      <c r="K2748" s="3"/>
    </row>
    <row r="2749" spans="1:11" x14ac:dyDescent="0.25">
      <c r="A2749" s="20">
        <v>42122</v>
      </c>
      <c r="B2749" s="183">
        <v>19286</v>
      </c>
      <c r="C2749" s="14" t="s">
        <v>604</v>
      </c>
      <c r="D2749" s="105">
        <v>2481.3000000000002</v>
      </c>
      <c r="E2749" s="65">
        <v>42122</v>
      </c>
      <c r="F2749" s="106">
        <v>2481.3000000000002</v>
      </c>
      <c r="G2749" s="31">
        <f t="shared" si="42"/>
        <v>0</v>
      </c>
      <c r="H2749" s="39" t="s">
        <v>9</v>
      </c>
      <c r="I2749" s="3"/>
      <c r="J2749" s="42"/>
      <c r="K2749" s="3"/>
    </row>
    <row r="2750" spans="1:11" x14ac:dyDescent="0.25">
      <c r="A2750" s="20">
        <v>42122</v>
      </c>
      <c r="B2750" s="183">
        <v>19287</v>
      </c>
      <c r="C2750" s="14" t="s">
        <v>26</v>
      </c>
      <c r="D2750" s="105">
        <v>1632</v>
      </c>
      <c r="E2750" s="65">
        <v>42122</v>
      </c>
      <c r="F2750" s="106">
        <v>1632</v>
      </c>
      <c r="G2750" s="31">
        <f t="shared" si="42"/>
        <v>0</v>
      </c>
      <c r="H2750" s="39" t="s">
        <v>9</v>
      </c>
      <c r="I2750" s="3"/>
      <c r="J2750" s="42"/>
      <c r="K2750" s="3"/>
    </row>
    <row r="2751" spans="1:11" x14ac:dyDescent="0.25">
      <c r="A2751" s="20">
        <v>42122</v>
      </c>
      <c r="B2751" s="183">
        <v>19288</v>
      </c>
      <c r="C2751" s="14" t="s">
        <v>125</v>
      </c>
      <c r="D2751" s="105">
        <v>8209.5499999999993</v>
      </c>
      <c r="E2751" s="74">
        <v>42130</v>
      </c>
      <c r="F2751" s="144">
        <v>8209.5499999999993</v>
      </c>
      <c r="G2751" s="31">
        <f t="shared" si="42"/>
        <v>0</v>
      </c>
      <c r="H2751" s="39" t="s">
        <v>9</v>
      </c>
      <c r="I2751" s="3"/>
      <c r="J2751" s="42"/>
      <c r="K2751" s="3"/>
    </row>
    <row r="2752" spans="1:11" x14ac:dyDescent="0.25">
      <c r="A2752" s="20">
        <v>42122</v>
      </c>
      <c r="B2752" s="183">
        <v>19289</v>
      </c>
      <c r="C2752" s="14" t="s">
        <v>1058</v>
      </c>
      <c r="D2752" s="105">
        <v>3479.8</v>
      </c>
      <c r="E2752" s="65">
        <v>42122</v>
      </c>
      <c r="F2752" s="106">
        <v>3479.8</v>
      </c>
      <c r="G2752" s="31">
        <f t="shared" si="42"/>
        <v>0</v>
      </c>
      <c r="H2752" s="39" t="s">
        <v>9</v>
      </c>
      <c r="I2752" s="3"/>
      <c r="J2752" s="42"/>
      <c r="K2752" s="3"/>
    </row>
    <row r="2753" spans="1:11" x14ac:dyDescent="0.25">
      <c r="A2753" s="20">
        <v>42122</v>
      </c>
      <c r="B2753" s="183">
        <v>19290</v>
      </c>
      <c r="C2753" s="14" t="s">
        <v>854</v>
      </c>
      <c r="D2753" s="105">
        <v>1880.2</v>
      </c>
      <c r="E2753" s="65">
        <v>42122</v>
      </c>
      <c r="F2753" s="106">
        <v>1880.2</v>
      </c>
      <c r="G2753" s="31">
        <f t="shared" si="42"/>
        <v>0</v>
      </c>
      <c r="H2753" s="39" t="s">
        <v>9</v>
      </c>
      <c r="I2753" s="3"/>
      <c r="J2753" s="42"/>
      <c r="K2753" s="3"/>
    </row>
    <row r="2754" spans="1:11" x14ac:dyDescent="0.25">
      <c r="A2754" s="20">
        <v>42122</v>
      </c>
      <c r="B2754" s="183">
        <v>19291</v>
      </c>
      <c r="C2754" s="14" t="s">
        <v>664</v>
      </c>
      <c r="D2754" s="105">
        <v>1592</v>
      </c>
      <c r="E2754" s="65">
        <v>42122</v>
      </c>
      <c r="F2754" s="106">
        <v>1592</v>
      </c>
      <c r="G2754" s="31">
        <f t="shared" si="42"/>
        <v>0</v>
      </c>
      <c r="H2754" s="39" t="s">
        <v>59</v>
      </c>
      <c r="I2754" s="3"/>
      <c r="J2754" s="42"/>
      <c r="K2754" s="3"/>
    </row>
    <row r="2755" spans="1:11" x14ac:dyDescent="0.25">
      <c r="A2755" s="20">
        <v>42122</v>
      </c>
      <c r="B2755" s="183">
        <v>19292</v>
      </c>
      <c r="C2755" s="14" t="s">
        <v>53</v>
      </c>
      <c r="D2755" s="105">
        <v>591.6</v>
      </c>
      <c r="E2755" s="65">
        <v>42122</v>
      </c>
      <c r="F2755" s="106">
        <v>591.6</v>
      </c>
      <c r="G2755" s="31">
        <f t="shared" ref="G2755:G2818" si="43">D2755-F2755</f>
        <v>0</v>
      </c>
      <c r="H2755" s="39" t="s">
        <v>59</v>
      </c>
      <c r="I2755" s="3"/>
      <c r="J2755" s="42"/>
      <c r="K2755" s="3"/>
    </row>
    <row r="2756" spans="1:11" x14ac:dyDescent="0.25">
      <c r="A2756" s="20">
        <v>42122</v>
      </c>
      <c r="B2756" s="183">
        <v>19293</v>
      </c>
      <c r="C2756" s="14" t="s">
        <v>120</v>
      </c>
      <c r="D2756" s="105">
        <v>1010.1</v>
      </c>
      <c r="E2756" s="65">
        <v>42122</v>
      </c>
      <c r="F2756" s="106">
        <v>1010.1</v>
      </c>
      <c r="G2756" s="31">
        <f t="shared" si="43"/>
        <v>0</v>
      </c>
      <c r="H2756" s="39" t="s">
        <v>59</v>
      </c>
      <c r="I2756" s="3"/>
      <c r="J2756" s="42"/>
      <c r="K2756" s="3"/>
    </row>
    <row r="2757" spans="1:11" x14ac:dyDescent="0.25">
      <c r="A2757" s="20">
        <v>42122</v>
      </c>
      <c r="B2757" s="183">
        <v>19294</v>
      </c>
      <c r="C2757" s="14" t="s">
        <v>81</v>
      </c>
      <c r="D2757" s="105">
        <v>1500</v>
      </c>
      <c r="E2757" s="65">
        <v>42122</v>
      </c>
      <c r="F2757" s="106">
        <v>1500</v>
      </c>
      <c r="G2757" s="31">
        <f t="shared" si="43"/>
        <v>0</v>
      </c>
      <c r="H2757" s="39" t="s">
        <v>59</v>
      </c>
      <c r="I2757" s="3"/>
      <c r="J2757" s="42"/>
      <c r="K2757" s="3"/>
    </row>
    <row r="2758" spans="1:11" x14ac:dyDescent="0.25">
      <c r="A2758" s="20">
        <v>42122</v>
      </c>
      <c r="B2758" s="183">
        <v>19295</v>
      </c>
      <c r="C2758" s="14" t="s">
        <v>1187</v>
      </c>
      <c r="D2758" s="105">
        <v>580</v>
      </c>
      <c r="E2758" s="65">
        <v>42122</v>
      </c>
      <c r="F2758" s="106">
        <v>580</v>
      </c>
      <c r="G2758" s="31">
        <f t="shared" si="43"/>
        <v>0</v>
      </c>
      <c r="H2758" s="39" t="s">
        <v>9</v>
      </c>
      <c r="I2758" s="3"/>
      <c r="J2758" s="42"/>
      <c r="K2758" s="3"/>
    </row>
    <row r="2759" spans="1:11" x14ac:dyDescent="0.25">
      <c r="A2759" s="20">
        <v>42122</v>
      </c>
      <c r="B2759" s="183">
        <v>19296</v>
      </c>
      <c r="C2759" s="14" t="s">
        <v>82</v>
      </c>
      <c r="D2759" s="105">
        <v>2074.8000000000002</v>
      </c>
      <c r="E2759" s="65">
        <v>42122</v>
      </c>
      <c r="F2759" s="106">
        <v>2074.8000000000002</v>
      </c>
      <c r="G2759" s="31">
        <f t="shared" si="43"/>
        <v>0</v>
      </c>
      <c r="H2759" s="39" t="s">
        <v>59</v>
      </c>
      <c r="I2759" s="3"/>
      <c r="J2759" s="42"/>
      <c r="K2759" s="3"/>
    </row>
    <row r="2760" spans="1:11" x14ac:dyDescent="0.25">
      <c r="A2760" s="20">
        <v>42122</v>
      </c>
      <c r="B2760" s="183">
        <v>19297</v>
      </c>
      <c r="C2760" s="110">
        <v>105</v>
      </c>
      <c r="D2760" s="105">
        <v>1440</v>
      </c>
      <c r="E2760" s="65">
        <v>42124</v>
      </c>
      <c r="F2760" s="106">
        <v>1440</v>
      </c>
      <c r="G2760" s="31">
        <f t="shared" si="43"/>
        <v>0</v>
      </c>
      <c r="H2760" s="39" t="s">
        <v>59</v>
      </c>
      <c r="I2760" s="3"/>
      <c r="J2760" s="42"/>
      <c r="K2760" s="3"/>
    </row>
    <row r="2761" spans="1:11" x14ac:dyDescent="0.25">
      <c r="A2761" s="20">
        <v>42122</v>
      </c>
      <c r="B2761" s="183">
        <v>19298</v>
      </c>
      <c r="C2761" s="14" t="s">
        <v>169</v>
      </c>
      <c r="D2761" s="105">
        <v>2171.4</v>
      </c>
      <c r="E2761" s="65">
        <v>42122</v>
      </c>
      <c r="F2761" s="106">
        <v>2171.4</v>
      </c>
      <c r="G2761" s="31">
        <f t="shared" si="43"/>
        <v>0</v>
      </c>
      <c r="H2761" s="39" t="s">
        <v>59</v>
      </c>
      <c r="I2761" s="3"/>
      <c r="J2761" s="42"/>
      <c r="K2761" s="3"/>
    </row>
    <row r="2762" spans="1:11" x14ac:dyDescent="0.25">
      <c r="A2762" s="20">
        <v>42122</v>
      </c>
      <c r="B2762" s="183">
        <v>19299</v>
      </c>
      <c r="C2762" s="14" t="s">
        <v>375</v>
      </c>
      <c r="D2762" s="105">
        <v>2783</v>
      </c>
      <c r="E2762" s="65">
        <v>42122</v>
      </c>
      <c r="F2762" s="106">
        <v>2783</v>
      </c>
      <c r="G2762" s="31">
        <f t="shared" si="43"/>
        <v>0</v>
      </c>
      <c r="H2762" s="39" t="s">
        <v>9</v>
      </c>
      <c r="I2762" s="3"/>
      <c r="J2762" s="42"/>
      <c r="K2762" s="3"/>
    </row>
    <row r="2763" spans="1:11" x14ac:dyDescent="0.25">
      <c r="A2763" s="20">
        <v>42122</v>
      </c>
      <c r="B2763" s="183">
        <v>19300</v>
      </c>
      <c r="C2763" s="14" t="s">
        <v>155</v>
      </c>
      <c r="D2763" s="105">
        <v>2284.8000000000002</v>
      </c>
      <c r="E2763" s="65">
        <v>42122</v>
      </c>
      <c r="F2763" s="106">
        <v>2284.8000000000002</v>
      </c>
      <c r="G2763" s="31">
        <f t="shared" si="43"/>
        <v>0</v>
      </c>
      <c r="H2763" s="39" t="s">
        <v>59</v>
      </c>
      <c r="I2763" s="3"/>
      <c r="J2763" s="42"/>
      <c r="K2763" s="3"/>
    </row>
    <row r="2764" spans="1:11" x14ac:dyDescent="0.25">
      <c r="A2764" s="20">
        <v>42122</v>
      </c>
      <c r="B2764" s="183">
        <v>19301</v>
      </c>
      <c r="C2764" s="14" t="s">
        <v>57</v>
      </c>
      <c r="D2764" s="105">
        <v>432</v>
      </c>
      <c r="E2764" s="65">
        <v>42122</v>
      </c>
      <c r="F2764" s="106">
        <v>432</v>
      </c>
      <c r="G2764" s="31">
        <f t="shared" si="43"/>
        <v>0</v>
      </c>
      <c r="H2764" s="39" t="s">
        <v>9</v>
      </c>
      <c r="I2764" s="3"/>
      <c r="J2764" s="42"/>
      <c r="K2764" s="3"/>
    </row>
    <row r="2765" spans="1:11" x14ac:dyDescent="0.25">
      <c r="A2765" s="20">
        <v>42122</v>
      </c>
      <c r="B2765" s="183">
        <v>19302</v>
      </c>
      <c r="C2765" s="14" t="s">
        <v>110</v>
      </c>
      <c r="D2765" s="105">
        <v>42464.5</v>
      </c>
      <c r="E2765" s="74">
        <v>42126</v>
      </c>
      <c r="F2765" s="144">
        <v>42464.5</v>
      </c>
      <c r="G2765" s="31">
        <f t="shared" si="43"/>
        <v>0</v>
      </c>
      <c r="H2765" s="39" t="s">
        <v>46</v>
      </c>
      <c r="I2765" s="3"/>
      <c r="J2765" s="42"/>
      <c r="K2765" s="3"/>
    </row>
    <row r="2766" spans="1:11" x14ac:dyDescent="0.25">
      <c r="A2766" s="20">
        <v>42122</v>
      </c>
      <c r="B2766" s="183">
        <v>19303</v>
      </c>
      <c r="C2766" s="14" t="s">
        <v>45</v>
      </c>
      <c r="D2766" s="105">
        <v>19072.5</v>
      </c>
      <c r="E2766" s="74">
        <v>42125</v>
      </c>
      <c r="F2766" s="144">
        <v>19072.5</v>
      </c>
      <c r="G2766" s="31">
        <f t="shared" si="43"/>
        <v>0</v>
      </c>
      <c r="H2766" s="39" t="s">
        <v>41</v>
      </c>
      <c r="I2766" s="3"/>
      <c r="J2766" s="42"/>
      <c r="K2766" s="3"/>
    </row>
    <row r="2767" spans="1:11" x14ac:dyDescent="0.25">
      <c r="A2767" s="20">
        <v>42122</v>
      </c>
      <c r="B2767" s="183">
        <v>19304</v>
      </c>
      <c r="C2767" s="14" t="s">
        <v>226</v>
      </c>
      <c r="D2767" s="105">
        <v>2171.4</v>
      </c>
      <c r="E2767" s="65">
        <v>42122</v>
      </c>
      <c r="F2767" s="106">
        <v>2171.4</v>
      </c>
      <c r="G2767" s="31">
        <f t="shared" si="43"/>
        <v>0</v>
      </c>
      <c r="H2767" s="39" t="s">
        <v>94</v>
      </c>
      <c r="I2767" s="3"/>
      <c r="J2767" s="42"/>
      <c r="K2767" s="3"/>
    </row>
    <row r="2768" spans="1:11" x14ac:dyDescent="0.25">
      <c r="A2768" s="20">
        <v>42122</v>
      </c>
      <c r="B2768" s="183">
        <v>19305</v>
      </c>
      <c r="C2768" s="14" t="s">
        <v>179</v>
      </c>
      <c r="D2768" s="105">
        <v>3119.2</v>
      </c>
      <c r="E2768" s="65">
        <v>42122</v>
      </c>
      <c r="F2768" s="106">
        <v>3119.2</v>
      </c>
      <c r="G2768" s="31">
        <f t="shared" si="43"/>
        <v>0</v>
      </c>
      <c r="H2768" s="39" t="s">
        <v>94</v>
      </c>
      <c r="I2768" s="3"/>
      <c r="J2768" s="42"/>
      <c r="K2768" s="3"/>
    </row>
    <row r="2769" spans="1:11" x14ac:dyDescent="0.25">
      <c r="A2769" s="20">
        <v>42122</v>
      </c>
      <c r="B2769" s="183">
        <v>19306</v>
      </c>
      <c r="C2769" s="14" t="s">
        <v>89</v>
      </c>
      <c r="D2769" s="105">
        <v>2941</v>
      </c>
      <c r="E2769" s="65">
        <v>42122</v>
      </c>
      <c r="F2769" s="106">
        <v>2941</v>
      </c>
      <c r="G2769" s="31">
        <f t="shared" si="43"/>
        <v>0</v>
      </c>
      <c r="H2769" s="39" t="s">
        <v>9</v>
      </c>
      <c r="I2769" s="3"/>
      <c r="J2769" s="42"/>
      <c r="K2769" s="3"/>
    </row>
    <row r="2770" spans="1:11" x14ac:dyDescent="0.25">
      <c r="A2770" s="20">
        <v>42122</v>
      </c>
      <c r="B2770" s="183">
        <v>19307</v>
      </c>
      <c r="C2770" s="14" t="s">
        <v>34</v>
      </c>
      <c r="D2770" s="105">
        <v>2455.1999999999998</v>
      </c>
      <c r="E2770" s="65">
        <v>42122</v>
      </c>
      <c r="F2770" s="106">
        <v>2455.1999999999998</v>
      </c>
      <c r="G2770" s="31">
        <f t="shared" si="43"/>
        <v>0</v>
      </c>
      <c r="H2770" s="39" t="s">
        <v>9</v>
      </c>
      <c r="I2770" s="3"/>
      <c r="J2770" s="42"/>
      <c r="K2770" s="3"/>
    </row>
    <row r="2771" spans="1:11" x14ac:dyDescent="0.25">
      <c r="A2771" s="20">
        <v>42122</v>
      </c>
      <c r="B2771" s="183">
        <v>19308</v>
      </c>
      <c r="C2771" s="14" t="s">
        <v>179</v>
      </c>
      <c r="D2771" s="105">
        <v>40</v>
      </c>
      <c r="E2771" s="65">
        <v>42122</v>
      </c>
      <c r="F2771" s="106">
        <v>40</v>
      </c>
      <c r="G2771" s="31">
        <f t="shared" si="43"/>
        <v>0</v>
      </c>
      <c r="H2771" s="39" t="s">
        <v>94</v>
      </c>
      <c r="I2771" s="3"/>
      <c r="J2771" s="42"/>
      <c r="K2771" s="3"/>
    </row>
    <row r="2772" spans="1:11" x14ac:dyDescent="0.25">
      <c r="A2772" s="20">
        <v>42122</v>
      </c>
      <c r="B2772" s="183">
        <v>19309</v>
      </c>
      <c r="C2772" s="14" t="s">
        <v>185</v>
      </c>
      <c r="D2772" s="105">
        <v>42462</v>
      </c>
      <c r="E2772" s="65">
        <v>42122</v>
      </c>
      <c r="F2772" s="106">
        <v>42462</v>
      </c>
      <c r="G2772" s="31">
        <f t="shared" si="43"/>
        <v>0</v>
      </c>
      <c r="H2772" s="39" t="s">
        <v>773</v>
      </c>
      <c r="I2772" s="3"/>
      <c r="J2772" s="42"/>
      <c r="K2772" s="3"/>
    </row>
    <row r="2773" spans="1:11" x14ac:dyDescent="0.25">
      <c r="A2773" s="20">
        <v>42122</v>
      </c>
      <c r="B2773" s="183">
        <v>19310</v>
      </c>
      <c r="C2773" s="14" t="s">
        <v>165</v>
      </c>
      <c r="D2773" s="105">
        <v>2585</v>
      </c>
      <c r="E2773" s="65">
        <v>42123</v>
      </c>
      <c r="F2773" s="106">
        <v>2585</v>
      </c>
      <c r="G2773" s="31">
        <f t="shared" si="43"/>
        <v>0</v>
      </c>
      <c r="H2773" s="39" t="s">
        <v>17</v>
      </c>
      <c r="I2773" s="3"/>
      <c r="J2773" s="42"/>
      <c r="K2773" s="3"/>
    </row>
    <row r="2774" spans="1:11" x14ac:dyDescent="0.25">
      <c r="A2774" s="20">
        <v>42122</v>
      </c>
      <c r="B2774" s="183">
        <v>19311</v>
      </c>
      <c r="C2774" s="14" t="s">
        <v>130</v>
      </c>
      <c r="D2774" s="105">
        <v>3271.6</v>
      </c>
      <c r="E2774" s="65">
        <v>42123</v>
      </c>
      <c r="F2774" s="106">
        <v>3271.6</v>
      </c>
      <c r="G2774" s="31">
        <f t="shared" si="43"/>
        <v>0</v>
      </c>
      <c r="H2774" s="39" t="s">
        <v>17</v>
      </c>
      <c r="I2774" s="3"/>
      <c r="J2774" s="42"/>
      <c r="K2774" s="3"/>
    </row>
    <row r="2775" spans="1:11" x14ac:dyDescent="0.25">
      <c r="A2775" s="20">
        <v>42122</v>
      </c>
      <c r="B2775" s="183">
        <v>19312</v>
      </c>
      <c r="C2775" s="14" t="s">
        <v>131</v>
      </c>
      <c r="D2775" s="105">
        <v>6138</v>
      </c>
      <c r="E2775" s="65">
        <v>42123</v>
      </c>
      <c r="F2775" s="106">
        <v>6138</v>
      </c>
      <c r="G2775" s="31">
        <f t="shared" si="43"/>
        <v>0</v>
      </c>
      <c r="H2775" s="39" t="s">
        <v>17</v>
      </c>
      <c r="I2775" s="3"/>
      <c r="J2775" s="42"/>
      <c r="K2775" s="3"/>
    </row>
    <row r="2776" spans="1:11" x14ac:dyDescent="0.25">
      <c r="A2776" s="20">
        <v>42122</v>
      </c>
      <c r="B2776" s="183">
        <v>19313</v>
      </c>
      <c r="C2776" s="14" t="s">
        <v>332</v>
      </c>
      <c r="D2776" s="105">
        <v>2212</v>
      </c>
      <c r="E2776" s="65">
        <v>42122</v>
      </c>
      <c r="F2776" s="106">
        <v>2212</v>
      </c>
      <c r="G2776" s="31">
        <f t="shared" si="43"/>
        <v>0</v>
      </c>
      <c r="H2776" s="39" t="s">
        <v>9</v>
      </c>
      <c r="I2776" s="3"/>
      <c r="J2776" s="42"/>
      <c r="K2776" s="3"/>
    </row>
    <row r="2777" spans="1:11" x14ac:dyDescent="0.25">
      <c r="A2777" s="20">
        <v>42122</v>
      </c>
      <c r="B2777" s="183">
        <v>19314</v>
      </c>
      <c r="C2777" s="14" t="s">
        <v>24</v>
      </c>
      <c r="D2777" s="105">
        <v>85662.55</v>
      </c>
      <c r="E2777" s="74">
        <v>42144</v>
      </c>
      <c r="F2777" s="144">
        <v>85662.55</v>
      </c>
      <c r="G2777" s="31">
        <f t="shared" si="43"/>
        <v>0</v>
      </c>
      <c r="H2777" s="39" t="s">
        <v>773</v>
      </c>
      <c r="I2777" s="3"/>
      <c r="J2777" s="42"/>
      <c r="K2777" s="3"/>
    </row>
    <row r="2778" spans="1:11" x14ac:dyDescent="0.25">
      <c r="A2778" s="20">
        <v>42122</v>
      </c>
      <c r="B2778" s="183">
        <v>19315</v>
      </c>
      <c r="C2778" s="14" t="s">
        <v>225</v>
      </c>
      <c r="D2778" s="105">
        <v>2385.9</v>
      </c>
      <c r="E2778" s="65">
        <v>42122</v>
      </c>
      <c r="F2778" s="106">
        <v>2385.9</v>
      </c>
      <c r="G2778" s="31">
        <f t="shared" si="43"/>
        <v>0</v>
      </c>
      <c r="H2778" s="39" t="s">
        <v>9</v>
      </c>
      <c r="I2778" s="3"/>
      <c r="J2778" s="42"/>
      <c r="K2778" s="3"/>
    </row>
    <row r="2779" spans="1:11" x14ac:dyDescent="0.25">
      <c r="A2779" s="20">
        <v>42122</v>
      </c>
      <c r="B2779" s="183">
        <v>19316</v>
      </c>
      <c r="C2779" s="14" t="s">
        <v>604</v>
      </c>
      <c r="D2779" s="105">
        <v>2752.2</v>
      </c>
      <c r="E2779" s="65">
        <v>42122</v>
      </c>
      <c r="F2779" s="106">
        <v>2752.2</v>
      </c>
      <c r="G2779" s="31">
        <f t="shared" si="43"/>
        <v>0</v>
      </c>
      <c r="H2779" s="39" t="s">
        <v>9</v>
      </c>
      <c r="I2779" s="3"/>
      <c r="J2779" s="42"/>
      <c r="K2779" s="3"/>
    </row>
    <row r="2780" spans="1:11" x14ac:dyDescent="0.25">
      <c r="A2780" s="20">
        <v>42122</v>
      </c>
      <c r="B2780" s="183">
        <v>19317</v>
      </c>
      <c r="C2780" s="14" t="s">
        <v>102</v>
      </c>
      <c r="D2780" s="105">
        <v>624.79999999999995</v>
      </c>
      <c r="E2780" s="65">
        <v>42122</v>
      </c>
      <c r="F2780" s="106">
        <v>624.79999999999995</v>
      </c>
      <c r="G2780" s="31">
        <f t="shared" si="43"/>
        <v>0</v>
      </c>
      <c r="H2780" s="39" t="s">
        <v>9</v>
      </c>
      <c r="I2780" s="3"/>
      <c r="J2780" s="42"/>
      <c r="K2780" s="3"/>
    </row>
    <row r="2781" spans="1:11" x14ac:dyDescent="0.25">
      <c r="A2781" s="20">
        <v>42122</v>
      </c>
      <c r="B2781" s="183">
        <v>19318</v>
      </c>
      <c r="C2781" s="14" t="s">
        <v>718</v>
      </c>
      <c r="D2781" s="105">
        <v>8164</v>
      </c>
      <c r="E2781" s="74">
        <v>42128</v>
      </c>
      <c r="F2781" s="144">
        <v>8164</v>
      </c>
      <c r="G2781" s="31">
        <f t="shared" si="43"/>
        <v>0</v>
      </c>
      <c r="H2781" s="39" t="s">
        <v>17</v>
      </c>
      <c r="I2781" s="3"/>
      <c r="J2781" s="42"/>
      <c r="K2781" s="3"/>
    </row>
    <row r="2782" spans="1:11" x14ac:dyDescent="0.25">
      <c r="A2782" s="20">
        <v>42122</v>
      </c>
      <c r="B2782" s="183">
        <v>19319</v>
      </c>
      <c r="C2782" s="14" t="s">
        <v>1117</v>
      </c>
      <c r="D2782" s="105">
        <v>1361.2</v>
      </c>
      <c r="E2782" s="65">
        <v>42122</v>
      </c>
      <c r="F2782" s="106">
        <v>1361.2</v>
      </c>
      <c r="G2782" s="31">
        <f t="shared" si="43"/>
        <v>0</v>
      </c>
      <c r="H2782" s="39" t="s">
        <v>9</v>
      </c>
      <c r="I2782" s="3"/>
      <c r="J2782" s="42"/>
      <c r="K2782" s="3"/>
    </row>
    <row r="2783" spans="1:11" x14ac:dyDescent="0.25">
      <c r="A2783" s="20">
        <v>42122</v>
      </c>
      <c r="B2783" s="183">
        <v>19320</v>
      </c>
      <c r="C2783" s="14" t="s">
        <v>116</v>
      </c>
      <c r="D2783" s="105">
        <v>969.2</v>
      </c>
      <c r="E2783" s="65">
        <v>42122</v>
      </c>
      <c r="F2783" s="106">
        <v>969.2</v>
      </c>
      <c r="G2783" s="31">
        <f t="shared" si="43"/>
        <v>0</v>
      </c>
      <c r="H2783" s="39" t="s">
        <v>9</v>
      </c>
      <c r="I2783" s="3"/>
      <c r="J2783" s="42"/>
      <c r="K2783" s="3"/>
    </row>
    <row r="2784" spans="1:11" x14ac:dyDescent="0.25">
      <c r="A2784" s="20">
        <v>42122</v>
      </c>
      <c r="B2784" s="183">
        <v>19321</v>
      </c>
      <c r="C2784" s="14" t="s">
        <v>229</v>
      </c>
      <c r="D2784" s="105">
        <v>1565.5</v>
      </c>
      <c r="E2784" s="65">
        <v>42122</v>
      </c>
      <c r="F2784" s="106">
        <v>1565.5</v>
      </c>
      <c r="G2784" s="31">
        <f t="shared" si="43"/>
        <v>0</v>
      </c>
      <c r="H2784" s="39" t="s">
        <v>9</v>
      </c>
      <c r="I2784" s="3"/>
      <c r="J2784" s="42"/>
      <c r="K2784" s="3"/>
    </row>
    <row r="2785" spans="1:11" x14ac:dyDescent="0.25">
      <c r="A2785" s="20">
        <v>42122</v>
      </c>
      <c r="B2785" s="183">
        <v>19322</v>
      </c>
      <c r="C2785" s="14" t="s">
        <v>1188</v>
      </c>
      <c r="D2785" s="105">
        <v>540</v>
      </c>
      <c r="E2785" s="65">
        <v>42122</v>
      </c>
      <c r="F2785" s="106">
        <v>540</v>
      </c>
      <c r="G2785" s="31">
        <f t="shared" si="43"/>
        <v>0</v>
      </c>
      <c r="H2785" s="39" t="s">
        <v>9</v>
      </c>
      <c r="I2785" s="3"/>
      <c r="J2785" s="42"/>
      <c r="K2785" s="3"/>
    </row>
    <row r="2786" spans="1:11" x14ac:dyDescent="0.25">
      <c r="A2786" s="20">
        <v>42122</v>
      </c>
      <c r="B2786" s="183">
        <v>19323</v>
      </c>
      <c r="C2786" s="14" t="s">
        <v>66</v>
      </c>
      <c r="D2786" s="105">
        <v>1516.3</v>
      </c>
      <c r="E2786" s="65">
        <v>42122</v>
      </c>
      <c r="F2786" s="106">
        <v>1516.3</v>
      </c>
      <c r="G2786" s="31">
        <f t="shared" si="43"/>
        <v>0</v>
      </c>
      <c r="H2786" s="39" t="s">
        <v>9</v>
      </c>
      <c r="I2786" s="3"/>
      <c r="J2786" s="42"/>
      <c r="K2786" s="3"/>
    </row>
    <row r="2787" spans="1:11" x14ac:dyDescent="0.25">
      <c r="A2787" s="20">
        <v>42122</v>
      </c>
      <c r="B2787" s="183">
        <v>19324</v>
      </c>
      <c r="C2787" s="14" t="s">
        <v>591</v>
      </c>
      <c r="D2787" s="105">
        <v>8935.9</v>
      </c>
      <c r="E2787" s="65">
        <v>42122</v>
      </c>
      <c r="F2787" s="106">
        <v>8935.9</v>
      </c>
      <c r="G2787" s="31">
        <f t="shared" si="43"/>
        <v>0</v>
      </c>
      <c r="H2787" s="39" t="s">
        <v>46</v>
      </c>
      <c r="I2787" s="3"/>
      <c r="J2787" s="42"/>
      <c r="K2787" s="3"/>
    </row>
    <row r="2788" spans="1:11" x14ac:dyDescent="0.25">
      <c r="A2788" s="20">
        <v>42122</v>
      </c>
      <c r="B2788" s="183">
        <v>19325</v>
      </c>
      <c r="C2788" s="14" t="s">
        <v>256</v>
      </c>
      <c r="D2788" s="105">
        <v>4188.8</v>
      </c>
      <c r="E2788" s="65">
        <v>42122</v>
      </c>
      <c r="F2788" s="106">
        <v>4188.8</v>
      </c>
      <c r="G2788" s="31">
        <f t="shared" si="43"/>
        <v>0</v>
      </c>
      <c r="H2788" s="39" t="s">
        <v>46</v>
      </c>
      <c r="I2788" s="3"/>
      <c r="J2788" s="42"/>
      <c r="K2788" s="3"/>
    </row>
    <row r="2789" spans="1:11" x14ac:dyDescent="0.25">
      <c r="A2789" s="20">
        <v>42122</v>
      </c>
      <c r="B2789" s="183">
        <v>19326</v>
      </c>
      <c r="C2789" s="14" t="s">
        <v>912</v>
      </c>
      <c r="D2789" s="105">
        <v>25204.5</v>
      </c>
      <c r="E2789" s="65">
        <v>42122</v>
      </c>
      <c r="F2789" s="106">
        <v>25204.5</v>
      </c>
      <c r="G2789" s="31">
        <f t="shared" si="43"/>
        <v>0</v>
      </c>
      <c r="H2789" s="39" t="s">
        <v>9</v>
      </c>
      <c r="I2789" s="3"/>
      <c r="J2789" s="42"/>
      <c r="K2789" s="3"/>
    </row>
    <row r="2790" spans="1:11" x14ac:dyDescent="0.25">
      <c r="A2790" s="20">
        <v>42122</v>
      </c>
      <c r="B2790" s="183">
        <v>19327</v>
      </c>
      <c r="C2790" s="14" t="s">
        <v>912</v>
      </c>
      <c r="D2790" s="105">
        <v>308</v>
      </c>
      <c r="E2790" s="65">
        <v>42122</v>
      </c>
      <c r="F2790" s="106">
        <v>308</v>
      </c>
      <c r="G2790" s="31">
        <f t="shared" si="43"/>
        <v>0</v>
      </c>
      <c r="H2790" s="39" t="s">
        <v>9</v>
      </c>
      <c r="I2790" s="3"/>
      <c r="J2790" s="42"/>
      <c r="K2790" s="3"/>
    </row>
    <row r="2791" spans="1:11" x14ac:dyDescent="0.25">
      <c r="A2791" s="20">
        <v>42122</v>
      </c>
      <c r="B2791" s="183">
        <v>19328</v>
      </c>
      <c r="C2791" s="14" t="s">
        <v>718</v>
      </c>
      <c r="D2791" s="105">
        <v>10578.9</v>
      </c>
      <c r="E2791" s="74">
        <v>42128</v>
      </c>
      <c r="F2791" s="144">
        <v>10578.9</v>
      </c>
      <c r="G2791" s="31">
        <f t="shared" si="43"/>
        <v>0</v>
      </c>
      <c r="H2791" s="39" t="s">
        <v>19</v>
      </c>
      <c r="I2791" s="3"/>
      <c r="J2791" s="42"/>
      <c r="K2791" s="3"/>
    </row>
    <row r="2792" spans="1:11" x14ac:dyDescent="0.25">
      <c r="A2792" s="20">
        <v>42122</v>
      </c>
      <c r="B2792" s="183">
        <v>19329</v>
      </c>
      <c r="C2792" s="14" t="s">
        <v>93</v>
      </c>
      <c r="D2792" s="105">
        <v>2040</v>
      </c>
      <c r="E2792" s="65">
        <v>42123</v>
      </c>
      <c r="F2792" s="106">
        <v>2040</v>
      </c>
      <c r="G2792" s="31">
        <f t="shared" si="43"/>
        <v>0</v>
      </c>
      <c r="H2792" s="39" t="s">
        <v>94</v>
      </c>
      <c r="I2792" s="3"/>
      <c r="J2792" s="42"/>
      <c r="K2792" s="3"/>
    </row>
    <row r="2793" spans="1:11" x14ac:dyDescent="0.25">
      <c r="A2793" s="20">
        <v>42122</v>
      </c>
      <c r="B2793" s="183">
        <v>19330</v>
      </c>
      <c r="C2793" s="14" t="s">
        <v>1116</v>
      </c>
      <c r="D2793" s="105">
        <v>800</v>
      </c>
      <c r="E2793" s="65">
        <v>42123</v>
      </c>
      <c r="F2793" s="106">
        <v>800</v>
      </c>
      <c r="G2793" s="31">
        <f t="shared" si="43"/>
        <v>0</v>
      </c>
      <c r="H2793" s="39" t="s">
        <v>94</v>
      </c>
      <c r="I2793" s="3"/>
      <c r="J2793" s="42"/>
      <c r="K2793" s="3"/>
    </row>
    <row r="2794" spans="1:11" x14ac:dyDescent="0.25">
      <c r="A2794" s="20">
        <v>42122</v>
      </c>
      <c r="B2794" s="183">
        <v>19331</v>
      </c>
      <c r="C2794" s="14" t="s">
        <v>190</v>
      </c>
      <c r="D2794" s="105">
        <v>6303.4</v>
      </c>
      <c r="E2794" s="65">
        <v>42123</v>
      </c>
      <c r="F2794" s="106">
        <v>6303.4</v>
      </c>
      <c r="G2794" s="31">
        <f t="shared" si="43"/>
        <v>0</v>
      </c>
      <c r="H2794" s="39" t="s">
        <v>94</v>
      </c>
      <c r="I2794" s="3"/>
      <c r="J2794" s="42"/>
      <c r="K2794" s="3"/>
    </row>
    <row r="2795" spans="1:11" x14ac:dyDescent="0.25">
      <c r="A2795" s="20">
        <v>42122</v>
      </c>
      <c r="B2795" s="183">
        <v>19332</v>
      </c>
      <c r="C2795" s="14" t="s">
        <v>104</v>
      </c>
      <c r="D2795" s="105">
        <v>1723.2</v>
      </c>
      <c r="E2795" s="65">
        <v>42123</v>
      </c>
      <c r="F2795" s="106">
        <v>1723.2</v>
      </c>
      <c r="G2795" s="31">
        <f t="shared" si="43"/>
        <v>0</v>
      </c>
      <c r="H2795" s="39" t="s">
        <v>94</v>
      </c>
      <c r="I2795" s="3"/>
      <c r="J2795" s="42"/>
      <c r="K2795" s="3"/>
    </row>
    <row r="2796" spans="1:11" x14ac:dyDescent="0.25">
      <c r="A2796" s="20">
        <v>42122</v>
      </c>
      <c r="B2796" s="183">
        <v>19333</v>
      </c>
      <c r="C2796" s="14" t="s">
        <v>190</v>
      </c>
      <c r="D2796" s="105">
        <v>640</v>
      </c>
      <c r="E2796" s="65">
        <v>42123</v>
      </c>
      <c r="F2796" s="106">
        <v>640</v>
      </c>
      <c r="G2796" s="31">
        <f t="shared" si="43"/>
        <v>0</v>
      </c>
      <c r="H2796" s="39" t="s">
        <v>94</v>
      </c>
      <c r="I2796" s="3"/>
      <c r="J2796" s="42"/>
      <c r="K2796" s="3"/>
    </row>
    <row r="2797" spans="1:11" x14ac:dyDescent="0.25">
      <c r="A2797" s="20">
        <v>42122</v>
      </c>
      <c r="B2797" s="183">
        <v>19334</v>
      </c>
      <c r="C2797" s="14" t="s">
        <v>336</v>
      </c>
      <c r="D2797" s="105">
        <v>4692.6000000000004</v>
      </c>
      <c r="E2797" s="65">
        <v>42122</v>
      </c>
      <c r="F2797" s="106">
        <v>4692.6000000000004</v>
      </c>
      <c r="G2797" s="31">
        <f t="shared" si="43"/>
        <v>0</v>
      </c>
      <c r="H2797" s="39" t="s">
        <v>9</v>
      </c>
      <c r="I2797" s="3"/>
      <c r="J2797" s="42"/>
      <c r="K2797" s="3"/>
    </row>
    <row r="2798" spans="1:11" x14ac:dyDescent="0.25">
      <c r="A2798" s="20">
        <v>42122</v>
      </c>
      <c r="B2798" s="183">
        <v>19335</v>
      </c>
      <c r="C2798" s="14" t="s">
        <v>24</v>
      </c>
      <c r="D2798" s="105">
        <v>5761.9</v>
      </c>
      <c r="E2798" s="74">
        <v>42144</v>
      </c>
      <c r="F2798" s="144">
        <v>5761.9</v>
      </c>
      <c r="G2798" s="31">
        <f t="shared" si="43"/>
        <v>0</v>
      </c>
      <c r="H2798" s="39" t="s">
        <v>9</v>
      </c>
      <c r="I2798" s="3"/>
      <c r="J2798" s="42"/>
      <c r="K2798" s="3"/>
    </row>
    <row r="2799" spans="1:11" x14ac:dyDescent="0.25">
      <c r="A2799" s="20">
        <v>42122</v>
      </c>
      <c r="B2799" s="183">
        <v>19336</v>
      </c>
      <c r="C2799" s="150" t="s">
        <v>24</v>
      </c>
      <c r="D2799" s="105">
        <v>11608</v>
      </c>
      <c r="E2799" s="74">
        <v>42144</v>
      </c>
      <c r="F2799" s="144">
        <v>11608</v>
      </c>
      <c r="G2799" s="31">
        <f t="shared" si="43"/>
        <v>0</v>
      </c>
      <c r="H2799" s="39" t="s">
        <v>41</v>
      </c>
      <c r="I2799" s="3"/>
      <c r="J2799" s="42"/>
      <c r="K2799" s="3"/>
    </row>
    <row r="2800" spans="1:11" x14ac:dyDescent="0.25">
      <c r="A2800" s="20">
        <v>42122</v>
      </c>
      <c r="B2800" s="183">
        <v>19337</v>
      </c>
      <c r="C2800" s="14" t="s">
        <v>383</v>
      </c>
      <c r="D2800" s="105">
        <v>920</v>
      </c>
      <c r="E2800" s="65">
        <v>42122</v>
      </c>
      <c r="F2800" s="106">
        <v>920</v>
      </c>
      <c r="G2800" s="31">
        <f t="shared" si="43"/>
        <v>0</v>
      </c>
      <c r="H2800" s="39" t="s">
        <v>9</v>
      </c>
      <c r="I2800" s="3"/>
      <c r="J2800" s="42"/>
      <c r="K2800" s="3"/>
    </row>
    <row r="2801" spans="1:11" x14ac:dyDescent="0.25">
      <c r="A2801" s="20">
        <v>42122</v>
      </c>
      <c r="B2801" s="183">
        <v>19338</v>
      </c>
      <c r="C2801" s="14" t="s">
        <v>416</v>
      </c>
      <c r="D2801" s="105">
        <v>887.4</v>
      </c>
      <c r="E2801" s="65">
        <v>42123</v>
      </c>
      <c r="F2801" s="106">
        <v>887.4</v>
      </c>
      <c r="G2801" s="31">
        <f t="shared" si="43"/>
        <v>0</v>
      </c>
      <c r="H2801" s="39" t="s">
        <v>9</v>
      </c>
      <c r="I2801" s="3"/>
      <c r="J2801" s="42"/>
      <c r="K2801" s="3"/>
    </row>
    <row r="2802" spans="1:11" x14ac:dyDescent="0.25">
      <c r="A2802" s="20">
        <v>42122</v>
      </c>
      <c r="B2802" s="183">
        <v>19339</v>
      </c>
      <c r="C2802" s="14" t="s">
        <v>1060</v>
      </c>
      <c r="D2802" s="105">
        <v>99613.8</v>
      </c>
      <c r="E2802" s="30">
        <v>42135</v>
      </c>
      <c r="F2802" s="144">
        <v>99613.8</v>
      </c>
      <c r="G2802" s="31">
        <f t="shared" si="43"/>
        <v>0</v>
      </c>
      <c r="H2802" s="39" t="s">
        <v>19</v>
      </c>
      <c r="I2802" s="3"/>
      <c r="J2802" s="42"/>
      <c r="K2802" s="3"/>
    </row>
    <row r="2803" spans="1:11" x14ac:dyDescent="0.25">
      <c r="A2803" s="20">
        <v>42122</v>
      </c>
      <c r="B2803" s="183">
        <v>19340</v>
      </c>
      <c r="C2803" s="14" t="s">
        <v>102</v>
      </c>
      <c r="D2803" s="105">
        <v>635.54999999999995</v>
      </c>
      <c r="E2803" s="23">
        <v>42122</v>
      </c>
      <c r="F2803" s="106">
        <v>635.54999999999995</v>
      </c>
      <c r="G2803" s="31">
        <f t="shared" si="43"/>
        <v>0</v>
      </c>
      <c r="H2803" s="39" t="s">
        <v>9</v>
      </c>
      <c r="I2803" s="3"/>
      <c r="J2803" s="42"/>
      <c r="K2803" s="3"/>
    </row>
    <row r="2804" spans="1:11" x14ac:dyDescent="0.25">
      <c r="A2804" s="20">
        <v>42122</v>
      </c>
      <c r="B2804" s="183">
        <v>19341</v>
      </c>
      <c r="C2804" s="14" t="s">
        <v>1020</v>
      </c>
      <c r="D2804" s="103">
        <v>1911.84</v>
      </c>
      <c r="E2804" s="23">
        <v>42122</v>
      </c>
      <c r="F2804" s="106">
        <v>1911.84</v>
      </c>
      <c r="G2804" s="31">
        <f t="shared" si="43"/>
        <v>0</v>
      </c>
      <c r="H2804" s="132" t="s">
        <v>9</v>
      </c>
      <c r="I2804" s="3"/>
      <c r="J2804" s="42"/>
      <c r="K2804" s="3"/>
    </row>
    <row r="2805" spans="1:11" x14ac:dyDescent="0.25">
      <c r="A2805" s="20">
        <v>42122</v>
      </c>
      <c r="B2805" s="183">
        <v>19342</v>
      </c>
      <c r="C2805" s="14" t="s">
        <v>59</v>
      </c>
      <c r="D2805" s="103">
        <v>57.2</v>
      </c>
      <c r="E2805" s="23">
        <v>42122</v>
      </c>
      <c r="F2805" s="106">
        <v>57.2</v>
      </c>
      <c r="G2805" s="31">
        <f t="shared" si="43"/>
        <v>0</v>
      </c>
      <c r="H2805" s="132" t="s">
        <v>9</v>
      </c>
      <c r="I2805" s="3"/>
      <c r="J2805" s="42"/>
      <c r="K2805" s="3"/>
    </row>
    <row r="2806" spans="1:11" x14ac:dyDescent="0.25">
      <c r="A2806" s="20">
        <v>42122</v>
      </c>
      <c r="B2806" s="183">
        <v>19343</v>
      </c>
      <c r="C2806" s="14" t="s">
        <v>1189</v>
      </c>
      <c r="D2806" s="103">
        <v>928.2</v>
      </c>
      <c r="E2806" s="23">
        <v>42122</v>
      </c>
      <c r="F2806" s="106">
        <v>928.2</v>
      </c>
      <c r="G2806" s="31">
        <f t="shared" si="43"/>
        <v>0</v>
      </c>
      <c r="H2806" s="132" t="s">
        <v>9</v>
      </c>
      <c r="I2806" s="3"/>
      <c r="J2806" s="42"/>
      <c r="K2806" s="3"/>
    </row>
    <row r="2807" spans="1:11" x14ac:dyDescent="0.25">
      <c r="A2807" s="20">
        <v>42122</v>
      </c>
      <c r="B2807" s="183">
        <v>19344</v>
      </c>
      <c r="C2807" s="14" t="s">
        <v>14</v>
      </c>
      <c r="D2807" s="103">
        <v>250481.97</v>
      </c>
      <c r="E2807" s="30">
        <v>42126</v>
      </c>
      <c r="F2807" s="144">
        <v>250481.97</v>
      </c>
      <c r="G2807" s="31">
        <f t="shared" si="43"/>
        <v>0</v>
      </c>
      <c r="H2807" s="132" t="s">
        <v>9</v>
      </c>
      <c r="I2807" s="3"/>
      <c r="J2807" s="42"/>
      <c r="K2807" s="3"/>
    </row>
    <row r="2808" spans="1:11" x14ac:dyDescent="0.25">
      <c r="A2808" s="20">
        <v>42122</v>
      </c>
      <c r="B2808" s="183">
        <v>19345</v>
      </c>
      <c r="C2808" s="14" t="s">
        <v>14</v>
      </c>
      <c r="D2808" s="103">
        <v>249722.19</v>
      </c>
      <c r="E2808" s="30" t="s">
        <v>1250</v>
      </c>
      <c r="F2808" s="144">
        <f>86742.96+162979.23</f>
        <v>249722.19</v>
      </c>
      <c r="G2808" s="31">
        <f t="shared" si="43"/>
        <v>0</v>
      </c>
      <c r="H2808" s="132" t="s">
        <v>9</v>
      </c>
      <c r="I2808" s="3"/>
      <c r="J2808" s="42"/>
      <c r="K2808" s="3"/>
    </row>
    <row r="2809" spans="1:11" x14ac:dyDescent="0.25">
      <c r="A2809" s="20">
        <v>42122</v>
      </c>
      <c r="B2809" s="183">
        <v>19346</v>
      </c>
      <c r="C2809" s="14" t="s">
        <v>74</v>
      </c>
      <c r="D2809" s="103">
        <v>1274.2</v>
      </c>
      <c r="E2809" s="23">
        <v>42123</v>
      </c>
      <c r="F2809" s="106">
        <v>1274.2</v>
      </c>
      <c r="G2809" s="31">
        <f t="shared" si="43"/>
        <v>0</v>
      </c>
      <c r="H2809" s="132" t="s">
        <v>9</v>
      </c>
      <c r="I2809" s="3"/>
      <c r="J2809" s="42"/>
      <c r="K2809" s="3"/>
    </row>
    <row r="2810" spans="1:11" x14ac:dyDescent="0.25">
      <c r="A2810" s="20">
        <v>42123</v>
      </c>
      <c r="B2810" s="183">
        <v>19347</v>
      </c>
      <c r="C2810" s="26" t="s">
        <v>218</v>
      </c>
      <c r="D2810" s="153">
        <v>0</v>
      </c>
      <c r="E2810" s="23"/>
      <c r="F2810" s="106"/>
      <c r="G2810" s="31">
        <f t="shared" si="43"/>
        <v>0</v>
      </c>
      <c r="H2810" s="132" t="s">
        <v>13</v>
      </c>
      <c r="I2810" s="3"/>
      <c r="J2810" s="42"/>
      <c r="K2810" s="3"/>
    </row>
    <row r="2811" spans="1:11" x14ac:dyDescent="0.25">
      <c r="A2811" s="20">
        <v>42123</v>
      </c>
      <c r="B2811" s="183">
        <v>19348</v>
      </c>
      <c r="C2811" s="14" t="s">
        <v>16</v>
      </c>
      <c r="D2811" s="103">
        <v>7390</v>
      </c>
      <c r="E2811" s="23">
        <v>42123</v>
      </c>
      <c r="F2811" s="106">
        <v>7390</v>
      </c>
      <c r="G2811" s="31">
        <f t="shared" si="43"/>
        <v>0</v>
      </c>
      <c r="H2811" s="132" t="s">
        <v>17</v>
      </c>
      <c r="I2811" s="3"/>
      <c r="J2811" s="42"/>
      <c r="K2811" s="3"/>
    </row>
    <row r="2812" spans="1:11" x14ac:dyDescent="0.25">
      <c r="A2812" s="20">
        <v>42123</v>
      </c>
      <c r="B2812" s="183">
        <v>19349</v>
      </c>
      <c r="C2812" s="14" t="s">
        <v>383</v>
      </c>
      <c r="D2812" s="103">
        <v>4628.1000000000004</v>
      </c>
      <c r="E2812" s="23">
        <v>42123</v>
      </c>
      <c r="F2812" s="106">
        <v>4628.1000000000004</v>
      </c>
      <c r="G2812" s="31">
        <f t="shared" si="43"/>
        <v>0</v>
      </c>
      <c r="H2812" s="132" t="s">
        <v>9</v>
      </c>
      <c r="I2812" s="3"/>
      <c r="J2812" s="42"/>
      <c r="K2812" s="3"/>
    </row>
    <row r="2813" spans="1:11" x14ac:dyDescent="0.25">
      <c r="A2813" s="20">
        <v>42123</v>
      </c>
      <c r="B2813" s="183">
        <v>19350</v>
      </c>
      <c r="C2813" s="14" t="s">
        <v>112</v>
      </c>
      <c r="D2813" s="103">
        <v>341</v>
      </c>
      <c r="E2813" s="23">
        <v>42123</v>
      </c>
      <c r="F2813" s="106">
        <v>341</v>
      </c>
      <c r="G2813" s="31">
        <f t="shared" si="43"/>
        <v>0</v>
      </c>
      <c r="H2813" s="132" t="s">
        <v>9</v>
      </c>
      <c r="I2813" s="3"/>
      <c r="J2813" s="42"/>
      <c r="K2813" s="3"/>
    </row>
    <row r="2814" spans="1:11" x14ac:dyDescent="0.25">
      <c r="A2814" s="20">
        <v>42123</v>
      </c>
      <c r="B2814" s="183">
        <v>19351</v>
      </c>
      <c r="C2814" s="14" t="s">
        <v>1063</v>
      </c>
      <c r="D2814" s="103">
        <v>2339.9</v>
      </c>
      <c r="E2814" s="23">
        <v>42123</v>
      </c>
      <c r="F2814" s="106">
        <v>2339.9</v>
      </c>
      <c r="G2814" s="31">
        <f t="shared" si="43"/>
        <v>0</v>
      </c>
      <c r="H2814" s="132" t="s">
        <v>9</v>
      </c>
      <c r="I2814" s="3"/>
      <c r="J2814" s="42"/>
      <c r="K2814" s="3"/>
    </row>
    <row r="2815" spans="1:11" x14ac:dyDescent="0.25">
      <c r="A2815" s="20">
        <v>42123</v>
      </c>
      <c r="B2815" s="183">
        <v>19352</v>
      </c>
      <c r="C2815" s="14" t="s">
        <v>863</v>
      </c>
      <c r="D2815" s="103">
        <v>4848</v>
      </c>
      <c r="E2815" s="23">
        <v>42123</v>
      </c>
      <c r="F2815" s="106">
        <v>4848</v>
      </c>
      <c r="G2815" s="31">
        <f t="shared" si="43"/>
        <v>0</v>
      </c>
      <c r="H2815" s="132" t="s">
        <v>9</v>
      </c>
      <c r="I2815" s="3"/>
      <c r="J2815" s="42"/>
      <c r="K2815" s="3"/>
    </row>
    <row r="2816" spans="1:11" x14ac:dyDescent="0.25">
      <c r="A2816" s="20">
        <v>42123</v>
      </c>
      <c r="B2816" s="183">
        <v>19353</v>
      </c>
      <c r="C2816" s="14" t="s">
        <v>215</v>
      </c>
      <c r="D2816" s="103">
        <v>53702.2</v>
      </c>
      <c r="E2816" s="23">
        <v>42123</v>
      </c>
      <c r="F2816" s="106">
        <v>53702.2</v>
      </c>
      <c r="G2816" s="31">
        <f t="shared" si="43"/>
        <v>0</v>
      </c>
      <c r="H2816" s="132" t="s">
        <v>19</v>
      </c>
      <c r="I2816" s="3"/>
      <c r="J2816" s="42"/>
      <c r="K2816" s="3"/>
    </row>
    <row r="2817" spans="1:11" x14ac:dyDescent="0.25">
      <c r="A2817" s="20">
        <v>42123</v>
      </c>
      <c r="B2817" s="183">
        <v>19354</v>
      </c>
      <c r="C2817" s="14" t="s">
        <v>14</v>
      </c>
      <c r="D2817" s="103">
        <v>22652.65</v>
      </c>
      <c r="E2817" s="30">
        <v>42126</v>
      </c>
      <c r="F2817" s="144">
        <v>22652.65</v>
      </c>
      <c r="G2817" s="31">
        <f t="shared" si="43"/>
        <v>0</v>
      </c>
      <c r="H2817" s="132" t="s">
        <v>15</v>
      </c>
      <c r="I2817" s="3"/>
      <c r="J2817" s="42"/>
      <c r="K2817" s="3"/>
    </row>
    <row r="2818" spans="1:11" x14ac:dyDescent="0.25">
      <c r="A2818" s="20">
        <v>42123</v>
      </c>
      <c r="B2818" s="183">
        <v>19355</v>
      </c>
      <c r="C2818" s="14" t="s">
        <v>21</v>
      </c>
      <c r="D2818" s="103">
        <v>12425.05</v>
      </c>
      <c r="E2818" s="23">
        <v>42123</v>
      </c>
      <c r="F2818" s="106">
        <v>12425.05</v>
      </c>
      <c r="G2818" s="31">
        <f t="shared" si="43"/>
        <v>0</v>
      </c>
      <c r="H2818" s="132" t="s">
        <v>9</v>
      </c>
      <c r="I2818" s="3"/>
      <c r="J2818" s="42"/>
      <c r="K2818" s="3"/>
    </row>
    <row r="2819" spans="1:11" x14ac:dyDescent="0.25">
      <c r="A2819" s="20">
        <v>42123</v>
      </c>
      <c r="B2819" s="183">
        <v>19356</v>
      </c>
      <c r="C2819" s="14" t="s">
        <v>55</v>
      </c>
      <c r="D2819" s="103">
        <v>24421.5</v>
      </c>
      <c r="E2819" s="23">
        <v>42123</v>
      </c>
      <c r="F2819" s="106">
        <v>24421.5</v>
      </c>
      <c r="G2819" s="31">
        <f t="shared" ref="G2819:G2882" si="44">D2819-F2819</f>
        <v>0</v>
      </c>
      <c r="H2819" s="132" t="s">
        <v>773</v>
      </c>
      <c r="I2819" s="3"/>
      <c r="J2819" s="42"/>
      <c r="K2819" s="3"/>
    </row>
    <row r="2820" spans="1:11" x14ac:dyDescent="0.25">
      <c r="A2820" s="20">
        <v>42123</v>
      </c>
      <c r="B2820" s="183">
        <v>19357</v>
      </c>
      <c r="C2820" s="14" t="s">
        <v>375</v>
      </c>
      <c r="D2820" s="103">
        <v>4576.55</v>
      </c>
      <c r="E2820" s="30" t="s">
        <v>1203</v>
      </c>
      <c r="F2820" s="144">
        <f>3000+1576.55</f>
        <v>4576.55</v>
      </c>
      <c r="G2820" s="31">
        <f t="shared" si="44"/>
        <v>0</v>
      </c>
      <c r="H2820" s="132" t="s">
        <v>9</v>
      </c>
      <c r="I2820" s="3"/>
      <c r="J2820" s="42"/>
      <c r="K2820" s="3"/>
    </row>
    <row r="2821" spans="1:11" x14ac:dyDescent="0.25">
      <c r="A2821" s="20">
        <v>42123</v>
      </c>
      <c r="B2821" s="183">
        <v>19358</v>
      </c>
      <c r="C2821" s="14" t="s">
        <v>233</v>
      </c>
      <c r="D2821" s="103">
        <v>15927.4</v>
      </c>
      <c r="E2821" s="23">
        <v>42123</v>
      </c>
      <c r="F2821" s="106">
        <v>15927.4</v>
      </c>
      <c r="G2821" s="31">
        <f t="shared" si="44"/>
        <v>0</v>
      </c>
      <c r="H2821" s="132" t="s">
        <v>773</v>
      </c>
      <c r="I2821" s="3"/>
      <c r="J2821" s="42"/>
      <c r="K2821" s="3"/>
    </row>
    <row r="2822" spans="1:11" x14ac:dyDescent="0.25">
      <c r="A2822" s="20">
        <v>42123</v>
      </c>
      <c r="B2822" s="183">
        <v>19359</v>
      </c>
      <c r="C2822" s="14" t="s">
        <v>151</v>
      </c>
      <c r="D2822" s="103">
        <v>1931.2</v>
      </c>
      <c r="E2822" s="23">
        <v>42124</v>
      </c>
      <c r="F2822" s="106">
        <v>1931.2</v>
      </c>
      <c r="G2822" s="31">
        <f t="shared" si="44"/>
        <v>0</v>
      </c>
      <c r="H2822" s="132" t="s">
        <v>9</v>
      </c>
      <c r="I2822" s="3"/>
      <c r="J2822" s="42"/>
      <c r="K2822" s="3"/>
    </row>
    <row r="2823" spans="1:11" x14ac:dyDescent="0.25">
      <c r="A2823" s="20">
        <v>42123</v>
      </c>
      <c r="B2823" s="183">
        <v>19360</v>
      </c>
      <c r="C2823" s="14" t="s">
        <v>22</v>
      </c>
      <c r="D2823" s="103">
        <v>4068</v>
      </c>
      <c r="E2823" s="23">
        <v>42123</v>
      </c>
      <c r="F2823" s="106">
        <v>4068</v>
      </c>
      <c r="G2823" s="31">
        <f t="shared" si="44"/>
        <v>0</v>
      </c>
      <c r="H2823" s="132" t="s">
        <v>9</v>
      </c>
      <c r="I2823" s="3"/>
      <c r="J2823" s="42"/>
      <c r="K2823" s="3"/>
    </row>
    <row r="2824" spans="1:11" x14ac:dyDescent="0.25">
      <c r="A2824" s="20">
        <v>42123</v>
      </c>
      <c r="B2824" s="183">
        <v>19361</v>
      </c>
      <c r="C2824" s="14" t="s">
        <v>35</v>
      </c>
      <c r="D2824" s="103">
        <v>24494.400000000001</v>
      </c>
      <c r="E2824" s="23">
        <v>42123</v>
      </c>
      <c r="F2824" s="106">
        <v>24494.400000000001</v>
      </c>
      <c r="G2824" s="31">
        <f t="shared" si="44"/>
        <v>0</v>
      </c>
      <c r="H2824" s="132" t="s">
        <v>773</v>
      </c>
      <c r="I2824" s="3"/>
      <c r="J2824" s="42"/>
      <c r="K2824" s="3"/>
    </row>
    <row r="2825" spans="1:11" x14ac:dyDescent="0.25">
      <c r="A2825" s="20">
        <v>42123</v>
      </c>
      <c r="B2825" s="183">
        <v>19362</v>
      </c>
      <c r="C2825" s="14" t="s">
        <v>135</v>
      </c>
      <c r="D2825" s="103">
        <v>4116</v>
      </c>
      <c r="E2825" s="23">
        <v>42123</v>
      </c>
      <c r="F2825" s="106">
        <v>4116</v>
      </c>
      <c r="G2825" s="31">
        <f t="shared" si="44"/>
        <v>0</v>
      </c>
      <c r="H2825" s="132" t="s">
        <v>9</v>
      </c>
      <c r="I2825" s="3"/>
      <c r="J2825" s="42"/>
      <c r="K2825" s="3"/>
    </row>
    <row r="2826" spans="1:11" x14ac:dyDescent="0.25">
      <c r="A2826" s="20">
        <v>42123</v>
      </c>
      <c r="B2826" s="183">
        <v>19363</v>
      </c>
      <c r="C2826" s="14" t="s">
        <v>791</v>
      </c>
      <c r="D2826" s="103">
        <v>28759.7</v>
      </c>
      <c r="E2826" s="30">
        <v>42125</v>
      </c>
      <c r="F2826" s="144">
        <v>28759.7</v>
      </c>
      <c r="G2826" s="31">
        <f t="shared" si="44"/>
        <v>0</v>
      </c>
      <c r="H2826" s="132" t="s">
        <v>773</v>
      </c>
      <c r="I2826" s="3"/>
      <c r="J2826" s="42"/>
      <c r="K2826" s="3"/>
    </row>
    <row r="2827" spans="1:11" x14ac:dyDescent="0.25">
      <c r="A2827" s="20">
        <v>42123</v>
      </c>
      <c r="B2827" s="183">
        <v>19364</v>
      </c>
      <c r="C2827" s="14" t="s">
        <v>56</v>
      </c>
      <c r="D2827" s="103">
        <v>8354.4</v>
      </c>
      <c r="E2827" s="23">
        <v>42123</v>
      </c>
      <c r="F2827" s="106">
        <v>8354.4</v>
      </c>
      <c r="G2827" s="31">
        <f t="shared" si="44"/>
        <v>0</v>
      </c>
      <c r="H2827" s="132" t="s">
        <v>773</v>
      </c>
      <c r="I2827" s="3"/>
      <c r="J2827" s="42"/>
      <c r="K2827" s="3"/>
    </row>
    <row r="2828" spans="1:11" x14ac:dyDescent="0.25">
      <c r="A2828" s="20">
        <v>42123</v>
      </c>
      <c r="B2828" s="183">
        <v>19365</v>
      </c>
      <c r="C2828" s="14" t="s">
        <v>1012</v>
      </c>
      <c r="D2828" s="103">
        <v>6202.5</v>
      </c>
      <c r="E2828" s="23">
        <v>42123</v>
      </c>
      <c r="F2828" s="106">
        <v>6202.5</v>
      </c>
      <c r="G2828" s="31">
        <f t="shared" si="44"/>
        <v>0</v>
      </c>
      <c r="H2828" s="132" t="s">
        <v>9</v>
      </c>
      <c r="I2828" s="3"/>
      <c r="J2828" s="42"/>
      <c r="K2828" s="3"/>
    </row>
    <row r="2829" spans="1:11" x14ac:dyDescent="0.25">
      <c r="A2829" s="20">
        <v>42123</v>
      </c>
      <c r="B2829" s="183">
        <v>19366</v>
      </c>
      <c r="C2829" s="14" t="s">
        <v>32</v>
      </c>
      <c r="D2829" s="103">
        <v>214644.65</v>
      </c>
      <c r="E2829" s="30">
        <v>42128</v>
      </c>
      <c r="F2829" s="144">
        <v>214644.65</v>
      </c>
      <c r="G2829" s="31">
        <f t="shared" si="44"/>
        <v>0</v>
      </c>
      <c r="H2829" s="132" t="s">
        <v>9</v>
      </c>
      <c r="I2829" s="3"/>
      <c r="J2829" s="42"/>
      <c r="K2829" s="3"/>
    </row>
    <row r="2830" spans="1:11" x14ac:dyDescent="0.25">
      <c r="A2830" s="20">
        <v>42123</v>
      </c>
      <c r="B2830" s="183">
        <v>19367</v>
      </c>
      <c r="C2830" s="14" t="s">
        <v>121</v>
      </c>
      <c r="D2830" s="103">
        <v>2550.9</v>
      </c>
      <c r="E2830" s="23">
        <v>42123</v>
      </c>
      <c r="F2830" s="106">
        <v>2550.9</v>
      </c>
      <c r="G2830" s="31">
        <f t="shared" si="44"/>
        <v>0</v>
      </c>
      <c r="H2830" s="132" t="s">
        <v>9</v>
      </c>
      <c r="I2830" s="3"/>
      <c r="J2830" s="42"/>
      <c r="K2830" s="3"/>
    </row>
    <row r="2831" spans="1:11" x14ac:dyDescent="0.25">
      <c r="A2831" s="20">
        <v>42123</v>
      </c>
      <c r="B2831" s="183">
        <v>19368</v>
      </c>
      <c r="C2831" s="14" t="s">
        <v>1185</v>
      </c>
      <c r="D2831" s="103">
        <v>2889</v>
      </c>
      <c r="E2831" s="23">
        <v>42123</v>
      </c>
      <c r="F2831" s="106">
        <v>2889</v>
      </c>
      <c r="G2831" s="31">
        <f t="shared" si="44"/>
        <v>0</v>
      </c>
      <c r="H2831" s="132" t="s">
        <v>9</v>
      </c>
      <c r="I2831" s="3"/>
      <c r="J2831" s="42"/>
      <c r="K2831" s="3"/>
    </row>
    <row r="2832" spans="1:11" x14ac:dyDescent="0.25">
      <c r="A2832" s="20">
        <v>42123</v>
      </c>
      <c r="B2832" s="183">
        <v>19369</v>
      </c>
      <c r="C2832" s="150" t="s">
        <v>125</v>
      </c>
      <c r="D2832" s="103">
        <v>13337.45</v>
      </c>
      <c r="E2832" s="30" t="s">
        <v>1215</v>
      </c>
      <c r="F2832" s="144">
        <f>3000+10337.45</f>
        <v>13337.45</v>
      </c>
      <c r="G2832" s="31">
        <f t="shared" si="44"/>
        <v>0</v>
      </c>
      <c r="H2832" s="132" t="s">
        <v>94</v>
      </c>
      <c r="I2832" s="3"/>
      <c r="J2832" s="42"/>
      <c r="K2832" s="3"/>
    </row>
    <row r="2833" spans="1:11" x14ac:dyDescent="0.25">
      <c r="A2833" s="20">
        <v>42123</v>
      </c>
      <c r="B2833" s="183">
        <v>19370</v>
      </c>
      <c r="C2833" s="14" t="s">
        <v>256</v>
      </c>
      <c r="D2833" s="103">
        <v>5427.4</v>
      </c>
      <c r="E2833" s="23">
        <v>42123</v>
      </c>
      <c r="F2833" s="106">
        <v>5427.4</v>
      </c>
      <c r="G2833" s="31">
        <f t="shared" si="44"/>
        <v>0</v>
      </c>
      <c r="H2833" s="132" t="s">
        <v>773</v>
      </c>
      <c r="I2833" s="3"/>
      <c r="J2833" s="42"/>
      <c r="K2833" s="3"/>
    </row>
    <row r="2834" spans="1:11" x14ac:dyDescent="0.25">
      <c r="A2834" s="20">
        <v>42123</v>
      </c>
      <c r="B2834" s="183">
        <v>19371</v>
      </c>
      <c r="C2834" s="14" t="s">
        <v>158</v>
      </c>
      <c r="D2834" s="103">
        <v>2064</v>
      </c>
      <c r="E2834" s="23">
        <v>42123</v>
      </c>
      <c r="F2834" s="106">
        <v>2064</v>
      </c>
      <c r="G2834" s="31">
        <f t="shared" si="44"/>
        <v>0</v>
      </c>
      <c r="H2834" s="132" t="s">
        <v>9</v>
      </c>
      <c r="I2834" s="3"/>
      <c r="J2834" s="42"/>
      <c r="K2834" s="3"/>
    </row>
    <row r="2835" spans="1:11" x14ac:dyDescent="0.25">
      <c r="A2835" s="20">
        <v>42123</v>
      </c>
      <c r="B2835" s="183">
        <v>19372</v>
      </c>
      <c r="C2835" s="14" t="s">
        <v>1069</v>
      </c>
      <c r="D2835" s="103">
        <v>1851.6</v>
      </c>
      <c r="E2835" s="23">
        <v>42123</v>
      </c>
      <c r="F2835" s="106">
        <v>1851.6</v>
      </c>
      <c r="G2835" s="31">
        <f t="shared" si="44"/>
        <v>0</v>
      </c>
      <c r="H2835" s="132" t="s">
        <v>9</v>
      </c>
      <c r="I2835" s="3"/>
      <c r="J2835" s="42"/>
      <c r="K2835" s="3"/>
    </row>
    <row r="2836" spans="1:11" x14ac:dyDescent="0.25">
      <c r="A2836" s="20">
        <v>42123</v>
      </c>
      <c r="B2836" s="183">
        <v>19373</v>
      </c>
      <c r="C2836" s="14" t="s">
        <v>47</v>
      </c>
      <c r="D2836" s="103">
        <v>3210.64</v>
      </c>
      <c r="E2836" s="23">
        <v>42124</v>
      </c>
      <c r="F2836" s="106">
        <v>3210.64</v>
      </c>
      <c r="G2836" s="31">
        <f t="shared" si="44"/>
        <v>0</v>
      </c>
      <c r="H2836" s="132" t="s">
        <v>9</v>
      </c>
      <c r="I2836" s="3"/>
      <c r="J2836" s="42"/>
      <c r="K2836" s="3"/>
    </row>
    <row r="2837" spans="1:11" x14ac:dyDescent="0.25">
      <c r="A2837" s="20">
        <v>42123</v>
      </c>
      <c r="B2837" s="183">
        <v>19374</v>
      </c>
      <c r="C2837" s="14" t="s">
        <v>1190</v>
      </c>
      <c r="D2837" s="103">
        <v>3174.6</v>
      </c>
      <c r="E2837" s="23">
        <v>42123</v>
      </c>
      <c r="F2837" s="106">
        <v>3174.6</v>
      </c>
      <c r="G2837" s="31">
        <f t="shared" si="44"/>
        <v>0</v>
      </c>
      <c r="H2837" s="132" t="s">
        <v>9</v>
      </c>
      <c r="I2837" s="3"/>
      <c r="J2837" s="42"/>
      <c r="K2837" s="3"/>
    </row>
    <row r="2838" spans="1:11" x14ac:dyDescent="0.25">
      <c r="A2838" s="20">
        <v>42123</v>
      </c>
      <c r="B2838" s="183">
        <v>19375</v>
      </c>
      <c r="C2838" s="14" t="s">
        <v>1186</v>
      </c>
      <c r="D2838" s="103">
        <v>7430.6</v>
      </c>
      <c r="E2838" s="23">
        <v>42123</v>
      </c>
      <c r="F2838" s="106">
        <v>7430.6</v>
      </c>
      <c r="G2838" s="31">
        <f t="shared" si="44"/>
        <v>0</v>
      </c>
      <c r="H2838" s="132" t="s">
        <v>9</v>
      </c>
      <c r="I2838" s="3"/>
      <c r="J2838" s="42"/>
      <c r="K2838" s="3"/>
    </row>
    <row r="2839" spans="1:11" x14ac:dyDescent="0.25">
      <c r="A2839" s="20">
        <v>42123</v>
      </c>
      <c r="B2839" s="183">
        <v>19376</v>
      </c>
      <c r="C2839" s="14" t="s">
        <v>1191</v>
      </c>
      <c r="D2839" s="103">
        <v>2647.35</v>
      </c>
      <c r="E2839" s="23">
        <v>42123</v>
      </c>
      <c r="F2839" s="106">
        <v>2647.35</v>
      </c>
      <c r="G2839" s="31">
        <f t="shared" si="44"/>
        <v>0</v>
      </c>
      <c r="H2839" s="132" t="s">
        <v>9</v>
      </c>
      <c r="I2839" s="3"/>
      <c r="J2839" s="42"/>
      <c r="K2839" s="3"/>
    </row>
    <row r="2840" spans="1:11" x14ac:dyDescent="0.25">
      <c r="A2840" s="20">
        <v>42123</v>
      </c>
      <c r="B2840" s="183">
        <v>19377</v>
      </c>
      <c r="C2840" s="14" t="s">
        <v>696</v>
      </c>
      <c r="D2840" s="103">
        <v>2899.2</v>
      </c>
      <c r="E2840" s="23">
        <v>42123</v>
      </c>
      <c r="F2840" s="106">
        <v>2899.2</v>
      </c>
      <c r="G2840" s="31">
        <f t="shared" si="44"/>
        <v>0</v>
      </c>
      <c r="H2840" s="132" t="s">
        <v>9</v>
      </c>
      <c r="I2840" s="3"/>
      <c r="J2840" s="42"/>
      <c r="K2840" s="3"/>
    </row>
    <row r="2841" spans="1:11" x14ac:dyDescent="0.25">
      <c r="A2841" s="20">
        <v>42123</v>
      </c>
      <c r="B2841" s="183">
        <v>19378</v>
      </c>
      <c r="C2841" s="14" t="s">
        <v>829</v>
      </c>
      <c r="D2841" s="103">
        <v>5473.2</v>
      </c>
      <c r="E2841" s="23">
        <v>42123</v>
      </c>
      <c r="F2841" s="106">
        <v>5473.2</v>
      </c>
      <c r="G2841" s="31">
        <f t="shared" si="44"/>
        <v>0</v>
      </c>
      <c r="H2841" s="132" t="s">
        <v>9</v>
      </c>
      <c r="I2841" s="3"/>
      <c r="J2841" s="42"/>
      <c r="K2841" s="3"/>
    </row>
    <row r="2842" spans="1:11" x14ac:dyDescent="0.25">
      <c r="A2842" s="20">
        <v>42123</v>
      </c>
      <c r="B2842" s="183">
        <v>19379</v>
      </c>
      <c r="C2842" s="14" t="s">
        <v>829</v>
      </c>
      <c r="D2842" s="103">
        <v>1623.6</v>
      </c>
      <c r="E2842" s="23">
        <v>42123</v>
      </c>
      <c r="F2842" s="106">
        <v>1623.6</v>
      </c>
      <c r="G2842" s="31">
        <f t="shared" si="44"/>
        <v>0</v>
      </c>
      <c r="H2842" s="132" t="s">
        <v>9</v>
      </c>
      <c r="I2842" s="3"/>
      <c r="J2842" s="42"/>
      <c r="K2842" s="3"/>
    </row>
    <row r="2843" spans="1:11" x14ac:dyDescent="0.25">
      <c r="A2843" s="20">
        <v>42123</v>
      </c>
      <c r="B2843" s="183">
        <v>19380</v>
      </c>
      <c r="C2843" s="14" t="s">
        <v>699</v>
      </c>
      <c r="D2843" s="103">
        <v>1778.2</v>
      </c>
      <c r="E2843" s="23">
        <v>42123</v>
      </c>
      <c r="F2843" s="106">
        <v>1778.2</v>
      </c>
      <c r="G2843" s="31">
        <f t="shared" si="44"/>
        <v>0</v>
      </c>
      <c r="H2843" s="132" t="s">
        <v>9</v>
      </c>
      <c r="I2843" s="3"/>
      <c r="J2843" s="42"/>
      <c r="K2843" s="3"/>
    </row>
    <row r="2844" spans="1:11" x14ac:dyDescent="0.25">
      <c r="A2844" s="20">
        <v>42123</v>
      </c>
      <c r="B2844" s="183">
        <v>19381</v>
      </c>
      <c r="C2844" s="14" t="s">
        <v>111</v>
      </c>
      <c r="D2844" s="103">
        <v>196240</v>
      </c>
      <c r="E2844" s="23">
        <v>42123</v>
      </c>
      <c r="F2844" s="106">
        <v>196240</v>
      </c>
      <c r="G2844" s="31">
        <f t="shared" si="44"/>
        <v>0</v>
      </c>
      <c r="H2844" s="132" t="s">
        <v>9</v>
      </c>
      <c r="I2844" s="3"/>
      <c r="J2844" s="42"/>
      <c r="K2844" s="3"/>
    </row>
    <row r="2845" spans="1:11" x14ac:dyDescent="0.25">
      <c r="A2845" s="20">
        <v>42123</v>
      </c>
      <c r="B2845" s="183">
        <v>19382</v>
      </c>
      <c r="C2845" s="14" t="s">
        <v>111</v>
      </c>
      <c r="D2845" s="103">
        <v>131384.5</v>
      </c>
      <c r="E2845" s="23">
        <v>42123</v>
      </c>
      <c r="F2845" s="106">
        <v>131384.5</v>
      </c>
      <c r="G2845" s="31">
        <f t="shared" si="44"/>
        <v>0</v>
      </c>
      <c r="H2845" s="132" t="s">
        <v>9</v>
      </c>
      <c r="I2845" s="3"/>
      <c r="J2845" s="42"/>
      <c r="K2845" s="3"/>
    </row>
    <row r="2846" spans="1:11" x14ac:dyDescent="0.25">
      <c r="A2846" s="20">
        <v>42123</v>
      </c>
      <c r="B2846" s="183">
        <v>19383</v>
      </c>
      <c r="C2846" s="14" t="s">
        <v>24</v>
      </c>
      <c r="D2846" s="103">
        <v>56691.8</v>
      </c>
      <c r="E2846" s="30">
        <v>42144</v>
      </c>
      <c r="F2846" s="144">
        <v>56691.8</v>
      </c>
      <c r="G2846" s="31">
        <f t="shared" si="44"/>
        <v>0</v>
      </c>
      <c r="H2846" s="132" t="s">
        <v>187</v>
      </c>
      <c r="I2846" s="3"/>
      <c r="J2846" s="42"/>
      <c r="K2846" s="3"/>
    </row>
    <row r="2847" spans="1:11" x14ac:dyDescent="0.25">
      <c r="A2847" s="20">
        <v>42123</v>
      </c>
      <c r="B2847" s="183">
        <v>19384</v>
      </c>
      <c r="C2847" s="14" t="s">
        <v>24</v>
      </c>
      <c r="D2847" s="103">
        <v>149529.26</v>
      </c>
      <c r="E2847" s="30">
        <v>42144</v>
      </c>
      <c r="F2847" s="144">
        <v>149529.26</v>
      </c>
      <c r="G2847" s="31">
        <f t="shared" si="44"/>
        <v>0</v>
      </c>
      <c r="H2847" s="132" t="s">
        <v>46</v>
      </c>
      <c r="I2847" s="3"/>
      <c r="J2847" s="42"/>
      <c r="K2847" s="3"/>
    </row>
    <row r="2848" spans="1:11" x14ac:dyDescent="0.25">
      <c r="A2848" s="20">
        <v>42123</v>
      </c>
      <c r="B2848" s="183">
        <v>19385</v>
      </c>
      <c r="C2848" s="14" t="s">
        <v>14</v>
      </c>
      <c r="D2848" s="103">
        <v>14102.4</v>
      </c>
      <c r="E2848" s="30">
        <v>42126</v>
      </c>
      <c r="F2848" s="144">
        <v>14102.4</v>
      </c>
      <c r="G2848" s="31">
        <f t="shared" si="44"/>
        <v>0</v>
      </c>
      <c r="H2848" s="132" t="s">
        <v>1013</v>
      </c>
      <c r="I2848" s="3"/>
      <c r="J2848" s="42"/>
      <c r="K2848" s="3"/>
    </row>
    <row r="2849" spans="1:11" x14ac:dyDescent="0.25">
      <c r="A2849" s="20">
        <v>42123</v>
      </c>
      <c r="B2849" s="183">
        <v>19386</v>
      </c>
      <c r="C2849" s="14" t="s">
        <v>99</v>
      </c>
      <c r="D2849" s="103">
        <v>2378.4</v>
      </c>
      <c r="E2849" s="23">
        <v>42123</v>
      </c>
      <c r="F2849" s="106">
        <v>2378.4</v>
      </c>
      <c r="G2849" s="31">
        <f t="shared" si="44"/>
        <v>0</v>
      </c>
      <c r="H2849" s="132" t="s">
        <v>1013</v>
      </c>
      <c r="I2849" s="3"/>
      <c r="J2849" s="42"/>
      <c r="K2849" s="3"/>
    </row>
    <row r="2850" spans="1:11" x14ac:dyDescent="0.25">
      <c r="A2850" s="20">
        <v>42123</v>
      </c>
      <c r="B2850" s="183">
        <v>19387</v>
      </c>
      <c r="C2850" s="14" t="s">
        <v>66</v>
      </c>
      <c r="D2850" s="103">
        <v>1197.0999999999999</v>
      </c>
      <c r="E2850" s="23">
        <v>42123</v>
      </c>
      <c r="F2850" s="106">
        <v>1197.0999999999999</v>
      </c>
      <c r="G2850" s="31">
        <f t="shared" si="44"/>
        <v>0</v>
      </c>
      <c r="H2850" s="132" t="s">
        <v>9</v>
      </c>
      <c r="I2850" s="3"/>
      <c r="J2850" s="42"/>
      <c r="K2850" s="3"/>
    </row>
    <row r="2851" spans="1:11" x14ac:dyDescent="0.25">
      <c r="A2851" s="20">
        <v>42123</v>
      </c>
      <c r="B2851" s="183">
        <v>19388</v>
      </c>
      <c r="C2851" s="110">
        <v>105</v>
      </c>
      <c r="D2851" s="103">
        <v>1440</v>
      </c>
      <c r="E2851" s="23">
        <v>42123</v>
      </c>
      <c r="F2851" s="106">
        <v>1440</v>
      </c>
      <c r="G2851" s="31">
        <f t="shared" si="44"/>
        <v>0</v>
      </c>
      <c r="H2851" s="132" t="s">
        <v>17</v>
      </c>
      <c r="I2851" s="3"/>
      <c r="J2851" s="42"/>
      <c r="K2851" s="3"/>
    </row>
    <row r="2852" spans="1:11" x14ac:dyDescent="0.25">
      <c r="A2852" s="20">
        <v>42123</v>
      </c>
      <c r="B2852" s="183">
        <v>19389</v>
      </c>
      <c r="C2852" s="14" t="s">
        <v>57</v>
      </c>
      <c r="D2852" s="103">
        <v>1548</v>
      </c>
      <c r="E2852" s="23">
        <v>42123</v>
      </c>
      <c r="F2852" s="106">
        <v>1548</v>
      </c>
      <c r="G2852" s="31">
        <f t="shared" si="44"/>
        <v>0</v>
      </c>
      <c r="H2852" s="132" t="s">
        <v>9</v>
      </c>
      <c r="I2852" s="3"/>
      <c r="J2852" s="42"/>
      <c r="K2852" s="3"/>
    </row>
    <row r="2853" spans="1:11" x14ac:dyDescent="0.25">
      <c r="A2853" s="20">
        <v>42123</v>
      </c>
      <c r="B2853" s="183">
        <v>19390</v>
      </c>
      <c r="C2853" s="14" t="s">
        <v>34</v>
      </c>
      <c r="D2853" s="103">
        <v>2905.2</v>
      </c>
      <c r="E2853" s="23">
        <v>42123</v>
      </c>
      <c r="F2853" s="106">
        <v>2905.2</v>
      </c>
      <c r="G2853" s="31">
        <f t="shared" si="44"/>
        <v>0</v>
      </c>
      <c r="H2853" s="132" t="s">
        <v>9</v>
      </c>
      <c r="I2853" s="3"/>
      <c r="J2853" s="42"/>
      <c r="K2853" s="3"/>
    </row>
    <row r="2854" spans="1:11" x14ac:dyDescent="0.25">
      <c r="A2854" s="20">
        <v>42123</v>
      </c>
      <c r="B2854" s="183">
        <v>19391</v>
      </c>
      <c r="C2854" s="14" t="s">
        <v>164</v>
      </c>
      <c r="D2854" s="103">
        <v>1085.3</v>
      </c>
      <c r="E2854" s="23">
        <v>42123</v>
      </c>
      <c r="F2854" s="106">
        <v>1085.3</v>
      </c>
      <c r="G2854" s="31">
        <f t="shared" si="44"/>
        <v>0</v>
      </c>
      <c r="H2854" s="132" t="s">
        <v>9</v>
      </c>
      <c r="I2854" s="3"/>
      <c r="J2854" s="42"/>
      <c r="K2854" s="3"/>
    </row>
    <row r="2855" spans="1:11" x14ac:dyDescent="0.25">
      <c r="A2855" s="20">
        <v>42123</v>
      </c>
      <c r="B2855" s="183">
        <v>19392</v>
      </c>
      <c r="C2855" s="14" t="s">
        <v>1058</v>
      </c>
      <c r="D2855" s="103">
        <v>3661.6</v>
      </c>
      <c r="E2855" s="23">
        <v>42123</v>
      </c>
      <c r="F2855" s="106">
        <v>3661.6</v>
      </c>
      <c r="G2855" s="31">
        <f t="shared" si="44"/>
        <v>0</v>
      </c>
      <c r="H2855" s="132" t="s">
        <v>9</v>
      </c>
      <c r="I2855" s="3"/>
      <c r="J2855" s="42"/>
      <c r="K2855" s="3"/>
    </row>
    <row r="2856" spans="1:11" x14ac:dyDescent="0.25">
      <c r="A2856" s="20">
        <v>42123</v>
      </c>
      <c r="B2856" s="183">
        <v>19393</v>
      </c>
      <c r="C2856" s="14" t="s">
        <v>605</v>
      </c>
      <c r="D2856" s="103">
        <v>4155.55</v>
      </c>
      <c r="E2856" s="23">
        <v>42123</v>
      </c>
      <c r="F2856" s="106">
        <v>4155.55</v>
      </c>
      <c r="G2856" s="31">
        <f t="shared" si="44"/>
        <v>0</v>
      </c>
      <c r="H2856" s="132" t="s">
        <v>17</v>
      </c>
      <c r="I2856" s="3"/>
      <c r="J2856" s="42"/>
      <c r="K2856" s="3"/>
    </row>
    <row r="2857" spans="1:11" x14ac:dyDescent="0.25">
      <c r="A2857" s="20">
        <v>42123</v>
      </c>
      <c r="B2857" s="183">
        <v>19394</v>
      </c>
      <c r="C2857" s="14" t="s">
        <v>81</v>
      </c>
      <c r="D2857" s="103">
        <v>1815</v>
      </c>
      <c r="E2857" s="23">
        <v>42123</v>
      </c>
      <c r="F2857" s="106">
        <v>1815</v>
      </c>
      <c r="G2857" s="31">
        <f t="shared" si="44"/>
        <v>0</v>
      </c>
      <c r="H2857" s="132" t="s">
        <v>17</v>
      </c>
      <c r="I2857" s="3"/>
      <c r="J2857" s="42"/>
      <c r="K2857" s="3"/>
    </row>
    <row r="2858" spans="1:11" x14ac:dyDescent="0.25">
      <c r="A2858" s="20">
        <v>42123</v>
      </c>
      <c r="B2858" s="183">
        <v>19395</v>
      </c>
      <c r="C2858" s="14" t="s">
        <v>53</v>
      </c>
      <c r="D2858" s="103">
        <v>1754.4</v>
      </c>
      <c r="E2858" s="23">
        <v>42123</v>
      </c>
      <c r="F2858" s="106">
        <v>1754.4</v>
      </c>
      <c r="G2858" s="31">
        <f t="shared" si="44"/>
        <v>0</v>
      </c>
      <c r="H2858" s="132" t="s">
        <v>17</v>
      </c>
      <c r="I2858" s="3"/>
      <c r="J2858" s="42"/>
      <c r="K2858" s="3"/>
    </row>
    <row r="2859" spans="1:11" x14ac:dyDescent="0.25">
      <c r="A2859" s="20">
        <v>42123</v>
      </c>
      <c r="B2859" s="183">
        <v>19396</v>
      </c>
      <c r="C2859" s="14" t="s">
        <v>45</v>
      </c>
      <c r="D2859" s="103">
        <v>3567.4</v>
      </c>
      <c r="E2859" s="30">
        <v>42140</v>
      </c>
      <c r="F2859" s="144">
        <v>3567.4</v>
      </c>
      <c r="G2859" s="31">
        <f t="shared" si="44"/>
        <v>0</v>
      </c>
      <c r="H2859" s="132" t="s">
        <v>17</v>
      </c>
      <c r="I2859" s="3"/>
      <c r="J2859" s="42"/>
      <c r="K2859" s="3"/>
    </row>
    <row r="2860" spans="1:11" x14ac:dyDescent="0.25">
      <c r="A2860" s="20">
        <v>42123</v>
      </c>
      <c r="B2860" s="183">
        <v>19397</v>
      </c>
      <c r="C2860" s="14" t="s">
        <v>82</v>
      </c>
      <c r="D2860" s="103">
        <v>4245</v>
      </c>
      <c r="E2860" s="23">
        <v>42123</v>
      </c>
      <c r="F2860" s="106">
        <v>4245</v>
      </c>
      <c r="G2860" s="31">
        <f t="shared" si="44"/>
        <v>0</v>
      </c>
      <c r="H2860" s="132" t="s">
        <v>41</v>
      </c>
      <c r="I2860" s="3"/>
      <c r="J2860" s="42"/>
      <c r="K2860" s="3"/>
    </row>
    <row r="2861" spans="1:11" x14ac:dyDescent="0.25">
      <c r="A2861" s="20">
        <v>42123</v>
      </c>
      <c r="B2861" s="183">
        <v>19398</v>
      </c>
      <c r="C2861" s="14" t="s">
        <v>133</v>
      </c>
      <c r="D2861" s="103">
        <v>4412.8</v>
      </c>
      <c r="E2861" s="23">
        <v>42123</v>
      </c>
      <c r="F2861" s="106">
        <v>4412.8</v>
      </c>
      <c r="G2861" s="31">
        <f t="shared" si="44"/>
        <v>0</v>
      </c>
      <c r="H2861" s="132" t="s">
        <v>9</v>
      </c>
      <c r="I2861" s="3"/>
      <c r="J2861" s="42"/>
      <c r="K2861" s="3"/>
    </row>
    <row r="2862" spans="1:11" x14ac:dyDescent="0.25">
      <c r="A2862" s="20">
        <v>42123</v>
      </c>
      <c r="B2862" s="183">
        <v>19399</v>
      </c>
      <c r="C2862" s="14" t="s">
        <v>333</v>
      </c>
      <c r="D2862" s="103">
        <v>10230.6</v>
      </c>
      <c r="E2862" s="23">
        <v>42123</v>
      </c>
      <c r="F2862" s="106">
        <v>10230.6</v>
      </c>
      <c r="G2862" s="31">
        <f t="shared" si="44"/>
        <v>0</v>
      </c>
      <c r="H2862" s="132" t="s">
        <v>41</v>
      </c>
      <c r="I2862" s="3"/>
      <c r="J2862" s="42"/>
      <c r="K2862" s="3"/>
    </row>
    <row r="2863" spans="1:11" x14ac:dyDescent="0.25">
      <c r="A2863" s="20">
        <v>42123</v>
      </c>
      <c r="B2863" s="183">
        <v>19400</v>
      </c>
      <c r="C2863" s="14" t="s">
        <v>131</v>
      </c>
      <c r="D2863" s="103">
        <v>4242.3999999999996</v>
      </c>
      <c r="E2863" s="23">
        <v>42123</v>
      </c>
      <c r="F2863" s="106">
        <v>4242.3999999999996</v>
      </c>
      <c r="G2863" s="31">
        <f t="shared" si="44"/>
        <v>0</v>
      </c>
      <c r="H2863" s="132" t="s">
        <v>17</v>
      </c>
      <c r="I2863" s="3"/>
      <c r="J2863" s="42"/>
      <c r="K2863" s="3"/>
    </row>
    <row r="2864" spans="1:11" x14ac:dyDescent="0.25">
      <c r="A2864" s="20">
        <v>42123</v>
      </c>
      <c r="B2864" s="183">
        <v>19401</v>
      </c>
      <c r="C2864" s="14" t="s">
        <v>26</v>
      </c>
      <c r="D2864" s="103">
        <v>1632</v>
      </c>
      <c r="E2864" s="23">
        <v>42123</v>
      </c>
      <c r="F2864" s="106">
        <v>1632</v>
      </c>
      <c r="G2864" s="31">
        <f t="shared" si="44"/>
        <v>0</v>
      </c>
      <c r="H2864" s="132" t="s">
        <v>9</v>
      </c>
      <c r="I2864" s="3"/>
      <c r="J2864" s="42"/>
      <c r="K2864" s="3"/>
    </row>
    <row r="2865" spans="1:11" x14ac:dyDescent="0.25">
      <c r="A2865" s="20">
        <v>42123</v>
      </c>
      <c r="B2865" s="183">
        <v>19402</v>
      </c>
      <c r="C2865" s="14" t="s">
        <v>130</v>
      </c>
      <c r="D2865" s="103">
        <v>1578.95</v>
      </c>
      <c r="E2865" s="23">
        <v>42123</v>
      </c>
      <c r="F2865" s="106">
        <v>1578.95</v>
      </c>
      <c r="G2865" s="31">
        <f t="shared" si="44"/>
        <v>0</v>
      </c>
      <c r="H2865" s="132" t="s">
        <v>17</v>
      </c>
      <c r="I2865" s="3"/>
      <c r="J2865" s="42"/>
      <c r="K2865" s="3"/>
    </row>
    <row r="2866" spans="1:11" x14ac:dyDescent="0.25">
      <c r="A2866" s="20">
        <v>42123</v>
      </c>
      <c r="B2866" s="183">
        <v>19403</v>
      </c>
      <c r="C2866" s="14" t="s">
        <v>78</v>
      </c>
      <c r="D2866" s="103">
        <v>6873.8</v>
      </c>
      <c r="E2866" s="23">
        <v>42124</v>
      </c>
      <c r="F2866" s="106">
        <v>6873.8</v>
      </c>
      <c r="G2866" s="31">
        <f t="shared" si="44"/>
        <v>0</v>
      </c>
      <c r="H2866" s="132" t="s">
        <v>62</v>
      </c>
      <c r="I2866" s="3"/>
      <c r="J2866" s="42"/>
      <c r="K2866" s="3"/>
    </row>
    <row r="2867" spans="1:11" x14ac:dyDescent="0.25">
      <c r="A2867" s="20">
        <v>42123</v>
      </c>
      <c r="B2867" s="183">
        <v>19404</v>
      </c>
      <c r="C2867" s="14" t="s">
        <v>169</v>
      </c>
      <c r="D2867" s="103">
        <v>2283.6</v>
      </c>
      <c r="E2867" s="23">
        <v>42123</v>
      </c>
      <c r="F2867" s="106">
        <v>2283.6</v>
      </c>
      <c r="G2867" s="31">
        <f t="shared" si="44"/>
        <v>0</v>
      </c>
      <c r="H2867" s="132" t="s">
        <v>17</v>
      </c>
      <c r="I2867" s="3"/>
      <c r="J2867" s="42"/>
      <c r="K2867" s="3"/>
    </row>
    <row r="2868" spans="1:11" x14ac:dyDescent="0.25">
      <c r="A2868" s="20">
        <v>42123</v>
      </c>
      <c r="B2868" s="183">
        <v>19405</v>
      </c>
      <c r="C2868" s="14" t="s">
        <v>67</v>
      </c>
      <c r="D2868" s="103">
        <v>2593.1999999999998</v>
      </c>
      <c r="E2868" s="23">
        <v>42124</v>
      </c>
      <c r="F2868" s="106">
        <v>2593.1999999999998</v>
      </c>
      <c r="G2868" s="31">
        <f t="shared" si="44"/>
        <v>0</v>
      </c>
      <c r="H2868" s="132" t="s">
        <v>62</v>
      </c>
      <c r="I2868" s="3"/>
      <c r="J2868" s="42"/>
      <c r="K2868" s="3"/>
    </row>
    <row r="2869" spans="1:11" x14ac:dyDescent="0.25">
      <c r="A2869" s="20">
        <v>42123</v>
      </c>
      <c r="B2869" s="183">
        <v>19406</v>
      </c>
      <c r="C2869" s="14" t="s">
        <v>128</v>
      </c>
      <c r="D2869" s="103">
        <v>5492.4</v>
      </c>
      <c r="E2869" s="23">
        <v>42123</v>
      </c>
      <c r="F2869" s="106">
        <v>5492.4</v>
      </c>
      <c r="G2869" s="31">
        <f t="shared" si="44"/>
        <v>0</v>
      </c>
      <c r="H2869" s="132" t="s">
        <v>17</v>
      </c>
      <c r="I2869" s="3"/>
      <c r="J2869" s="42"/>
      <c r="K2869" s="3"/>
    </row>
    <row r="2870" spans="1:11" x14ac:dyDescent="0.25">
      <c r="A2870" s="20">
        <v>42123</v>
      </c>
      <c r="B2870" s="183">
        <v>19407</v>
      </c>
      <c r="C2870" s="14" t="s">
        <v>170</v>
      </c>
      <c r="D2870" s="103">
        <v>4257.3999999999996</v>
      </c>
      <c r="E2870" s="23">
        <v>42124</v>
      </c>
      <c r="F2870" s="106">
        <v>4257.3999999999996</v>
      </c>
      <c r="G2870" s="31">
        <f t="shared" si="44"/>
        <v>0</v>
      </c>
      <c r="H2870" s="132" t="s">
        <v>62</v>
      </c>
      <c r="I2870" s="3"/>
      <c r="J2870" s="42"/>
      <c r="K2870" s="3"/>
    </row>
    <row r="2871" spans="1:11" x14ac:dyDescent="0.25">
      <c r="A2871" s="20">
        <v>42123</v>
      </c>
      <c r="B2871" s="183">
        <v>19408</v>
      </c>
      <c r="C2871" s="14" t="s">
        <v>75</v>
      </c>
      <c r="D2871" s="103">
        <v>21549.4</v>
      </c>
      <c r="E2871" s="23">
        <v>42124</v>
      </c>
      <c r="F2871" s="106">
        <v>21549.4</v>
      </c>
      <c r="G2871" s="31">
        <f t="shared" si="44"/>
        <v>0</v>
      </c>
      <c r="H2871" s="132" t="s">
        <v>62</v>
      </c>
      <c r="I2871" s="3"/>
      <c r="J2871" s="42"/>
      <c r="K2871" s="3"/>
    </row>
    <row r="2872" spans="1:11" x14ac:dyDescent="0.25">
      <c r="A2872" s="20">
        <v>42123</v>
      </c>
      <c r="B2872" s="183">
        <v>19409</v>
      </c>
      <c r="C2872" s="14" t="s">
        <v>328</v>
      </c>
      <c r="D2872" s="103">
        <v>14428.8</v>
      </c>
      <c r="E2872" s="23">
        <v>42124</v>
      </c>
      <c r="F2872" s="106">
        <v>14428.8</v>
      </c>
      <c r="G2872" s="31">
        <f t="shared" si="44"/>
        <v>0</v>
      </c>
      <c r="H2872" s="132" t="s">
        <v>62</v>
      </c>
      <c r="I2872" s="3"/>
      <c r="J2872" s="42"/>
      <c r="K2872" s="3"/>
    </row>
    <row r="2873" spans="1:11" x14ac:dyDescent="0.25">
      <c r="A2873" s="20">
        <v>42123</v>
      </c>
      <c r="B2873" s="183">
        <v>19410</v>
      </c>
      <c r="C2873" s="14" t="s">
        <v>47</v>
      </c>
      <c r="D2873" s="103">
        <v>57192.53</v>
      </c>
      <c r="E2873" s="23" t="s">
        <v>1192</v>
      </c>
      <c r="F2873" s="106">
        <f>50000+7192.53</f>
        <v>57192.53</v>
      </c>
      <c r="G2873" s="31">
        <f t="shared" si="44"/>
        <v>0</v>
      </c>
      <c r="H2873" s="132" t="s">
        <v>9</v>
      </c>
      <c r="I2873" s="3"/>
      <c r="J2873" s="42"/>
      <c r="K2873" s="3"/>
    </row>
    <row r="2874" spans="1:11" x14ac:dyDescent="0.25">
      <c r="A2874" s="20">
        <v>42123</v>
      </c>
      <c r="B2874" s="183">
        <v>19411</v>
      </c>
      <c r="C2874" s="14" t="s">
        <v>1166</v>
      </c>
      <c r="D2874" s="103">
        <v>10193.200000000001</v>
      </c>
      <c r="E2874" s="23">
        <v>42124</v>
      </c>
      <c r="F2874" s="106">
        <v>10193.200000000001</v>
      </c>
      <c r="G2874" s="31">
        <f t="shared" si="44"/>
        <v>0</v>
      </c>
      <c r="H2874" s="132" t="s">
        <v>62</v>
      </c>
      <c r="I2874" s="3"/>
      <c r="J2874" s="42"/>
      <c r="K2874" s="3"/>
    </row>
    <row r="2875" spans="1:11" x14ac:dyDescent="0.25">
      <c r="A2875" s="20">
        <v>42123</v>
      </c>
      <c r="B2875" s="183">
        <v>19412</v>
      </c>
      <c r="C2875" s="14" t="s">
        <v>28</v>
      </c>
      <c r="D2875" s="103">
        <v>685.4</v>
      </c>
      <c r="E2875" s="23">
        <v>42123</v>
      </c>
      <c r="F2875" s="106">
        <v>685.4</v>
      </c>
      <c r="G2875" s="31">
        <f t="shared" si="44"/>
        <v>0</v>
      </c>
      <c r="H2875" s="132" t="s">
        <v>9</v>
      </c>
      <c r="I2875" s="3"/>
      <c r="J2875" s="42"/>
      <c r="K2875" s="3"/>
    </row>
    <row r="2876" spans="1:11" x14ac:dyDescent="0.25">
      <c r="A2876" s="20">
        <v>42123</v>
      </c>
      <c r="B2876" s="183">
        <v>19413</v>
      </c>
      <c r="C2876" s="14" t="s">
        <v>268</v>
      </c>
      <c r="D2876" s="103">
        <v>5644.8</v>
      </c>
      <c r="E2876" s="23">
        <v>42124</v>
      </c>
      <c r="F2876" s="106">
        <v>5644.8</v>
      </c>
      <c r="G2876" s="31">
        <f t="shared" si="44"/>
        <v>0</v>
      </c>
      <c r="H2876" s="132" t="s">
        <v>62</v>
      </c>
      <c r="I2876" s="3"/>
      <c r="J2876" s="42"/>
      <c r="K2876" s="3"/>
    </row>
    <row r="2877" spans="1:11" x14ac:dyDescent="0.25">
      <c r="A2877" s="20">
        <v>42123</v>
      </c>
      <c r="B2877" s="183">
        <v>19414</v>
      </c>
      <c r="C2877" s="14" t="s">
        <v>245</v>
      </c>
      <c r="D2877" s="103">
        <v>2666.84</v>
      </c>
      <c r="E2877" s="30" t="s">
        <v>1234</v>
      </c>
      <c r="F2877" s="144">
        <v>2666.84</v>
      </c>
      <c r="G2877" s="31">
        <f t="shared" si="44"/>
        <v>0</v>
      </c>
      <c r="H2877" s="132" t="s">
        <v>9</v>
      </c>
      <c r="I2877" s="3"/>
      <c r="J2877" s="42"/>
      <c r="K2877" s="3"/>
    </row>
    <row r="2878" spans="1:11" x14ac:dyDescent="0.25">
      <c r="A2878" s="20">
        <v>42123</v>
      </c>
      <c r="B2878" s="183">
        <v>19415</v>
      </c>
      <c r="C2878" s="14" t="s">
        <v>1050</v>
      </c>
      <c r="D2878" s="103">
        <v>411.32</v>
      </c>
      <c r="E2878" s="30" t="s">
        <v>1235</v>
      </c>
      <c r="F2878" s="144">
        <v>411.32</v>
      </c>
      <c r="G2878" s="31">
        <f t="shared" si="44"/>
        <v>0</v>
      </c>
      <c r="H2878" s="132" t="s">
        <v>9</v>
      </c>
      <c r="I2878" s="3"/>
      <c r="J2878" s="42"/>
      <c r="K2878" s="3"/>
    </row>
    <row r="2879" spans="1:11" x14ac:dyDescent="0.25">
      <c r="A2879" s="20">
        <v>42123</v>
      </c>
      <c r="B2879" s="183">
        <v>19416</v>
      </c>
      <c r="C2879" s="14" t="s">
        <v>49</v>
      </c>
      <c r="D2879" s="103">
        <v>1301.2</v>
      </c>
      <c r="E2879" s="23">
        <v>42123</v>
      </c>
      <c r="F2879" s="106">
        <v>1301.2</v>
      </c>
      <c r="G2879" s="31">
        <f t="shared" si="44"/>
        <v>0</v>
      </c>
      <c r="H2879" s="132" t="s">
        <v>94</v>
      </c>
      <c r="I2879" s="3"/>
      <c r="J2879" s="42"/>
      <c r="K2879" s="3"/>
    </row>
    <row r="2880" spans="1:11" x14ac:dyDescent="0.25">
      <c r="A2880" s="20">
        <v>42123</v>
      </c>
      <c r="B2880" s="183">
        <v>19417</v>
      </c>
      <c r="C2880" s="14" t="s">
        <v>571</v>
      </c>
      <c r="D2880" s="103">
        <v>51912.6</v>
      </c>
      <c r="E2880" s="30" t="s">
        <v>1232</v>
      </c>
      <c r="F2880" s="144">
        <f>24763.7+27148.9</f>
        <v>51912.600000000006</v>
      </c>
      <c r="G2880" s="31">
        <f t="shared" si="44"/>
        <v>0</v>
      </c>
      <c r="H2880" s="132" t="s">
        <v>19</v>
      </c>
      <c r="I2880" s="3"/>
      <c r="J2880" s="42"/>
      <c r="K2880" s="3"/>
    </row>
    <row r="2881" spans="1:11" x14ac:dyDescent="0.25">
      <c r="A2881" s="20">
        <v>42123</v>
      </c>
      <c r="B2881" s="183">
        <v>19418</v>
      </c>
      <c r="C2881" s="14" t="s">
        <v>89</v>
      </c>
      <c r="D2881" s="103">
        <v>1000</v>
      </c>
      <c r="E2881" s="23">
        <v>42123</v>
      </c>
      <c r="F2881" s="106">
        <v>1000</v>
      </c>
      <c r="G2881" s="31">
        <f t="shared" si="44"/>
        <v>0</v>
      </c>
      <c r="H2881" s="132" t="s">
        <v>9</v>
      </c>
      <c r="I2881" s="3"/>
      <c r="J2881" s="42"/>
      <c r="K2881" s="3"/>
    </row>
    <row r="2882" spans="1:11" x14ac:dyDescent="0.25">
      <c r="A2882" s="20">
        <v>42123</v>
      </c>
      <c r="B2882" s="183">
        <v>19419</v>
      </c>
      <c r="C2882" s="14" t="s">
        <v>791</v>
      </c>
      <c r="D2882" s="103">
        <v>2527.5</v>
      </c>
      <c r="E2882" s="23">
        <v>42123</v>
      </c>
      <c r="F2882" s="106">
        <v>2527.5</v>
      </c>
      <c r="G2882" s="31">
        <f t="shared" si="44"/>
        <v>0</v>
      </c>
      <c r="H2882" s="132" t="s">
        <v>9</v>
      </c>
      <c r="I2882" s="3"/>
      <c r="J2882" s="42"/>
      <c r="K2882" s="3"/>
    </row>
    <row r="2883" spans="1:11" x14ac:dyDescent="0.25">
      <c r="A2883" s="20">
        <v>42123</v>
      </c>
      <c r="B2883" s="183">
        <v>19420</v>
      </c>
      <c r="C2883" s="14" t="s">
        <v>14</v>
      </c>
      <c r="D2883" s="103">
        <v>4160</v>
      </c>
      <c r="E2883" s="30">
        <v>42126</v>
      </c>
      <c r="F2883" s="144">
        <v>4160</v>
      </c>
      <c r="G2883" s="31">
        <f t="shared" ref="G2883:G2946" si="45">D2883-F2883</f>
        <v>0</v>
      </c>
      <c r="H2883" s="132" t="s">
        <v>187</v>
      </c>
      <c r="I2883" s="3"/>
      <c r="J2883" s="42"/>
      <c r="K2883" s="3"/>
    </row>
    <row r="2884" spans="1:11" x14ac:dyDescent="0.25">
      <c r="A2884" s="20">
        <v>42123</v>
      </c>
      <c r="B2884" s="183">
        <v>19421</v>
      </c>
      <c r="C2884" s="14" t="s">
        <v>426</v>
      </c>
      <c r="D2884" s="103">
        <v>3270.6</v>
      </c>
      <c r="E2884" s="23">
        <v>42124</v>
      </c>
      <c r="F2884" s="106">
        <v>3270.6</v>
      </c>
      <c r="G2884" s="31">
        <f t="shared" si="45"/>
        <v>0</v>
      </c>
      <c r="H2884" s="132" t="s">
        <v>62</v>
      </c>
      <c r="I2884" s="3"/>
      <c r="J2884" s="42"/>
      <c r="K2884" s="3"/>
    </row>
    <row r="2885" spans="1:11" x14ac:dyDescent="0.25">
      <c r="A2885" s="20">
        <v>42123</v>
      </c>
      <c r="B2885" s="183">
        <v>19422</v>
      </c>
      <c r="C2885" s="26" t="s">
        <v>218</v>
      </c>
      <c r="D2885" s="153">
        <v>0</v>
      </c>
      <c r="E2885" s="23"/>
      <c r="F2885" s="106"/>
      <c r="G2885" s="31">
        <f t="shared" si="45"/>
        <v>0</v>
      </c>
      <c r="H2885" s="132" t="s">
        <v>13</v>
      </c>
      <c r="I2885" s="3"/>
      <c r="J2885" s="42"/>
      <c r="K2885" s="3"/>
    </row>
    <row r="2886" spans="1:11" x14ac:dyDescent="0.25">
      <c r="A2886" s="20">
        <v>42123</v>
      </c>
      <c r="B2886" s="183">
        <v>19423</v>
      </c>
      <c r="C2886" s="14" t="s">
        <v>268</v>
      </c>
      <c r="D2886" s="103">
        <v>9086.6</v>
      </c>
      <c r="E2886" s="23">
        <v>42124</v>
      </c>
      <c r="F2886" s="106">
        <v>9086.6</v>
      </c>
      <c r="G2886" s="31">
        <f t="shared" si="45"/>
        <v>0</v>
      </c>
      <c r="H2886" s="132" t="s">
        <v>62</v>
      </c>
      <c r="I2886" s="3"/>
      <c r="J2886" s="42"/>
      <c r="K2886" s="3"/>
    </row>
    <row r="2887" spans="1:11" x14ac:dyDescent="0.25">
      <c r="A2887" s="20">
        <v>42123</v>
      </c>
      <c r="B2887" s="183">
        <v>19424</v>
      </c>
      <c r="C2887" s="14" t="s">
        <v>173</v>
      </c>
      <c r="D2887" s="103">
        <v>23566.5</v>
      </c>
      <c r="E2887" s="30" t="s">
        <v>1244</v>
      </c>
      <c r="F2887" s="144">
        <v>23566.5</v>
      </c>
      <c r="G2887" s="31">
        <f t="shared" si="45"/>
        <v>0</v>
      </c>
      <c r="H2887" s="132" t="s">
        <v>62</v>
      </c>
      <c r="I2887" s="3"/>
      <c r="J2887" s="42"/>
      <c r="K2887" s="3"/>
    </row>
    <row r="2888" spans="1:11" x14ac:dyDescent="0.25">
      <c r="A2888" s="20">
        <v>42123</v>
      </c>
      <c r="B2888" s="183">
        <v>19425</v>
      </c>
      <c r="C2888" s="14" t="s">
        <v>61</v>
      </c>
      <c r="D2888" s="103">
        <v>5722.8</v>
      </c>
      <c r="E2888" s="23">
        <v>42124</v>
      </c>
      <c r="F2888" s="106">
        <v>5722.8</v>
      </c>
      <c r="G2888" s="31">
        <f t="shared" si="45"/>
        <v>0</v>
      </c>
      <c r="H2888" s="132" t="s">
        <v>9</v>
      </c>
      <c r="I2888" s="3"/>
      <c r="J2888" s="42"/>
      <c r="K2888" s="3"/>
    </row>
    <row r="2889" spans="1:11" x14ac:dyDescent="0.25">
      <c r="A2889" s="20">
        <v>42123</v>
      </c>
      <c r="B2889" s="183">
        <v>19426</v>
      </c>
      <c r="C2889" s="14" t="s">
        <v>178</v>
      </c>
      <c r="D2889" s="103">
        <v>2162.4</v>
      </c>
      <c r="E2889" s="23">
        <v>42124</v>
      </c>
      <c r="F2889" s="106">
        <v>2162.4</v>
      </c>
      <c r="G2889" s="31">
        <f t="shared" si="45"/>
        <v>0</v>
      </c>
      <c r="H2889" s="132" t="s">
        <v>62</v>
      </c>
      <c r="I2889" s="3"/>
      <c r="J2889" s="42"/>
      <c r="K2889" s="3"/>
    </row>
    <row r="2890" spans="1:11" x14ac:dyDescent="0.25">
      <c r="A2890" s="20">
        <v>42123</v>
      </c>
      <c r="B2890" s="183">
        <v>19427</v>
      </c>
      <c r="C2890" s="14" t="s">
        <v>161</v>
      </c>
      <c r="D2890" s="103">
        <v>25083</v>
      </c>
      <c r="E2890" s="23">
        <v>42123</v>
      </c>
      <c r="F2890" s="106">
        <v>25083</v>
      </c>
      <c r="G2890" s="31">
        <f t="shared" si="45"/>
        <v>0</v>
      </c>
      <c r="H2890" s="132" t="s">
        <v>9</v>
      </c>
      <c r="I2890" s="3"/>
      <c r="J2890" s="42"/>
      <c r="K2890" s="3"/>
    </row>
    <row r="2891" spans="1:11" x14ac:dyDescent="0.25">
      <c r="A2891" s="20">
        <v>42123</v>
      </c>
      <c r="B2891" s="183">
        <v>19428</v>
      </c>
      <c r="C2891" s="14" t="s">
        <v>426</v>
      </c>
      <c r="D2891" s="103">
        <v>1971.2</v>
      </c>
      <c r="E2891" s="23">
        <v>42124</v>
      </c>
      <c r="F2891" s="106">
        <v>1971.2</v>
      </c>
      <c r="G2891" s="31">
        <f t="shared" si="45"/>
        <v>0</v>
      </c>
      <c r="H2891" s="132" t="s">
        <v>9</v>
      </c>
      <c r="I2891" s="3"/>
      <c r="J2891" s="42"/>
      <c r="K2891" s="3"/>
    </row>
    <row r="2892" spans="1:11" x14ac:dyDescent="0.25">
      <c r="A2892" s="20">
        <v>42123</v>
      </c>
      <c r="B2892" s="183">
        <v>19429</v>
      </c>
      <c r="C2892" s="14" t="s">
        <v>249</v>
      </c>
      <c r="D2892" s="103">
        <v>2830.8</v>
      </c>
      <c r="E2892" s="23">
        <v>42123</v>
      </c>
      <c r="F2892" s="106">
        <v>2830.8</v>
      </c>
      <c r="G2892" s="31">
        <f t="shared" si="45"/>
        <v>0</v>
      </c>
      <c r="H2892" s="132" t="s">
        <v>94</v>
      </c>
      <c r="I2892" s="3"/>
      <c r="J2892" s="42"/>
      <c r="K2892" s="3"/>
    </row>
    <row r="2893" spans="1:11" x14ac:dyDescent="0.25">
      <c r="A2893" s="20">
        <v>42123</v>
      </c>
      <c r="B2893" s="183">
        <v>19430</v>
      </c>
      <c r="C2893" s="14" t="s">
        <v>136</v>
      </c>
      <c r="D2893" s="103">
        <v>34319.599999999999</v>
      </c>
      <c r="E2893" s="30" t="s">
        <v>1209</v>
      </c>
      <c r="F2893" s="144">
        <f>15000+19319.6</f>
        <v>34319.599999999999</v>
      </c>
      <c r="G2893" s="31">
        <f t="shared" si="45"/>
        <v>0</v>
      </c>
      <c r="H2893" s="132" t="s">
        <v>9</v>
      </c>
      <c r="I2893" s="3"/>
      <c r="J2893" s="42"/>
      <c r="K2893" s="3"/>
    </row>
    <row r="2894" spans="1:11" x14ac:dyDescent="0.25">
      <c r="A2894" s="20">
        <v>42123</v>
      </c>
      <c r="B2894" s="183">
        <v>19431</v>
      </c>
      <c r="C2894" s="26" t="s">
        <v>218</v>
      </c>
      <c r="D2894" s="153">
        <v>0</v>
      </c>
      <c r="E2894" s="23"/>
      <c r="F2894" s="106"/>
      <c r="G2894" s="31">
        <f t="shared" si="45"/>
        <v>0</v>
      </c>
      <c r="H2894" s="132" t="s">
        <v>13</v>
      </c>
      <c r="I2894" s="3"/>
      <c r="J2894" s="42"/>
      <c r="K2894" s="3"/>
    </row>
    <row r="2895" spans="1:11" x14ac:dyDescent="0.25">
      <c r="A2895" s="20">
        <v>42123</v>
      </c>
      <c r="B2895" s="183">
        <v>19432</v>
      </c>
      <c r="C2895" s="14" t="s">
        <v>42</v>
      </c>
      <c r="D2895" s="103">
        <v>9664.2000000000007</v>
      </c>
      <c r="E2895" s="23">
        <v>42123</v>
      </c>
      <c r="F2895" s="106">
        <v>9664.2000000000007</v>
      </c>
      <c r="G2895" s="31">
        <f t="shared" si="45"/>
        <v>0</v>
      </c>
      <c r="H2895" s="132" t="s">
        <v>9</v>
      </c>
      <c r="I2895" s="3"/>
      <c r="J2895" s="42"/>
      <c r="K2895" s="3"/>
    </row>
    <row r="2896" spans="1:11" x14ac:dyDescent="0.25">
      <c r="A2896" s="20">
        <v>42123</v>
      </c>
      <c r="B2896" s="183">
        <v>19433</v>
      </c>
      <c r="C2896" s="14" t="s">
        <v>251</v>
      </c>
      <c r="D2896" s="103">
        <v>24414</v>
      </c>
      <c r="E2896" s="23">
        <v>42124</v>
      </c>
      <c r="F2896" s="106">
        <v>24414</v>
      </c>
      <c r="G2896" s="31">
        <f t="shared" si="45"/>
        <v>0</v>
      </c>
      <c r="H2896" s="132" t="s">
        <v>9</v>
      </c>
      <c r="I2896" s="3"/>
      <c r="J2896" s="42"/>
      <c r="K2896" s="3"/>
    </row>
    <row r="2897" spans="1:11" x14ac:dyDescent="0.25">
      <c r="A2897" s="20">
        <v>42123</v>
      </c>
      <c r="B2897" s="183">
        <v>19434</v>
      </c>
      <c r="C2897" s="26" t="s">
        <v>218</v>
      </c>
      <c r="D2897" s="153">
        <v>0</v>
      </c>
      <c r="E2897" s="23"/>
      <c r="F2897" s="106"/>
      <c r="G2897" s="31">
        <f t="shared" si="45"/>
        <v>0</v>
      </c>
      <c r="H2897" s="132" t="s">
        <v>13</v>
      </c>
      <c r="I2897" s="3"/>
      <c r="J2897" s="42"/>
      <c r="K2897" s="3"/>
    </row>
    <row r="2898" spans="1:11" x14ac:dyDescent="0.25">
      <c r="A2898" s="20">
        <v>42123</v>
      </c>
      <c r="B2898" s="183">
        <v>19435</v>
      </c>
      <c r="C2898" s="14" t="s">
        <v>106</v>
      </c>
      <c r="D2898" s="103">
        <v>21654.400000000001</v>
      </c>
      <c r="E2898" s="23">
        <v>42124</v>
      </c>
      <c r="F2898" s="106">
        <v>21654.400000000001</v>
      </c>
      <c r="G2898" s="31">
        <f t="shared" si="45"/>
        <v>0</v>
      </c>
      <c r="H2898" s="132" t="s">
        <v>19</v>
      </c>
      <c r="I2898" s="3"/>
      <c r="J2898" s="42"/>
      <c r="K2898" s="3"/>
    </row>
    <row r="2899" spans="1:11" x14ac:dyDescent="0.25">
      <c r="A2899" s="20">
        <v>42123</v>
      </c>
      <c r="B2899" s="183">
        <v>19436</v>
      </c>
      <c r="C2899" s="14" t="s">
        <v>159</v>
      </c>
      <c r="D2899" s="103">
        <v>5587.6</v>
      </c>
      <c r="E2899" s="23">
        <v>42123</v>
      </c>
      <c r="F2899" s="106">
        <v>5587.6</v>
      </c>
      <c r="G2899" s="31">
        <f t="shared" si="45"/>
        <v>0</v>
      </c>
      <c r="H2899" s="132" t="s">
        <v>9</v>
      </c>
      <c r="I2899" s="3"/>
      <c r="J2899" s="42"/>
      <c r="K2899" s="3"/>
    </row>
    <row r="2900" spans="1:11" x14ac:dyDescent="0.25">
      <c r="A2900" s="20">
        <v>42123</v>
      </c>
      <c r="B2900" s="183">
        <v>19437</v>
      </c>
      <c r="C2900" s="26" t="s">
        <v>218</v>
      </c>
      <c r="D2900" s="153">
        <v>0</v>
      </c>
      <c r="E2900" s="23"/>
      <c r="F2900" s="106"/>
      <c r="G2900" s="31">
        <f t="shared" si="45"/>
        <v>0</v>
      </c>
      <c r="H2900" s="132" t="s">
        <v>13</v>
      </c>
      <c r="I2900" s="3"/>
      <c r="J2900" s="42"/>
      <c r="K2900" s="3"/>
    </row>
    <row r="2901" spans="1:11" x14ac:dyDescent="0.25">
      <c r="A2901" s="20">
        <v>42123</v>
      </c>
      <c r="B2901" s="183">
        <v>19438</v>
      </c>
      <c r="C2901" s="14" t="s">
        <v>1116</v>
      </c>
      <c r="D2901" s="103">
        <v>1498.1</v>
      </c>
      <c r="E2901" s="23">
        <v>42124</v>
      </c>
      <c r="F2901" s="106">
        <v>1498.1</v>
      </c>
      <c r="G2901" s="31">
        <f t="shared" si="45"/>
        <v>0</v>
      </c>
      <c r="H2901" s="132" t="s">
        <v>94</v>
      </c>
      <c r="I2901" s="3"/>
      <c r="J2901" s="42"/>
      <c r="K2901" s="3"/>
    </row>
    <row r="2902" spans="1:11" x14ac:dyDescent="0.25">
      <c r="A2902" s="20">
        <v>42123</v>
      </c>
      <c r="B2902" s="183">
        <v>19439</v>
      </c>
      <c r="C2902" s="14" t="s">
        <v>111</v>
      </c>
      <c r="D2902" s="103">
        <v>154260</v>
      </c>
      <c r="E2902" s="30">
        <v>42128</v>
      </c>
      <c r="F2902" s="144">
        <v>154260</v>
      </c>
      <c r="G2902" s="31">
        <f t="shared" si="45"/>
        <v>0</v>
      </c>
      <c r="H2902" s="132" t="s">
        <v>9</v>
      </c>
      <c r="I2902" s="3"/>
      <c r="J2902" s="42"/>
      <c r="K2902" s="3"/>
    </row>
    <row r="2903" spans="1:11" x14ac:dyDescent="0.25">
      <c r="A2903" s="20">
        <v>42123</v>
      </c>
      <c r="B2903" s="183">
        <v>19440</v>
      </c>
      <c r="C2903" s="14" t="s">
        <v>411</v>
      </c>
      <c r="D2903" s="103">
        <v>1701</v>
      </c>
      <c r="E2903" s="23">
        <v>42123</v>
      </c>
      <c r="F2903" s="106">
        <v>1701</v>
      </c>
      <c r="G2903" s="31">
        <f t="shared" si="45"/>
        <v>0</v>
      </c>
      <c r="H2903" s="132" t="s">
        <v>9</v>
      </c>
      <c r="I2903" s="3"/>
      <c r="J2903" s="42"/>
      <c r="K2903" s="3"/>
    </row>
    <row r="2904" spans="1:11" x14ac:dyDescent="0.25">
      <c r="A2904" s="20">
        <v>42123</v>
      </c>
      <c r="B2904" s="183">
        <v>19441</v>
      </c>
      <c r="C2904" s="14" t="s">
        <v>821</v>
      </c>
      <c r="D2904" s="103">
        <v>7189</v>
      </c>
      <c r="E2904" s="23">
        <v>42123</v>
      </c>
      <c r="F2904" s="106">
        <v>7189</v>
      </c>
      <c r="G2904" s="31">
        <f t="shared" si="45"/>
        <v>0</v>
      </c>
      <c r="H2904" s="132" t="s">
        <v>9</v>
      </c>
      <c r="I2904" s="3"/>
      <c r="J2904" s="42"/>
      <c r="K2904" s="3"/>
    </row>
    <row r="2905" spans="1:11" x14ac:dyDescent="0.25">
      <c r="A2905" s="20">
        <v>42123</v>
      </c>
      <c r="B2905" s="183">
        <v>19442</v>
      </c>
      <c r="C2905" s="14" t="s">
        <v>18</v>
      </c>
      <c r="D2905" s="103">
        <v>41158</v>
      </c>
      <c r="E2905" s="30">
        <v>42137</v>
      </c>
      <c r="F2905" s="144">
        <v>41158</v>
      </c>
      <c r="G2905" s="31">
        <f t="shared" si="45"/>
        <v>0</v>
      </c>
      <c r="H2905" s="132" t="s">
        <v>9</v>
      </c>
      <c r="I2905" s="3"/>
      <c r="J2905" s="42"/>
      <c r="K2905" s="3"/>
    </row>
    <row r="2906" spans="1:11" x14ac:dyDescent="0.25">
      <c r="A2906" s="20">
        <v>42123</v>
      </c>
      <c r="B2906" s="183">
        <v>19443</v>
      </c>
      <c r="C2906" s="14" t="s">
        <v>24</v>
      </c>
      <c r="D2906" s="103">
        <v>226200.5</v>
      </c>
      <c r="E2906" s="30">
        <v>42144</v>
      </c>
      <c r="F2906" s="144">
        <v>226200.5</v>
      </c>
      <c r="G2906" s="31">
        <f t="shared" si="45"/>
        <v>0</v>
      </c>
      <c r="H2906" s="132" t="s">
        <v>312</v>
      </c>
      <c r="I2906" s="3"/>
      <c r="J2906" s="42"/>
      <c r="K2906" s="3"/>
    </row>
    <row r="2907" spans="1:11" x14ac:dyDescent="0.25">
      <c r="A2907" s="20">
        <v>42123</v>
      </c>
      <c r="B2907" s="183">
        <v>19444</v>
      </c>
      <c r="C2907" s="14" t="s">
        <v>1182</v>
      </c>
      <c r="D2907" s="103">
        <v>2580</v>
      </c>
      <c r="E2907" s="23">
        <v>42123</v>
      </c>
      <c r="F2907" s="106">
        <v>2580</v>
      </c>
      <c r="G2907" s="31">
        <f t="shared" si="45"/>
        <v>0</v>
      </c>
      <c r="H2907" s="132" t="s">
        <v>9</v>
      </c>
      <c r="I2907" s="3"/>
      <c r="J2907" s="42"/>
      <c r="K2907" s="3"/>
    </row>
    <row r="2908" spans="1:11" x14ac:dyDescent="0.25">
      <c r="A2908" s="20">
        <v>42123</v>
      </c>
      <c r="B2908" s="183">
        <v>19445</v>
      </c>
      <c r="C2908" s="14" t="s">
        <v>102</v>
      </c>
      <c r="D2908" s="103">
        <v>290.39999999999998</v>
      </c>
      <c r="E2908" s="23">
        <v>42123</v>
      </c>
      <c r="F2908" s="106">
        <v>290.39999999999998</v>
      </c>
      <c r="G2908" s="31">
        <f t="shared" si="45"/>
        <v>0</v>
      </c>
      <c r="H2908" s="132" t="s">
        <v>9</v>
      </c>
      <c r="I2908" s="3"/>
      <c r="J2908" s="42"/>
      <c r="K2908" s="3"/>
    </row>
    <row r="2909" spans="1:11" x14ac:dyDescent="0.25">
      <c r="A2909" s="20">
        <v>42123</v>
      </c>
      <c r="B2909" s="183">
        <v>19446</v>
      </c>
      <c r="C2909" s="14" t="s">
        <v>1182</v>
      </c>
      <c r="D2909" s="103">
        <v>333.45</v>
      </c>
      <c r="E2909" s="23">
        <v>42123</v>
      </c>
      <c r="F2909" s="106">
        <v>333.45</v>
      </c>
      <c r="G2909" s="31">
        <f t="shared" si="45"/>
        <v>0</v>
      </c>
      <c r="H2909" s="132" t="s">
        <v>9</v>
      </c>
      <c r="I2909" s="3"/>
      <c r="J2909" s="42"/>
      <c r="K2909" s="3"/>
    </row>
    <row r="2910" spans="1:11" x14ac:dyDescent="0.25">
      <c r="A2910" s="20">
        <v>42123</v>
      </c>
      <c r="B2910" s="183">
        <v>19447</v>
      </c>
      <c r="C2910" s="14" t="s">
        <v>24</v>
      </c>
      <c r="D2910" s="103">
        <v>42993.599999999999</v>
      </c>
      <c r="E2910" s="30">
        <v>42144</v>
      </c>
      <c r="F2910" s="144">
        <v>42993.599999999999</v>
      </c>
      <c r="G2910" s="31">
        <f t="shared" si="45"/>
        <v>0</v>
      </c>
      <c r="H2910" s="132" t="s">
        <v>1013</v>
      </c>
      <c r="I2910" s="3"/>
      <c r="J2910" s="42"/>
      <c r="K2910" s="3"/>
    </row>
    <row r="2911" spans="1:11" x14ac:dyDescent="0.25">
      <c r="A2911" s="20">
        <v>42123</v>
      </c>
      <c r="B2911" s="183">
        <v>19448</v>
      </c>
      <c r="C2911" s="14" t="s">
        <v>168</v>
      </c>
      <c r="D2911" s="103">
        <v>5112</v>
      </c>
      <c r="E2911" s="30">
        <v>42125</v>
      </c>
      <c r="F2911" s="144">
        <v>5112</v>
      </c>
      <c r="G2911" s="31">
        <f t="shared" si="45"/>
        <v>0</v>
      </c>
      <c r="H2911" s="132" t="s">
        <v>41</v>
      </c>
      <c r="I2911" s="3"/>
      <c r="J2911" s="42"/>
      <c r="K2911" s="3"/>
    </row>
    <row r="2912" spans="1:11" x14ac:dyDescent="0.25">
      <c r="A2912" s="20">
        <v>42123</v>
      </c>
      <c r="B2912" s="183">
        <v>19449</v>
      </c>
      <c r="C2912" s="14" t="s">
        <v>24</v>
      </c>
      <c r="D2912" s="103">
        <v>4160</v>
      </c>
      <c r="E2912" s="30">
        <v>42144</v>
      </c>
      <c r="F2912" s="144">
        <v>4160</v>
      </c>
      <c r="G2912" s="31">
        <f t="shared" si="45"/>
        <v>0</v>
      </c>
      <c r="H2912" s="132" t="s">
        <v>1013</v>
      </c>
      <c r="I2912" s="3"/>
      <c r="J2912" s="42"/>
      <c r="K2912" s="3"/>
    </row>
    <row r="2913" spans="1:11" x14ac:dyDescent="0.25">
      <c r="A2913" s="20">
        <v>42123</v>
      </c>
      <c r="B2913" s="183">
        <v>19450</v>
      </c>
      <c r="C2913" s="14" t="s">
        <v>651</v>
      </c>
      <c r="D2913" s="103">
        <v>15015</v>
      </c>
      <c r="E2913" s="23">
        <v>42124</v>
      </c>
      <c r="F2913" s="106">
        <v>15015</v>
      </c>
      <c r="G2913" s="31">
        <f t="shared" si="45"/>
        <v>0</v>
      </c>
      <c r="H2913" s="132" t="s">
        <v>19</v>
      </c>
      <c r="I2913" s="3"/>
      <c r="J2913" s="42"/>
      <c r="K2913" s="3"/>
    </row>
    <row r="2914" spans="1:11" x14ac:dyDescent="0.25">
      <c r="A2914" s="20">
        <v>42123</v>
      </c>
      <c r="B2914" s="183">
        <v>19451</v>
      </c>
      <c r="C2914" s="14" t="s">
        <v>45</v>
      </c>
      <c r="D2914" s="103">
        <v>4681</v>
      </c>
      <c r="E2914" s="30">
        <v>42140</v>
      </c>
      <c r="F2914" s="144">
        <v>4681</v>
      </c>
      <c r="G2914" s="31">
        <f t="shared" si="45"/>
        <v>0</v>
      </c>
      <c r="H2914" s="132" t="s">
        <v>9</v>
      </c>
      <c r="I2914" s="3"/>
      <c r="J2914" s="42"/>
      <c r="K2914" s="3"/>
    </row>
    <row r="2915" spans="1:11" x14ac:dyDescent="0.25">
      <c r="A2915" s="20">
        <v>42123</v>
      </c>
      <c r="B2915" s="183">
        <v>19452</v>
      </c>
      <c r="C2915" s="14" t="s">
        <v>1020</v>
      </c>
      <c r="D2915" s="103">
        <v>3227.28</v>
      </c>
      <c r="E2915" s="23">
        <v>42123</v>
      </c>
      <c r="F2915" s="106">
        <v>3227.28</v>
      </c>
      <c r="G2915" s="31">
        <f t="shared" si="45"/>
        <v>0</v>
      </c>
      <c r="H2915" s="132" t="s">
        <v>9</v>
      </c>
      <c r="I2915" s="3"/>
      <c r="J2915" s="42"/>
      <c r="K2915" s="3"/>
    </row>
    <row r="2916" spans="1:11" x14ac:dyDescent="0.25">
      <c r="A2916" s="20">
        <v>42123</v>
      </c>
      <c r="B2916" s="183">
        <v>19453</v>
      </c>
      <c r="C2916" s="14" t="s">
        <v>237</v>
      </c>
      <c r="D2916" s="103">
        <v>200</v>
      </c>
      <c r="E2916" s="23">
        <v>42123</v>
      </c>
      <c r="F2916" s="106">
        <v>200</v>
      </c>
      <c r="G2916" s="31">
        <f t="shared" si="45"/>
        <v>0</v>
      </c>
      <c r="H2916" s="132" t="s">
        <v>9</v>
      </c>
      <c r="I2916" s="3"/>
      <c r="J2916" s="42"/>
      <c r="K2916" s="3"/>
    </row>
    <row r="2917" spans="1:11" x14ac:dyDescent="0.25">
      <c r="A2917" s="20">
        <v>42123</v>
      </c>
      <c r="B2917" s="183">
        <v>19454</v>
      </c>
      <c r="C2917" s="14" t="s">
        <v>111</v>
      </c>
      <c r="D2917" s="103">
        <v>137844</v>
      </c>
      <c r="E2917" s="30">
        <v>42128</v>
      </c>
      <c r="F2917" s="144">
        <v>137844</v>
      </c>
      <c r="G2917" s="31">
        <f t="shared" si="45"/>
        <v>0</v>
      </c>
      <c r="H2917" s="132" t="s">
        <v>9</v>
      </c>
      <c r="I2917" s="3"/>
      <c r="J2917" s="42"/>
      <c r="K2917" s="3"/>
    </row>
    <row r="2918" spans="1:11" x14ac:dyDescent="0.25">
      <c r="A2918" s="20">
        <v>42123</v>
      </c>
      <c r="B2918" s="183">
        <v>19455</v>
      </c>
      <c r="C2918" s="14" t="s">
        <v>110</v>
      </c>
      <c r="D2918" s="103">
        <v>54450.1</v>
      </c>
      <c r="E2918" s="30" t="s">
        <v>1246</v>
      </c>
      <c r="F2918" s="144">
        <f>29849.49+24600.61</f>
        <v>54450.100000000006</v>
      </c>
      <c r="G2918" s="31">
        <f t="shared" si="45"/>
        <v>0</v>
      </c>
      <c r="H2918" s="132" t="s">
        <v>187</v>
      </c>
      <c r="I2918" s="3"/>
      <c r="J2918" s="42"/>
      <c r="K2918" s="3"/>
    </row>
    <row r="2919" spans="1:11" x14ac:dyDescent="0.25">
      <c r="A2919" s="20">
        <v>42123</v>
      </c>
      <c r="B2919" s="183">
        <v>19456</v>
      </c>
      <c r="C2919" s="14" t="s">
        <v>24</v>
      </c>
      <c r="D2919" s="103">
        <v>4024.89</v>
      </c>
      <c r="E2919" s="30">
        <v>42144</v>
      </c>
      <c r="F2919" s="144">
        <v>4024.89</v>
      </c>
      <c r="G2919" s="31">
        <f t="shared" si="45"/>
        <v>0</v>
      </c>
      <c r="H2919" s="132" t="s">
        <v>9</v>
      </c>
      <c r="I2919" s="3"/>
      <c r="J2919" s="42"/>
      <c r="K2919" s="3"/>
    </row>
    <row r="2920" spans="1:11" x14ac:dyDescent="0.25">
      <c r="A2920" s="20">
        <v>42123</v>
      </c>
      <c r="B2920" s="183">
        <v>19457</v>
      </c>
      <c r="C2920" s="14" t="s">
        <v>1101</v>
      </c>
      <c r="D2920" s="103">
        <v>222.2</v>
      </c>
      <c r="E2920" s="23">
        <v>42123</v>
      </c>
      <c r="F2920" s="106">
        <v>222.2</v>
      </c>
      <c r="G2920" s="31">
        <f t="shared" si="45"/>
        <v>0</v>
      </c>
      <c r="H2920" s="132" t="s">
        <v>9</v>
      </c>
      <c r="I2920" s="3"/>
      <c r="J2920" s="42"/>
      <c r="K2920" s="3"/>
    </row>
    <row r="2921" spans="1:11" x14ac:dyDescent="0.25">
      <c r="A2921" s="20">
        <v>42123</v>
      </c>
      <c r="B2921" s="183">
        <v>19458</v>
      </c>
      <c r="C2921" s="14" t="s">
        <v>235</v>
      </c>
      <c r="D2921" s="103">
        <v>1900</v>
      </c>
      <c r="E2921" s="30">
        <v>42125</v>
      </c>
      <c r="F2921" s="144">
        <v>1900</v>
      </c>
      <c r="G2921" s="31">
        <f t="shared" si="45"/>
        <v>0</v>
      </c>
      <c r="H2921" s="132" t="s">
        <v>17</v>
      </c>
      <c r="I2921" s="3"/>
      <c r="J2921" s="42"/>
      <c r="K2921" s="3"/>
    </row>
    <row r="2922" spans="1:11" x14ac:dyDescent="0.25">
      <c r="A2922" s="20">
        <v>42124</v>
      </c>
      <c r="B2922" s="183">
        <v>19459</v>
      </c>
      <c r="C2922" s="14" t="s">
        <v>1012</v>
      </c>
      <c r="D2922" s="103">
        <v>9020.1</v>
      </c>
      <c r="E2922" s="23">
        <v>42123</v>
      </c>
      <c r="F2922" s="106">
        <v>9020.1</v>
      </c>
      <c r="G2922" s="31">
        <f t="shared" si="45"/>
        <v>0</v>
      </c>
      <c r="H2922" s="132" t="s">
        <v>9</v>
      </c>
      <c r="I2922" s="3"/>
      <c r="J2922" s="42"/>
      <c r="K2922" s="3"/>
    </row>
    <row r="2923" spans="1:11" x14ac:dyDescent="0.25">
      <c r="A2923" s="20">
        <v>42124</v>
      </c>
      <c r="B2923" s="183">
        <v>19460</v>
      </c>
      <c r="C2923" s="14" t="s">
        <v>383</v>
      </c>
      <c r="D2923" s="103">
        <v>3985.2</v>
      </c>
      <c r="E2923" s="23">
        <v>42124</v>
      </c>
      <c r="F2923" s="106">
        <v>3985.2</v>
      </c>
      <c r="G2923" s="31">
        <f t="shared" si="45"/>
        <v>0</v>
      </c>
      <c r="H2923" s="132" t="s">
        <v>9</v>
      </c>
      <c r="I2923" s="3"/>
      <c r="J2923" s="42"/>
      <c r="K2923" s="3"/>
    </row>
    <row r="2924" spans="1:11" x14ac:dyDescent="0.25">
      <c r="A2924" s="20">
        <v>42124</v>
      </c>
      <c r="B2924" s="183">
        <v>19461</v>
      </c>
      <c r="C2924" s="14" t="s">
        <v>211</v>
      </c>
      <c r="D2924" s="103">
        <v>67081.2</v>
      </c>
      <c r="E2924" s="30">
        <v>42129</v>
      </c>
      <c r="F2924" s="144">
        <v>67081.2</v>
      </c>
      <c r="G2924" s="31">
        <f t="shared" si="45"/>
        <v>0</v>
      </c>
      <c r="H2924" s="132" t="s">
        <v>9</v>
      </c>
      <c r="I2924" s="3"/>
      <c r="J2924" s="42"/>
      <c r="K2924" s="3"/>
    </row>
    <row r="2925" spans="1:11" x14ac:dyDescent="0.25">
      <c r="A2925" s="20">
        <v>42124</v>
      </c>
      <c r="B2925" s="183">
        <v>19462</v>
      </c>
      <c r="C2925" s="14" t="s">
        <v>21</v>
      </c>
      <c r="D2925" s="103">
        <v>7950.1</v>
      </c>
      <c r="E2925" s="23">
        <v>42124</v>
      </c>
      <c r="F2925" s="106">
        <v>7950.1</v>
      </c>
      <c r="G2925" s="31">
        <f t="shared" si="45"/>
        <v>0</v>
      </c>
      <c r="H2925" s="132" t="s">
        <v>9</v>
      </c>
      <c r="I2925" s="3"/>
      <c r="J2925" s="42"/>
      <c r="K2925" s="3"/>
    </row>
    <row r="2926" spans="1:11" x14ac:dyDescent="0.25">
      <c r="A2926" s="20">
        <v>42124</v>
      </c>
      <c r="B2926" s="183">
        <v>19463</v>
      </c>
      <c r="C2926" s="14" t="s">
        <v>254</v>
      </c>
      <c r="D2926" s="103">
        <v>7202.5</v>
      </c>
      <c r="E2926" s="23">
        <v>42124</v>
      </c>
      <c r="F2926" s="106">
        <v>7202.5</v>
      </c>
      <c r="G2926" s="31">
        <f t="shared" si="45"/>
        <v>0</v>
      </c>
      <c r="H2926" s="132" t="s">
        <v>9</v>
      </c>
      <c r="I2926" s="3"/>
      <c r="J2926" s="42"/>
      <c r="K2926" s="3"/>
    </row>
    <row r="2927" spans="1:11" x14ac:dyDescent="0.25">
      <c r="A2927" s="20">
        <v>42124</v>
      </c>
      <c r="B2927" s="183">
        <v>19464</v>
      </c>
      <c r="C2927" s="14" t="s">
        <v>14</v>
      </c>
      <c r="D2927" s="103">
        <v>15015.75</v>
      </c>
      <c r="E2927" s="30">
        <v>42126</v>
      </c>
      <c r="F2927" s="144">
        <v>15015.75</v>
      </c>
      <c r="G2927" s="31">
        <f t="shared" si="45"/>
        <v>0</v>
      </c>
      <c r="H2927" s="132" t="s">
        <v>9</v>
      </c>
      <c r="I2927" s="3"/>
      <c r="J2927" s="42"/>
      <c r="K2927" s="3"/>
    </row>
    <row r="2928" spans="1:11" x14ac:dyDescent="0.25">
      <c r="A2928" s="20">
        <v>42124</v>
      </c>
      <c r="B2928" s="183">
        <v>19465</v>
      </c>
      <c r="C2928" s="14" t="s">
        <v>16</v>
      </c>
      <c r="D2928" s="103">
        <v>7168</v>
      </c>
      <c r="E2928" s="23">
        <v>42124</v>
      </c>
      <c r="F2928" s="106">
        <v>7168</v>
      </c>
      <c r="G2928" s="31">
        <f t="shared" si="45"/>
        <v>0</v>
      </c>
      <c r="H2928" s="132" t="s">
        <v>17</v>
      </c>
      <c r="I2928" s="3"/>
      <c r="J2928" s="42"/>
      <c r="K2928" s="3"/>
    </row>
    <row r="2929" spans="1:11" x14ac:dyDescent="0.25">
      <c r="A2929" s="20">
        <v>42124</v>
      </c>
      <c r="B2929" s="183">
        <v>19466</v>
      </c>
      <c r="C2929" s="14" t="s">
        <v>124</v>
      </c>
      <c r="D2929" s="103">
        <v>2378.8000000000002</v>
      </c>
      <c r="E2929" s="23">
        <v>42124</v>
      </c>
      <c r="F2929" s="106">
        <v>2378.8000000000002</v>
      </c>
      <c r="G2929" s="31">
        <f t="shared" si="45"/>
        <v>0</v>
      </c>
      <c r="H2929" s="132" t="s">
        <v>9</v>
      </c>
      <c r="I2929" s="3"/>
      <c r="J2929" s="42"/>
      <c r="K2929" s="3"/>
    </row>
    <row r="2930" spans="1:11" x14ac:dyDescent="0.25">
      <c r="A2930" s="20">
        <v>42124</v>
      </c>
      <c r="B2930" s="183">
        <v>19467</v>
      </c>
      <c r="C2930" s="14" t="s">
        <v>111</v>
      </c>
      <c r="D2930" s="103">
        <v>37719.35</v>
      </c>
      <c r="E2930" s="30">
        <v>42128</v>
      </c>
      <c r="F2930" s="144">
        <v>37719.35</v>
      </c>
      <c r="G2930" s="31">
        <f t="shared" si="45"/>
        <v>0</v>
      </c>
      <c r="H2930" s="132" t="s">
        <v>62</v>
      </c>
      <c r="I2930" s="3"/>
      <c r="J2930" s="42"/>
      <c r="K2930" s="3"/>
    </row>
    <row r="2931" spans="1:11" x14ac:dyDescent="0.25">
      <c r="A2931" s="20">
        <v>42124</v>
      </c>
      <c r="B2931" s="183">
        <v>19468</v>
      </c>
      <c r="C2931" s="14" t="s">
        <v>35</v>
      </c>
      <c r="D2931" s="103">
        <v>24740.1</v>
      </c>
      <c r="E2931" s="23">
        <v>42124</v>
      </c>
      <c r="F2931" s="106">
        <v>24740.1</v>
      </c>
      <c r="G2931" s="31">
        <f t="shared" si="45"/>
        <v>0</v>
      </c>
      <c r="H2931" s="132" t="s">
        <v>94</v>
      </c>
      <c r="I2931" s="3"/>
      <c r="J2931" s="42"/>
      <c r="K2931" s="3"/>
    </row>
    <row r="2932" spans="1:11" x14ac:dyDescent="0.25">
      <c r="A2932" s="20">
        <v>42124</v>
      </c>
      <c r="B2932" s="183">
        <v>19469</v>
      </c>
      <c r="C2932" s="14" t="s">
        <v>35</v>
      </c>
      <c r="D2932" s="103">
        <v>268.8</v>
      </c>
      <c r="E2932" s="23">
        <v>42124</v>
      </c>
      <c r="F2932" s="106">
        <v>268.8</v>
      </c>
      <c r="G2932" s="31">
        <f t="shared" si="45"/>
        <v>0</v>
      </c>
      <c r="H2932" s="132" t="s">
        <v>94</v>
      </c>
      <c r="I2932" s="3"/>
      <c r="J2932" s="42"/>
      <c r="K2932" s="3"/>
    </row>
    <row r="2933" spans="1:11" x14ac:dyDescent="0.25">
      <c r="A2933" s="20">
        <v>42124</v>
      </c>
      <c r="B2933" s="183">
        <v>19470</v>
      </c>
      <c r="C2933" s="14" t="s">
        <v>829</v>
      </c>
      <c r="D2933" s="103">
        <v>3576.8</v>
      </c>
      <c r="E2933" s="23">
        <v>42124</v>
      </c>
      <c r="F2933" s="106">
        <v>3576.8</v>
      </c>
      <c r="G2933" s="31">
        <f t="shared" si="45"/>
        <v>0</v>
      </c>
      <c r="H2933" s="132" t="s">
        <v>9</v>
      </c>
      <c r="I2933" s="3"/>
      <c r="J2933" s="42"/>
      <c r="K2933" s="3"/>
    </row>
    <row r="2934" spans="1:11" x14ac:dyDescent="0.25">
      <c r="A2934" s="20">
        <v>42124</v>
      </c>
      <c r="B2934" s="183">
        <v>19471</v>
      </c>
      <c r="C2934" s="14" t="s">
        <v>24</v>
      </c>
      <c r="D2934" s="103">
        <v>44261.65</v>
      </c>
      <c r="E2934" s="30">
        <v>42144</v>
      </c>
      <c r="F2934" s="144">
        <v>44261.65</v>
      </c>
      <c r="G2934" s="31">
        <f t="shared" si="45"/>
        <v>0</v>
      </c>
      <c r="H2934" s="132" t="s">
        <v>19</v>
      </c>
      <c r="I2934" s="3"/>
      <c r="J2934" s="42"/>
      <c r="K2934" s="3"/>
    </row>
    <row r="2935" spans="1:11" x14ac:dyDescent="0.25">
      <c r="A2935" s="20">
        <v>42124</v>
      </c>
      <c r="B2935" s="183">
        <v>19472</v>
      </c>
      <c r="C2935" s="14" t="s">
        <v>55</v>
      </c>
      <c r="D2935" s="103">
        <v>2600.04</v>
      </c>
      <c r="E2935" s="23">
        <v>42124</v>
      </c>
      <c r="F2935" s="106">
        <v>2600.04</v>
      </c>
      <c r="G2935" s="31">
        <f t="shared" si="45"/>
        <v>0</v>
      </c>
      <c r="H2935" s="132" t="s">
        <v>94</v>
      </c>
      <c r="I2935" s="3"/>
      <c r="J2935" s="42"/>
      <c r="K2935" s="3"/>
    </row>
    <row r="2936" spans="1:11" x14ac:dyDescent="0.25">
      <c r="A2936" s="20">
        <v>42124</v>
      </c>
      <c r="B2936" s="183">
        <v>19473</v>
      </c>
      <c r="C2936" s="14" t="s">
        <v>256</v>
      </c>
      <c r="D2936" s="103">
        <v>9499.6</v>
      </c>
      <c r="E2936" s="23">
        <v>42124</v>
      </c>
      <c r="F2936" s="106">
        <v>9499.6</v>
      </c>
      <c r="G2936" s="31">
        <f t="shared" si="45"/>
        <v>0</v>
      </c>
      <c r="H2936" s="132" t="s">
        <v>94</v>
      </c>
      <c r="I2936" s="3"/>
      <c r="J2936" s="42"/>
      <c r="K2936" s="3"/>
    </row>
    <row r="2937" spans="1:11" x14ac:dyDescent="0.25">
      <c r="A2937" s="20">
        <v>42124</v>
      </c>
      <c r="B2937" s="183">
        <v>19474</v>
      </c>
      <c r="C2937" s="14" t="s">
        <v>334</v>
      </c>
      <c r="D2937" s="103">
        <v>2552</v>
      </c>
      <c r="E2937" s="23">
        <v>42124</v>
      </c>
      <c r="F2937" s="106">
        <v>2552</v>
      </c>
      <c r="G2937" s="31">
        <f t="shared" si="45"/>
        <v>0</v>
      </c>
      <c r="H2937" s="132" t="s">
        <v>94</v>
      </c>
      <c r="I2937" s="3"/>
      <c r="J2937" s="42"/>
      <c r="K2937" s="3"/>
    </row>
    <row r="2938" spans="1:11" x14ac:dyDescent="0.25">
      <c r="A2938" s="20">
        <v>42124</v>
      </c>
      <c r="B2938" s="183">
        <v>19475</v>
      </c>
      <c r="C2938" s="14" t="s">
        <v>121</v>
      </c>
      <c r="D2938" s="103">
        <v>2252.9</v>
      </c>
      <c r="E2938" s="23">
        <v>42124</v>
      </c>
      <c r="F2938" s="106">
        <v>2252.9</v>
      </c>
      <c r="G2938" s="31">
        <f t="shared" si="45"/>
        <v>0</v>
      </c>
      <c r="H2938" s="132" t="s">
        <v>9</v>
      </c>
      <c r="I2938" s="3"/>
      <c r="J2938" s="42"/>
      <c r="K2938" s="3"/>
    </row>
    <row r="2939" spans="1:11" x14ac:dyDescent="0.25">
      <c r="A2939" s="20">
        <v>42124</v>
      </c>
      <c r="B2939" s="183">
        <v>19476</v>
      </c>
      <c r="C2939" s="14" t="s">
        <v>1193</v>
      </c>
      <c r="D2939" s="103">
        <v>3855.5</v>
      </c>
      <c r="E2939" s="23">
        <v>42124</v>
      </c>
      <c r="F2939" s="106">
        <v>3855.5</v>
      </c>
      <c r="G2939" s="31">
        <f t="shared" si="45"/>
        <v>0</v>
      </c>
      <c r="H2939" s="132" t="s">
        <v>9</v>
      </c>
      <c r="I2939" s="3"/>
      <c r="J2939" s="42"/>
      <c r="K2939" s="3"/>
    </row>
    <row r="2940" spans="1:11" x14ac:dyDescent="0.25">
      <c r="A2940" s="20">
        <v>42124</v>
      </c>
      <c r="B2940" s="183">
        <v>19477</v>
      </c>
      <c r="C2940" s="14" t="s">
        <v>1173</v>
      </c>
      <c r="D2940" s="103">
        <v>3983.3</v>
      </c>
      <c r="E2940" s="23">
        <v>42124</v>
      </c>
      <c r="F2940" s="106">
        <v>3983.3</v>
      </c>
      <c r="G2940" s="31">
        <f t="shared" si="45"/>
        <v>0</v>
      </c>
      <c r="H2940" s="132" t="s">
        <v>9</v>
      </c>
      <c r="I2940" s="3"/>
      <c r="J2940" s="42"/>
      <c r="K2940" s="3"/>
    </row>
    <row r="2941" spans="1:11" x14ac:dyDescent="0.25">
      <c r="A2941" s="20">
        <v>42124</v>
      </c>
      <c r="B2941" s="183">
        <v>19478</v>
      </c>
      <c r="C2941" s="14" t="s">
        <v>1175</v>
      </c>
      <c r="D2941" s="103">
        <v>12939.85</v>
      </c>
      <c r="E2941" s="23">
        <v>42124</v>
      </c>
      <c r="F2941" s="106">
        <v>12939.85</v>
      </c>
      <c r="G2941" s="31">
        <f t="shared" si="45"/>
        <v>0</v>
      </c>
      <c r="H2941" s="132" t="s">
        <v>9</v>
      </c>
      <c r="I2941" s="3"/>
      <c r="J2941" s="42"/>
      <c r="K2941" s="3"/>
    </row>
    <row r="2942" spans="1:11" x14ac:dyDescent="0.25">
      <c r="A2942" s="20">
        <v>42124</v>
      </c>
      <c r="B2942" s="183">
        <v>19479</v>
      </c>
      <c r="C2942" s="14" t="s">
        <v>1194</v>
      </c>
      <c r="D2942" s="103">
        <v>3858.8</v>
      </c>
      <c r="E2942" s="23">
        <v>42124</v>
      </c>
      <c r="F2942" s="106">
        <v>3858.8</v>
      </c>
      <c r="G2942" s="31">
        <f t="shared" si="45"/>
        <v>0</v>
      </c>
      <c r="H2942" s="132" t="s">
        <v>9</v>
      </c>
      <c r="I2942" s="3"/>
      <c r="J2942" s="42"/>
      <c r="K2942" s="3"/>
    </row>
    <row r="2943" spans="1:11" x14ac:dyDescent="0.25">
      <c r="A2943" s="20">
        <v>42124</v>
      </c>
      <c r="B2943" s="183">
        <v>19480</v>
      </c>
      <c r="C2943" s="14" t="s">
        <v>239</v>
      </c>
      <c r="D2943" s="103">
        <v>3000.85</v>
      </c>
      <c r="E2943" s="30">
        <v>42136</v>
      </c>
      <c r="F2943" s="144">
        <v>3000.85</v>
      </c>
      <c r="G2943" s="31">
        <f t="shared" si="45"/>
        <v>0</v>
      </c>
      <c r="H2943" s="132" t="s">
        <v>9</v>
      </c>
      <c r="I2943" s="3"/>
      <c r="J2943" s="42"/>
      <c r="K2943" s="3"/>
    </row>
    <row r="2944" spans="1:11" x14ac:dyDescent="0.25">
      <c r="A2944" s="20">
        <v>42124</v>
      </c>
      <c r="B2944" s="183">
        <v>19481</v>
      </c>
      <c r="C2944" s="14" t="s">
        <v>226</v>
      </c>
      <c r="D2944" s="103">
        <v>2363</v>
      </c>
      <c r="E2944" s="23">
        <v>42124</v>
      </c>
      <c r="F2944" s="106">
        <v>2363</v>
      </c>
      <c r="G2944" s="31">
        <f t="shared" si="45"/>
        <v>0</v>
      </c>
      <c r="H2944" s="132" t="s">
        <v>149</v>
      </c>
      <c r="I2944" s="3"/>
      <c r="J2944" s="42"/>
      <c r="K2944" s="3"/>
    </row>
    <row r="2945" spans="1:11" x14ac:dyDescent="0.25">
      <c r="A2945" s="20">
        <v>42124</v>
      </c>
      <c r="B2945" s="183">
        <v>19482</v>
      </c>
      <c r="C2945" s="14" t="s">
        <v>1182</v>
      </c>
      <c r="D2945" s="103">
        <v>4052.4</v>
      </c>
      <c r="E2945" s="23">
        <v>42124</v>
      </c>
      <c r="F2945" s="106">
        <v>4052.4</v>
      </c>
      <c r="G2945" s="31">
        <f t="shared" si="45"/>
        <v>0</v>
      </c>
      <c r="H2945" s="132" t="s">
        <v>9</v>
      </c>
      <c r="I2945" s="3"/>
      <c r="J2945" s="42"/>
      <c r="K2945" s="3"/>
    </row>
    <row r="2946" spans="1:11" x14ac:dyDescent="0.25">
      <c r="A2946" s="20">
        <v>42124</v>
      </c>
      <c r="B2946" s="183">
        <v>19483</v>
      </c>
      <c r="C2946" s="14" t="s">
        <v>137</v>
      </c>
      <c r="D2946" s="103">
        <v>2521.8000000000002</v>
      </c>
      <c r="E2946" s="23">
        <v>42124</v>
      </c>
      <c r="F2946" s="106">
        <v>2521.8000000000002</v>
      </c>
      <c r="G2946" s="31">
        <f t="shared" si="45"/>
        <v>0</v>
      </c>
      <c r="H2946" s="132" t="s">
        <v>9</v>
      </c>
      <c r="I2946" s="3"/>
      <c r="J2946" s="42"/>
      <c r="K2946" s="3"/>
    </row>
    <row r="2947" spans="1:11" x14ac:dyDescent="0.25">
      <c r="A2947" s="20">
        <v>42124</v>
      </c>
      <c r="B2947" s="183">
        <v>19484</v>
      </c>
      <c r="C2947" s="14" t="s">
        <v>696</v>
      </c>
      <c r="D2947" s="103">
        <v>1452</v>
      </c>
      <c r="E2947" s="23">
        <v>42124</v>
      </c>
      <c r="F2947" s="106">
        <v>1452</v>
      </c>
      <c r="G2947" s="31">
        <f t="shared" ref="G2947:G3010" si="46">D2947-F2947</f>
        <v>0</v>
      </c>
      <c r="H2947" s="132" t="s">
        <v>9</v>
      </c>
      <c r="I2947" s="3"/>
      <c r="J2947" s="42"/>
      <c r="K2947" s="3"/>
    </row>
    <row r="2948" spans="1:11" x14ac:dyDescent="0.25">
      <c r="A2948" s="20">
        <v>42124</v>
      </c>
      <c r="B2948" s="183">
        <v>19485</v>
      </c>
      <c r="C2948" s="14" t="s">
        <v>125</v>
      </c>
      <c r="D2948" s="103">
        <v>8238.85</v>
      </c>
      <c r="E2948" s="23">
        <v>42124</v>
      </c>
      <c r="F2948" s="106">
        <v>8238.85</v>
      </c>
      <c r="G2948" s="31">
        <f t="shared" si="46"/>
        <v>0</v>
      </c>
      <c r="H2948" s="132" t="s">
        <v>149</v>
      </c>
      <c r="I2948" s="3"/>
      <c r="J2948" s="42"/>
      <c r="K2948" s="3"/>
    </row>
    <row r="2949" spans="1:11" x14ac:dyDescent="0.25">
      <c r="A2949" s="20">
        <v>42124</v>
      </c>
      <c r="B2949" s="183">
        <v>19486</v>
      </c>
      <c r="C2949" s="14" t="s">
        <v>114</v>
      </c>
      <c r="D2949" s="103">
        <v>21710.16</v>
      </c>
      <c r="E2949" s="23">
        <v>42124</v>
      </c>
      <c r="F2949" s="106">
        <v>21710.16</v>
      </c>
      <c r="G2949" s="31">
        <f t="shared" si="46"/>
        <v>0</v>
      </c>
      <c r="H2949" s="132" t="s">
        <v>9</v>
      </c>
      <c r="I2949" s="3"/>
      <c r="J2949" s="42"/>
      <c r="K2949" s="3"/>
    </row>
    <row r="2950" spans="1:11" x14ac:dyDescent="0.25">
      <c r="A2950" s="20">
        <v>42124</v>
      </c>
      <c r="B2950" s="183">
        <v>19487</v>
      </c>
      <c r="C2950" s="14" t="s">
        <v>1195</v>
      </c>
      <c r="D2950" s="103">
        <v>463.8</v>
      </c>
      <c r="E2950" s="23">
        <v>42124</v>
      </c>
      <c r="F2950" s="106">
        <v>463.8</v>
      </c>
      <c r="G2950" s="31">
        <f t="shared" si="46"/>
        <v>0</v>
      </c>
      <c r="H2950" s="132" t="s">
        <v>9</v>
      </c>
      <c r="I2950" s="3"/>
      <c r="J2950" s="42"/>
      <c r="K2950" s="3"/>
    </row>
    <row r="2951" spans="1:11" x14ac:dyDescent="0.25">
      <c r="A2951" s="20">
        <v>42124</v>
      </c>
      <c r="B2951" s="183">
        <v>19488</v>
      </c>
      <c r="C2951" s="14" t="s">
        <v>854</v>
      </c>
      <c r="D2951" s="103">
        <v>3780</v>
      </c>
      <c r="E2951" s="23">
        <v>42124</v>
      </c>
      <c r="F2951" s="106">
        <v>3780</v>
      </c>
      <c r="G2951" s="31">
        <f t="shared" si="46"/>
        <v>0</v>
      </c>
      <c r="H2951" s="132" t="s">
        <v>9</v>
      </c>
      <c r="I2951" s="3"/>
      <c r="J2951" s="42"/>
      <c r="K2951" s="3"/>
    </row>
    <row r="2952" spans="1:11" x14ac:dyDescent="0.25">
      <c r="A2952" s="20">
        <v>42124</v>
      </c>
      <c r="B2952" s="183">
        <v>19489</v>
      </c>
      <c r="C2952" s="14" t="s">
        <v>56</v>
      </c>
      <c r="D2952" s="103">
        <v>5987.25</v>
      </c>
      <c r="E2952" s="23">
        <v>42124</v>
      </c>
      <c r="F2952" s="106">
        <v>5987.25</v>
      </c>
      <c r="G2952" s="31">
        <f t="shared" si="46"/>
        <v>0</v>
      </c>
      <c r="H2952" s="132" t="s">
        <v>94</v>
      </c>
      <c r="I2952" s="3"/>
      <c r="J2952" s="42"/>
      <c r="K2952" s="3"/>
    </row>
    <row r="2953" spans="1:11" x14ac:dyDescent="0.25">
      <c r="A2953" s="20">
        <v>42124</v>
      </c>
      <c r="B2953" s="183">
        <v>19490</v>
      </c>
      <c r="C2953" s="14" t="s">
        <v>135</v>
      </c>
      <c r="D2953" s="103">
        <v>4666</v>
      </c>
      <c r="E2953" s="23">
        <v>42124</v>
      </c>
      <c r="F2953" s="106">
        <v>4666</v>
      </c>
      <c r="G2953" s="31">
        <f t="shared" si="46"/>
        <v>0</v>
      </c>
      <c r="H2953" s="132" t="s">
        <v>9</v>
      </c>
      <c r="I2953" s="3"/>
      <c r="J2953" s="42"/>
      <c r="K2953" s="3"/>
    </row>
    <row r="2954" spans="1:11" x14ac:dyDescent="0.25">
      <c r="A2954" s="20">
        <v>42124</v>
      </c>
      <c r="B2954" s="183">
        <v>19491</v>
      </c>
      <c r="C2954" s="14" t="s">
        <v>112</v>
      </c>
      <c r="D2954" s="103">
        <v>1334.4</v>
      </c>
      <c r="E2954" s="23">
        <v>42124</v>
      </c>
      <c r="F2954" s="106">
        <v>1334.4</v>
      </c>
      <c r="G2954" s="31">
        <f t="shared" si="46"/>
        <v>0</v>
      </c>
      <c r="H2954" s="132" t="s">
        <v>9</v>
      </c>
      <c r="I2954" s="3"/>
      <c r="J2954" s="42"/>
      <c r="K2954" s="3"/>
    </row>
    <row r="2955" spans="1:11" x14ac:dyDescent="0.25">
      <c r="A2955" s="20">
        <v>42124</v>
      </c>
      <c r="B2955" s="183">
        <v>19492</v>
      </c>
      <c r="C2955" s="14" t="s">
        <v>399</v>
      </c>
      <c r="D2955" s="103">
        <v>1370.2</v>
      </c>
      <c r="E2955" s="23">
        <v>42124</v>
      </c>
      <c r="F2955" s="106">
        <v>1370.2</v>
      </c>
      <c r="G2955" s="31">
        <f t="shared" si="46"/>
        <v>0</v>
      </c>
      <c r="H2955" s="132" t="s">
        <v>9</v>
      </c>
      <c r="I2955" s="3"/>
      <c r="J2955" s="42"/>
      <c r="K2955" s="3"/>
    </row>
    <row r="2956" spans="1:11" x14ac:dyDescent="0.25">
      <c r="A2956" s="20">
        <v>42124</v>
      </c>
      <c r="B2956" s="183">
        <v>19493</v>
      </c>
      <c r="C2956" s="14" t="s">
        <v>43</v>
      </c>
      <c r="D2956" s="103">
        <v>8855.1</v>
      </c>
      <c r="E2956" s="23">
        <v>42124</v>
      </c>
      <c r="F2956" s="106">
        <v>8855.1</v>
      </c>
      <c r="G2956" s="31">
        <f t="shared" si="46"/>
        <v>0</v>
      </c>
      <c r="H2956" s="132" t="s">
        <v>9</v>
      </c>
      <c r="I2956" s="3"/>
      <c r="J2956" s="42"/>
      <c r="K2956" s="3"/>
    </row>
    <row r="2957" spans="1:11" x14ac:dyDescent="0.25">
      <c r="A2957" s="20">
        <v>42124</v>
      </c>
      <c r="B2957" s="183">
        <v>19494</v>
      </c>
      <c r="C2957" s="14" t="s">
        <v>23</v>
      </c>
      <c r="D2957" s="103">
        <v>4242.3</v>
      </c>
      <c r="E2957" s="23">
        <v>42124</v>
      </c>
      <c r="F2957" s="106">
        <v>4242.3</v>
      </c>
      <c r="G2957" s="31">
        <f t="shared" si="46"/>
        <v>0</v>
      </c>
      <c r="H2957" s="132" t="s">
        <v>9</v>
      </c>
      <c r="I2957" s="3"/>
      <c r="J2957" s="42"/>
      <c r="K2957" s="3"/>
    </row>
    <row r="2958" spans="1:11" x14ac:dyDescent="0.25">
      <c r="A2958" s="20">
        <v>42124</v>
      </c>
      <c r="B2958" s="183">
        <v>19495</v>
      </c>
      <c r="C2958" s="14" t="s">
        <v>91</v>
      </c>
      <c r="D2958" s="103">
        <v>24518.7</v>
      </c>
      <c r="E2958" s="23">
        <v>42124</v>
      </c>
      <c r="F2958" s="106">
        <v>24518.7</v>
      </c>
      <c r="G2958" s="31">
        <f t="shared" si="46"/>
        <v>0</v>
      </c>
      <c r="H2958" s="132" t="s">
        <v>59</v>
      </c>
      <c r="I2958" s="3"/>
      <c r="J2958" s="42"/>
      <c r="K2958" s="3"/>
    </row>
    <row r="2959" spans="1:11" x14ac:dyDescent="0.25">
      <c r="A2959" s="20">
        <v>42124</v>
      </c>
      <c r="B2959" s="183">
        <v>19496</v>
      </c>
      <c r="C2959" s="14" t="s">
        <v>50</v>
      </c>
      <c r="D2959" s="103">
        <v>2145.6</v>
      </c>
      <c r="E2959" s="23">
        <v>42124</v>
      </c>
      <c r="F2959" s="106">
        <v>2145.6</v>
      </c>
      <c r="G2959" s="31">
        <f t="shared" si="46"/>
        <v>0</v>
      </c>
      <c r="H2959" s="132" t="s">
        <v>41</v>
      </c>
      <c r="I2959" s="3"/>
      <c r="J2959" s="42"/>
      <c r="K2959" s="3"/>
    </row>
    <row r="2960" spans="1:11" x14ac:dyDescent="0.25">
      <c r="A2960" s="20">
        <v>42124</v>
      </c>
      <c r="B2960" s="183">
        <v>19497</v>
      </c>
      <c r="C2960" s="14" t="s">
        <v>213</v>
      </c>
      <c r="D2960" s="103">
        <v>8995.7999999999993</v>
      </c>
      <c r="E2960" s="23">
        <v>42124</v>
      </c>
      <c r="F2960" s="106">
        <v>8995.7999999999993</v>
      </c>
      <c r="G2960" s="31">
        <f t="shared" si="46"/>
        <v>0</v>
      </c>
      <c r="H2960" s="132" t="s">
        <v>17</v>
      </c>
      <c r="I2960" s="3"/>
      <c r="J2960" s="42"/>
      <c r="K2960" s="3"/>
    </row>
    <row r="2961" spans="1:11" x14ac:dyDescent="0.25">
      <c r="A2961" s="20">
        <v>42124</v>
      </c>
      <c r="B2961" s="183">
        <v>19498</v>
      </c>
      <c r="C2961" s="14" t="s">
        <v>118</v>
      </c>
      <c r="D2961" s="103">
        <v>13672</v>
      </c>
      <c r="E2961" s="30">
        <v>42136</v>
      </c>
      <c r="F2961" s="144">
        <v>13672</v>
      </c>
      <c r="G2961" s="31">
        <f t="shared" si="46"/>
        <v>0</v>
      </c>
      <c r="H2961" s="132" t="s">
        <v>59</v>
      </c>
      <c r="I2961" s="3"/>
      <c r="J2961" s="42"/>
      <c r="K2961" s="3"/>
    </row>
    <row r="2962" spans="1:11" x14ac:dyDescent="0.25">
      <c r="A2962" s="20">
        <v>42124</v>
      </c>
      <c r="B2962" s="183">
        <v>19499</v>
      </c>
      <c r="C2962" s="14" t="s">
        <v>399</v>
      </c>
      <c r="D2962" s="103">
        <v>54</v>
      </c>
      <c r="E2962" s="23">
        <v>42124</v>
      </c>
      <c r="F2962" s="106">
        <v>54</v>
      </c>
      <c r="G2962" s="31">
        <f t="shared" si="46"/>
        <v>0</v>
      </c>
      <c r="H2962" s="132" t="s">
        <v>41</v>
      </c>
      <c r="I2962" s="3"/>
      <c r="J2962" s="42"/>
      <c r="K2962" s="3"/>
    </row>
    <row r="2963" spans="1:11" x14ac:dyDescent="0.25">
      <c r="A2963" s="20">
        <v>42124</v>
      </c>
      <c r="B2963" s="183">
        <v>19500</v>
      </c>
      <c r="C2963" s="14" t="s">
        <v>50</v>
      </c>
      <c r="D2963" s="103">
        <v>304.2</v>
      </c>
      <c r="E2963" s="23">
        <v>42124</v>
      </c>
      <c r="F2963" s="106">
        <v>304.2</v>
      </c>
      <c r="G2963" s="31">
        <f t="shared" si="46"/>
        <v>0</v>
      </c>
      <c r="H2963" s="132" t="s">
        <v>41</v>
      </c>
      <c r="I2963" s="3"/>
      <c r="J2963" s="42"/>
      <c r="K2963" s="3"/>
    </row>
    <row r="2964" spans="1:11" x14ac:dyDescent="0.25">
      <c r="A2964" s="20">
        <v>42124</v>
      </c>
      <c r="B2964" s="183">
        <v>19501</v>
      </c>
      <c r="C2964" s="14" t="s">
        <v>82</v>
      </c>
      <c r="D2964" s="103">
        <v>6664.7</v>
      </c>
      <c r="E2964" s="23">
        <v>42124</v>
      </c>
      <c r="F2964" s="106">
        <v>6664.7</v>
      </c>
      <c r="G2964" s="31">
        <f t="shared" si="46"/>
        <v>0</v>
      </c>
      <c r="H2964" s="132" t="s">
        <v>59</v>
      </c>
      <c r="I2964" s="3"/>
      <c r="J2964" s="42"/>
      <c r="K2964" s="3"/>
    </row>
    <row r="2965" spans="1:11" x14ac:dyDescent="0.25">
      <c r="A2965" s="20">
        <v>42124</v>
      </c>
      <c r="B2965" s="183">
        <v>19502</v>
      </c>
      <c r="C2965" s="14" t="s">
        <v>239</v>
      </c>
      <c r="D2965" s="103">
        <v>5861.4</v>
      </c>
      <c r="E2965" s="23">
        <v>42124</v>
      </c>
      <c r="F2965" s="106">
        <v>5861.4</v>
      </c>
      <c r="G2965" s="31">
        <f t="shared" si="46"/>
        <v>0</v>
      </c>
      <c r="H2965" s="132" t="s">
        <v>9</v>
      </c>
      <c r="I2965" s="3"/>
      <c r="J2965" s="42"/>
      <c r="K2965" s="3"/>
    </row>
    <row r="2966" spans="1:11" x14ac:dyDescent="0.25">
      <c r="A2966" s="20">
        <v>42124</v>
      </c>
      <c r="B2966" s="183">
        <v>19503</v>
      </c>
      <c r="C2966" s="14" t="s">
        <v>81</v>
      </c>
      <c r="D2966" s="103">
        <v>2099.4</v>
      </c>
      <c r="E2966" s="23">
        <v>42124</v>
      </c>
      <c r="F2966" s="106">
        <v>2099.4</v>
      </c>
      <c r="G2966" s="31">
        <f t="shared" si="46"/>
        <v>0</v>
      </c>
      <c r="H2966" s="132" t="s">
        <v>59</v>
      </c>
      <c r="I2966" s="3"/>
      <c r="J2966" s="42"/>
      <c r="K2966" s="3"/>
    </row>
    <row r="2967" spans="1:11" x14ac:dyDescent="0.25">
      <c r="A2967" s="20">
        <v>42124</v>
      </c>
      <c r="B2967" s="183">
        <v>19504</v>
      </c>
      <c r="C2967" s="14" t="s">
        <v>83</v>
      </c>
      <c r="D2967" s="103">
        <v>5412.8</v>
      </c>
      <c r="E2967" s="23">
        <v>42124</v>
      </c>
      <c r="F2967" s="106">
        <v>5412.8</v>
      </c>
      <c r="G2967" s="31">
        <f t="shared" si="46"/>
        <v>0</v>
      </c>
      <c r="H2967" s="132" t="s">
        <v>59</v>
      </c>
      <c r="I2967" s="3"/>
      <c r="J2967" s="42"/>
      <c r="K2967" s="3"/>
    </row>
    <row r="2968" spans="1:11" x14ac:dyDescent="0.25">
      <c r="A2968" s="20">
        <v>42124</v>
      </c>
      <c r="B2968" s="183">
        <v>19505</v>
      </c>
      <c r="C2968" s="110" t="s">
        <v>57</v>
      </c>
      <c r="D2968" s="103">
        <v>1260</v>
      </c>
      <c r="E2968" s="23">
        <v>42124</v>
      </c>
      <c r="F2968" s="106">
        <v>1260</v>
      </c>
      <c r="G2968" s="31">
        <f t="shared" si="46"/>
        <v>0</v>
      </c>
      <c r="H2968" s="132" t="s">
        <v>59</v>
      </c>
      <c r="I2968" s="3"/>
      <c r="J2968" s="42"/>
      <c r="K2968" s="3"/>
    </row>
    <row r="2969" spans="1:11" x14ac:dyDescent="0.25">
      <c r="A2969" s="20">
        <v>42124</v>
      </c>
      <c r="B2969" s="183">
        <v>19506</v>
      </c>
      <c r="C2969" s="14" t="s">
        <v>168</v>
      </c>
      <c r="D2969" s="103">
        <v>5384.4</v>
      </c>
      <c r="E2969" s="23">
        <v>42124</v>
      </c>
      <c r="F2969" s="106">
        <v>5384.4</v>
      </c>
      <c r="G2969" s="31">
        <f t="shared" si="46"/>
        <v>0</v>
      </c>
      <c r="H2969" s="132" t="s">
        <v>27</v>
      </c>
      <c r="I2969" s="3"/>
      <c r="J2969" s="42"/>
      <c r="K2969" s="3"/>
    </row>
    <row r="2970" spans="1:11" x14ac:dyDescent="0.25">
      <c r="A2970" s="20">
        <v>42124</v>
      </c>
      <c r="B2970" s="183">
        <v>19507</v>
      </c>
      <c r="C2970" s="14" t="s">
        <v>228</v>
      </c>
      <c r="D2970" s="103">
        <v>4787.1000000000004</v>
      </c>
      <c r="E2970" s="23">
        <v>42124</v>
      </c>
      <c r="F2970" s="106">
        <v>4787.1000000000004</v>
      </c>
      <c r="G2970" s="31">
        <f t="shared" si="46"/>
        <v>0</v>
      </c>
      <c r="H2970" s="132" t="s">
        <v>9</v>
      </c>
      <c r="I2970" s="3"/>
      <c r="J2970" s="42"/>
      <c r="K2970" s="3"/>
    </row>
    <row r="2971" spans="1:11" x14ac:dyDescent="0.25">
      <c r="A2971" s="20">
        <v>42124</v>
      </c>
      <c r="B2971" s="183">
        <v>19508</v>
      </c>
      <c r="C2971" s="14" t="s">
        <v>694</v>
      </c>
      <c r="D2971" s="103">
        <v>986.3</v>
      </c>
      <c r="E2971" s="23">
        <v>42124</v>
      </c>
      <c r="F2971" s="106">
        <v>986.3</v>
      </c>
      <c r="G2971" s="31">
        <f t="shared" si="46"/>
        <v>0</v>
      </c>
      <c r="H2971" s="132" t="s">
        <v>9</v>
      </c>
      <c r="I2971" s="3"/>
      <c r="J2971" s="42"/>
      <c r="K2971" s="3"/>
    </row>
    <row r="2972" spans="1:11" x14ac:dyDescent="0.25">
      <c r="A2972" s="20">
        <v>42124</v>
      </c>
      <c r="B2972" s="183">
        <v>19509</v>
      </c>
      <c r="C2972" s="14" t="s">
        <v>1187</v>
      </c>
      <c r="D2972" s="103">
        <v>2070.6</v>
      </c>
      <c r="E2972" s="23">
        <v>42124</v>
      </c>
      <c r="F2972" s="106">
        <v>2070.6</v>
      </c>
      <c r="G2972" s="31">
        <f t="shared" si="46"/>
        <v>0</v>
      </c>
      <c r="H2972" s="132" t="s">
        <v>27</v>
      </c>
      <c r="I2972" s="3"/>
      <c r="J2972" s="42"/>
      <c r="K2972" s="3"/>
    </row>
    <row r="2973" spans="1:11" x14ac:dyDescent="0.25">
      <c r="A2973" s="20">
        <v>42124</v>
      </c>
      <c r="B2973" s="183">
        <v>19510</v>
      </c>
      <c r="C2973" s="14" t="s">
        <v>103</v>
      </c>
      <c r="D2973" s="103">
        <v>3553.2</v>
      </c>
      <c r="E2973" s="30">
        <v>42129</v>
      </c>
      <c r="F2973" s="144">
        <v>3553.2</v>
      </c>
      <c r="G2973" s="31">
        <f t="shared" si="46"/>
        <v>0</v>
      </c>
      <c r="H2973" s="132" t="s">
        <v>9</v>
      </c>
      <c r="I2973" s="3"/>
      <c r="J2973" s="42"/>
      <c r="K2973" s="3"/>
    </row>
    <row r="2974" spans="1:11" x14ac:dyDescent="0.25">
      <c r="A2974" s="20">
        <v>42124</v>
      </c>
      <c r="B2974" s="183">
        <v>19511</v>
      </c>
      <c r="C2974" s="14" t="s">
        <v>915</v>
      </c>
      <c r="D2974" s="103">
        <v>640.5</v>
      </c>
      <c r="E2974" s="23">
        <v>42124</v>
      </c>
      <c r="F2974" s="106">
        <v>640.5</v>
      </c>
      <c r="G2974" s="31">
        <f t="shared" si="46"/>
        <v>0</v>
      </c>
      <c r="H2974" s="132" t="s">
        <v>59</v>
      </c>
      <c r="I2974" s="3"/>
      <c r="J2974" s="42"/>
      <c r="K2974" s="3"/>
    </row>
    <row r="2975" spans="1:11" x14ac:dyDescent="0.25">
      <c r="A2975" s="20">
        <v>42124</v>
      </c>
      <c r="B2975" s="183">
        <v>19512</v>
      </c>
      <c r="C2975" s="14" t="s">
        <v>167</v>
      </c>
      <c r="D2975" s="103">
        <v>511.2</v>
      </c>
      <c r="E2975" s="23">
        <v>42124</v>
      </c>
      <c r="F2975" s="106">
        <v>511.2</v>
      </c>
      <c r="G2975" s="31">
        <f t="shared" si="46"/>
        <v>0</v>
      </c>
      <c r="H2975" s="132" t="s">
        <v>59</v>
      </c>
      <c r="I2975" s="3"/>
      <c r="J2975" s="42"/>
      <c r="K2975" s="3"/>
    </row>
    <row r="2976" spans="1:11" x14ac:dyDescent="0.25">
      <c r="A2976" s="20">
        <v>42124</v>
      </c>
      <c r="B2976" s="183">
        <v>19513</v>
      </c>
      <c r="C2976" s="14" t="s">
        <v>422</v>
      </c>
      <c r="D2976" s="103">
        <v>356</v>
      </c>
      <c r="E2976" s="23">
        <v>42124</v>
      </c>
      <c r="F2976" s="106">
        <v>356</v>
      </c>
      <c r="G2976" s="31">
        <f t="shared" si="46"/>
        <v>0</v>
      </c>
      <c r="H2976" s="132" t="s">
        <v>9</v>
      </c>
      <c r="I2976" s="3"/>
      <c r="J2976" s="42"/>
      <c r="K2976" s="3"/>
    </row>
    <row r="2977" spans="1:11" x14ac:dyDescent="0.25">
      <c r="A2977" s="20">
        <v>42124</v>
      </c>
      <c r="B2977" s="183">
        <v>19514</v>
      </c>
      <c r="C2977" s="14" t="s">
        <v>1196</v>
      </c>
      <c r="D2977" s="103">
        <v>407.5</v>
      </c>
      <c r="E2977" s="23">
        <v>42124</v>
      </c>
      <c r="F2977" s="106">
        <v>407.5</v>
      </c>
      <c r="G2977" s="31">
        <f t="shared" si="46"/>
        <v>0</v>
      </c>
      <c r="H2977" s="132" t="s">
        <v>9</v>
      </c>
      <c r="I2977" s="3"/>
      <c r="J2977" s="42"/>
      <c r="K2977" s="3"/>
    </row>
    <row r="2978" spans="1:11" x14ac:dyDescent="0.25">
      <c r="A2978" s="20">
        <v>42124</v>
      </c>
      <c r="B2978" s="183">
        <v>19515</v>
      </c>
      <c r="C2978" s="14" t="s">
        <v>1058</v>
      </c>
      <c r="D2978" s="103">
        <v>2626.4</v>
      </c>
      <c r="E2978" s="23">
        <v>42124</v>
      </c>
      <c r="F2978" s="106">
        <v>2626.4</v>
      </c>
      <c r="G2978" s="31">
        <f t="shared" si="46"/>
        <v>0</v>
      </c>
      <c r="H2978" s="132" t="s">
        <v>9</v>
      </c>
      <c r="I2978" s="3"/>
      <c r="J2978" s="42"/>
      <c r="K2978" s="3"/>
    </row>
    <row r="2979" spans="1:11" x14ac:dyDescent="0.25">
      <c r="A2979" s="20">
        <v>42124</v>
      </c>
      <c r="B2979" s="183">
        <v>19516</v>
      </c>
      <c r="C2979" s="14" t="s">
        <v>26</v>
      </c>
      <c r="D2979" s="103">
        <v>2720</v>
      </c>
      <c r="E2979" s="23">
        <v>42124</v>
      </c>
      <c r="F2979" s="106">
        <v>2720</v>
      </c>
      <c r="G2979" s="31">
        <f t="shared" si="46"/>
        <v>0</v>
      </c>
      <c r="H2979" s="132" t="s">
        <v>27</v>
      </c>
      <c r="I2979" s="3"/>
      <c r="J2979" s="42"/>
      <c r="K2979" s="3"/>
    </row>
    <row r="2980" spans="1:11" x14ac:dyDescent="0.25">
      <c r="A2980" s="20">
        <v>42124</v>
      </c>
      <c r="B2980" s="183">
        <v>19517</v>
      </c>
      <c r="C2980" s="14" t="s">
        <v>285</v>
      </c>
      <c r="D2980" s="103">
        <v>281.60000000000002</v>
      </c>
      <c r="E2980" s="30">
        <v>42125</v>
      </c>
      <c r="F2980" s="144">
        <v>281.60000000000002</v>
      </c>
      <c r="G2980" s="31">
        <f t="shared" si="46"/>
        <v>0</v>
      </c>
      <c r="H2980" s="132" t="s">
        <v>15</v>
      </c>
      <c r="I2980" s="3"/>
      <c r="J2980" s="42"/>
      <c r="K2980" s="3"/>
    </row>
    <row r="2981" spans="1:11" x14ac:dyDescent="0.25">
      <c r="A2981" s="20">
        <v>42124</v>
      </c>
      <c r="B2981" s="183">
        <v>19518</v>
      </c>
      <c r="C2981" s="110">
        <v>105</v>
      </c>
      <c r="D2981" s="103">
        <v>2520</v>
      </c>
      <c r="E2981" s="30">
        <v>42125</v>
      </c>
      <c r="F2981" s="144">
        <v>2520</v>
      </c>
      <c r="G2981" s="31">
        <f t="shared" si="46"/>
        <v>0</v>
      </c>
      <c r="H2981" s="132" t="s">
        <v>59</v>
      </c>
      <c r="I2981" s="3"/>
      <c r="J2981" s="42"/>
      <c r="K2981" s="3"/>
    </row>
    <row r="2982" spans="1:11" x14ac:dyDescent="0.25">
      <c r="A2982" s="20">
        <v>42124</v>
      </c>
      <c r="B2982" s="183">
        <v>19519</v>
      </c>
      <c r="C2982" s="14" t="s">
        <v>151</v>
      </c>
      <c r="D2982" s="103">
        <v>1313.55</v>
      </c>
      <c r="E2982" s="30">
        <v>42125</v>
      </c>
      <c r="F2982" s="144">
        <v>1313.55</v>
      </c>
      <c r="G2982" s="31">
        <f t="shared" si="46"/>
        <v>0</v>
      </c>
      <c r="H2982" s="132" t="s">
        <v>9</v>
      </c>
      <c r="I2982" s="3"/>
      <c r="J2982" s="42"/>
      <c r="K2982" s="3"/>
    </row>
    <row r="2983" spans="1:11" x14ac:dyDescent="0.25">
      <c r="A2983" s="20">
        <v>42124</v>
      </c>
      <c r="B2983" s="183">
        <v>19520</v>
      </c>
      <c r="C2983" s="14" t="s">
        <v>25</v>
      </c>
      <c r="D2983" s="103">
        <v>460.8</v>
      </c>
      <c r="E2983" s="23">
        <v>42124</v>
      </c>
      <c r="F2983" s="106">
        <v>460.8</v>
      </c>
      <c r="G2983" s="31">
        <f t="shared" si="46"/>
        <v>0</v>
      </c>
      <c r="H2983" s="132" t="s">
        <v>9</v>
      </c>
      <c r="I2983" s="3"/>
      <c r="J2983" s="42"/>
      <c r="K2983" s="3"/>
    </row>
    <row r="2984" spans="1:11" x14ac:dyDescent="0.25">
      <c r="A2984" s="20">
        <v>42124</v>
      </c>
      <c r="B2984" s="183">
        <v>19521</v>
      </c>
      <c r="C2984" s="14" t="s">
        <v>131</v>
      </c>
      <c r="D2984" s="103">
        <v>8532.4</v>
      </c>
      <c r="E2984" s="30">
        <v>42129</v>
      </c>
      <c r="F2984" s="144">
        <v>8532.4</v>
      </c>
      <c r="G2984" s="31">
        <f t="shared" si="46"/>
        <v>0</v>
      </c>
      <c r="H2984" s="132" t="s">
        <v>9</v>
      </c>
      <c r="I2984" s="3"/>
      <c r="J2984" s="42"/>
      <c r="K2984" s="3"/>
    </row>
    <row r="2985" spans="1:11" x14ac:dyDescent="0.25">
      <c r="A2985" s="20">
        <v>42124</v>
      </c>
      <c r="B2985" s="183">
        <v>19522</v>
      </c>
      <c r="C2985" s="14" t="s">
        <v>34</v>
      </c>
      <c r="D2985" s="103">
        <v>2772</v>
      </c>
      <c r="E2985" s="23">
        <v>42124</v>
      </c>
      <c r="F2985" s="106">
        <v>2772</v>
      </c>
      <c r="G2985" s="31">
        <f t="shared" si="46"/>
        <v>0</v>
      </c>
      <c r="H2985" s="132" t="s">
        <v>9</v>
      </c>
      <c r="I2985" s="3"/>
      <c r="J2985" s="42"/>
      <c r="K2985" s="3"/>
    </row>
    <row r="2986" spans="1:11" x14ac:dyDescent="0.25">
      <c r="A2986" s="20">
        <v>42124</v>
      </c>
      <c r="B2986" s="183">
        <v>19523</v>
      </c>
      <c r="C2986" s="14" t="s">
        <v>1197</v>
      </c>
      <c r="D2986" s="103">
        <v>1839.15</v>
      </c>
      <c r="E2986" s="23">
        <v>42124</v>
      </c>
      <c r="F2986" s="106">
        <v>1839.15</v>
      </c>
      <c r="G2986" s="31">
        <f t="shared" si="46"/>
        <v>0</v>
      </c>
      <c r="H2986" s="132" t="s">
        <v>9</v>
      </c>
      <c r="I2986" s="3"/>
      <c r="J2986" s="42"/>
      <c r="K2986" s="3"/>
    </row>
    <row r="2987" spans="1:11" x14ac:dyDescent="0.25">
      <c r="A2987" s="20">
        <v>42124</v>
      </c>
      <c r="B2987" s="183">
        <v>19524</v>
      </c>
      <c r="C2987" s="14" t="s">
        <v>332</v>
      </c>
      <c r="D2987" s="103">
        <v>2181.1999999999998</v>
      </c>
      <c r="E2987" s="23">
        <v>42124</v>
      </c>
      <c r="F2987" s="106">
        <v>2181.1999999999998</v>
      </c>
      <c r="G2987" s="31">
        <f t="shared" si="46"/>
        <v>0</v>
      </c>
      <c r="H2987" s="132" t="s">
        <v>9</v>
      </c>
      <c r="I2987" s="3"/>
      <c r="J2987" s="42"/>
      <c r="K2987" s="3"/>
    </row>
    <row r="2988" spans="1:11" x14ac:dyDescent="0.25">
      <c r="A2988" s="20">
        <v>42124</v>
      </c>
      <c r="B2988" s="183">
        <v>19525</v>
      </c>
      <c r="C2988" s="14" t="s">
        <v>224</v>
      </c>
      <c r="D2988" s="103">
        <v>3505</v>
      </c>
      <c r="E2988" s="30">
        <v>42125</v>
      </c>
      <c r="F2988" s="144">
        <v>3505</v>
      </c>
      <c r="G2988" s="31">
        <f t="shared" si="46"/>
        <v>0</v>
      </c>
      <c r="H2988" s="132" t="s">
        <v>15</v>
      </c>
      <c r="I2988" s="3"/>
      <c r="J2988" s="42"/>
      <c r="K2988" s="3"/>
    </row>
    <row r="2989" spans="1:11" x14ac:dyDescent="0.25">
      <c r="A2989" s="20">
        <v>42124</v>
      </c>
      <c r="B2989" s="183">
        <v>19526</v>
      </c>
      <c r="C2989" s="14" t="s">
        <v>906</v>
      </c>
      <c r="D2989" s="103">
        <v>948.6</v>
      </c>
      <c r="E2989" s="23">
        <v>42124</v>
      </c>
      <c r="F2989" s="106">
        <v>946.6</v>
      </c>
      <c r="G2989" s="31">
        <f t="shared" si="46"/>
        <v>2</v>
      </c>
      <c r="H2989" s="132" t="s">
        <v>9</v>
      </c>
      <c r="I2989" s="3"/>
      <c r="J2989" s="42"/>
      <c r="K2989" s="3"/>
    </row>
    <row r="2990" spans="1:11" x14ac:dyDescent="0.25">
      <c r="A2990" s="20">
        <v>42124</v>
      </c>
      <c r="B2990" s="183">
        <v>19527</v>
      </c>
      <c r="C2990" s="14" t="s">
        <v>128</v>
      </c>
      <c r="D2990" s="103">
        <v>4866.8</v>
      </c>
      <c r="E2990" s="30">
        <v>42125</v>
      </c>
      <c r="F2990" s="144">
        <v>4866.8</v>
      </c>
      <c r="G2990" s="31">
        <f t="shared" si="46"/>
        <v>0</v>
      </c>
      <c r="H2990" s="132" t="s">
        <v>17</v>
      </c>
      <c r="I2990" s="3"/>
      <c r="J2990" s="42"/>
      <c r="K2990" s="3"/>
    </row>
    <row r="2991" spans="1:11" x14ac:dyDescent="0.25">
      <c r="A2991" s="20">
        <v>42124</v>
      </c>
      <c r="B2991" s="183">
        <v>19528</v>
      </c>
      <c r="C2991" s="14" t="s">
        <v>14</v>
      </c>
      <c r="D2991" s="103">
        <v>9101.2000000000007</v>
      </c>
      <c r="E2991" s="30">
        <v>42126</v>
      </c>
      <c r="F2991" s="144">
        <v>9101.2000000000007</v>
      </c>
      <c r="G2991" s="31">
        <f t="shared" si="46"/>
        <v>0</v>
      </c>
      <c r="H2991" s="132" t="s">
        <v>9</v>
      </c>
      <c r="I2991" s="3"/>
      <c r="J2991" s="42"/>
      <c r="K2991" s="3"/>
    </row>
    <row r="2992" spans="1:11" x14ac:dyDescent="0.25">
      <c r="A2992" s="20">
        <v>42124</v>
      </c>
      <c r="B2992" s="183">
        <v>19529</v>
      </c>
      <c r="C2992" s="14" t="s">
        <v>130</v>
      </c>
      <c r="D2992" s="103">
        <v>3005.4</v>
      </c>
      <c r="E2992" s="30">
        <v>42126</v>
      </c>
      <c r="F2992" s="144">
        <v>3005.4</v>
      </c>
      <c r="G2992" s="31">
        <f t="shared" si="46"/>
        <v>0</v>
      </c>
      <c r="H2992" s="132" t="s">
        <v>17</v>
      </c>
      <c r="I2992" s="3"/>
      <c r="J2992" s="42"/>
      <c r="K2992" s="3"/>
    </row>
    <row r="2993" spans="1:11" x14ac:dyDescent="0.25">
      <c r="A2993" s="20">
        <v>42124</v>
      </c>
      <c r="B2993" s="183">
        <v>19530</v>
      </c>
      <c r="C2993" s="14" t="s">
        <v>130</v>
      </c>
      <c r="D2993" s="103">
        <v>11284</v>
      </c>
      <c r="E2993" s="30" t="s">
        <v>1209</v>
      </c>
      <c r="F2993" s="144">
        <f>6500+4784</f>
        <v>11284</v>
      </c>
      <c r="G2993" s="31">
        <f t="shared" si="46"/>
        <v>0</v>
      </c>
      <c r="H2993" s="132" t="s">
        <v>17</v>
      </c>
      <c r="I2993" s="3"/>
      <c r="J2993" s="42"/>
      <c r="K2993" s="3"/>
    </row>
    <row r="2994" spans="1:11" x14ac:dyDescent="0.25">
      <c r="A2994" s="20">
        <v>42124</v>
      </c>
      <c r="B2994" s="183">
        <v>19531</v>
      </c>
      <c r="C2994" s="14" t="s">
        <v>717</v>
      </c>
      <c r="D2994" s="103">
        <v>2495</v>
      </c>
      <c r="E2994" s="23">
        <v>42124</v>
      </c>
      <c r="F2994" s="106">
        <v>2495</v>
      </c>
      <c r="G2994" s="31">
        <f t="shared" si="46"/>
        <v>0</v>
      </c>
      <c r="H2994" s="132" t="s">
        <v>9</v>
      </c>
      <c r="I2994" s="3"/>
      <c r="J2994" s="42"/>
      <c r="K2994" s="3"/>
    </row>
    <row r="2995" spans="1:11" x14ac:dyDescent="0.25">
      <c r="A2995" s="20">
        <v>42124</v>
      </c>
      <c r="B2995" s="183">
        <v>19532</v>
      </c>
      <c r="C2995" s="14" t="s">
        <v>165</v>
      </c>
      <c r="D2995" s="103">
        <v>2084.5</v>
      </c>
      <c r="E2995" s="30">
        <v>42125</v>
      </c>
      <c r="F2995" s="144">
        <v>2084.5</v>
      </c>
      <c r="G2995" s="31">
        <f t="shared" si="46"/>
        <v>0</v>
      </c>
      <c r="H2995" s="132" t="s">
        <v>17</v>
      </c>
      <c r="I2995" s="3"/>
      <c r="J2995" s="42"/>
      <c r="K2995" s="3"/>
    </row>
    <row r="2996" spans="1:11" x14ac:dyDescent="0.25">
      <c r="A2996" s="20">
        <v>42124</v>
      </c>
      <c r="B2996" s="183">
        <v>19533</v>
      </c>
      <c r="C2996" s="14" t="s">
        <v>141</v>
      </c>
      <c r="D2996" s="103">
        <v>3325.5</v>
      </c>
      <c r="E2996" s="23">
        <v>42124</v>
      </c>
      <c r="F2996" s="106">
        <v>3325.5</v>
      </c>
      <c r="G2996" s="31">
        <f t="shared" si="46"/>
        <v>0</v>
      </c>
      <c r="H2996" s="132" t="s">
        <v>19</v>
      </c>
      <c r="I2996" s="3"/>
      <c r="J2996" s="42"/>
      <c r="K2996" s="3"/>
    </row>
    <row r="2997" spans="1:11" x14ac:dyDescent="0.25">
      <c r="A2997" s="20">
        <v>42124</v>
      </c>
      <c r="B2997" s="183">
        <v>19534</v>
      </c>
      <c r="C2997" s="14" t="s">
        <v>353</v>
      </c>
      <c r="D2997" s="103">
        <v>780</v>
      </c>
      <c r="E2997" s="23">
        <v>42124</v>
      </c>
      <c r="F2997" s="106">
        <v>780</v>
      </c>
      <c r="G2997" s="31">
        <f t="shared" si="46"/>
        <v>0</v>
      </c>
      <c r="H2997" s="132" t="s">
        <v>9</v>
      </c>
      <c r="I2997" s="3"/>
      <c r="J2997" s="42"/>
      <c r="K2997" s="3"/>
    </row>
    <row r="2998" spans="1:11" x14ac:dyDescent="0.25">
      <c r="A2998" s="20">
        <v>42124</v>
      </c>
      <c r="B2998" s="183">
        <v>19535</v>
      </c>
      <c r="C2998" s="14" t="s">
        <v>241</v>
      </c>
      <c r="D2998" s="103">
        <v>321.2</v>
      </c>
      <c r="E2998" s="23">
        <v>42124</v>
      </c>
      <c r="F2998" s="106">
        <v>321.2</v>
      </c>
      <c r="G2998" s="31">
        <f t="shared" si="46"/>
        <v>0</v>
      </c>
      <c r="H2998" s="132" t="s">
        <v>9</v>
      </c>
      <c r="I2998" s="3"/>
      <c r="J2998" s="42"/>
      <c r="K2998" s="3"/>
    </row>
    <row r="2999" spans="1:11" x14ac:dyDescent="0.25">
      <c r="A2999" s="20">
        <v>42124</v>
      </c>
      <c r="B2999" s="183">
        <v>19536</v>
      </c>
      <c r="C2999" s="14" t="s">
        <v>110</v>
      </c>
      <c r="D2999" s="103">
        <v>84750.48</v>
      </c>
      <c r="E2999" s="30">
        <v>42142</v>
      </c>
      <c r="F2999" s="144">
        <v>84750.48</v>
      </c>
      <c r="G2999" s="31">
        <f t="shared" si="46"/>
        <v>0</v>
      </c>
      <c r="H2999" s="132" t="s">
        <v>62</v>
      </c>
      <c r="I2999" s="3"/>
      <c r="J2999" s="42"/>
      <c r="K2999" s="3"/>
    </row>
    <row r="3000" spans="1:11" x14ac:dyDescent="0.25">
      <c r="A3000" s="20">
        <v>42124</v>
      </c>
      <c r="B3000" s="183">
        <v>19537</v>
      </c>
      <c r="C3000" s="14" t="s">
        <v>136</v>
      </c>
      <c r="D3000" s="103">
        <v>17312.8</v>
      </c>
      <c r="E3000" s="23">
        <v>42124</v>
      </c>
      <c r="F3000" s="106">
        <v>17312.8</v>
      </c>
      <c r="G3000" s="31">
        <f t="shared" si="46"/>
        <v>0</v>
      </c>
      <c r="H3000" s="132" t="s">
        <v>9</v>
      </c>
      <c r="I3000" s="3"/>
      <c r="J3000" s="42"/>
      <c r="K3000" s="3"/>
    </row>
    <row r="3001" spans="1:11" x14ac:dyDescent="0.25">
      <c r="A3001" s="20">
        <v>42124</v>
      </c>
      <c r="B3001" s="183">
        <v>19538</v>
      </c>
      <c r="C3001" s="14" t="s">
        <v>229</v>
      </c>
      <c r="D3001" s="103">
        <v>6606.14</v>
      </c>
      <c r="E3001" s="23">
        <v>42124</v>
      </c>
      <c r="F3001" s="106">
        <v>6606.14</v>
      </c>
      <c r="G3001" s="31">
        <f t="shared" si="46"/>
        <v>0</v>
      </c>
      <c r="H3001" s="132" t="s">
        <v>9</v>
      </c>
      <c r="I3001" s="3"/>
      <c r="J3001" s="42"/>
      <c r="K3001" s="3"/>
    </row>
    <row r="3002" spans="1:11" x14ac:dyDescent="0.25">
      <c r="A3002" s="20">
        <v>42124</v>
      </c>
      <c r="B3002" s="183">
        <v>19539</v>
      </c>
      <c r="C3002" s="14" t="s">
        <v>229</v>
      </c>
      <c r="D3002" s="103">
        <v>1601.7</v>
      </c>
      <c r="E3002" s="23">
        <v>42124</v>
      </c>
      <c r="F3002" s="106">
        <v>1601.7</v>
      </c>
      <c r="G3002" s="31">
        <f t="shared" si="46"/>
        <v>0</v>
      </c>
      <c r="H3002" s="132" t="s">
        <v>9</v>
      </c>
      <c r="I3002" s="3"/>
      <c r="J3002" s="42"/>
      <c r="K3002" s="3"/>
    </row>
    <row r="3003" spans="1:11" x14ac:dyDescent="0.25">
      <c r="A3003" s="20">
        <v>42124</v>
      </c>
      <c r="B3003" s="183">
        <v>19540</v>
      </c>
      <c r="C3003" s="14" t="s">
        <v>45</v>
      </c>
      <c r="D3003" s="103">
        <v>69805.22</v>
      </c>
      <c r="E3003" s="23">
        <v>42140</v>
      </c>
      <c r="F3003" s="106">
        <v>69805.22</v>
      </c>
      <c r="G3003" s="31">
        <f t="shared" si="46"/>
        <v>0</v>
      </c>
      <c r="H3003" s="132" t="s">
        <v>1013</v>
      </c>
      <c r="I3003" s="3"/>
      <c r="J3003" s="42"/>
      <c r="K3003" s="3"/>
    </row>
    <row r="3004" spans="1:11" x14ac:dyDescent="0.25">
      <c r="A3004" s="20">
        <v>42124</v>
      </c>
      <c r="B3004" s="183">
        <v>19541</v>
      </c>
      <c r="C3004" s="14" t="s">
        <v>336</v>
      </c>
      <c r="D3004" s="103">
        <v>8283</v>
      </c>
      <c r="E3004" s="23">
        <v>42124</v>
      </c>
      <c r="F3004" s="106">
        <v>8283</v>
      </c>
      <c r="G3004" s="31">
        <f t="shared" si="46"/>
        <v>0</v>
      </c>
      <c r="H3004" s="132" t="s">
        <v>9</v>
      </c>
      <c r="I3004" s="3"/>
      <c r="J3004" s="42"/>
      <c r="K3004" s="3"/>
    </row>
    <row r="3005" spans="1:11" x14ac:dyDescent="0.25">
      <c r="A3005" s="20">
        <v>42124</v>
      </c>
      <c r="B3005" s="183">
        <v>19542</v>
      </c>
      <c r="C3005" s="14" t="s">
        <v>1182</v>
      </c>
      <c r="D3005" s="103">
        <v>13.2</v>
      </c>
      <c r="E3005" s="23">
        <v>42124</v>
      </c>
      <c r="F3005" s="106">
        <v>13.2</v>
      </c>
      <c r="G3005" s="31">
        <f t="shared" si="46"/>
        <v>0</v>
      </c>
      <c r="H3005" s="132" t="s">
        <v>9</v>
      </c>
      <c r="I3005" s="3"/>
      <c r="J3005" s="42"/>
      <c r="K3005" s="3"/>
    </row>
    <row r="3006" spans="1:11" x14ac:dyDescent="0.25">
      <c r="A3006" s="20">
        <v>42124</v>
      </c>
      <c r="B3006" s="183">
        <v>19543</v>
      </c>
      <c r="C3006" s="14" t="s">
        <v>24</v>
      </c>
      <c r="D3006" s="103">
        <v>1104</v>
      </c>
      <c r="E3006" s="30">
        <v>42144</v>
      </c>
      <c r="F3006" s="144">
        <v>1104</v>
      </c>
      <c r="G3006" s="31">
        <f t="shared" si="46"/>
        <v>0</v>
      </c>
      <c r="H3006" s="132" t="s">
        <v>9</v>
      </c>
      <c r="I3006" s="3"/>
      <c r="J3006" s="42"/>
      <c r="K3006" s="3"/>
    </row>
    <row r="3007" spans="1:11" x14ac:dyDescent="0.25">
      <c r="A3007" s="20">
        <v>42124</v>
      </c>
      <c r="B3007" s="183">
        <v>19544</v>
      </c>
      <c r="C3007" s="14" t="s">
        <v>107</v>
      </c>
      <c r="D3007" s="103">
        <v>4002.6</v>
      </c>
      <c r="E3007" s="23">
        <v>42124</v>
      </c>
      <c r="F3007" s="106">
        <v>4002.6</v>
      </c>
      <c r="G3007" s="31">
        <f t="shared" si="46"/>
        <v>0</v>
      </c>
      <c r="H3007" s="132" t="s">
        <v>9</v>
      </c>
      <c r="I3007" s="3"/>
      <c r="J3007" s="42"/>
      <c r="K3007" s="3"/>
    </row>
    <row r="3008" spans="1:11" x14ac:dyDescent="0.25">
      <c r="A3008" s="20">
        <v>42124</v>
      </c>
      <c r="B3008" s="183">
        <v>19545</v>
      </c>
      <c r="C3008" s="14" t="s">
        <v>247</v>
      </c>
      <c r="D3008" s="103">
        <v>3581.6</v>
      </c>
      <c r="E3008" s="23">
        <v>42124</v>
      </c>
      <c r="F3008" s="106">
        <v>3581.6</v>
      </c>
      <c r="G3008" s="31">
        <f t="shared" si="46"/>
        <v>0</v>
      </c>
      <c r="H3008" s="132" t="s">
        <v>9</v>
      </c>
      <c r="I3008" s="3"/>
      <c r="J3008" s="42"/>
      <c r="K3008" s="3"/>
    </row>
    <row r="3009" spans="1:11" x14ac:dyDescent="0.25">
      <c r="A3009" s="20">
        <v>42124</v>
      </c>
      <c r="B3009" s="183">
        <v>19546</v>
      </c>
      <c r="C3009" s="14" t="s">
        <v>24</v>
      </c>
      <c r="D3009" s="103">
        <v>121237.02</v>
      </c>
      <c r="E3009" s="30">
        <v>42144</v>
      </c>
      <c r="F3009" s="144">
        <v>121237.02</v>
      </c>
      <c r="G3009" s="31">
        <f t="shared" si="46"/>
        <v>0</v>
      </c>
      <c r="H3009" s="132" t="s">
        <v>46</v>
      </c>
      <c r="I3009" s="3"/>
      <c r="J3009" s="42"/>
      <c r="K3009" s="3"/>
    </row>
    <row r="3010" spans="1:11" x14ac:dyDescent="0.25">
      <c r="A3010" s="20">
        <v>42124</v>
      </c>
      <c r="B3010" s="183">
        <v>19547</v>
      </c>
      <c r="C3010" s="14" t="s">
        <v>1116</v>
      </c>
      <c r="D3010" s="103">
        <v>1000</v>
      </c>
      <c r="E3010" s="30">
        <v>42125</v>
      </c>
      <c r="F3010" s="144">
        <v>1000</v>
      </c>
      <c r="G3010" s="31">
        <f t="shared" si="46"/>
        <v>0</v>
      </c>
      <c r="H3010" s="132" t="s">
        <v>19</v>
      </c>
      <c r="I3010" s="3"/>
      <c r="J3010" s="42"/>
      <c r="K3010" s="3"/>
    </row>
    <row r="3011" spans="1:11" x14ac:dyDescent="0.25">
      <c r="A3011" s="20">
        <v>42124</v>
      </c>
      <c r="B3011" s="183">
        <v>19548</v>
      </c>
      <c r="C3011" s="14" t="s">
        <v>104</v>
      </c>
      <c r="D3011" s="103">
        <v>4533.3</v>
      </c>
      <c r="E3011" s="30">
        <v>42125</v>
      </c>
      <c r="F3011" s="144">
        <v>4533.3</v>
      </c>
      <c r="G3011" s="31">
        <f t="shared" ref="G3011:G3041" si="47">D3011-F3011</f>
        <v>0</v>
      </c>
      <c r="H3011" s="132" t="s">
        <v>19</v>
      </c>
      <c r="I3011" s="3"/>
      <c r="J3011" s="42"/>
      <c r="K3011" s="3"/>
    </row>
    <row r="3012" spans="1:11" x14ac:dyDescent="0.25">
      <c r="A3012" s="20">
        <v>42124</v>
      </c>
      <c r="B3012" s="183">
        <v>19549</v>
      </c>
      <c r="C3012" s="14" t="s">
        <v>190</v>
      </c>
      <c r="D3012" s="103">
        <v>4880.6000000000004</v>
      </c>
      <c r="E3012" s="30">
        <v>42125</v>
      </c>
      <c r="F3012" s="144">
        <v>4880.6000000000004</v>
      </c>
      <c r="G3012" s="31">
        <f t="shared" si="47"/>
        <v>0</v>
      </c>
      <c r="H3012" s="132" t="s">
        <v>9</v>
      </c>
      <c r="I3012" s="3"/>
      <c r="J3012" s="42"/>
      <c r="K3012" s="3"/>
    </row>
    <row r="3013" spans="1:11" x14ac:dyDescent="0.25">
      <c r="A3013" s="20">
        <v>42124</v>
      </c>
      <c r="B3013" s="183">
        <v>19550</v>
      </c>
      <c r="C3013" s="14" t="s">
        <v>223</v>
      </c>
      <c r="D3013" s="103">
        <v>1083.5999999999999</v>
      </c>
      <c r="E3013" s="30">
        <v>42125</v>
      </c>
      <c r="F3013" s="144">
        <v>1083.5999999999999</v>
      </c>
      <c r="G3013" s="31">
        <f t="shared" si="47"/>
        <v>0</v>
      </c>
      <c r="H3013" s="132" t="s">
        <v>19</v>
      </c>
      <c r="I3013" s="3"/>
      <c r="J3013" s="42"/>
      <c r="K3013" s="3"/>
    </row>
    <row r="3014" spans="1:11" x14ac:dyDescent="0.25">
      <c r="A3014" s="20">
        <v>42124</v>
      </c>
      <c r="B3014" s="183">
        <v>19551</v>
      </c>
      <c r="C3014" s="14" t="s">
        <v>190</v>
      </c>
      <c r="D3014" s="103">
        <v>415</v>
      </c>
      <c r="E3014" s="30">
        <v>42125</v>
      </c>
      <c r="F3014" s="144">
        <v>415</v>
      </c>
      <c r="G3014" s="31">
        <f t="shared" si="47"/>
        <v>0</v>
      </c>
      <c r="H3014" s="132" t="s">
        <v>19</v>
      </c>
      <c r="I3014" s="3"/>
      <c r="J3014" s="42"/>
      <c r="K3014" s="3"/>
    </row>
    <row r="3015" spans="1:11" x14ac:dyDescent="0.25">
      <c r="A3015" s="20">
        <v>42124</v>
      </c>
      <c r="B3015" s="183">
        <v>19552</v>
      </c>
      <c r="C3015" s="14" t="s">
        <v>93</v>
      </c>
      <c r="D3015" s="103">
        <v>1897.2</v>
      </c>
      <c r="E3015" s="30">
        <v>42125</v>
      </c>
      <c r="F3015" s="144">
        <v>1897.2</v>
      </c>
      <c r="G3015" s="31">
        <f t="shared" si="47"/>
        <v>0</v>
      </c>
      <c r="H3015" s="132" t="s">
        <v>19</v>
      </c>
      <c r="I3015" s="3"/>
      <c r="J3015" s="42"/>
      <c r="K3015" s="3"/>
    </row>
    <row r="3016" spans="1:11" x14ac:dyDescent="0.25">
      <c r="A3016" s="20">
        <v>42124</v>
      </c>
      <c r="B3016" s="183">
        <v>19553</v>
      </c>
      <c r="C3016" s="14" t="s">
        <v>95</v>
      </c>
      <c r="D3016" s="103">
        <v>2737</v>
      </c>
      <c r="E3016" s="30">
        <v>42125</v>
      </c>
      <c r="F3016" s="144">
        <v>2737</v>
      </c>
      <c r="G3016" s="31">
        <f t="shared" si="47"/>
        <v>0</v>
      </c>
      <c r="H3016" s="132" t="s">
        <v>19</v>
      </c>
      <c r="I3016" s="3"/>
      <c r="J3016" s="42"/>
      <c r="K3016" s="3"/>
    </row>
    <row r="3017" spans="1:11" x14ac:dyDescent="0.25">
      <c r="A3017" s="20">
        <v>42124</v>
      </c>
      <c r="B3017" s="183">
        <v>19554</v>
      </c>
      <c r="C3017" s="14" t="s">
        <v>207</v>
      </c>
      <c r="D3017" s="103">
        <v>43297.74</v>
      </c>
      <c r="E3017" s="30">
        <v>42130</v>
      </c>
      <c r="F3017" s="144">
        <v>43297.74</v>
      </c>
      <c r="G3017" s="31">
        <f t="shared" si="47"/>
        <v>0</v>
      </c>
      <c r="H3017" s="132" t="s">
        <v>149</v>
      </c>
      <c r="I3017" s="3"/>
      <c r="J3017" s="42"/>
      <c r="K3017" s="3"/>
    </row>
    <row r="3018" spans="1:11" x14ac:dyDescent="0.25">
      <c r="A3018" s="20">
        <v>42124</v>
      </c>
      <c r="B3018" s="183">
        <v>19555</v>
      </c>
      <c r="C3018" s="14" t="s">
        <v>80</v>
      </c>
      <c r="D3018" s="103">
        <v>7763.9</v>
      </c>
      <c r="E3018" s="23">
        <v>42124</v>
      </c>
      <c r="F3018" s="106">
        <v>7763.9</v>
      </c>
      <c r="G3018" s="31">
        <f t="shared" si="47"/>
        <v>0</v>
      </c>
      <c r="H3018" s="132" t="s">
        <v>9</v>
      </c>
      <c r="I3018" s="3"/>
      <c r="J3018" s="42"/>
      <c r="K3018" s="3"/>
    </row>
    <row r="3019" spans="1:11" x14ac:dyDescent="0.25">
      <c r="A3019" s="20">
        <v>42124</v>
      </c>
      <c r="B3019" s="183">
        <v>19556</v>
      </c>
      <c r="C3019" s="14" t="s">
        <v>552</v>
      </c>
      <c r="D3019" s="103">
        <v>1296</v>
      </c>
      <c r="E3019" s="30">
        <v>42126</v>
      </c>
      <c r="F3019" s="144">
        <v>1296</v>
      </c>
      <c r="G3019" s="31">
        <f t="shared" si="47"/>
        <v>0</v>
      </c>
      <c r="H3019" s="132" t="s">
        <v>149</v>
      </c>
      <c r="I3019" s="3"/>
      <c r="J3019" s="42"/>
      <c r="K3019" s="3"/>
    </row>
    <row r="3020" spans="1:11" x14ac:dyDescent="0.25">
      <c r="A3020" s="20">
        <v>42124</v>
      </c>
      <c r="B3020" s="183">
        <v>19557</v>
      </c>
      <c r="C3020" s="14" t="s">
        <v>47</v>
      </c>
      <c r="D3020" s="103">
        <v>25251.599999999999</v>
      </c>
      <c r="E3020" s="23">
        <v>42124</v>
      </c>
      <c r="F3020" s="106">
        <v>25251.599999999999</v>
      </c>
      <c r="G3020" s="31">
        <f t="shared" si="47"/>
        <v>0</v>
      </c>
      <c r="H3020" s="132" t="s">
        <v>62</v>
      </c>
      <c r="I3020" s="3"/>
      <c r="J3020" s="42"/>
      <c r="K3020" s="3"/>
    </row>
    <row r="3021" spans="1:11" x14ac:dyDescent="0.25">
      <c r="A3021" s="20">
        <v>42124</v>
      </c>
      <c r="B3021" s="183">
        <v>19558</v>
      </c>
      <c r="C3021" s="14" t="s">
        <v>200</v>
      </c>
      <c r="D3021" s="103">
        <v>2122.4</v>
      </c>
      <c r="E3021" s="30">
        <v>42126</v>
      </c>
      <c r="F3021" s="144">
        <v>2122.4</v>
      </c>
      <c r="G3021" s="31">
        <f t="shared" si="47"/>
        <v>0</v>
      </c>
      <c r="H3021" s="132" t="s">
        <v>149</v>
      </c>
      <c r="I3021" s="3"/>
      <c r="J3021" s="42"/>
      <c r="K3021" s="3"/>
    </row>
    <row r="3022" spans="1:11" x14ac:dyDescent="0.25">
      <c r="A3022" s="20">
        <v>42124</v>
      </c>
      <c r="B3022" s="183">
        <v>19559</v>
      </c>
      <c r="C3022" s="14" t="s">
        <v>203</v>
      </c>
      <c r="D3022" s="103">
        <v>1332</v>
      </c>
      <c r="E3022" s="30">
        <v>42126</v>
      </c>
      <c r="F3022" s="144">
        <v>1332</v>
      </c>
      <c r="G3022" s="31">
        <f t="shared" si="47"/>
        <v>0</v>
      </c>
      <c r="H3022" s="132" t="s">
        <v>149</v>
      </c>
      <c r="I3022" s="3"/>
      <c r="J3022" s="42"/>
      <c r="K3022" s="3"/>
    </row>
    <row r="3023" spans="1:11" x14ac:dyDescent="0.25">
      <c r="A3023" s="20">
        <v>42124</v>
      </c>
      <c r="B3023" s="183">
        <v>19560</v>
      </c>
      <c r="C3023" s="14" t="s">
        <v>35</v>
      </c>
      <c r="D3023" s="103">
        <v>259.89999999999998</v>
      </c>
      <c r="E3023" s="23">
        <v>42124</v>
      </c>
      <c r="F3023" s="106">
        <v>259.89999999999998</v>
      </c>
      <c r="G3023" s="31">
        <f t="shared" si="47"/>
        <v>0</v>
      </c>
      <c r="H3023" s="132" t="s">
        <v>9</v>
      </c>
      <c r="I3023" s="3"/>
      <c r="J3023" s="42"/>
      <c r="K3023" s="3"/>
    </row>
    <row r="3024" spans="1:11" x14ac:dyDescent="0.25">
      <c r="A3024" s="20">
        <v>42124</v>
      </c>
      <c r="B3024" s="183">
        <v>19561</v>
      </c>
      <c r="C3024" s="14" t="s">
        <v>204</v>
      </c>
      <c r="D3024" s="103">
        <v>5747.7</v>
      </c>
      <c r="E3024" s="30">
        <v>42126</v>
      </c>
      <c r="F3024" s="144">
        <v>5747.7</v>
      </c>
      <c r="G3024" s="31">
        <f t="shared" si="47"/>
        <v>0</v>
      </c>
      <c r="H3024" s="132" t="s">
        <v>149</v>
      </c>
      <c r="I3024" s="3"/>
      <c r="J3024" s="42"/>
      <c r="K3024" s="3"/>
    </row>
    <row r="3025" spans="1:11" x14ac:dyDescent="0.25">
      <c r="A3025" s="20">
        <v>42124</v>
      </c>
      <c r="B3025" s="183">
        <v>19562</v>
      </c>
      <c r="C3025" s="14" t="s">
        <v>11</v>
      </c>
      <c r="D3025" s="103">
        <v>600</v>
      </c>
      <c r="E3025" s="23">
        <v>42124</v>
      </c>
      <c r="F3025" s="106">
        <v>600</v>
      </c>
      <c r="G3025" s="31">
        <f t="shared" si="47"/>
        <v>0</v>
      </c>
      <c r="H3025" s="132" t="s">
        <v>9</v>
      </c>
      <c r="I3025" s="3"/>
      <c r="J3025" s="42"/>
      <c r="K3025" s="3"/>
    </row>
    <row r="3026" spans="1:11" x14ac:dyDescent="0.25">
      <c r="A3026" s="20">
        <v>42124</v>
      </c>
      <c r="B3026" s="183">
        <v>19563</v>
      </c>
      <c r="C3026" s="14" t="s">
        <v>16</v>
      </c>
      <c r="D3026" s="103">
        <v>6617.6</v>
      </c>
      <c r="E3026" s="30">
        <v>42125</v>
      </c>
      <c r="F3026" s="144">
        <v>6617.6</v>
      </c>
      <c r="G3026" s="31">
        <f t="shared" si="47"/>
        <v>0</v>
      </c>
      <c r="H3026" s="132" t="s">
        <v>17</v>
      </c>
      <c r="I3026" s="3"/>
      <c r="J3026" s="42"/>
      <c r="K3026" s="3"/>
    </row>
    <row r="3027" spans="1:11" x14ac:dyDescent="0.25">
      <c r="A3027" s="20">
        <v>42124</v>
      </c>
      <c r="B3027" s="183">
        <v>19564</v>
      </c>
      <c r="C3027" s="14" t="s">
        <v>105</v>
      </c>
      <c r="D3027" s="103">
        <v>5071.8</v>
      </c>
      <c r="E3027" s="23">
        <v>42124</v>
      </c>
      <c r="F3027" s="106">
        <v>5071.8</v>
      </c>
      <c r="G3027" s="31">
        <f t="shared" si="47"/>
        <v>0</v>
      </c>
      <c r="H3027" s="132" t="s">
        <v>9</v>
      </c>
      <c r="I3027" s="3"/>
      <c r="J3027" s="42"/>
      <c r="K3027" s="3"/>
    </row>
    <row r="3028" spans="1:11" x14ac:dyDescent="0.25">
      <c r="A3028" s="20">
        <v>42124</v>
      </c>
      <c r="B3028" s="183">
        <v>19565</v>
      </c>
      <c r="C3028" s="14" t="s">
        <v>877</v>
      </c>
      <c r="D3028" s="103">
        <v>4311.3</v>
      </c>
      <c r="E3028" s="30">
        <v>42126</v>
      </c>
      <c r="F3028" s="144">
        <v>4311.3</v>
      </c>
      <c r="G3028" s="31">
        <f t="shared" si="47"/>
        <v>0</v>
      </c>
      <c r="H3028" s="132" t="s">
        <v>149</v>
      </c>
      <c r="I3028" s="3"/>
      <c r="J3028" s="42"/>
      <c r="K3028" s="3"/>
    </row>
    <row r="3029" spans="1:11" x14ac:dyDescent="0.25">
      <c r="A3029" s="20">
        <v>42124</v>
      </c>
      <c r="B3029" s="183">
        <v>19566</v>
      </c>
      <c r="C3029" s="14" t="s">
        <v>195</v>
      </c>
      <c r="D3029" s="103">
        <v>113035.35</v>
      </c>
      <c r="E3029" s="30">
        <v>42126</v>
      </c>
      <c r="F3029" s="144">
        <v>113035.35</v>
      </c>
      <c r="G3029" s="31">
        <f t="shared" si="47"/>
        <v>0</v>
      </c>
      <c r="H3029" s="132" t="s">
        <v>149</v>
      </c>
      <c r="I3029" s="3"/>
      <c r="J3029" s="42"/>
      <c r="K3029" s="3"/>
    </row>
    <row r="3030" spans="1:11" x14ac:dyDescent="0.25">
      <c r="A3030" s="20">
        <v>42124</v>
      </c>
      <c r="B3030" s="183">
        <v>19567</v>
      </c>
      <c r="C3030" s="14" t="s">
        <v>32</v>
      </c>
      <c r="D3030" s="103">
        <v>7382.9</v>
      </c>
      <c r="E3030" s="30">
        <v>42128</v>
      </c>
      <c r="F3030" s="144">
        <v>7382.9</v>
      </c>
      <c r="G3030" s="31">
        <f t="shared" si="47"/>
        <v>0</v>
      </c>
      <c r="H3030" s="132" t="s">
        <v>9</v>
      </c>
      <c r="I3030" s="3"/>
      <c r="J3030" s="42"/>
      <c r="K3030" s="3"/>
    </row>
    <row r="3031" spans="1:11" x14ac:dyDescent="0.25">
      <c r="A3031" s="20">
        <v>42124</v>
      </c>
      <c r="B3031" s="183">
        <v>19568</v>
      </c>
      <c r="C3031" s="14" t="s">
        <v>262</v>
      </c>
      <c r="D3031" s="103">
        <v>25875</v>
      </c>
      <c r="E3031" s="30">
        <v>42130</v>
      </c>
      <c r="F3031" s="144">
        <v>25875</v>
      </c>
      <c r="G3031" s="31">
        <f t="shared" si="47"/>
        <v>0</v>
      </c>
      <c r="H3031" s="132" t="s">
        <v>149</v>
      </c>
      <c r="I3031" s="3"/>
      <c r="J3031" s="42"/>
      <c r="K3031" s="3"/>
    </row>
    <row r="3032" spans="1:11" x14ac:dyDescent="0.25">
      <c r="A3032" s="20">
        <v>42124</v>
      </c>
      <c r="B3032" s="183">
        <v>19569</v>
      </c>
      <c r="C3032" s="14" t="s">
        <v>198</v>
      </c>
      <c r="D3032" s="103">
        <v>23876</v>
      </c>
      <c r="E3032" s="30">
        <v>42126</v>
      </c>
      <c r="F3032" s="144">
        <v>23876</v>
      </c>
      <c r="G3032" s="31">
        <f t="shared" si="47"/>
        <v>0</v>
      </c>
      <c r="H3032" s="132" t="s">
        <v>149</v>
      </c>
      <c r="I3032" s="3"/>
      <c r="J3032" s="42"/>
      <c r="K3032" s="3"/>
    </row>
    <row r="3033" spans="1:11" x14ac:dyDescent="0.25">
      <c r="A3033" s="20">
        <v>42124</v>
      </c>
      <c r="B3033" s="183">
        <v>19570</v>
      </c>
      <c r="C3033" s="14" t="s">
        <v>1020</v>
      </c>
      <c r="D3033" s="103">
        <v>4373.04</v>
      </c>
      <c r="E3033" s="23">
        <v>42124</v>
      </c>
      <c r="F3033" s="106">
        <v>4373.04</v>
      </c>
      <c r="G3033" s="31">
        <f t="shared" si="47"/>
        <v>0</v>
      </c>
      <c r="H3033" s="132" t="s">
        <v>9</v>
      </c>
      <c r="I3033" s="3"/>
      <c r="J3033" s="42"/>
      <c r="K3033" s="3"/>
    </row>
    <row r="3034" spans="1:11" x14ac:dyDescent="0.25">
      <c r="A3034" s="20">
        <v>42124</v>
      </c>
      <c r="B3034" s="183">
        <v>19571</v>
      </c>
      <c r="C3034" s="14" t="s">
        <v>1103</v>
      </c>
      <c r="D3034" s="103">
        <v>22965.599999999999</v>
      </c>
      <c r="E3034" s="30">
        <v>42126</v>
      </c>
      <c r="F3034" s="144">
        <v>22965.599999999999</v>
      </c>
      <c r="G3034" s="31">
        <f t="shared" si="47"/>
        <v>0</v>
      </c>
      <c r="H3034" s="132" t="s">
        <v>149</v>
      </c>
      <c r="I3034" s="3"/>
      <c r="J3034" s="42"/>
      <c r="K3034" s="3"/>
    </row>
    <row r="3035" spans="1:11" x14ac:dyDescent="0.25">
      <c r="A3035" s="20">
        <v>42124</v>
      </c>
      <c r="B3035" s="183">
        <v>19572</v>
      </c>
      <c r="C3035" s="14" t="s">
        <v>552</v>
      </c>
      <c r="D3035" s="103">
        <v>22228.5</v>
      </c>
      <c r="E3035" s="30">
        <v>42126</v>
      </c>
      <c r="F3035" s="144">
        <v>22228.5</v>
      </c>
      <c r="G3035" s="31">
        <f t="shared" si="47"/>
        <v>0</v>
      </c>
      <c r="H3035" s="132" t="s">
        <v>149</v>
      </c>
      <c r="I3035" s="3"/>
      <c r="J3035" s="42"/>
      <c r="K3035" s="3"/>
    </row>
    <row r="3036" spans="1:11" x14ac:dyDescent="0.25">
      <c r="A3036" s="20">
        <v>42124</v>
      </c>
      <c r="B3036" s="183">
        <v>19573</v>
      </c>
      <c r="C3036" s="14" t="s">
        <v>733</v>
      </c>
      <c r="D3036" s="103">
        <v>9793.2999999999993</v>
      </c>
      <c r="E3036" s="30">
        <v>42126</v>
      </c>
      <c r="F3036" s="144">
        <v>9793.2999999999993</v>
      </c>
      <c r="G3036" s="31">
        <f t="shared" si="47"/>
        <v>0</v>
      </c>
      <c r="H3036" s="132" t="s">
        <v>149</v>
      </c>
      <c r="I3036" s="3"/>
      <c r="J3036" s="42"/>
      <c r="K3036" s="3"/>
    </row>
    <row r="3037" spans="1:11" x14ac:dyDescent="0.25">
      <c r="A3037" s="20">
        <v>42124</v>
      </c>
      <c r="B3037" s="183">
        <v>19574</v>
      </c>
      <c r="C3037" s="14" t="s">
        <v>1198</v>
      </c>
      <c r="D3037" s="103">
        <v>4791.6000000000004</v>
      </c>
      <c r="E3037" s="30">
        <v>42133</v>
      </c>
      <c r="F3037" s="144">
        <v>4791.6000000000004</v>
      </c>
      <c r="G3037" s="31">
        <f t="shared" si="47"/>
        <v>0</v>
      </c>
      <c r="H3037" s="132" t="s">
        <v>149</v>
      </c>
      <c r="I3037" s="3"/>
      <c r="J3037" s="42"/>
      <c r="K3037" s="3"/>
    </row>
    <row r="3038" spans="1:11" x14ac:dyDescent="0.25">
      <c r="A3038" s="20">
        <v>42124</v>
      </c>
      <c r="B3038" s="183">
        <v>19575</v>
      </c>
      <c r="C3038" s="14" t="s">
        <v>574</v>
      </c>
      <c r="D3038" s="103">
        <v>15230</v>
      </c>
      <c r="E3038" s="30">
        <v>42126</v>
      </c>
      <c r="F3038" s="144">
        <v>15230</v>
      </c>
      <c r="G3038" s="31">
        <f t="shared" si="47"/>
        <v>0</v>
      </c>
      <c r="H3038" s="132" t="s">
        <v>149</v>
      </c>
      <c r="I3038" s="3"/>
      <c r="J3038" s="42"/>
      <c r="K3038" s="3"/>
    </row>
    <row r="3039" spans="1:11" x14ac:dyDescent="0.25">
      <c r="A3039" s="20">
        <v>42124</v>
      </c>
      <c r="B3039" s="183">
        <v>19576</v>
      </c>
      <c r="C3039" s="14" t="s">
        <v>791</v>
      </c>
      <c r="D3039" s="103">
        <v>2326.5</v>
      </c>
      <c r="E3039" s="30">
        <v>42125</v>
      </c>
      <c r="F3039" s="144">
        <v>2326.5</v>
      </c>
      <c r="G3039" s="31">
        <f t="shared" si="47"/>
        <v>0</v>
      </c>
      <c r="H3039" s="132" t="s">
        <v>9</v>
      </c>
      <c r="I3039" s="3"/>
      <c r="J3039" s="42"/>
      <c r="K3039" s="3"/>
    </row>
    <row r="3040" spans="1:11" x14ac:dyDescent="0.25">
      <c r="A3040" s="20"/>
      <c r="B3040" s="183"/>
      <c r="C3040" s="14" t="s">
        <v>485</v>
      </c>
      <c r="D3040" s="103"/>
      <c r="E3040" s="23"/>
      <c r="F3040" s="106"/>
      <c r="G3040" s="31">
        <f t="shared" si="47"/>
        <v>0</v>
      </c>
      <c r="H3040" s="132"/>
      <c r="I3040" s="3"/>
      <c r="J3040" s="42"/>
      <c r="K3040" s="3"/>
    </row>
    <row r="3041" spans="1:11" ht="16.5" thickBot="1" x14ac:dyDescent="0.3">
      <c r="A3041" s="20"/>
      <c r="B3041" s="183"/>
      <c r="C3041" s="79" t="s">
        <v>485</v>
      </c>
      <c r="D3041" s="133"/>
      <c r="E3041" s="81"/>
      <c r="F3041" s="134"/>
      <c r="G3041" s="25">
        <f t="shared" si="47"/>
        <v>0</v>
      </c>
      <c r="I3041" s="3"/>
      <c r="J3041" s="42"/>
      <c r="K3041" s="3"/>
    </row>
    <row r="3042" spans="1:11" x14ac:dyDescent="0.25">
      <c r="A3042" s="82"/>
      <c r="B3042" s="83"/>
      <c r="C3042" s="84"/>
      <c r="D3042" s="135">
        <f>SUM(D4:D3041)</f>
        <v>42065618.239999995</v>
      </c>
      <c r="E3042" s="86"/>
      <c r="F3042" s="136">
        <f>SUM(F4:F3041)</f>
        <v>42014162.839999996</v>
      </c>
      <c r="G3042" s="87"/>
      <c r="I3042" s="3"/>
      <c r="J3042" s="42"/>
      <c r="K3042" s="3"/>
    </row>
    <row r="3043" spans="1:11" ht="15.75" thickBot="1" x14ac:dyDescent="0.3">
      <c r="A3043" s="82"/>
      <c r="B3043" s="83"/>
      <c r="C3043" s="84"/>
      <c r="D3043" s="137"/>
      <c r="E3043" s="86"/>
      <c r="F3043" s="138"/>
      <c r="G3043" s="87"/>
      <c r="I3043" s="3"/>
      <c r="J3043" s="42"/>
      <c r="K3043" s="3"/>
    </row>
    <row r="3044" spans="1:11" x14ac:dyDescent="0.25">
      <c r="A3044" s="82"/>
      <c r="B3044" s="83"/>
      <c r="C3044" s="84"/>
      <c r="D3044" s="139"/>
      <c r="E3044" s="86"/>
      <c r="F3044" s="140"/>
      <c r="G3044" s="87"/>
      <c r="I3044" s="3"/>
      <c r="J3044" s="42"/>
      <c r="K3044" s="3"/>
    </row>
    <row r="3045" spans="1:11" ht="31.5" x14ac:dyDescent="0.25">
      <c r="A3045" s="82"/>
      <c r="B3045" s="83"/>
      <c r="C3045" s="4"/>
      <c r="D3045" s="141" t="s">
        <v>486</v>
      </c>
      <c r="E3045" s="86"/>
      <c r="F3045" s="142" t="s">
        <v>487</v>
      </c>
      <c r="G3045" s="87"/>
      <c r="I3045" s="3"/>
      <c r="J3045" s="42"/>
      <c r="K3045" s="3"/>
    </row>
    <row r="3046" spans="1:11" x14ac:dyDescent="0.25">
      <c r="A3046" s="82"/>
      <c r="B3046" s="83"/>
      <c r="C3046" s="84"/>
      <c r="D3046" s="139"/>
      <c r="E3046" s="86"/>
      <c r="F3046" s="140"/>
      <c r="G3046" s="87"/>
      <c r="I3046" s="3"/>
      <c r="J3046" s="42"/>
      <c r="K3046" s="3"/>
    </row>
    <row r="3047" spans="1:11" x14ac:dyDescent="0.25">
      <c r="A3047" s="82"/>
      <c r="B3047" s="83"/>
      <c r="C3047" s="84"/>
      <c r="D3047" s="139"/>
      <c r="E3047" s="86"/>
      <c r="F3047" s="140"/>
      <c r="G3047" s="87"/>
      <c r="I3047" s="3"/>
      <c r="J3047" s="42"/>
      <c r="K3047" s="3"/>
    </row>
    <row r="3048" spans="1:11" x14ac:dyDescent="0.25">
      <c r="A3048" s="82"/>
      <c r="B3048" s="83"/>
      <c r="C3048" s="84"/>
      <c r="D3048" s="139"/>
      <c r="E3048" s="86"/>
      <c r="F3048" s="140"/>
      <c r="G3048" s="87"/>
      <c r="I3048" s="3"/>
      <c r="J3048" s="42"/>
      <c r="K3048" s="3"/>
    </row>
    <row r="3049" spans="1:11" ht="21" x14ac:dyDescent="0.35">
      <c r="A3049" s="82"/>
      <c r="B3049" s="83"/>
      <c r="C3049" s="84"/>
      <c r="D3049" s="217">
        <f>D3042-F3042</f>
        <v>51455.39999999851</v>
      </c>
      <c r="E3049" s="218"/>
      <c r="F3049" s="218"/>
      <c r="G3049" s="87"/>
      <c r="I3049" s="3"/>
      <c r="J3049" s="42"/>
      <c r="K3049" s="3"/>
    </row>
    <row r="3050" spans="1:11" x14ac:dyDescent="0.25">
      <c r="A3050" s="82"/>
      <c r="B3050" s="83"/>
      <c r="C3050" s="84"/>
      <c r="D3050" s="139"/>
      <c r="E3050" s="86"/>
      <c r="F3050" s="140"/>
      <c r="G3050" s="87"/>
      <c r="I3050" s="3"/>
      <c r="J3050" s="42"/>
      <c r="K3050" s="3"/>
    </row>
    <row r="3051" spans="1:11" ht="18.75" x14ac:dyDescent="0.3">
      <c r="A3051" s="82"/>
      <c r="B3051" s="83"/>
      <c r="C3051" s="84"/>
      <c r="D3051" s="219" t="s">
        <v>488</v>
      </c>
      <c r="E3051" s="219"/>
      <c r="F3051" s="219"/>
      <c r="G3051" s="87"/>
      <c r="I3051" s="3"/>
      <c r="J3051" s="42"/>
      <c r="K3051" s="3"/>
    </row>
    <row r="3052" spans="1:11" x14ac:dyDescent="0.25">
      <c r="A3052" s="82"/>
      <c r="B3052" s="83"/>
      <c r="C3052" s="84"/>
      <c r="D3052" s="139"/>
      <c r="E3052" s="86"/>
      <c r="F3052" s="140"/>
      <c r="G3052" s="87"/>
      <c r="I3052" s="3"/>
      <c r="J3052" s="42"/>
      <c r="K3052" s="3"/>
    </row>
    <row r="3053" spans="1:11" x14ac:dyDescent="0.25">
      <c r="A3053" s="82"/>
      <c r="B3053" s="83"/>
      <c r="C3053" s="84"/>
      <c r="D3053" s="139"/>
      <c r="E3053" s="86"/>
      <c r="F3053" s="140"/>
      <c r="G3053" s="87"/>
      <c r="I3053" s="3"/>
      <c r="J3053" s="42"/>
      <c r="K3053" s="3"/>
    </row>
    <row r="3054" spans="1:11" x14ac:dyDescent="0.25">
      <c r="A3054" s="82"/>
      <c r="B3054" s="83"/>
      <c r="C3054" s="84"/>
      <c r="D3054" s="139"/>
      <c r="E3054" s="86"/>
      <c r="F3054" s="140"/>
      <c r="G3054" s="87"/>
      <c r="I3054" s="3"/>
      <c r="J3054" s="42"/>
      <c r="K3054" s="3"/>
    </row>
  </sheetData>
  <mergeCells count="3">
    <mergeCell ref="A1:E1"/>
    <mergeCell ref="D3049:F3049"/>
    <mergeCell ref="D3051:F3051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T3299"/>
  <sheetViews>
    <sheetView tabSelected="1" topLeftCell="A2644" workbookViewId="0">
      <selection activeCell="E2657" sqref="E2657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24.5703125" style="95" customWidth="1"/>
    <col min="6" max="6" width="26.7109375" style="143" bestFit="1" customWidth="1"/>
    <col min="7" max="7" width="15.28515625" style="28" customWidth="1"/>
    <col min="8" max="8" width="11.42578125" style="3"/>
    <col min="9" max="9" width="11.42578125" style="4"/>
    <col min="10" max="10" width="12.5703125" style="43" bestFit="1" customWidth="1"/>
    <col min="11" max="11" width="15.140625" style="42" bestFit="1" customWidth="1"/>
    <col min="12" max="14" width="11.42578125" style="3"/>
    <col min="15" max="15" width="43.140625" style="3" bestFit="1" customWidth="1"/>
    <col min="16" max="16" width="12.5703125" style="3" bestFit="1" customWidth="1"/>
    <col min="17" max="18" width="11.42578125" style="3"/>
    <col min="19" max="19" width="14.85546875" style="3" customWidth="1"/>
    <col min="20" max="16384" width="11.42578125" style="3"/>
  </cols>
  <sheetData>
    <row r="1" spans="1:20" ht="18.75" x14ac:dyDescent="0.3">
      <c r="A1" s="216" t="s">
        <v>1255</v>
      </c>
      <c r="B1" s="216"/>
      <c r="C1" s="216"/>
      <c r="D1" s="216"/>
      <c r="E1" s="216"/>
      <c r="F1" s="100"/>
      <c r="G1" s="2"/>
      <c r="K1" s="3"/>
    </row>
    <row r="2" spans="1:20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9" t="s">
        <v>5</v>
      </c>
      <c r="F2" s="102" t="s">
        <v>6</v>
      </c>
      <c r="G2" s="11" t="s">
        <v>7</v>
      </c>
      <c r="K2" s="3"/>
    </row>
    <row r="3" spans="1:20" ht="15.75" thickTop="1" x14ac:dyDescent="0.25">
      <c r="A3" s="12">
        <v>42125</v>
      </c>
      <c r="B3" s="77">
        <v>19577</v>
      </c>
      <c r="C3" s="14" t="s">
        <v>1256</v>
      </c>
      <c r="D3" s="103">
        <v>13344</v>
      </c>
      <c r="E3" s="16">
        <v>42125</v>
      </c>
      <c r="F3" s="104">
        <v>13344</v>
      </c>
      <c r="G3" s="18">
        <f t="shared" ref="G3:G66" si="0">D3-F3</f>
        <v>0</v>
      </c>
      <c r="H3" s="19" t="s">
        <v>1257</v>
      </c>
      <c r="K3" s="3"/>
      <c r="M3" s="12">
        <v>42125</v>
      </c>
      <c r="N3" s="77">
        <v>19630</v>
      </c>
      <c r="O3" s="110">
        <v>105</v>
      </c>
      <c r="P3" s="103">
        <v>2088</v>
      </c>
      <c r="Q3" s="16">
        <v>42129</v>
      </c>
      <c r="R3" s="104">
        <v>2088</v>
      </c>
      <c r="S3" s="18">
        <f t="shared" ref="S3:S66" si="1">P3-R3</f>
        <v>0</v>
      </c>
      <c r="T3" s="19" t="s">
        <v>59</v>
      </c>
    </row>
    <row r="4" spans="1:20" x14ac:dyDescent="0.25">
      <c r="A4" s="20">
        <v>42125</v>
      </c>
      <c r="B4" s="183">
        <v>19578</v>
      </c>
      <c r="C4" s="26" t="s">
        <v>218</v>
      </c>
      <c r="D4" s="105">
        <v>0</v>
      </c>
      <c r="E4" s="23"/>
      <c r="F4" s="106"/>
      <c r="G4" s="25">
        <f t="shared" si="0"/>
        <v>0</v>
      </c>
      <c r="H4" s="19" t="s">
        <v>13</v>
      </c>
      <c r="K4" s="3"/>
      <c r="M4" s="20">
        <v>42126</v>
      </c>
      <c r="N4" s="183">
        <v>19770</v>
      </c>
      <c r="O4" s="202">
        <v>105</v>
      </c>
      <c r="P4" s="105">
        <v>3456</v>
      </c>
      <c r="Q4" s="23">
        <v>42127</v>
      </c>
      <c r="R4" s="106">
        <v>3456</v>
      </c>
      <c r="S4" s="25">
        <f t="shared" si="1"/>
        <v>0</v>
      </c>
      <c r="T4" s="41" t="s">
        <v>59</v>
      </c>
    </row>
    <row r="5" spans="1:20" x14ac:dyDescent="0.25">
      <c r="A5" s="12">
        <v>42125</v>
      </c>
      <c r="B5" s="183">
        <v>19579</v>
      </c>
      <c r="C5" s="14" t="s">
        <v>213</v>
      </c>
      <c r="D5" s="105">
        <v>24506.3</v>
      </c>
      <c r="E5" s="23">
        <v>42125</v>
      </c>
      <c r="F5" s="106">
        <v>24506.3</v>
      </c>
      <c r="G5" s="25">
        <f t="shared" si="0"/>
        <v>0</v>
      </c>
      <c r="H5" s="19" t="s">
        <v>9</v>
      </c>
      <c r="K5" s="3"/>
      <c r="M5" s="12">
        <v>42127</v>
      </c>
      <c r="N5" s="183">
        <v>19855</v>
      </c>
      <c r="O5" s="202">
        <v>105</v>
      </c>
      <c r="P5" s="105">
        <v>3132</v>
      </c>
      <c r="Q5" s="23">
        <v>42127</v>
      </c>
      <c r="R5" s="106">
        <v>3132</v>
      </c>
      <c r="S5" s="31">
        <f t="shared" si="1"/>
        <v>0</v>
      </c>
      <c r="T5" s="41" t="s">
        <v>59</v>
      </c>
    </row>
    <row r="6" spans="1:20" ht="15" customHeight="1" x14ac:dyDescent="0.25">
      <c r="A6" s="20">
        <v>42125</v>
      </c>
      <c r="B6" s="183">
        <v>19580</v>
      </c>
      <c r="C6" s="14" t="s">
        <v>1258</v>
      </c>
      <c r="D6" s="105">
        <v>8745</v>
      </c>
      <c r="E6" s="23">
        <v>42125</v>
      </c>
      <c r="F6" s="106">
        <v>8745</v>
      </c>
      <c r="G6" s="25">
        <f t="shared" si="0"/>
        <v>0</v>
      </c>
      <c r="H6" s="19" t="s">
        <v>9</v>
      </c>
      <c r="K6" s="3"/>
      <c r="M6" s="20">
        <v>42129</v>
      </c>
      <c r="N6" s="183">
        <v>20066</v>
      </c>
      <c r="O6" s="110">
        <v>105</v>
      </c>
      <c r="P6" s="105">
        <v>1620</v>
      </c>
      <c r="Q6" s="23">
        <v>42131</v>
      </c>
      <c r="R6" s="106">
        <v>1620</v>
      </c>
      <c r="S6" s="31">
        <f t="shared" si="1"/>
        <v>0</v>
      </c>
      <c r="T6" s="39" t="s">
        <v>59</v>
      </c>
    </row>
    <row r="7" spans="1:20" ht="15" customHeight="1" x14ac:dyDescent="0.25">
      <c r="A7" s="12">
        <v>42125</v>
      </c>
      <c r="B7" s="183">
        <v>19581</v>
      </c>
      <c r="C7" s="14" t="s">
        <v>86</v>
      </c>
      <c r="D7" s="105">
        <v>549.54999999999995</v>
      </c>
      <c r="E7" s="23">
        <v>42125</v>
      </c>
      <c r="F7" s="106">
        <v>549.54999999999995</v>
      </c>
      <c r="G7" s="25">
        <f t="shared" si="0"/>
        <v>0</v>
      </c>
      <c r="H7" s="19" t="s">
        <v>9</v>
      </c>
      <c r="K7" s="3"/>
      <c r="M7" s="12">
        <v>42130</v>
      </c>
      <c r="N7" s="183">
        <v>20152</v>
      </c>
      <c r="O7" s="110">
        <v>105</v>
      </c>
      <c r="P7" s="105">
        <v>1620</v>
      </c>
      <c r="Q7" s="23">
        <v>42131</v>
      </c>
      <c r="R7" s="106">
        <v>1620</v>
      </c>
      <c r="S7" s="31">
        <f t="shared" si="1"/>
        <v>0</v>
      </c>
      <c r="T7" s="39" t="s">
        <v>9</v>
      </c>
    </row>
    <row r="8" spans="1:20" ht="15" customHeight="1" x14ac:dyDescent="0.25">
      <c r="A8" s="20">
        <v>42125</v>
      </c>
      <c r="B8" s="183">
        <v>19582</v>
      </c>
      <c r="C8" s="14" t="s">
        <v>341</v>
      </c>
      <c r="D8" s="105">
        <v>3534</v>
      </c>
      <c r="E8" s="23">
        <v>42125</v>
      </c>
      <c r="F8" s="106">
        <v>3534</v>
      </c>
      <c r="G8" s="25">
        <f t="shared" si="0"/>
        <v>0</v>
      </c>
      <c r="H8" s="19" t="s">
        <v>9</v>
      </c>
      <c r="K8" s="3"/>
      <c r="M8" s="20">
        <v>42131</v>
      </c>
      <c r="N8" s="183">
        <v>20258</v>
      </c>
      <c r="O8" s="110">
        <v>105</v>
      </c>
      <c r="P8" s="105">
        <v>1908</v>
      </c>
      <c r="Q8" s="23">
        <v>42133</v>
      </c>
      <c r="R8" s="106">
        <v>1908</v>
      </c>
      <c r="S8" s="31">
        <f t="shared" si="1"/>
        <v>0</v>
      </c>
      <c r="T8" s="19" t="s">
        <v>59</v>
      </c>
    </row>
    <row r="9" spans="1:20" ht="15" customHeight="1" x14ac:dyDescent="0.25">
      <c r="A9" s="12">
        <v>42125</v>
      </c>
      <c r="B9" s="183">
        <v>19583</v>
      </c>
      <c r="C9" s="14" t="s">
        <v>55</v>
      </c>
      <c r="D9" s="105">
        <v>29286.7</v>
      </c>
      <c r="E9" s="23">
        <v>42126</v>
      </c>
      <c r="F9" s="106">
        <v>29286.7</v>
      </c>
      <c r="G9" s="25">
        <f t="shared" si="0"/>
        <v>0</v>
      </c>
      <c r="H9" s="19" t="s">
        <v>773</v>
      </c>
      <c r="K9" s="3"/>
      <c r="M9" s="12">
        <v>42132</v>
      </c>
      <c r="N9" s="183">
        <v>20385</v>
      </c>
      <c r="O9" s="110">
        <v>105</v>
      </c>
      <c r="P9" s="105">
        <v>1620</v>
      </c>
      <c r="Q9" s="23">
        <v>42134</v>
      </c>
      <c r="R9" s="106">
        <v>1620</v>
      </c>
      <c r="S9" s="31">
        <f t="shared" si="1"/>
        <v>0</v>
      </c>
      <c r="T9" s="19" t="s">
        <v>59</v>
      </c>
    </row>
    <row r="10" spans="1:20" ht="15" customHeight="1" x14ac:dyDescent="0.25">
      <c r="A10" s="20">
        <v>42125</v>
      </c>
      <c r="B10" s="183">
        <v>19584</v>
      </c>
      <c r="C10" s="14" t="s">
        <v>37</v>
      </c>
      <c r="D10" s="105">
        <v>4674.6000000000004</v>
      </c>
      <c r="E10" s="23">
        <v>42136</v>
      </c>
      <c r="F10" s="106">
        <v>4674.6000000000004</v>
      </c>
      <c r="G10" s="25">
        <f t="shared" si="0"/>
        <v>0</v>
      </c>
      <c r="H10" s="19" t="s">
        <v>773</v>
      </c>
      <c r="K10" s="3"/>
      <c r="M10" s="20">
        <v>42139</v>
      </c>
      <c r="N10" s="183">
        <v>21129</v>
      </c>
      <c r="O10" s="110">
        <v>105</v>
      </c>
      <c r="P10" s="105">
        <v>2088</v>
      </c>
      <c r="Q10" s="23">
        <v>42140</v>
      </c>
      <c r="R10" s="106">
        <v>2088</v>
      </c>
      <c r="S10" s="48">
        <f t="shared" si="1"/>
        <v>0</v>
      </c>
      <c r="T10" s="39" t="s">
        <v>59</v>
      </c>
    </row>
    <row r="11" spans="1:20" ht="15" customHeight="1" x14ac:dyDescent="0.25">
      <c r="A11" s="12">
        <v>42125</v>
      </c>
      <c r="B11" s="183">
        <v>19585</v>
      </c>
      <c r="C11" s="14" t="s">
        <v>18</v>
      </c>
      <c r="D11" s="105">
        <v>2354</v>
      </c>
      <c r="E11" s="23">
        <v>42125</v>
      </c>
      <c r="F11" s="106">
        <v>2354</v>
      </c>
      <c r="G11" s="25">
        <f t="shared" si="0"/>
        <v>0</v>
      </c>
      <c r="H11" s="19" t="s">
        <v>9</v>
      </c>
      <c r="K11" s="3"/>
      <c r="M11" s="12">
        <v>42140</v>
      </c>
      <c r="N11" s="183">
        <v>21250</v>
      </c>
      <c r="O11" s="110">
        <v>105</v>
      </c>
      <c r="P11" s="105">
        <v>3960</v>
      </c>
      <c r="Q11" s="23">
        <v>42140</v>
      </c>
      <c r="R11" s="106">
        <v>3960</v>
      </c>
      <c r="S11" s="48">
        <f t="shared" si="1"/>
        <v>0</v>
      </c>
      <c r="T11" s="19" t="s">
        <v>59</v>
      </c>
    </row>
    <row r="12" spans="1:20" ht="15" customHeight="1" x14ac:dyDescent="0.25">
      <c r="A12" s="20">
        <v>42125</v>
      </c>
      <c r="B12" s="183">
        <v>19586</v>
      </c>
      <c r="C12" s="14" t="s">
        <v>21</v>
      </c>
      <c r="D12" s="105">
        <v>9218.9</v>
      </c>
      <c r="E12" s="23">
        <v>42125</v>
      </c>
      <c r="F12" s="106">
        <v>9218.9</v>
      </c>
      <c r="G12" s="25">
        <f t="shared" si="0"/>
        <v>0</v>
      </c>
      <c r="H12" s="19" t="s">
        <v>9</v>
      </c>
      <c r="K12" s="3"/>
      <c r="M12" s="20">
        <v>42141</v>
      </c>
      <c r="N12" s="183">
        <v>21337</v>
      </c>
      <c r="O12" s="110">
        <v>105</v>
      </c>
      <c r="P12" s="105">
        <v>3348</v>
      </c>
      <c r="Q12" s="23">
        <v>42142</v>
      </c>
      <c r="R12" s="118">
        <v>3348</v>
      </c>
      <c r="S12" s="31">
        <f t="shared" si="1"/>
        <v>0</v>
      </c>
      <c r="T12" s="62" t="s">
        <v>59</v>
      </c>
    </row>
    <row r="13" spans="1:20" ht="15" customHeight="1" x14ac:dyDescent="0.25">
      <c r="A13" s="12">
        <v>42125</v>
      </c>
      <c r="B13" s="183">
        <v>19587</v>
      </c>
      <c r="C13" s="14" t="s">
        <v>26</v>
      </c>
      <c r="D13" s="105">
        <v>4352</v>
      </c>
      <c r="E13" s="23">
        <v>42125</v>
      </c>
      <c r="F13" s="106">
        <v>4352</v>
      </c>
      <c r="G13" s="25">
        <f t="shared" si="0"/>
        <v>0</v>
      </c>
      <c r="H13" s="19" t="s">
        <v>9</v>
      </c>
      <c r="J13" s="107"/>
      <c r="K13" s="3"/>
      <c r="M13" s="12">
        <v>42143</v>
      </c>
      <c r="N13" s="183">
        <v>21567</v>
      </c>
      <c r="O13" s="110">
        <v>105</v>
      </c>
      <c r="P13" s="105">
        <v>1710</v>
      </c>
      <c r="Q13" s="23">
        <v>42145</v>
      </c>
      <c r="R13" s="118">
        <v>1710</v>
      </c>
      <c r="S13" s="31">
        <f t="shared" si="1"/>
        <v>0</v>
      </c>
      <c r="T13" s="56" t="s">
        <v>9</v>
      </c>
    </row>
    <row r="14" spans="1:20" ht="15" customHeight="1" x14ac:dyDescent="0.25">
      <c r="A14" s="20">
        <v>42125</v>
      </c>
      <c r="B14" s="183">
        <v>19588</v>
      </c>
      <c r="C14" s="14" t="s">
        <v>57</v>
      </c>
      <c r="D14" s="105">
        <v>2700</v>
      </c>
      <c r="E14" s="23">
        <v>42125</v>
      </c>
      <c r="F14" s="106">
        <v>2700</v>
      </c>
      <c r="G14" s="25">
        <f t="shared" si="0"/>
        <v>0</v>
      </c>
      <c r="H14" s="19" t="s">
        <v>9</v>
      </c>
      <c r="K14" s="3"/>
      <c r="M14" s="20">
        <v>42144</v>
      </c>
      <c r="N14" s="183">
        <v>21670</v>
      </c>
      <c r="O14" s="110">
        <v>105</v>
      </c>
      <c r="P14" s="105">
        <v>1710</v>
      </c>
      <c r="Q14" s="23">
        <v>42145</v>
      </c>
      <c r="R14" s="118">
        <v>1710</v>
      </c>
      <c r="S14" s="31">
        <f t="shared" si="1"/>
        <v>0</v>
      </c>
      <c r="T14" s="62" t="s">
        <v>1257</v>
      </c>
    </row>
    <row r="15" spans="1:20" ht="15" customHeight="1" x14ac:dyDescent="0.25">
      <c r="A15" s="12">
        <v>42125</v>
      </c>
      <c r="B15" s="183">
        <v>19589</v>
      </c>
      <c r="C15" s="14" t="s">
        <v>464</v>
      </c>
      <c r="D15" s="105">
        <v>2990.4</v>
      </c>
      <c r="E15" s="23">
        <v>42125</v>
      </c>
      <c r="F15" s="106">
        <v>2990.4</v>
      </c>
      <c r="G15" s="25">
        <f t="shared" si="0"/>
        <v>0</v>
      </c>
      <c r="H15" s="19" t="s">
        <v>9</v>
      </c>
      <c r="K15" s="3"/>
      <c r="M15" s="12">
        <v>42145</v>
      </c>
      <c r="N15" s="183">
        <v>21744</v>
      </c>
      <c r="O15" s="203">
        <v>105</v>
      </c>
      <c r="P15" s="122">
        <v>1786</v>
      </c>
      <c r="Q15" s="23">
        <v>42146</v>
      </c>
      <c r="R15" s="106">
        <v>1786</v>
      </c>
      <c r="S15" s="31">
        <f t="shared" si="1"/>
        <v>0</v>
      </c>
      <c r="T15" s="68" t="s">
        <v>59</v>
      </c>
    </row>
    <row r="16" spans="1:20" ht="15" customHeight="1" x14ac:dyDescent="0.25">
      <c r="A16" s="20">
        <v>42125</v>
      </c>
      <c r="B16" s="183">
        <v>19590</v>
      </c>
      <c r="C16" s="14" t="s">
        <v>290</v>
      </c>
      <c r="D16" s="105">
        <v>404.3</v>
      </c>
      <c r="E16" s="23">
        <v>42125</v>
      </c>
      <c r="F16" s="106">
        <v>404.3</v>
      </c>
      <c r="G16" s="25">
        <f t="shared" si="0"/>
        <v>0</v>
      </c>
      <c r="H16" s="19" t="s">
        <v>9</v>
      </c>
      <c r="K16" s="3"/>
      <c r="M16" s="20">
        <v>42146</v>
      </c>
      <c r="N16" s="183">
        <v>21882</v>
      </c>
      <c r="O16" s="110">
        <v>105</v>
      </c>
      <c r="P16" s="105">
        <v>1900</v>
      </c>
      <c r="Q16" s="23">
        <v>42150</v>
      </c>
      <c r="R16" s="106">
        <v>1900</v>
      </c>
      <c r="S16" s="31">
        <f t="shared" si="1"/>
        <v>0</v>
      </c>
      <c r="T16" s="39" t="s">
        <v>9</v>
      </c>
    </row>
    <row r="17" spans="1:20" ht="15" customHeight="1" x14ac:dyDescent="0.25">
      <c r="A17" s="12">
        <v>42125</v>
      </c>
      <c r="B17" s="183">
        <v>19591</v>
      </c>
      <c r="C17" s="14" t="s">
        <v>49</v>
      </c>
      <c r="D17" s="105">
        <v>1828</v>
      </c>
      <c r="E17" s="23">
        <v>42125</v>
      </c>
      <c r="F17" s="106">
        <v>1828</v>
      </c>
      <c r="G17" s="25">
        <f t="shared" si="0"/>
        <v>0</v>
      </c>
      <c r="H17" s="19" t="s">
        <v>9</v>
      </c>
      <c r="K17" s="3"/>
      <c r="M17" s="12">
        <v>42147</v>
      </c>
      <c r="N17" s="183">
        <v>22004</v>
      </c>
      <c r="O17" s="110">
        <v>105</v>
      </c>
      <c r="P17" s="105">
        <v>4180</v>
      </c>
      <c r="Q17" s="65">
        <v>42147</v>
      </c>
      <c r="R17" s="106">
        <v>4180</v>
      </c>
      <c r="S17" s="31">
        <f t="shared" si="1"/>
        <v>0</v>
      </c>
      <c r="T17" s="39" t="s">
        <v>59</v>
      </c>
    </row>
    <row r="18" spans="1:20" ht="15" customHeight="1" x14ac:dyDescent="0.25">
      <c r="A18" s="20">
        <v>42125</v>
      </c>
      <c r="B18" s="183">
        <v>19592</v>
      </c>
      <c r="C18" s="14" t="s">
        <v>1259</v>
      </c>
      <c r="D18" s="105">
        <v>2551.5</v>
      </c>
      <c r="E18" s="23">
        <v>42125</v>
      </c>
      <c r="F18" s="106">
        <v>2551.5</v>
      </c>
      <c r="G18" s="25">
        <f t="shared" si="0"/>
        <v>0</v>
      </c>
      <c r="H18" s="19" t="s">
        <v>9</v>
      </c>
      <c r="K18" s="3"/>
      <c r="M18" s="20">
        <v>42148</v>
      </c>
      <c r="N18" s="183">
        <v>22104</v>
      </c>
      <c r="O18" s="110">
        <v>105</v>
      </c>
      <c r="P18" s="105">
        <v>2850</v>
      </c>
      <c r="Q18" s="65">
        <v>42148</v>
      </c>
      <c r="R18" s="106">
        <v>2850</v>
      </c>
      <c r="S18" s="31">
        <f t="shared" si="1"/>
        <v>0</v>
      </c>
      <c r="T18" s="39" t="s">
        <v>59</v>
      </c>
    </row>
    <row r="19" spans="1:20" ht="15" customHeight="1" x14ac:dyDescent="0.25">
      <c r="A19" s="12">
        <v>42125</v>
      </c>
      <c r="B19" s="183">
        <v>19593</v>
      </c>
      <c r="C19" s="14" t="s">
        <v>1185</v>
      </c>
      <c r="D19" s="105">
        <v>2473.1999999999998</v>
      </c>
      <c r="E19" s="23">
        <v>42125</v>
      </c>
      <c r="F19" s="106">
        <v>2473.1999999999998</v>
      </c>
      <c r="G19" s="25">
        <f t="shared" si="0"/>
        <v>0</v>
      </c>
      <c r="H19" s="19" t="s">
        <v>9</v>
      </c>
      <c r="K19" s="3"/>
      <c r="M19" s="12">
        <v>42150</v>
      </c>
      <c r="N19" s="183">
        <v>22272</v>
      </c>
      <c r="O19" s="110">
        <v>105</v>
      </c>
      <c r="P19" s="105">
        <v>1880</v>
      </c>
      <c r="Q19" s="65">
        <v>42152</v>
      </c>
      <c r="R19" s="106">
        <v>1880</v>
      </c>
      <c r="S19" s="31">
        <f t="shared" si="1"/>
        <v>0</v>
      </c>
      <c r="T19" s="39" t="s">
        <v>59</v>
      </c>
    </row>
    <row r="20" spans="1:20" ht="15" customHeight="1" x14ac:dyDescent="0.25">
      <c r="A20" s="20">
        <v>42125</v>
      </c>
      <c r="B20" s="183">
        <v>19594</v>
      </c>
      <c r="C20" s="14" t="s">
        <v>114</v>
      </c>
      <c r="D20" s="105">
        <v>4147</v>
      </c>
      <c r="E20" s="23">
        <v>42125</v>
      </c>
      <c r="F20" s="106">
        <v>4147</v>
      </c>
      <c r="G20" s="25">
        <f t="shared" si="0"/>
        <v>0</v>
      </c>
      <c r="H20" s="19" t="s">
        <v>9</v>
      </c>
      <c r="K20" s="3"/>
      <c r="M20" s="20">
        <v>42153</v>
      </c>
      <c r="N20" s="183">
        <v>22556</v>
      </c>
      <c r="O20" s="110">
        <v>105</v>
      </c>
      <c r="P20" s="105">
        <v>2640</v>
      </c>
      <c r="Q20" s="23">
        <v>42154</v>
      </c>
      <c r="R20" s="106">
        <v>2640</v>
      </c>
      <c r="S20" s="31">
        <f t="shared" si="1"/>
        <v>0</v>
      </c>
      <c r="T20" s="39" t="s">
        <v>59</v>
      </c>
    </row>
    <row r="21" spans="1:20" ht="15" customHeight="1" x14ac:dyDescent="0.25">
      <c r="A21" s="12">
        <v>42125</v>
      </c>
      <c r="B21" s="183">
        <v>19595</v>
      </c>
      <c r="C21" s="14" t="s">
        <v>256</v>
      </c>
      <c r="D21" s="105">
        <v>7002.6</v>
      </c>
      <c r="E21" s="23">
        <v>42125</v>
      </c>
      <c r="F21" s="106">
        <v>7002.6</v>
      </c>
      <c r="G21" s="25">
        <f t="shared" si="0"/>
        <v>0</v>
      </c>
      <c r="H21" s="19" t="s">
        <v>773</v>
      </c>
      <c r="K21" s="3"/>
      <c r="M21" s="12">
        <v>42154</v>
      </c>
      <c r="N21" s="183">
        <v>22728</v>
      </c>
      <c r="O21" s="110">
        <v>105</v>
      </c>
      <c r="P21" s="105">
        <v>4600</v>
      </c>
      <c r="Q21" s="23">
        <v>42155</v>
      </c>
      <c r="R21" s="106">
        <v>4600</v>
      </c>
      <c r="S21" s="31">
        <f t="shared" si="1"/>
        <v>0</v>
      </c>
      <c r="T21" s="39" t="s">
        <v>59</v>
      </c>
    </row>
    <row r="22" spans="1:20" ht="15" customHeight="1" x14ac:dyDescent="0.25">
      <c r="A22" s="20">
        <v>42125</v>
      </c>
      <c r="B22" s="183">
        <v>19596</v>
      </c>
      <c r="C22" s="14" t="s">
        <v>56</v>
      </c>
      <c r="D22" s="105">
        <v>6984.4</v>
      </c>
      <c r="E22" s="23">
        <v>42125</v>
      </c>
      <c r="F22" s="106">
        <v>6984.4</v>
      </c>
      <c r="G22" s="25">
        <f t="shared" si="0"/>
        <v>0</v>
      </c>
      <c r="H22" s="19" t="s">
        <v>773</v>
      </c>
      <c r="K22" s="3"/>
      <c r="M22" s="20">
        <v>42155</v>
      </c>
      <c r="N22" s="183">
        <v>22820</v>
      </c>
      <c r="O22" s="110">
        <v>105</v>
      </c>
      <c r="P22" s="105">
        <v>4000</v>
      </c>
      <c r="Q22" s="23"/>
      <c r="R22" s="106"/>
      <c r="S22" s="31">
        <f t="shared" si="1"/>
        <v>4000</v>
      </c>
      <c r="T22" s="39" t="s">
        <v>59</v>
      </c>
    </row>
    <row r="23" spans="1:20" x14ac:dyDescent="0.25">
      <c r="A23" s="12">
        <v>42125</v>
      </c>
      <c r="B23" s="183">
        <v>19597</v>
      </c>
      <c r="C23" s="14" t="s">
        <v>125</v>
      </c>
      <c r="D23" s="105">
        <v>43082.74</v>
      </c>
      <c r="E23" s="23">
        <v>42126</v>
      </c>
      <c r="F23" s="106">
        <v>43082.74</v>
      </c>
      <c r="G23" s="25">
        <f t="shared" si="0"/>
        <v>0</v>
      </c>
      <c r="H23" s="19" t="s">
        <v>9</v>
      </c>
      <c r="K23" s="3"/>
      <c r="M23" s="12">
        <v>42147</v>
      </c>
      <c r="N23" s="183">
        <v>21969</v>
      </c>
      <c r="O23" s="14" t="s">
        <v>103</v>
      </c>
      <c r="P23" s="105">
        <v>2560</v>
      </c>
      <c r="Q23" s="65">
        <v>42149</v>
      </c>
      <c r="R23" s="106">
        <v>2560</v>
      </c>
      <c r="S23" s="31">
        <f t="shared" si="1"/>
        <v>0</v>
      </c>
      <c r="T23" s="39" t="s">
        <v>9</v>
      </c>
    </row>
    <row r="24" spans="1:20" x14ac:dyDescent="0.25">
      <c r="A24" s="20">
        <v>42125</v>
      </c>
      <c r="B24" s="183">
        <v>19598</v>
      </c>
      <c r="C24" s="14" t="s">
        <v>1260</v>
      </c>
      <c r="D24" s="105">
        <v>102769.85</v>
      </c>
      <c r="E24" s="23">
        <v>42128</v>
      </c>
      <c r="F24" s="106">
        <v>102769.85</v>
      </c>
      <c r="G24" s="25">
        <f t="shared" si="0"/>
        <v>0</v>
      </c>
      <c r="H24" s="19" t="s">
        <v>19</v>
      </c>
      <c r="K24" s="3"/>
      <c r="M24" s="20">
        <v>42126</v>
      </c>
      <c r="N24" s="183">
        <v>19784</v>
      </c>
      <c r="O24" s="40" t="s">
        <v>411</v>
      </c>
      <c r="P24" s="105">
        <v>2200.8000000000002</v>
      </c>
      <c r="Q24" s="23">
        <v>42126</v>
      </c>
      <c r="R24" s="106">
        <v>2200.8000000000002</v>
      </c>
      <c r="S24" s="31">
        <f t="shared" si="1"/>
        <v>0</v>
      </c>
      <c r="T24" s="41" t="s">
        <v>9</v>
      </c>
    </row>
    <row r="25" spans="1:20" x14ac:dyDescent="0.25">
      <c r="A25" s="12">
        <v>42125</v>
      </c>
      <c r="B25" s="183">
        <v>19599</v>
      </c>
      <c r="C25" s="14" t="s">
        <v>604</v>
      </c>
      <c r="D25" s="105">
        <v>4311.2</v>
      </c>
      <c r="E25" s="23">
        <v>42125</v>
      </c>
      <c r="F25" s="106">
        <v>4311.2</v>
      </c>
      <c r="G25" s="25">
        <f t="shared" si="0"/>
        <v>0</v>
      </c>
      <c r="H25" s="19" t="s">
        <v>9</v>
      </c>
      <c r="K25" s="3"/>
      <c r="M25" s="12">
        <v>42128</v>
      </c>
      <c r="N25" s="183">
        <v>19970</v>
      </c>
      <c r="O25" s="14" t="s">
        <v>411</v>
      </c>
      <c r="P25" s="105">
        <v>1478.4</v>
      </c>
      <c r="Q25" s="23">
        <v>42128</v>
      </c>
      <c r="R25" s="106">
        <v>1478.4</v>
      </c>
      <c r="S25" s="31">
        <f t="shared" si="1"/>
        <v>0</v>
      </c>
      <c r="T25" s="19" t="s">
        <v>9</v>
      </c>
    </row>
    <row r="26" spans="1:20" x14ac:dyDescent="0.25">
      <c r="A26" s="20">
        <v>42125</v>
      </c>
      <c r="B26" s="183">
        <v>19600</v>
      </c>
      <c r="C26" s="26" t="s">
        <v>218</v>
      </c>
      <c r="D26" s="108">
        <v>0</v>
      </c>
      <c r="E26" s="23"/>
      <c r="F26" s="106"/>
      <c r="G26" s="25">
        <f t="shared" si="0"/>
        <v>0</v>
      </c>
      <c r="H26" s="19" t="s">
        <v>13</v>
      </c>
      <c r="K26" s="3"/>
      <c r="M26" s="20">
        <v>42131</v>
      </c>
      <c r="N26" s="183">
        <v>20281</v>
      </c>
      <c r="O26" s="14" t="s">
        <v>411</v>
      </c>
      <c r="P26" s="105">
        <v>1377.6</v>
      </c>
      <c r="Q26" s="23">
        <v>42131</v>
      </c>
      <c r="R26" s="106">
        <v>1377.6</v>
      </c>
      <c r="S26" s="31">
        <f t="shared" si="1"/>
        <v>0</v>
      </c>
      <c r="T26" s="19" t="s">
        <v>9</v>
      </c>
    </row>
    <row r="27" spans="1:20" x14ac:dyDescent="0.25">
      <c r="A27" s="12">
        <v>42125</v>
      </c>
      <c r="B27" s="183">
        <v>19601</v>
      </c>
      <c r="C27" s="14" t="s">
        <v>285</v>
      </c>
      <c r="D27" s="105">
        <v>786.6</v>
      </c>
      <c r="E27" s="23">
        <v>42128</v>
      </c>
      <c r="F27" s="106">
        <v>786.6</v>
      </c>
      <c r="G27" s="25">
        <f t="shared" si="0"/>
        <v>0</v>
      </c>
      <c r="H27" s="19" t="s">
        <v>9</v>
      </c>
      <c r="K27" s="3"/>
      <c r="M27" s="12">
        <v>42133</v>
      </c>
      <c r="N27" s="183">
        <v>20566</v>
      </c>
      <c r="O27" s="14" t="s">
        <v>411</v>
      </c>
      <c r="P27" s="105">
        <v>2350.6</v>
      </c>
      <c r="Q27" s="23">
        <v>42133</v>
      </c>
      <c r="R27" s="106">
        <v>2350.6</v>
      </c>
      <c r="S27" s="31">
        <f t="shared" si="1"/>
        <v>0</v>
      </c>
      <c r="T27" s="19" t="s">
        <v>9</v>
      </c>
    </row>
    <row r="28" spans="1:20" x14ac:dyDescent="0.25">
      <c r="A28" s="20">
        <v>42125</v>
      </c>
      <c r="B28" s="183">
        <v>19602</v>
      </c>
      <c r="C28" s="14" t="s">
        <v>24</v>
      </c>
      <c r="D28" s="105">
        <v>4815.6000000000004</v>
      </c>
      <c r="E28" s="23">
        <v>42144</v>
      </c>
      <c r="F28" s="106">
        <v>4815.6000000000004</v>
      </c>
      <c r="G28" s="25">
        <f t="shared" si="0"/>
        <v>0</v>
      </c>
      <c r="H28" s="19" t="s">
        <v>41</v>
      </c>
      <c r="K28" s="3"/>
      <c r="M28" s="20">
        <v>42135</v>
      </c>
      <c r="N28" s="183">
        <v>20784</v>
      </c>
      <c r="O28" s="14" t="s">
        <v>411</v>
      </c>
      <c r="P28" s="105">
        <v>2226</v>
      </c>
      <c r="Q28" s="23">
        <v>42135</v>
      </c>
      <c r="R28" s="106">
        <v>2226</v>
      </c>
      <c r="S28" s="31">
        <f t="shared" si="1"/>
        <v>0</v>
      </c>
      <c r="T28" s="19" t="s">
        <v>9</v>
      </c>
    </row>
    <row r="29" spans="1:20" x14ac:dyDescent="0.25">
      <c r="A29" s="12">
        <v>42125</v>
      </c>
      <c r="B29" s="183">
        <v>19603</v>
      </c>
      <c r="C29" s="14" t="s">
        <v>863</v>
      </c>
      <c r="D29" s="105">
        <v>11810.2</v>
      </c>
      <c r="E29" s="23">
        <v>42125</v>
      </c>
      <c r="F29" s="106">
        <v>11810.2</v>
      </c>
      <c r="G29" s="25">
        <f t="shared" si="0"/>
        <v>0</v>
      </c>
      <c r="H29" s="19" t="s">
        <v>9</v>
      </c>
      <c r="K29" s="3"/>
      <c r="M29" s="12">
        <v>42138</v>
      </c>
      <c r="N29" s="183">
        <v>21041</v>
      </c>
      <c r="O29" s="14" t="s">
        <v>411</v>
      </c>
      <c r="P29" s="105">
        <v>2242.8000000000002</v>
      </c>
      <c r="Q29" s="51">
        <v>42138</v>
      </c>
      <c r="R29" s="106">
        <v>2242.8000000000002</v>
      </c>
      <c r="S29" s="48">
        <f t="shared" si="1"/>
        <v>0</v>
      </c>
      <c r="T29" s="39" t="s">
        <v>9</v>
      </c>
    </row>
    <row r="30" spans="1:20" x14ac:dyDescent="0.25">
      <c r="A30" s="20">
        <v>42125</v>
      </c>
      <c r="B30" s="183">
        <v>19604</v>
      </c>
      <c r="C30" s="14" t="s">
        <v>590</v>
      </c>
      <c r="D30" s="105">
        <v>8299.7999999999993</v>
      </c>
      <c r="E30" s="23">
        <v>42125</v>
      </c>
      <c r="F30" s="106">
        <v>8299.7999999999993</v>
      </c>
      <c r="G30" s="25">
        <f t="shared" si="0"/>
        <v>0</v>
      </c>
      <c r="H30" s="19" t="s">
        <v>94</v>
      </c>
      <c r="K30" s="3"/>
      <c r="M30" s="20">
        <v>42140</v>
      </c>
      <c r="N30" s="183">
        <v>21297</v>
      </c>
      <c r="O30" s="14" t="s">
        <v>411</v>
      </c>
      <c r="P30" s="105">
        <v>1516.2</v>
      </c>
      <c r="Q30" s="23">
        <v>42140</v>
      </c>
      <c r="R30" s="118">
        <v>1516.2</v>
      </c>
      <c r="S30" s="31">
        <f t="shared" si="1"/>
        <v>0</v>
      </c>
      <c r="T30" s="62" t="s">
        <v>9</v>
      </c>
    </row>
    <row r="31" spans="1:20" x14ac:dyDescent="0.25">
      <c r="A31" s="12">
        <v>42125</v>
      </c>
      <c r="B31" s="183">
        <v>19605</v>
      </c>
      <c r="C31" s="14" t="s">
        <v>1193</v>
      </c>
      <c r="D31" s="105">
        <v>4316.3999999999996</v>
      </c>
      <c r="E31" s="23">
        <v>42125</v>
      </c>
      <c r="F31" s="106">
        <v>4316.3999999999996</v>
      </c>
      <c r="G31" s="25">
        <f t="shared" si="0"/>
        <v>0</v>
      </c>
      <c r="H31" s="19" t="s">
        <v>9</v>
      </c>
      <c r="J31" s="107"/>
      <c r="K31" s="3"/>
      <c r="M31" s="12">
        <v>42144</v>
      </c>
      <c r="N31" s="183">
        <v>21702</v>
      </c>
      <c r="O31" s="14" t="s">
        <v>411</v>
      </c>
      <c r="P31" s="105">
        <v>1736.7</v>
      </c>
      <c r="Q31" s="23">
        <v>42144</v>
      </c>
      <c r="R31" s="106">
        <v>1736.7</v>
      </c>
      <c r="S31" s="31">
        <f t="shared" si="1"/>
        <v>0</v>
      </c>
      <c r="T31" s="39" t="s">
        <v>9</v>
      </c>
    </row>
    <row r="32" spans="1:20" x14ac:dyDescent="0.25">
      <c r="A32" s="20">
        <v>42125</v>
      </c>
      <c r="B32" s="183">
        <v>19606</v>
      </c>
      <c r="C32" s="150" t="s">
        <v>1172</v>
      </c>
      <c r="D32" s="105">
        <v>12051.6</v>
      </c>
      <c r="E32" s="23">
        <v>42125</v>
      </c>
      <c r="F32" s="106">
        <v>12051.6</v>
      </c>
      <c r="G32" s="25">
        <f t="shared" si="0"/>
        <v>0</v>
      </c>
      <c r="H32" s="19" t="s">
        <v>9</v>
      </c>
      <c r="K32" s="3"/>
      <c r="M32" s="20">
        <v>42147</v>
      </c>
      <c r="N32" s="183">
        <v>22040</v>
      </c>
      <c r="O32" s="14" t="s">
        <v>411</v>
      </c>
      <c r="P32" s="105">
        <v>2289</v>
      </c>
      <c r="Q32" s="65">
        <v>42147</v>
      </c>
      <c r="R32" s="106">
        <v>2289</v>
      </c>
      <c r="S32" s="31">
        <f t="shared" si="1"/>
        <v>0</v>
      </c>
      <c r="T32" s="39" t="s">
        <v>9</v>
      </c>
    </row>
    <row r="33" spans="1:20" x14ac:dyDescent="0.25">
      <c r="A33" s="12">
        <v>42125</v>
      </c>
      <c r="B33" s="183">
        <v>19607</v>
      </c>
      <c r="C33" s="14" t="s">
        <v>1175</v>
      </c>
      <c r="D33" s="105">
        <v>36342.1</v>
      </c>
      <c r="E33" s="23">
        <v>42125</v>
      </c>
      <c r="F33" s="106">
        <v>36342.1</v>
      </c>
      <c r="G33" s="25">
        <f t="shared" si="0"/>
        <v>0</v>
      </c>
      <c r="H33" s="19" t="s">
        <v>9</v>
      </c>
      <c r="K33" s="3"/>
      <c r="M33" s="12">
        <v>42149</v>
      </c>
      <c r="N33" s="183">
        <v>22234</v>
      </c>
      <c r="O33" s="14" t="s">
        <v>411</v>
      </c>
      <c r="P33" s="105">
        <v>1836</v>
      </c>
      <c r="Q33" s="65">
        <v>42149</v>
      </c>
      <c r="R33" s="106">
        <v>1836</v>
      </c>
      <c r="S33" s="31">
        <f t="shared" si="1"/>
        <v>0</v>
      </c>
      <c r="T33" s="39" t="s">
        <v>9</v>
      </c>
    </row>
    <row r="34" spans="1:20" x14ac:dyDescent="0.25">
      <c r="A34" s="20">
        <v>42125</v>
      </c>
      <c r="B34" s="183">
        <v>19608</v>
      </c>
      <c r="C34" s="14" t="s">
        <v>940</v>
      </c>
      <c r="D34" s="105">
        <v>2235.5500000000002</v>
      </c>
      <c r="E34" s="23">
        <v>42125</v>
      </c>
      <c r="F34" s="106">
        <v>2235.5500000000002</v>
      </c>
      <c r="G34" s="25">
        <f t="shared" si="0"/>
        <v>0</v>
      </c>
      <c r="H34" s="19" t="s">
        <v>9</v>
      </c>
      <c r="K34" s="3"/>
      <c r="M34" s="20">
        <v>42151</v>
      </c>
      <c r="N34" s="183">
        <v>22414</v>
      </c>
      <c r="O34" s="14" t="s">
        <v>411</v>
      </c>
      <c r="P34" s="105">
        <v>858.9</v>
      </c>
      <c r="Q34" s="23">
        <v>42151</v>
      </c>
      <c r="R34" s="106">
        <v>858.9</v>
      </c>
      <c r="S34" s="31">
        <f t="shared" si="1"/>
        <v>0</v>
      </c>
      <c r="T34" s="39" t="s">
        <v>9</v>
      </c>
    </row>
    <row r="35" spans="1:20" x14ac:dyDescent="0.25">
      <c r="A35" s="12">
        <v>42125</v>
      </c>
      <c r="B35" s="183">
        <v>19609</v>
      </c>
      <c r="C35" s="14" t="s">
        <v>1261</v>
      </c>
      <c r="D35" s="105">
        <v>5992.8</v>
      </c>
      <c r="E35" s="23">
        <v>42125</v>
      </c>
      <c r="F35" s="106">
        <v>5992.8</v>
      </c>
      <c r="G35" s="25">
        <f t="shared" si="0"/>
        <v>0</v>
      </c>
      <c r="H35" s="19" t="s">
        <v>9</v>
      </c>
      <c r="K35" s="3"/>
      <c r="M35" s="12">
        <v>42154</v>
      </c>
      <c r="N35" s="183">
        <v>22768</v>
      </c>
      <c r="O35" s="14" t="s">
        <v>411</v>
      </c>
      <c r="P35" s="105">
        <v>1463.7</v>
      </c>
      <c r="Q35" s="23">
        <v>42154</v>
      </c>
      <c r="R35" s="106">
        <v>1463.7</v>
      </c>
      <c r="S35" s="31">
        <f t="shared" si="1"/>
        <v>0</v>
      </c>
      <c r="T35" s="39" t="s">
        <v>9</v>
      </c>
    </row>
    <row r="36" spans="1:20" x14ac:dyDescent="0.25">
      <c r="A36" s="20">
        <v>42125</v>
      </c>
      <c r="B36" s="183">
        <v>19610</v>
      </c>
      <c r="C36" s="14" t="s">
        <v>375</v>
      </c>
      <c r="D36" s="105">
        <v>4748.8</v>
      </c>
      <c r="E36" s="23">
        <v>42125</v>
      </c>
      <c r="F36" s="106">
        <v>4748.8</v>
      </c>
      <c r="G36" s="25">
        <f t="shared" si="0"/>
        <v>0</v>
      </c>
      <c r="H36" s="19" t="s">
        <v>9</v>
      </c>
      <c r="K36" s="3"/>
      <c r="M36" s="20">
        <v>42126</v>
      </c>
      <c r="N36" s="183">
        <v>19804</v>
      </c>
      <c r="O36" s="40" t="s">
        <v>336</v>
      </c>
      <c r="P36" s="105">
        <v>3036.1</v>
      </c>
      <c r="Q36" s="23">
        <v>42126</v>
      </c>
      <c r="R36" s="106">
        <v>3036.1</v>
      </c>
      <c r="S36" s="31">
        <f t="shared" si="1"/>
        <v>0</v>
      </c>
      <c r="T36" s="41" t="s">
        <v>9</v>
      </c>
    </row>
    <row r="37" spans="1:20" x14ac:dyDescent="0.25">
      <c r="A37" s="12">
        <v>42125</v>
      </c>
      <c r="B37" s="183">
        <v>19611</v>
      </c>
      <c r="C37" s="14" t="s">
        <v>83</v>
      </c>
      <c r="D37" s="105">
        <v>10563.6</v>
      </c>
      <c r="E37" s="23">
        <v>42125</v>
      </c>
      <c r="F37" s="106">
        <v>10563.6</v>
      </c>
      <c r="G37" s="25">
        <f t="shared" si="0"/>
        <v>0</v>
      </c>
      <c r="H37" s="19" t="s">
        <v>59</v>
      </c>
      <c r="K37" s="3"/>
      <c r="M37" s="12">
        <v>42133</v>
      </c>
      <c r="N37" s="183">
        <v>20568</v>
      </c>
      <c r="O37" s="14" t="s">
        <v>336</v>
      </c>
      <c r="P37" s="105">
        <v>4297.1000000000004</v>
      </c>
      <c r="Q37" s="23">
        <v>42133</v>
      </c>
      <c r="R37" s="106">
        <v>4297.1000000000004</v>
      </c>
      <c r="S37" s="31">
        <f t="shared" si="1"/>
        <v>0</v>
      </c>
      <c r="T37" s="19" t="s">
        <v>9</v>
      </c>
    </row>
    <row r="38" spans="1:20" x14ac:dyDescent="0.25">
      <c r="A38" s="20">
        <v>42125</v>
      </c>
      <c r="B38" s="183">
        <v>19612</v>
      </c>
      <c r="C38" s="14" t="s">
        <v>24</v>
      </c>
      <c r="D38" s="105">
        <v>4246.6000000000004</v>
      </c>
      <c r="E38" s="23">
        <v>42144</v>
      </c>
      <c r="F38" s="106">
        <v>4246.6000000000004</v>
      </c>
      <c r="G38" s="25">
        <f t="shared" si="0"/>
        <v>0</v>
      </c>
      <c r="H38" s="19" t="s">
        <v>41</v>
      </c>
      <c r="J38" s="107"/>
      <c r="K38" s="3"/>
      <c r="M38" s="20">
        <v>42138</v>
      </c>
      <c r="N38" s="183">
        <v>21042</v>
      </c>
      <c r="O38" s="14" t="s">
        <v>336</v>
      </c>
      <c r="P38" s="105">
        <v>6755</v>
      </c>
      <c r="Q38" s="23">
        <v>42138</v>
      </c>
      <c r="R38" s="106">
        <v>6755</v>
      </c>
      <c r="S38" s="48">
        <f t="shared" si="1"/>
        <v>0</v>
      </c>
      <c r="T38" s="39" t="s">
        <v>9</v>
      </c>
    </row>
    <row r="39" spans="1:20" x14ac:dyDescent="0.25">
      <c r="A39" s="12">
        <v>42125</v>
      </c>
      <c r="B39" s="183">
        <v>19613</v>
      </c>
      <c r="C39" s="14" t="s">
        <v>82</v>
      </c>
      <c r="D39" s="105">
        <v>4059.9</v>
      </c>
      <c r="E39" s="23">
        <v>42125</v>
      </c>
      <c r="F39" s="106">
        <v>4059.9</v>
      </c>
      <c r="G39" s="25">
        <f t="shared" si="0"/>
        <v>0</v>
      </c>
      <c r="H39" s="19" t="s">
        <v>59</v>
      </c>
      <c r="K39" s="3"/>
      <c r="M39" s="12">
        <v>42138</v>
      </c>
      <c r="N39" s="183">
        <v>21044</v>
      </c>
      <c r="O39" s="14" t="s">
        <v>336</v>
      </c>
      <c r="P39" s="105">
        <v>2563.1999999999998</v>
      </c>
      <c r="Q39" s="23">
        <v>42138</v>
      </c>
      <c r="R39" s="106">
        <v>2563.1999999999998</v>
      </c>
      <c r="S39" s="48">
        <f t="shared" si="1"/>
        <v>0</v>
      </c>
      <c r="T39" s="39" t="s">
        <v>9</v>
      </c>
    </row>
    <row r="40" spans="1:20" x14ac:dyDescent="0.25">
      <c r="A40" s="20">
        <v>42125</v>
      </c>
      <c r="B40" s="183">
        <v>19614</v>
      </c>
      <c r="C40" s="14" t="s">
        <v>292</v>
      </c>
      <c r="D40" s="105">
        <v>2601.3000000000002</v>
      </c>
      <c r="E40" s="23">
        <v>42125</v>
      </c>
      <c r="F40" s="106">
        <v>2601.3000000000002</v>
      </c>
      <c r="G40" s="25">
        <f t="shared" si="0"/>
        <v>0</v>
      </c>
      <c r="H40" s="19" t="s">
        <v>59</v>
      </c>
      <c r="K40" s="3"/>
      <c r="M40" s="20">
        <v>42146</v>
      </c>
      <c r="N40" s="183">
        <v>21944</v>
      </c>
      <c r="O40" s="14" t="s">
        <v>336</v>
      </c>
      <c r="P40" s="105">
        <v>2601.6</v>
      </c>
      <c r="Q40" s="23">
        <v>42146</v>
      </c>
      <c r="R40" s="106">
        <v>2601.6</v>
      </c>
      <c r="S40" s="31">
        <f t="shared" si="1"/>
        <v>0</v>
      </c>
      <c r="T40" s="39" t="s">
        <v>9</v>
      </c>
    </row>
    <row r="41" spans="1:20" x14ac:dyDescent="0.25">
      <c r="A41" s="12">
        <v>42125</v>
      </c>
      <c r="B41" s="183">
        <v>19615</v>
      </c>
      <c r="C41" s="14" t="s">
        <v>53</v>
      </c>
      <c r="D41" s="105">
        <v>1683</v>
      </c>
      <c r="E41" s="23">
        <v>42125</v>
      </c>
      <c r="F41" s="106">
        <v>1683</v>
      </c>
      <c r="G41" s="25">
        <f t="shared" si="0"/>
        <v>0</v>
      </c>
      <c r="H41" s="19" t="s">
        <v>59</v>
      </c>
      <c r="K41" s="3"/>
      <c r="M41" s="12">
        <v>42147</v>
      </c>
      <c r="N41" s="183">
        <v>22041</v>
      </c>
      <c r="O41" s="14" t="s">
        <v>336</v>
      </c>
      <c r="P41" s="105">
        <v>1078.5999999999999</v>
      </c>
      <c r="Q41" s="65">
        <v>42147</v>
      </c>
      <c r="R41" s="106">
        <v>1078.5999999999999</v>
      </c>
      <c r="S41" s="31">
        <f t="shared" si="1"/>
        <v>0</v>
      </c>
      <c r="T41" s="39" t="s">
        <v>9</v>
      </c>
    </row>
    <row r="42" spans="1:20" x14ac:dyDescent="0.25">
      <c r="A42" s="20">
        <v>42125</v>
      </c>
      <c r="B42" s="183">
        <v>19616</v>
      </c>
      <c r="C42" s="14" t="s">
        <v>121</v>
      </c>
      <c r="D42" s="105">
        <v>1162.8</v>
      </c>
      <c r="E42" s="23">
        <v>42125</v>
      </c>
      <c r="F42" s="106">
        <v>1162.8</v>
      </c>
      <c r="G42" s="25">
        <f t="shared" si="0"/>
        <v>0</v>
      </c>
      <c r="H42" s="19" t="s">
        <v>9</v>
      </c>
      <c r="K42" s="3"/>
      <c r="M42" s="20">
        <v>42148</v>
      </c>
      <c r="N42" s="183">
        <v>22129</v>
      </c>
      <c r="O42" s="14" t="s">
        <v>336</v>
      </c>
      <c r="P42" s="105">
        <v>395.2</v>
      </c>
      <c r="Q42" s="65">
        <v>42148</v>
      </c>
      <c r="R42" s="106">
        <v>395.2</v>
      </c>
      <c r="S42" s="31">
        <f t="shared" si="1"/>
        <v>0</v>
      </c>
      <c r="T42" s="39" t="s">
        <v>9</v>
      </c>
    </row>
    <row r="43" spans="1:20" x14ac:dyDescent="0.25">
      <c r="A43" s="12">
        <v>42125</v>
      </c>
      <c r="B43" s="183">
        <v>19617</v>
      </c>
      <c r="C43" s="14" t="s">
        <v>81</v>
      </c>
      <c r="D43" s="105">
        <v>2492.1999999999998</v>
      </c>
      <c r="E43" s="23">
        <v>42125</v>
      </c>
      <c r="F43" s="106">
        <v>2492.1999999999998</v>
      </c>
      <c r="G43" s="25">
        <f t="shared" si="0"/>
        <v>0</v>
      </c>
      <c r="H43" s="19" t="s">
        <v>59</v>
      </c>
      <c r="K43" s="3"/>
      <c r="M43" s="12">
        <v>42149</v>
      </c>
      <c r="N43" s="183">
        <v>22211</v>
      </c>
      <c r="O43" s="14" t="s">
        <v>336</v>
      </c>
      <c r="P43" s="105">
        <v>2985.6</v>
      </c>
      <c r="Q43" s="65">
        <v>42149</v>
      </c>
      <c r="R43" s="106">
        <v>2985.6</v>
      </c>
      <c r="S43" s="31">
        <f t="shared" si="1"/>
        <v>0</v>
      </c>
      <c r="T43" s="39" t="s">
        <v>9</v>
      </c>
    </row>
    <row r="44" spans="1:20" x14ac:dyDescent="0.25">
      <c r="A44" s="20">
        <v>42125</v>
      </c>
      <c r="B44" s="183">
        <v>19618</v>
      </c>
      <c r="C44" s="14" t="s">
        <v>34</v>
      </c>
      <c r="D44" s="105">
        <v>4356</v>
      </c>
      <c r="E44" s="23">
        <v>42125</v>
      </c>
      <c r="F44" s="106">
        <v>4356</v>
      </c>
      <c r="G44" s="25">
        <f t="shared" si="0"/>
        <v>0</v>
      </c>
      <c r="H44" s="19" t="s">
        <v>9</v>
      </c>
      <c r="K44" s="3"/>
      <c r="M44" s="20">
        <v>42135</v>
      </c>
      <c r="N44" s="183">
        <v>20754</v>
      </c>
      <c r="O44" s="14" t="s">
        <v>68</v>
      </c>
      <c r="P44" s="105">
        <v>1881.6</v>
      </c>
      <c r="Q44" s="23">
        <v>42137</v>
      </c>
      <c r="R44" s="106">
        <v>1881.6</v>
      </c>
      <c r="S44" s="31">
        <f t="shared" si="1"/>
        <v>0</v>
      </c>
      <c r="T44" s="19" t="s">
        <v>149</v>
      </c>
    </row>
    <row r="45" spans="1:20" x14ac:dyDescent="0.25">
      <c r="A45" s="12">
        <v>42125</v>
      </c>
      <c r="B45" s="183">
        <v>19619</v>
      </c>
      <c r="C45" s="14" t="s">
        <v>213</v>
      </c>
      <c r="D45" s="105">
        <v>22613.5</v>
      </c>
      <c r="E45" s="23">
        <v>42125</v>
      </c>
      <c r="F45" s="106">
        <v>22613.5</v>
      </c>
      <c r="G45" s="25">
        <f t="shared" si="0"/>
        <v>0</v>
      </c>
      <c r="H45" s="19" t="s">
        <v>1257</v>
      </c>
      <c r="K45" s="3"/>
      <c r="M45" s="12">
        <v>42145</v>
      </c>
      <c r="N45" s="183">
        <v>21826</v>
      </c>
      <c r="O45" s="15" t="s">
        <v>68</v>
      </c>
      <c r="P45" s="122">
        <v>1858.9</v>
      </c>
      <c r="Q45" s="23">
        <v>42149</v>
      </c>
      <c r="R45" s="118">
        <v>1858.9</v>
      </c>
      <c r="S45" s="31">
        <f t="shared" si="1"/>
        <v>0</v>
      </c>
      <c r="T45" s="68" t="s">
        <v>149</v>
      </c>
    </row>
    <row r="46" spans="1:20" x14ac:dyDescent="0.25">
      <c r="A46" s="20">
        <v>42125</v>
      </c>
      <c r="B46" s="183">
        <v>19620</v>
      </c>
      <c r="C46" s="14" t="s">
        <v>120</v>
      </c>
      <c r="D46" s="105">
        <v>1357.2</v>
      </c>
      <c r="E46" s="23">
        <v>42125</v>
      </c>
      <c r="F46" s="106">
        <v>1357.2</v>
      </c>
      <c r="G46" s="25">
        <f t="shared" si="0"/>
        <v>0</v>
      </c>
      <c r="H46" s="19" t="s">
        <v>59</v>
      </c>
      <c r="K46" s="3"/>
      <c r="M46" s="20">
        <v>42145</v>
      </c>
      <c r="N46" s="183">
        <v>21831</v>
      </c>
      <c r="O46" s="15" t="s">
        <v>68</v>
      </c>
      <c r="P46" s="122">
        <v>2433</v>
      </c>
      <c r="Q46" s="23">
        <v>42149</v>
      </c>
      <c r="R46" s="118">
        <v>2433</v>
      </c>
      <c r="S46" s="31">
        <f t="shared" si="1"/>
        <v>0</v>
      </c>
      <c r="T46" s="68" t="s">
        <v>149</v>
      </c>
    </row>
    <row r="47" spans="1:20" x14ac:dyDescent="0.25">
      <c r="A47" s="12">
        <v>42125</v>
      </c>
      <c r="B47" s="183">
        <v>19621</v>
      </c>
      <c r="C47" s="14" t="s">
        <v>155</v>
      </c>
      <c r="D47" s="105">
        <v>2331</v>
      </c>
      <c r="E47" s="23">
        <v>42125</v>
      </c>
      <c r="F47" s="106">
        <v>2331</v>
      </c>
      <c r="G47" s="25">
        <f t="shared" si="0"/>
        <v>0</v>
      </c>
      <c r="H47" s="19" t="s">
        <v>59</v>
      </c>
      <c r="K47" s="3"/>
      <c r="M47" s="12">
        <v>42131</v>
      </c>
      <c r="N47" s="183">
        <v>20305</v>
      </c>
      <c r="O47" s="14" t="s">
        <v>877</v>
      </c>
      <c r="P47" s="105">
        <v>2875.6</v>
      </c>
      <c r="Q47" s="23">
        <v>42133</v>
      </c>
      <c r="R47" s="106">
        <v>2875.6</v>
      </c>
      <c r="S47" s="31">
        <f t="shared" si="1"/>
        <v>0</v>
      </c>
      <c r="T47" s="19" t="s">
        <v>149</v>
      </c>
    </row>
    <row r="48" spans="1:20" x14ac:dyDescent="0.25">
      <c r="A48" s="20">
        <v>42125</v>
      </c>
      <c r="B48" s="183">
        <v>19622</v>
      </c>
      <c r="C48" s="14" t="s">
        <v>158</v>
      </c>
      <c r="D48" s="105">
        <v>2318.75</v>
      </c>
      <c r="E48" s="23">
        <v>42125</v>
      </c>
      <c r="F48" s="106">
        <v>2318.75</v>
      </c>
      <c r="G48" s="25">
        <f t="shared" si="0"/>
        <v>0</v>
      </c>
      <c r="H48" s="19" t="s">
        <v>9</v>
      </c>
      <c r="K48" s="3"/>
      <c r="M48" s="20">
        <v>42138</v>
      </c>
      <c r="N48" s="183">
        <v>21054</v>
      </c>
      <c r="O48" s="14" t="s">
        <v>877</v>
      </c>
      <c r="P48" s="105">
        <v>3068.1</v>
      </c>
      <c r="Q48" s="23">
        <v>42140</v>
      </c>
      <c r="R48" s="106">
        <v>3068.1</v>
      </c>
      <c r="S48" s="48">
        <f t="shared" si="1"/>
        <v>0</v>
      </c>
      <c r="T48" s="39" t="s">
        <v>149</v>
      </c>
    </row>
    <row r="49" spans="1:20" x14ac:dyDescent="0.25">
      <c r="A49" s="12">
        <v>42125</v>
      </c>
      <c r="B49" s="183">
        <v>19623</v>
      </c>
      <c r="C49" s="14" t="s">
        <v>24</v>
      </c>
      <c r="D49" s="105">
        <v>12616.8</v>
      </c>
      <c r="E49" s="23">
        <v>42144</v>
      </c>
      <c r="F49" s="106">
        <v>12616.8</v>
      </c>
      <c r="G49" s="25">
        <f t="shared" si="0"/>
        <v>0</v>
      </c>
      <c r="H49" s="19" t="s">
        <v>312</v>
      </c>
      <c r="I49" s="3"/>
      <c r="J49" s="42"/>
      <c r="K49" s="3"/>
      <c r="M49" s="12">
        <v>42149</v>
      </c>
      <c r="N49" s="183">
        <v>22229</v>
      </c>
      <c r="O49" s="14" t="s">
        <v>877</v>
      </c>
      <c r="P49" s="105">
        <v>5948</v>
      </c>
      <c r="Q49" s="65">
        <v>42151</v>
      </c>
      <c r="R49" s="106">
        <v>5948</v>
      </c>
      <c r="S49" s="31">
        <f t="shared" si="1"/>
        <v>0</v>
      </c>
      <c r="T49" s="39" t="s">
        <v>149</v>
      </c>
    </row>
    <row r="50" spans="1:20" x14ac:dyDescent="0.25">
      <c r="A50" s="20">
        <v>42125</v>
      </c>
      <c r="B50" s="183">
        <v>19624</v>
      </c>
      <c r="C50" s="14" t="s">
        <v>131</v>
      </c>
      <c r="D50" s="105">
        <v>7477.4</v>
      </c>
      <c r="E50" s="23">
        <v>42125</v>
      </c>
      <c r="F50" s="106">
        <v>7477.4</v>
      </c>
      <c r="G50" s="25">
        <f t="shared" si="0"/>
        <v>0</v>
      </c>
      <c r="H50" s="19" t="s">
        <v>1257</v>
      </c>
      <c r="I50" s="3"/>
      <c r="J50" s="42"/>
      <c r="K50" s="3"/>
      <c r="M50" s="20">
        <v>42152</v>
      </c>
      <c r="N50" s="183">
        <v>22517</v>
      </c>
      <c r="O50" s="14" t="s">
        <v>877</v>
      </c>
      <c r="P50" s="105">
        <v>1678.8</v>
      </c>
      <c r="Q50" s="23">
        <v>42154</v>
      </c>
      <c r="R50" s="106">
        <v>1678.8</v>
      </c>
      <c r="S50" s="31">
        <f t="shared" si="1"/>
        <v>0</v>
      </c>
      <c r="T50" s="39" t="s">
        <v>149</v>
      </c>
    </row>
    <row r="51" spans="1:20" x14ac:dyDescent="0.25">
      <c r="A51" s="12">
        <v>42125</v>
      </c>
      <c r="B51" s="183">
        <v>19625</v>
      </c>
      <c r="C51" s="14" t="s">
        <v>164</v>
      </c>
      <c r="D51" s="105">
        <v>2860.2</v>
      </c>
      <c r="E51" s="23">
        <v>42125</v>
      </c>
      <c r="F51" s="106">
        <v>2860.2</v>
      </c>
      <c r="G51" s="25">
        <f t="shared" si="0"/>
        <v>0</v>
      </c>
      <c r="H51" s="19" t="s">
        <v>9</v>
      </c>
      <c r="I51" s="3"/>
      <c r="J51" s="42"/>
      <c r="K51" s="3"/>
      <c r="M51" s="12">
        <v>42127</v>
      </c>
      <c r="N51" s="183">
        <v>19862</v>
      </c>
      <c r="O51" s="40" t="s">
        <v>383</v>
      </c>
      <c r="P51" s="105">
        <v>1937.6</v>
      </c>
      <c r="Q51" s="23">
        <v>42127</v>
      </c>
      <c r="R51" s="106">
        <v>1937.6</v>
      </c>
      <c r="S51" s="31">
        <f t="shared" si="1"/>
        <v>0</v>
      </c>
      <c r="T51" s="41" t="s">
        <v>9</v>
      </c>
    </row>
    <row r="52" spans="1:20" x14ac:dyDescent="0.25">
      <c r="A52" s="20">
        <v>42125</v>
      </c>
      <c r="B52" s="183">
        <v>19626</v>
      </c>
      <c r="C52" s="14" t="s">
        <v>213</v>
      </c>
      <c r="D52" s="105">
        <v>13780.32</v>
      </c>
      <c r="E52" s="23">
        <v>42125</v>
      </c>
      <c r="F52" s="106">
        <v>13780.32</v>
      </c>
      <c r="G52" s="25">
        <f t="shared" si="0"/>
        <v>0</v>
      </c>
      <c r="H52" s="19" t="s">
        <v>1257</v>
      </c>
      <c r="I52" s="3"/>
      <c r="J52" s="42"/>
      <c r="K52" s="3"/>
      <c r="M52" s="20">
        <v>42128</v>
      </c>
      <c r="N52" s="183">
        <v>19891</v>
      </c>
      <c r="O52" s="14" t="s">
        <v>383</v>
      </c>
      <c r="P52" s="105">
        <v>3655.15</v>
      </c>
      <c r="Q52" s="23">
        <v>42128</v>
      </c>
      <c r="R52" s="106">
        <v>3655.15</v>
      </c>
      <c r="S52" s="31">
        <f t="shared" si="1"/>
        <v>0</v>
      </c>
      <c r="T52" s="19" t="s">
        <v>9</v>
      </c>
    </row>
    <row r="53" spans="1:20" x14ac:dyDescent="0.25">
      <c r="A53" s="12">
        <v>42125</v>
      </c>
      <c r="B53" s="183">
        <v>19627</v>
      </c>
      <c r="C53" s="14" t="s">
        <v>130</v>
      </c>
      <c r="D53" s="105">
        <v>4894.7</v>
      </c>
      <c r="E53" s="23">
        <v>42126</v>
      </c>
      <c r="F53" s="106">
        <v>4894.7</v>
      </c>
      <c r="G53" s="25">
        <f t="shared" si="0"/>
        <v>0</v>
      </c>
      <c r="H53" s="19" t="s">
        <v>1257</v>
      </c>
      <c r="I53" s="3"/>
      <c r="J53" s="42"/>
      <c r="K53" s="3"/>
      <c r="M53" s="12">
        <v>42129</v>
      </c>
      <c r="N53" s="183">
        <v>20021</v>
      </c>
      <c r="O53" s="150" t="s">
        <v>383</v>
      </c>
      <c r="P53" s="105">
        <v>2557.1999999999998</v>
      </c>
      <c r="Q53" s="23">
        <v>42129</v>
      </c>
      <c r="R53" s="106">
        <v>2557.1999999999998</v>
      </c>
      <c r="S53" s="31">
        <f t="shared" si="1"/>
        <v>0</v>
      </c>
      <c r="T53" s="19" t="s">
        <v>9</v>
      </c>
    </row>
    <row r="54" spans="1:20" x14ac:dyDescent="0.25">
      <c r="A54" s="20">
        <v>42125</v>
      </c>
      <c r="B54" s="183">
        <v>19628</v>
      </c>
      <c r="C54" s="14" t="s">
        <v>143</v>
      </c>
      <c r="D54" s="105">
        <v>2241</v>
      </c>
      <c r="E54" s="23">
        <v>42128</v>
      </c>
      <c r="F54" s="106">
        <v>2241</v>
      </c>
      <c r="G54" s="25">
        <f t="shared" si="0"/>
        <v>0</v>
      </c>
      <c r="H54" s="19" t="s">
        <v>1257</v>
      </c>
      <c r="I54" s="3"/>
      <c r="J54" s="42"/>
      <c r="K54" s="3"/>
      <c r="M54" s="20">
        <v>42129</v>
      </c>
      <c r="N54" s="183">
        <v>20042</v>
      </c>
      <c r="O54" s="14" t="s">
        <v>383</v>
      </c>
      <c r="P54" s="105">
        <v>2233</v>
      </c>
      <c r="Q54" s="23">
        <v>42129</v>
      </c>
      <c r="R54" s="106">
        <v>2233</v>
      </c>
      <c r="S54" s="31">
        <f t="shared" si="1"/>
        <v>0</v>
      </c>
      <c r="T54" s="39" t="s">
        <v>9</v>
      </c>
    </row>
    <row r="55" spans="1:20" x14ac:dyDescent="0.25">
      <c r="A55" s="12">
        <v>42125</v>
      </c>
      <c r="B55" s="183">
        <v>19629</v>
      </c>
      <c r="C55" s="14" t="s">
        <v>1262</v>
      </c>
      <c r="D55" s="105">
        <v>80018.06</v>
      </c>
      <c r="E55" s="23">
        <v>42142</v>
      </c>
      <c r="F55" s="106">
        <v>80018.06</v>
      </c>
      <c r="G55" s="25">
        <f t="shared" si="0"/>
        <v>0</v>
      </c>
      <c r="H55" s="19" t="s">
        <v>46</v>
      </c>
      <c r="I55" s="3"/>
      <c r="J55" s="42"/>
      <c r="K55" s="3"/>
      <c r="M55" s="12">
        <v>42130</v>
      </c>
      <c r="N55" s="183">
        <v>20107</v>
      </c>
      <c r="O55" s="50" t="s">
        <v>383</v>
      </c>
      <c r="P55" s="105">
        <v>2998.6</v>
      </c>
      <c r="Q55" s="23">
        <v>42130</v>
      </c>
      <c r="R55" s="106">
        <v>2998.6</v>
      </c>
      <c r="S55" s="31">
        <f t="shared" si="1"/>
        <v>0</v>
      </c>
      <c r="T55" s="39" t="s">
        <v>9</v>
      </c>
    </row>
    <row r="56" spans="1:20" x14ac:dyDescent="0.25">
      <c r="A56" s="20">
        <v>42125</v>
      </c>
      <c r="B56" s="183">
        <v>19630</v>
      </c>
      <c r="C56" s="110">
        <v>105</v>
      </c>
      <c r="D56" s="105">
        <v>2088</v>
      </c>
      <c r="E56" s="23">
        <v>42129</v>
      </c>
      <c r="F56" s="106">
        <v>2088</v>
      </c>
      <c r="G56" s="25">
        <f t="shared" si="0"/>
        <v>0</v>
      </c>
      <c r="H56" s="19" t="s">
        <v>59</v>
      </c>
      <c r="I56" s="3"/>
      <c r="J56" s="42"/>
      <c r="K56" s="3"/>
      <c r="M56" s="20">
        <v>42130</v>
      </c>
      <c r="N56" s="183">
        <v>20129</v>
      </c>
      <c r="O56" s="14" t="s">
        <v>383</v>
      </c>
      <c r="P56" s="105">
        <v>2758.25</v>
      </c>
      <c r="Q56" s="23">
        <v>42130</v>
      </c>
      <c r="R56" s="106">
        <v>2758.25</v>
      </c>
      <c r="S56" s="31">
        <f t="shared" si="1"/>
        <v>0</v>
      </c>
      <c r="T56" s="39" t="s">
        <v>41</v>
      </c>
    </row>
    <row r="57" spans="1:20" x14ac:dyDescent="0.25">
      <c r="A57" s="12">
        <v>42125</v>
      </c>
      <c r="B57" s="183">
        <v>19631</v>
      </c>
      <c r="C57" s="14" t="s">
        <v>694</v>
      </c>
      <c r="D57" s="105">
        <v>2354.8000000000002</v>
      </c>
      <c r="E57" s="23">
        <v>42126</v>
      </c>
      <c r="F57" s="106">
        <v>2354.8000000000002</v>
      </c>
      <c r="G57" s="25">
        <f t="shared" si="0"/>
        <v>0</v>
      </c>
      <c r="H57" s="19" t="s">
        <v>9</v>
      </c>
      <c r="I57" s="3"/>
      <c r="J57" s="42"/>
      <c r="K57" s="3"/>
      <c r="M57" s="12">
        <v>42132</v>
      </c>
      <c r="N57" s="183">
        <v>20332</v>
      </c>
      <c r="O57" s="14" t="s">
        <v>383</v>
      </c>
      <c r="P57" s="105">
        <v>9236.6</v>
      </c>
      <c r="Q57" s="23">
        <v>42132</v>
      </c>
      <c r="R57" s="106">
        <v>9236.6</v>
      </c>
      <c r="S57" s="31">
        <f t="shared" si="1"/>
        <v>0</v>
      </c>
      <c r="T57" s="39" t="s">
        <v>9</v>
      </c>
    </row>
    <row r="58" spans="1:20" x14ac:dyDescent="0.25">
      <c r="A58" s="20">
        <v>42125</v>
      </c>
      <c r="B58" s="183">
        <v>19632</v>
      </c>
      <c r="C58" s="14" t="s">
        <v>24</v>
      </c>
      <c r="D58" s="105">
        <v>1646.4</v>
      </c>
      <c r="E58" s="23">
        <v>42144</v>
      </c>
      <c r="F58" s="106">
        <v>1646.4</v>
      </c>
      <c r="G58" s="25">
        <f t="shared" si="0"/>
        <v>0</v>
      </c>
      <c r="H58" s="19" t="s">
        <v>312</v>
      </c>
      <c r="I58" s="3"/>
      <c r="J58" s="42"/>
      <c r="K58" s="3"/>
      <c r="M58" s="20">
        <v>42133</v>
      </c>
      <c r="N58" s="183">
        <v>20579</v>
      </c>
      <c r="O58" s="14" t="s">
        <v>383</v>
      </c>
      <c r="P58" s="105">
        <v>2646</v>
      </c>
      <c r="Q58" s="23">
        <v>42133</v>
      </c>
      <c r="R58" s="106">
        <v>2646</v>
      </c>
      <c r="S58" s="31">
        <f t="shared" si="1"/>
        <v>0</v>
      </c>
      <c r="T58" s="19" t="s">
        <v>9</v>
      </c>
    </row>
    <row r="59" spans="1:20" x14ac:dyDescent="0.25">
      <c r="A59" s="12">
        <v>42125</v>
      </c>
      <c r="B59" s="183">
        <v>19633</v>
      </c>
      <c r="C59" s="14" t="s">
        <v>133</v>
      </c>
      <c r="D59" s="105">
        <v>29019.1</v>
      </c>
      <c r="E59" s="23">
        <v>42125</v>
      </c>
      <c r="F59" s="106">
        <v>29019.1</v>
      </c>
      <c r="G59" s="25">
        <f t="shared" si="0"/>
        <v>0</v>
      </c>
      <c r="H59" s="19" t="s">
        <v>9</v>
      </c>
      <c r="I59" s="3"/>
      <c r="J59" s="42"/>
      <c r="K59" s="3"/>
      <c r="M59" s="12">
        <v>42134</v>
      </c>
      <c r="N59" s="183">
        <v>20593</v>
      </c>
      <c r="O59" s="14" t="s">
        <v>383</v>
      </c>
      <c r="P59" s="105">
        <v>5426.4</v>
      </c>
      <c r="Q59" s="23">
        <v>42134</v>
      </c>
      <c r="R59" s="106">
        <v>5426.4</v>
      </c>
      <c r="S59" s="31">
        <f t="shared" si="1"/>
        <v>0</v>
      </c>
      <c r="T59" s="39" t="s">
        <v>9</v>
      </c>
    </row>
    <row r="60" spans="1:20" x14ac:dyDescent="0.25">
      <c r="A60" s="20">
        <v>42125</v>
      </c>
      <c r="B60" s="183">
        <v>19634</v>
      </c>
      <c r="C60" s="14" t="s">
        <v>24</v>
      </c>
      <c r="D60" s="105">
        <v>7575.96</v>
      </c>
      <c r="E60" s="23">
        <v>42144</v>
      </c>
      <c r="F60" s="106">
        <v>7575.96</v>
      </c>
      <c r="G60" s="25">
        <f t="shared" si="0"/>
        <v>0</v>
      </c>
      <c r="H60" s="19" t="s">
        <v>312</v>
      </c>
      <c r="I60" s="3"/>
      <c r="J60" s="42"/>
      <c r="K60" s="3"/>
      <c r="M60" s="20">
        <v>42135</v>
      </c>
      <c r="N60" s="183">
        <v>20668</v>
      </c>
      <c r="O60" s="14" t="s">
        <v>383</v>
      </c>
      <c r="P60" s="105">
        <v>5581.2</v>
      </c>
      <c r="Q60" s="23">
        <v>42135</v>
      </c>
      <c r="R60" s="106">
        <v>5581.2</v>
      </c>
      <c r="S60" s="31">
        <f t="shared" si="1"/>
        <v>0</v>
      </c>
      <c r="T60" s="39" t="s">
        <v>9</v>
      </c>
    </row>
    <row r="61" spans="1:20" x14ac:dyDescent="0.25">
      <c r="A61" s="12">
        <v>42125</v>
      </c>
      <c r="B61" s="183">
        <v>19635</v>
      </c>
      <c r="C61" s="14" t="s">
        <v>133</v>
      </c>
      <c r="D61" s="105">
        <v>4537.2</v>
      </c>
      <c r="E61" s="23">
        <v>42125</v>
      </c>
      <c r="F61" s="106">
        <v>4537.2</v>
      </c>
      <c r="G61" s="25">
        <f t="shared" si="0"/>
        <v>0</v>
      </c>
      <c r="H61" s="19" t="s">
        <v>9</v>
      </c>
      <c r="I61" s="3"/>
      <c r="J61" s="42"/>
      <c r="K61" s="3"/>
      <c r="M61" s="12">
        <v>42136</v>
      </c>
      <c r="N61" s="183">
        <v>20790</v>
      </c>
      <c r="O61" s="14" t="s">
        <v>383</v>
      </c>
      <c r="P61" s="105">
        <v>5469.4</v>
      </c>
      <c r="Q61" s="23">
        <v>42136</v>
      </c>
      <c r="R61" s="106">
        <v>5469.4</v>
      </c>
      <c r="S61" s="31">
        <f t="shared" si="1"/>
        <v>0</v>
      </c>
      <c r="T61" s="19" t="s">
        <v>9</v>
      </c>
    </row>
    <row r="62" spans="1:20" x14ac:dyDescent="0.25">
      <c r="A62" s="20">
        <v>42125</v>
      </c>
      <c r="B62" s="183">
        <v>19636</v>
      </c>
      <c r="C62" s="14" t="s">
        <v>89</v>
      </c>
      <c r="D62" s="105">
        <v>3914.6</v>
      </c>
      <c r="E62" s="23">
        <v>42125</v>
      </c>
      <c r="F62" s="106">
        <v>3914.6</v>
      </c>
      <c r="G62" s="25">
        <f t="shared" si="0"/>
        <v>0</v>
      </c>
      <c r="H62" s="19" t="s">
        <v>9</v>
      </c>
      <c r="I62" s="3"/>
      <c r="J62" s="42"/>
      <c r="K62" s="3"/>
      <c r="M62" s="20">
        <v>42138</v>
      </c>
      <c r="N62" s="183">
        <v>20964</v>
      </c>
      <c r="O62" s="14" t="s">
        <v>383</v>
      </c>
      <c r="P62" s="105">
        <v>5664.6</v>
      </c>
      <c r="Q62" s="23">
        <v>42138</v>
      </c>
      <c r="R62" s="106">
        <v>5664.6</v>
      </c>
      <c r="S62" s="31">
        <f t="shared" si="1"/>
        <v>0</v>
      </c>
      <c r="T62" s="19" t="s">
        <v>9</v>
      </c>
    </row>
    <row r="63" spans="1:20" x14ac:dyDescent="0.25">
      <c r="A63" s="12">
        <v>42125</v>
      </c>
      <c r="B63" s="183">
        <v>19637</v>
      </c>
      <c r="C63" s="14" t="s">
        <v>135</v>
      </c>
      <c r="D63" s="105">
        <v>20269.5</v>
      </c>
      <c r="E63" s="23">
        <v>42125</v>
      </c>
      <c r="F63" s="106">
        <v>20269.5</v>
      </c>
      <c r="G63" s="25">
        <f t="shared" si="0"/>
        <v>0</v>
      </c>
      <c r="H63" s="19" t="s">
        <v>9</v>
      </c>
      <c r="I63" s="3"/>
      <c r="J63" s="42"/>
      <c r="K63" s="3"/>
      <c r="M63" s="12">
        <v>42138</v>
      </c>
      <c r="N63" s="183">
        <v>21052</v>
      </c>
      <c r="O63" s="14" t="s">
        <v>383</v>
      </c>
      <c r="P63" s="105">
        <v>415.8</v>
      </c>
      <c r="Q63" s="23">
        <v>42138</v>
      </c>
      <c r="R63" s="106">
        <v>415.8</v>
      </c>
      <c r="S63" s="48">
        <f t="shared" si="1"/>
        <v>0</v>
      </c>
      <c r="T63" s="39" t="s">
        <v>9</v>
      </c>
    </row>
    <row r="64" spans="1:20" x14ac:dyDescent="0.25">
      <c r="A64" s="20">
        <v>42125</v>
      </c>
      <c r="B64" s="183">
        <v>19638</v>
      </c>
      <c r="C64" s="14" t="s">
        <v>571</v>
      </c>
      <c r="D64" s="105">
        <v>379427.4</v>
      </c>
      <c r="E64" s="23">
        <v>42135</v>
      </c>
      <c r="F64" s="106">
        <v>379427.4</v>
      </c>
      <c r="G64" s="25">
        <f t="shared" si="0"/>
        <v>0</v>
      </c>
      <c r="H64" s="19" t="s">
        <v>1013</v>
      </c>
      <c r="I64" s="3"/>
      <c r="J64" s="42"/>
      <c r="K64" s="3"/>
      <c r="M64" s="20">
        <v>42139</v>
      </c>
      <c r="N64" s="183">
        <v>21085</v>
      </c>
      <c r="O64" s="14" t="s">
        <v>383</v>
      </c>
      <c r="P64" s="105">
        <v>7441.4</v>
      </c>
      <c r="Q64" s="23">
        <v>42139</v>
      </c>
      <c r="R64" s="106">
        <v>7441.4</v>
      </c>
      <c r="S64" s="48">
        <f t="shared" si="1"/>
        <v>0</v>
      </c>
      <c r="T64" s="39" t="s">
        <v>9</v>
      </c>
    </row>
    <row r="65" spans="1:20" x14ac:dyDescent="0.25">
      <c r="A65" s="12">
        <v>42125</v>
      </c>
      <c r="B65" s="183">
        <v>19639</v>
      </c>
      <c r="C65" s="14" t="s">
        <v>25</v>
      </c>
      <c r="D65" s="105">
        <v>2820</v>
      </c>
      <c r="E65" s="23">
        <v>42125</v>
      </c>
      <c r="F65" s="106">
        <v>2820</v>
      </c>
      <c r="G65" s="25">
        <f t="shared" si="0"/>
        <v>0</v>
      </c>
      <c r="H65" s="19" t="s">
        <v>9</v>
      </c>
      <c r="K65" s="3"/>
      <c r="M65" s="12">
        <v>42143</v>
      </c>
      <c r="N65" s="183">
        <v>21540</v>
      </c>
      <c r="O65" s="14" t="s">
        <v>383</v>
      </c>
      <c r="P65" s="105">
        <v>6899.4</v>
      </c>
      <c r="Q65" s="23">
        <v>42143</v>
      </c>
      <c r="R65" s="118">
        <v>6899.4</v>
      </c>
      <c r="S65" s="31">
        <f t="shared" si="1"/>
        <v>0</v>
      </c>
      <c r="T65" s="56" t="s">
        <v>9</v>
      </c>
    </row>
    <row r="66" spans="1:20" x14ac:dyDescent="0.25">
      <c r="A66" s="20">
        <v>42125</v>
      </c>
      <c r="B66" s="183">
        <v>19640</v>
      </c>
      <c r="C66" s="14" t="s">
        <v>170</v>
      </c>
      <c r="D66" s="105">
        <v>5775</v>
      </c>
      <c r="E66" s="23">
        <v>42126</v>
      </c>
      <c r="F66" s="106">
        <v>5775</v>
      </c>
      <c r="G66" s="25">
        <f t="shared" si="0"/>
        <v>0</v>
      </c>
      <c r="H66" s="19" t="s">
        <v>62</v>
      </c>
      <c r="J66" s="107"/>
      <c r="K66" s="3"/>
      <c r="M66" s="20">
        <v>42144</v>
      </c>
      <c r="N66" s="183">
        <v>21642</v>
      </c>
      <c r="O66" s="14" t="s">
        <v>383</v>
      </c>
      <c r="P66" s="105">
        <v>2814</v>
      </c>
      <c r="Q66" s="23">
        <v>42144</v>
      </c>
      <c r="R66" s="118">
        <v>2814</v>
      </c>
      <c r="S66" s="31">
        <f t="shared" si="1"/>
        <v>0</v>
      </c>
      <c r="T66" s="62" t="s">
        <v>9</v>
      </c>
    </row>
    <row r="67" spans="1:20" x14ac:dyDescent="0.25">
      <c r="A67" s="12">
        <v>42125</v>
      </c>
      <c r="B67" s="183">
        <v>19641</v>
      </c>
      <c r="C67" s="26" t="s">
        <v>218</v>
      </c>
      <c r="D67" s="105">
        <v>0</v>
      </c>
      <c r="E67" s="23"/>
      <c r="F67" s="106"/>
      <c r="G67" s="31">
        <f t="shared" ref="G67:G130" si="2">D67-F67</f>
        <v>0</v>
      </c>
      <c r="H67" s="19" t="s">
        <v>13</v>
      </c>
      <c r="K67" s="3"/>
      <c r="M67" s="12">
        <v>42146</v>
      </c>
      <c r="N67" s="183">
        <v>21837</v>
      </c>
      <c r="O67" s="15" t="s">
        <v>383</v>
      </c>
      <c r="P67" s="122">
        <v>3635.1</v>
      </c>
      <c r="Q67" s="23">
        <v>42146</v>
      </c>
      <c r="R67" s="118">
        <v>3635.1</v>
      </c>
      <c r="S67" s="31">
        <f t="shared" ref="S67:S130" si="3">P67-R67</f>
        <v>0</v>
      </c>
      <c r="T67" s="68" t="s">
        <v>9</v>
      </c>
    </row>
    <row r="68" spans="1:20" x14ac:dyDescent="0.25">
      <c r="A68" s="20">
        <v>42125</v>
      </c>
      <c r="B68" s="183">
        <v>19642</v>
      </c>
      <c r="C68" s="14" t="s">
        <v>78</v>
      </c>
      <c r="D68" s="105">
        <v>5327.2</v>
      </c>
      <c r="E68" s="23">
        <v>42126</v>
      </c>
      <c r="F68" s="106">
        <v>5327.2</v>
      </c>
      <c r="G68" s="25">
        <f t="shared" si="2"/>
        <v>0</v>
      </c>
      <c r="H68" s="19" t="s">
        <v>62</v>
      </c>
      <c r="K68" s="3"/>
      <c r="M68" s="20">
        <v>42146</v>
      </c>
      <c r="N68" s="183">
        <v>21841</v>
      </c>
      <c r="O68" s="15" t="s">
        <v>383</v>
      </c>
      <c r="P68" s="122">
        <v>3114</v>
      </c>
      <c r="Q68" s="23">
        <v>42146</v>
      </c>
      <c r="R68" s="118">
        <v>3114</v>
      </c>
      <c r="S68" s="31">
        <f t="shared" si="3"/>
        <v>0</v>
      </c>
      <c r="T68" s="68" t="s">
        <v>9</v>
      </c>
    </row>
    <row r="69" spans="1:20" x14ac:dyDescent="0.25">
      <c r="A69" s="12">
        <v>42125</v>
      </c>
      <c r="B69" s="183">
        <v>19643</v>
      </c>
      <c r="C69" s="14" t="s">
        <v>67</v>
      </c>
      <c r="D69" s="105">
        <v>3781.4</v>
      </c>
      <c r="E69" s="23">
        <v>42126</v>
      </c>
      <c r="F69" s="106">
        <v>3781.4</v>
      </c>
      <c r="G69" s="32">
        <f t="shared" si="2"/>
        <v>0</v>
      </c>
      <c r="H69" s="19" t="s">
        <v>9</v>
      </c>
      <c r="K69" s="3"/>
      <c r="M69" s="12">
        <v>42147</v>
      </c>
      <c r="N69" s="183">
        <v>21972</v>
      </c>
      <c r="O69" s="14" t="s">
        <v>383</v>
      </c>
      <c r="P69" s="105">
        <v>5091.05</v>
      </c>
      <c r="Q69" s="65">
        <v>42147</v>
      </c>
      <c r="R69" s="106">
        <v>5091.05</v>
      </c>
      <c r="S69" s="32">
        <f t="shared" si="3"/>
        <v>0</v>
      </c>
      <c r="T69" s="39" t="s">
        <v>9</v>
      </c>
    </row>
    <row r="70" spans="1:20" x14ac:dyDescent="0.25">
      <c r="A70" s="20">
        <v>42125</v>
      </c>
      <c r="B70" s="183">
        <v>19644</v>
      </c>
      <c r="C70" s="14" t="s">
        <v>99</v>
      </c>
      <c r="D70" s="105">
        <v>1094</v>
      </c>
      <c r="E70" s="23">
        <v>42125</v>
      </c>
      <c r="F70" s="106">
        <v>1094</v>
      </c>
      <c r="G70" s="25">
        <f t="shared" si="2"/>
        <v>0</v>
      </c>
      <c r="H70" s="19" t="s">
        <v>41</v>
      </c>
      <c r="K70" s="3"/>
      <c r="M70" s="20">
        <v>42147</v>
      </c>
      <c r="N70" s="183">
        <v>21982</v>
      </c>
      <c r="O70" s="14" t="s">
        <v>383</v>
      </c>
      <c r="P70" s="105">
        <v>7498.9</v>
      </c>
      <c r="Q70" s="65">
        <v>42147</v>
      </c>
      <c r="R70" s="106">
        <v>7498.9</v>
      </c>
      <c r="S70" s="31">
        <f t="shared" si="3"/>
        <v>0</v>
      </c>
      <c r="T70" s="39" t="s">
        <v>9</v>
      </c>
    </row>
    <row r="71" spans="1:20" x14ac:dyDescent="0.25">
      <c r="A71" s="12">
        <v>42125</v>
      </c>
      <c r="B71" s="183">
        <v>19645</v>
      </c>
      <c r="C71" s="14" t="s">
        <v>65</v>
      </c>
      <c r="D71" s="105">
        <v>10437</v>
      </c>
      <c r="E71" s="23">
        <v>42126</v>
      </c>
      <c r="F71" s="106">
        <v>10437</v>
      </c>
      <c r="G71" s="25">
        <f t="shared" si="2"/>
        <v>0</v>
      </c>
      <c r="H71" s="19" t="s">
        <v>62</v>
      </c>
      <c r="K71" s="3"/>
      <c r="M71" s="12">
        <v>42147</v>
      </c>
      <c r="N71" s="183">
        <v>21991</v>
      </c>
      <c r="O71" s="14" t="s">
        <v>383</v>
      </c>
      <c r="P71" s="105">
        <v>6767.3</v>
      </c>
      <c r="Q71" s="65">
        <v>42147</v>
      </c>
      <c r="R71" s="106">
        <v>6767.3</v>
      </c>
      <c r="S71" s="31">
        <f t="shared" si="3"/>
        <v>0</v>
      </c>
      <c r="T71" s="39" t="s">
        <v>9</v>
      </c>
    </row>
    <row r="72" spans="1:20" x14ac:dyDescent="0.25">
      <c r="A72" s="20">
        <v>42125</v>
      </c>
      <c r="B72" s="183">
        <v>19646</v>
      </c>
      <c r="C72" s="14" t="s">
        <v>84</v>
      </c>
      <c r="D72" s="105">
        <v>32468.400000000001</v>
      </c>
      <c r="E72" s="30" t="s">
        <v>1263</v>
      </c>
      <c r="F72" s="106">
        <v>32468.400000000001</v>
      </c>
      <c r="G72" s="25">
        <f t="shared" si="2"/>
        <v>0</v>
      </c>
      <c r="H72" s="19" t="s">
        <v>62</v>
      </c>
      <c r="K72" s="3"/>
      <c r="M72" s="20">
        <v>42148</v>
      </c>
      <c r="N72" s="183">
        <v>22068</v>
      </c>
      <c r="O72" s="14" t="s">
        <v>383</v>
      </c>
      <c r="P72" s="105">
        <v>4563.2</v>
      </c>
      <c r="Q72" s="65">
        <v>42148</v>
      </c>
      <c r="R72" s="106">
        <v>4563.2</v>
      </c>
      <c r="S72" s="31">
        <f t="shared" si="3"/>
        <v>0</v>
      </c>
      <c r="T72" s="39" t="s">
        <v>9</v>
      </c>
    </row>
    <row r="73" spans="1:20" x14ac:dyDescent="0.25">
      <c r="A73" s="12">
        <v>42125</v>
      </c>
      <c r="B73" s="183">
        <v>19647</v>
      </c>
      <c r="C73" s="26" t="s">
        <v>218</v>
      </c>
      <c r="D73" s="105">
        <v>0</v>
      </c>
      <c r="E73" s="23"/>
      <c r="F73" s="106"/>
      <c r="G73" s="25">
        <f t="shared" si="2"/>
        <v>0</v>
      </c>
      <c r="H73" s="19" t="s">
        <v>13</v>
      </c>
      <c r="K73" s="3"/>
      <c r="M73" s="12">
        <v>42149</v>
      </c>
      <c r="N73" s="183">
        <v>22137</v>
      </c>
      <c r="O73" s="14" t="s">
        <v>383</v>
      </c>
      <c r="P73" s="105">
        <v>6455.9</v>
      </c>
      <c r="Q73" s="65">
        <v>42149</v>
      </c>
      <c r="R73" s="106">
        <v>6455.9</v>
      </c>
      <c r="S73" s="31">
        <f t="shared" si="3"/>
        <v>0</v>
      </c>
      <c r="T73" s="39" t="s">
        <v>9</v>
      </c>
    </row>
    <row r="74" spans="1:20" x14ac:dyDescent="0.25">
      <c r="A74" s="20">
        <v>42125</v>
      </c>
      <c r="B74" s="183">
        <v>19648</v>
      </c>
      <c r="C74" s="14" t="s">
        <v>1264</v>
      </c>
      <c r="D74" s="105">
        <v>2281.4</v>
      </c>
      <c r="E74" s="23">
        <v>42125</v>
      </c>
      <c r="F74" s="106">
        <v>2281.4</v>
      </c>
      <c r="G74" s="25">
        <f t="shared" si="2"/>
        <v>0</v>
      </c>
      <c r="H74" s="19" t="s">
        <v>9</v>
      </c>
      <c r="K74" s="3"/>
      <c r="M74" s="20">
        <v>42150</v>
      </c>
      <c r="N74" s="183">
        <v>22253</v>
      </c>
      <c r="O74" s="14" t="s">
        <v>383</v>
      </c>
      <c r="P74" s="105">
        <v>2923.8</v>
      </c>
      <c r="Q74" s="65">
        <v>42150</v>
      </c>
      <c r="R74" s="106">
        <v>2923.8</v>
      </c>
      <c r="S74" s="31">
        <f t="shared" si="3"/>
        <v>0</v>
      </c>
      <c r="T74" s="39" t="s">
        <v>9</v>
      </c>
    </row>
    <row r="75" spans="1:20" x14ac:dyDescent="0.25">
      <c r="A75" s="12">
        <v>42125</v>
      </c>
      <c r="B75" s="183">
        <v>19649</v>
      </c>
      <c r="C75" s="14" t="s">
        <v>332</v>
      </c>
      <c r="D75" s="105">
        <v>2382.8000000000002</v>
      </c>
      <c r="E75" s="23">
        <v>42125</v>
      </c>
      <c r="F75" s="106">
        <v>2382.8000000000002</v>
      </c>
      <c r="G75" s="25">
        <f t="shared" si="2"/>
        <v>0</v>
      </c>
      <c r="H75" s="19" t="s">
        <v>9</v>
      </c>
      <c r="K75" s="3"/>
      <c r="M75" s="12">
        <v>42151</v>
      </c>
      <c r="N75" s="183">
        <v>22331</v>
      </c>
      <c r="O75" s="14" t="s">
        <v>383</v>
      </c>
      <c r="P75" s="105">
        <v>3337.4</v>
      </c>
      <c r="Q75" s="65">
        <v>42151</v>
      </c>
      <c r="R75" s="106">
        <v>3337.4</v>
      </c>
      <c r="S75" s="31">
        <f t="shared" si="3"/>
        <v>0</v>
      </c>
      <c r="T75" s="39" t="s">
        <v>9</v>
      </c>
    </row>
    <row r="76" spans="1:20" x14ac:dyDescent="0.25">
      <c r="A76" s="20">
        <v>42125</v>
      </c>
      <c r="B76" s="183">
        <v>19650</v>
      </c>
      <c r="C76" s="14" t="s">
        <v>151</v>
      </c>
      <c r="D76" s="105">
        <v>3204.35</v>
      </c>
      <c r="E76" s="23">
        <v>42126</v>
      </c>
      <c r="F76" s="106">
        <v>3204.35</v>
      </c>
      <c r="G76" s="25">
        <f t="shared" si="2"/>
        <v>0</v>
      </c>
      <c r="H76" s="19" t="s">
        <v>9</v>
      </c>
      <c r="K76" s="3"/>
      <c r="M76" s="20">
        <v>42152</v>
      </c>
      <c r="N76" s="183">
        <v>22427</v>
      </c>
      <c r="O76" s="14" t="s">
        <v>383</v>
      </c>
      <c r="P76" s="105">
        <v>5293.2</v>
      </c>
      <c r="Q76" s="23">
        <v>42152</v>
      </c>
      <c r="R76" s="106">
        <v>5293.2</v>
      </c>
      <c r="S76" s="31">
        <f t="shared" si="3"/>
        <v>0</v>
      </c>
      <c r="T76" s="39" t="s">
        <v>9</v>
      </c>
    </row>
    <row r="77" spans="1:20" x14ac:dyDescent="0.25">
      <c r="A77" s="12">
        <v>42125</v>
      </c>
      <c r="B77" s="183">
        <v>19651</v>
      </c>
      <c r="C77" s="14" t="s">
        <v>426</v>
      </c>
      <c r="D77" s="105">
        <v>5143.2</v>
      </c>
      <c r="E77" s="23">
        <v>42126</v>
      </c>
      <c r="F77" s="106">
        <v>5143.2</v>
      </c>
      <c r="G77" s="25">
        <f t="shared" si="2"/>
        <v>0</v>
      </c>
      <c r="H77" s="19" t="s">
        <v>62</v>
      </c>
      <c r="K77" s="3"/>
      <c r="M77" s="12">
        <v>42153</v>
      </c>
      <c r="N77" s="183">
        <v>22552</v>
      </c>
      <c r="O77" s="14" t="s">
        <v>383</v>
      </c>
      <c r="P77" s="105">
        <v>8065.2</v>
      </c>
      <c r="Q77" s="23">
        <v>42153</v>
      </c>
      <c r="R77" s="106">
        <v>8065.2</v>
      </c>
      <c r="S77" s="31">
        <f t="shared" si="3"/>
        <v>0</v>
      </c>
      <c r="T77" s="39" t="s">
        <v>9</v>
      </c>
    </row>
    <row r="78" spans="1:20" x14ac:dyDescent="0.25">
      <c r="A78" s="20">
        <v>42125</v>
      </c>
      <c r="B78" s="183">
        <v>19652</v>
      </c>
      <c r="C78" s="14" t="s">
        <v>906</v>
      </c>
      <c r="D78" s="105">
        <v>1885.4</v>
      </c>
      <c r="E78" s="23">
        <v>42125</v>
      </c>
      <c r="F78" s="106">
        <v>1885.4</v>
      </c>
      <c r="G78" s="25">
        <f t="shared" si="2"/>
        <v>0</v>
      </c>
      <c r="H78" s="19" t="s">
        <v>62</v>
      </c>
      <c r="K78" s="3"/>
      <c r="M78" s="20">
        <v>42153</v>
      </c>
      <c r="N78" s="183">
        <v>22604</v>
      </c>
      <c r="O78" s="14" t="s">
        <v>383</v>
      </c>
      <c r="P78" s="105">
        <v>3304</v>
      </c>
      <c r="Q78" s="23">
        <v>42153</v>
      </c>
      <c r="R78" s="106">
        <v>3304</v>
      </c>
      <c r="S78" s="31">
        <f t="shared" si="3"/>
        <v>0</v>
      </c>
      <c r="T78" s="39" t="s">
        <v>9</v>
      </c>
    </row>
    <row r="79" spans="1:20" x14ac:dyDescent="0.25">
      <c r="A79" s="12">
        <v>42125</v>
      </c>
      <c r="B79" s="183">
        <v>19653</v>
      </c>
      <c r="C79" s="14" t="s">
        <v>141</v>
      </c>
      <c r="D79" s="105">
        <v>3917.4</v>
      </c>
      <c r="E79" s="23">
        <v>42125</v>
      </c>
      <c r="F79" s="106">
        <v>3917.4</v>
      </c>
      <c r="G79" s="25">
        <f t="shared" si="2"/>
        <v>0</v>
      </c>
      <c r="H79" s="19" t="s">
        <v>41</v>
      </c>
      <c r="K79" s="3"/>
      <c r="M79" s="12">
        <v>42154</v>
      </c>
      <c r="N79" s="183">
        <v>22715</v>
      </c>
      <c r="O79" s="14" t="s">
        <v>383</v>
      </c>
      <c r="P79" s="105">
        <v>8265.4</v>
      </c>
      <c r="Q79" s="23">
        <v>42154</v>
      </c>
      <c r="R79" s="106">
        <v>8265.4</v>
      </c>
      <c r="S79" s="31">
        <f t="shared" si="3"/>
        <v>0</v>
      </c>
      <c r="T79" s="39" t="s">
        <v>9</v>
      </c>
    </row>
    <row r="80" spans="1:20" x14ac:dyDescent="0.25">
      <c r="A80" s="20">
        <v>42125</v>
      </c>
      <c r="B80" s="183">
        <v>19654</v>
      </c>
      <c r="C80" s="14" t="s">
        <v>1117</v>
      </c>
      <c r="D80" s="105">
        <v>3579.5</v>
      </c>
      <c r="E80" s="23">
        <v>42125</v>
      </c>
      <c r="F80" s="106">
        <v>3579.5</v>
      </c>
      <c r="G80" s="25">
        <f t="shared" si="2"/>
        <v>0</v>
      </c>
      <c r="H80" s="19" t="s">
        <v>9</v>
      </c>
      <c r="K80" s="3"/>
      <c r="M80" s="20">
        <v>42155</v>
      </c>
      <c r="N80" s="183">
        <v>22815</v>
      </c>
      <c r="O80" s="14" t="s">
        <v>383</v>
      </c>
      <c r="P80" s="105">
        <v>3522</v>
      </c>
      <c r="Q80" s="23">
        <v>42155</v>
      </c>
      <c r="R80" s="106">
        <v>3522</v>
      </c>
      <c r="S80" s="31">
        <f t="shared" si="3"/>
        <v>0</v>
      </c>
      <c r="T80" s="39" t="s">
        <v>9</v>
      </c>
    </row>
    <row r="81" spans="1:20" x14ac:dyDescent="0.25">
      <c r="A81" s="12">
        <v>42125</v>
      </c>
      <c r="B81" s="183">
        <v>19655</v>
      </c>
      <c r="C81" s="14" t="s">
        <v>305</v>
      </c>
      <c r="D81" s="105">
        <v>2514.5</v>
      </c>
      <c r="E81" s="23">
        <v>42125</v>
      </c>
      <c r="F81" s="106">
        <v>2514.5</v>
      </c>
      <c r="G81" s="25">
        <f t="shared" si="2"/>
        <v>0</v>
      </c>
      <c r="H81" s="19" t="s">
        <v>9</v>
      </c>
      <c r="K81" s="3"/>
      <c r="M81" s="12">
        <v>42140</v>
      </c>
      <c r="N81" s="183">
        <v>21222</v>
      </c>
      <c r="O81" s="14" t="s">
        <v>1265</v>
      </c>
      <c r="P81" s="105">
        <v>2529.1999999999998</v>
      </c>
      <c r="Q81" s="23">
        <v>42140</v>
      </c>
      <c r="R81" s="106">
        <v>2529.1999999999998</v>
      </c>
      <c r="S81" s="48">
        <f t="shared" si="3"/>
        <v>0</v>
      </c>
      <c r="T81" s="39" t="s">
        <v>9</v>
      </c>
    </row>
    <row r="82" spans="1:20" x14ac:dyDescent="0.25">
      <c r="A82" s="20">
        <v>42125</v>
      </c>
      <c r="B82" s="183">
        <v>19656</v>
      </c>
      <c r="C82" s="34" t="s">
        <v>88</v>
      </c>
      <c r="D82" s="37">
        <v>1396.3</v>
      </c>
      <c r="E82" s="23">
        <v>42125</v>
      </c>
      <c r="F82" s="109">
        <v>1396.3</v>
      </c>
      <c r="G82" s="25">
        <f t="shared" si="2"/>
        <v>0</v>
      </c>
      <c r="H82" s="19" t="s">
        <v>9</v>
      </c>
      <c r="K82" s="3"/>
      <c r="M82" s="20">
        <v>42141</v>
      </c>
      <c r="N82" s="183">
        <v>21323</v>
      </c>
      <c r="O82" s="14" t="s">
        <v>1265</v>
      </c>
      <c r="P82" s="105">
        <v>7574.2</v>
      </c>
      <c r="Q82" s="23">
        <v>42141</v>
      </c>
      <c r="R82" s="118">
        <v>7574.2</v>
      </c>
      <c r="S82" s="31">
        <f t="shared" si="3"/>
        <v>0</v>
      </c>
      <c r="T82" s="62" t="s">
        <v>9</v>
      </c>
    </row>
    <row r="83" spans="1:20" x14ac:dyDescent="0.25">
      <c r="A83" s="12">
        <v>42125</v>
      </c>
      <c r="B83" s="183">
        <v>19657</v>
      </c>
      <c r="C83" s="204" t="s">
        <v>218</v>
      </c>
      <c r="D83" s="37">
        <v>0</v>
      </c>
      <c r="E83" s="23"/>
      <c r="F83" s="109"/>
      <c r="G83" s="25">
        <f t="shared" si="2"/>
        <v>0</v>
      </c>
      <c r="H83" s="19" t="s">
        <v>13</v>
      </c>
      <c r="K83" s="3"/>
      <c r="M83" s="12">
        <v>42142</v>
      </c>
      <c r="N83" s="183">
        <v>21390</v>
      </c>
      <c r="O83" s="14" t="s">
        <v>1265</v>
      </c>
      <c r="P83" s="105">
        <v>3978.1</v>
      </c>
      <c r="Q83" s="23">
        <v>42142</v>
      </c>
      <c r="R83" s="118">
        <v>3978.1</v>
      </c>
      <c r="S83" s="48">
        <f t="shared" si="3"/>
        <v>0</v>
      </c>
      <c r="T83" s="56" t="s">
        <v>9</v>
      </c>
    </row>
    <row r="84" spans="1:20" x14ac:dyDescent="0.25">
      <c r="A84" s="20">
        <v>42125</v>
      </c>
      <c r="B84" s="183">
        <v>19658</v>
      </c>
      <c r="C84" s="14" t="s">
        <v>173</v>
      </c>
      <c r="D84" s="105">
        <v>36288.6</v>
      </c>
      <c r="E84" s="30" t="s">
        <v>1266</v>
      </c>
      <c r="F84" s="106">
        <v>36288.6</v>
      </c>
      <c r="G84" s="25">
        <f t="shared" si="2"/>
        <v>0</v>
      </c>
      <c r="H84" s="39" t="s">
        <v>94</v>
      </c>
      <c r="K84" s="3"/>
      <c r="M84" s="20">
        <v>42126</v>
      </c>
      <c r="N84" s="183">
        <v>19801</v>
      </c>
      <c r="O84" s="40" t="s">
        <v>821</v>
      </c>
      <c r="P84" s="105">
        <v>3117</v>
      </c>
      <c r="Q84" s="23">
        <v>42126</v>
      </c>
      <c r="R84" s="106">
        <v>3117</v>
      </c>
      <c r="S84" s="31">
        <f t="shared" si="3"/>
        <v>0</v>
      </c>
      <c r="T84" s="41" t="s">
        <v>9</v>
      </c>
    </row>
    <row r="85" spans="1:20" x14ac:dyDescent="0.25">
      <c r="A85" s="12">
        <v>42125</v>
      </c>
      <c r="B85" s="183">
        <v>19659</v>
      </c>
      <c r="C85" s="14" t="s">
        <v>45</v>
      </c>
      <c r="D85" s="105">
        <v>63806.33</v>
      </c>
      <c r="E85" s="23">
        <v>42140</v>
      </c>
      <c r="F85" s="106">
        <v>63806.33</v>
      </c>
      <c r="G85" s="25">
        <f t="shared" si="2"/>
        <v>0</v>
      </c>
      <c r="H85" s="39" t="s">
        <v>46</v>
      </c>
      <c r="K85" s="3"/>
      <c r="M85" s="12">
        <v>42128</v>
      </c>
      <c r="N85" s="183">
        <v>19951</v>
      </c>
      <c r="O85" s="14" t="s">
        <v>821</v>
      </c>
      <c r="P85" s="105">
        <v>6525</v>
      </c>
      <c r="Q85" s="23">
        <v>42128</v>
      </c>
      <c r="R85" s="106">
        <v>6525</v>
      </c>
      <c r="S85" s="31">
        <f t="shared" si="3"/>
        <v>0</v>
      </c>
      <c r="T85" s="19" t="s">
        <v>9</v>
      </c>
    </row>
    <row r="86" spans="1:20" x14ac:dyDescent="0.25">
      <c r="A86" s="20">
        <v>42125</v>
      </c>
      <c r="B86" s="183">
        <v>19660</v>
      </c>
      <c r="C86" s="14" t="s">
        <v>75</v>
      </c>
      <c r="D86" s="105">
        <v>16596.2</v>
      </c>
      <c r="E86" s="23">
        <v>42126</v>
      </c>
      <c r="F86" s="106">
        <v>16596.2</v>
      </c>
      <c r="G86" s="25">
        <f t="shared" si="2"/>
        <v>0</v>
      </c>
      <c r="H86" s="39" t="s">
        <v>62</v>
      </c>
      <c r="K86" s="3"/>
      <c r="M86" s="20">
        <v>42130</v>
      </c>
      <c r="N86" s="183">
        <v>20166</v>
      </c>
      <c r="O86" s="14" t="s">
        <v>821</v>
      </c>
      <c r="P86" s="105">
        <v>5856</v>
      </c>
      <c r="Q86" s="23">
        <v>42130</v>
      </c>
      <c r="R86" s="106">
        <v>5856</v>
      </c>
      <c r="S86" s="31">
        <f t="shared" si="3"/>
        <v>0</v>
      </c>
      <c r="T86" s="39" t="s">
        <v>9</v>
      </c>
    </row>
    <row r="87" spans="1:20" x14ac:dyDescent="0.25">
      <c r="A87" s="12">
        <v>42125</v>
      </c>
      <c r="B87" s="183">
        <v>19661</v>
      </c>
      <c r="C87" s="14" t="s">
        <v>170</v>
      </c>
      <c r="D87" s="105">
        <v>974.4</v>
      </c>
      <c r="E87" s="23">
        <v>42126</v>
      </c>
      <c r="F87" s="106">
        <v>974.4</v>
      </c>
      <c r="G87" s="25">
        <f t="shared" si="2"/>
        <v>0</v>
      </c>
      <c r="H87" s="39" t="s">
        <v>62</v>
      </c>
      <c r="K87" s="3"/>
      <c r="M87" s="12">
        <v>42133</v>
      </c>
      <c r="N87" s="183">
        <v>20584</v>
      </c>
      <c r="O87" s="14" t="s">
        <v>821</v>
      </c>
      <c r="P87" s="105">
        <v>5979</v>
      </c>
      <c r="Q87" s="23">
        <v>42133</v>
      </c>
      <c r="R87" s="106">
        <v>5979</v>
      </c>
      <c r="S87" s="31">
        <f t="shared" si="3"/>
        <v>0</v>
      </c>
      <c r="T87" s="39" t="s">
        <v>9</v>
      </c>
    </row>
    <row r="88" spans="1:20" x14ac:dyDescent="0.25">
      <c r="A88" s="20">
        <v>42125</v>
      </c>
      <c r="B88" s="183">
        <v>19662</v>
      </c>
      <c r="C88" s="14" t="s">
        <v>50</v>
      </c>
      <c r="D88" s="105">
        <v>2415.8000000000002</v>
      </c>
      <c r="E88" s="23">
        <v>42125</v>
      </c>
      <c r="F88" s="106">
        <v>2415.8000000000002</v>
      </c>
      <c r="G88" s="25">
        <f t="shared" si="2"/>
        <v>0</v>
      </c>
      <c r="H88" s="39" t="s">
        <v>94</v>
      </c>
      <c r="K88" s="3"/>
      <c r="M88" s="20">
        <v>42139</v>
      </c>
      <c r="N88" s="183">
        <v>21189</v>
      </c>
      <c r="O88" s="14" t="s">
        <v>821</v>
      </c>
      <c r="P88" s="105">
        <v>12633</v>
      </c>
      <c r="Q88" s="23">
        <v>42139</v>
      </c>
      <c r="R88" s="106">
        <v>12633</v>
      </c>
      <c r="S88" s="48">
        <f t="shared" si="3"/>
        <v>0</v>
      </c>
      <c r="T88" s="39" t="s">
        <v>9</v>
      </c>
    </row>
    <row r="89" spans="1:20" x14ac:dyDescent="0.25">
      <c r="A89" s="12">
        <v>42125</v>
      </c>
      <c r="B89" s="183">
        <v>19663</v>
      </c>
      <c r="C89" s="14" t="s">
        <v>128</v>
      </c>
      <c r="D89" s="105">
        <v>5271.6</v>
      </c>
      <c r="E89" s="23">
        <v>42125</v>
      </c>
      <c r="F89" s="106">
        <v>5271.6</v>
      </c>
      <c r="G89" s="25">
        <f t="shared" si="2"/>
        <v>0</v>
      </c>
      <c r="H89" s="39" t="s">
        <v>94</v>
      </c>
      <c r="J89" s="107"/>
      <c r="K89" s="3"/>
      <c r="M89" s="12">
        <v>42152</v>
      </c>
      <c r="N89" s="183">
        <v>22544</v>
      </c>
      <c r="O89" s="14" t="s">
        <v>821</v>
      </c>
      <c r="P89" s="105">
        <v>13190.6</v>
      </c>
      <c r="Q89" s="23">
        <v>42153</v>
      </c>
      <c r="R89" s="106">
        <v>13190.6</v>
      </c>
      <c r="S89" s="31">
        <f t="shared" si="3"/>
        <v>0</v>
      </c>
      <c r="T89" s="39" t="s">
        <v>9</v>
      </c>
    </row>
    <row r="90" spans="1:20" x14ac:dyDescent="0.25">
      <c r="A90" s="20">
        <v>42125</v>
      </c>
      <c r="B90" s="183">
        <v>19664</v>
      </c>
      <c r="C90" s="14" t="s">
        <v>66</v>
      </c>
      <c r="D90" s="105">
        <v>1264</v>
      </c>
      <c r="E90" s="23">
        <v>42125</v>
      </c>
      <c r="F90" s="106">
        <v>1264</v>
      </c>
      <c r="G90" s="25">
        <f t="shared" si="2"/>
        <v>0</v>
      </c>
      <c r="H90" s="39" t="s">
        <v>9</v>
      </c>
      <c r="K90" s="3"/>
      <c r="M90" s="20">
        <v>42125</v>
      </c>
      <c r="N90" s="183">
        <v>19579</v>
      </c>
      <c r="O90" s="14" t="s">
        <v>213</v>
      </c>
      <c r="P90" s="105">
        <v>24506.3</v>
      </c>
      <c r="Q90" s="23">
        <v>42125</v>
      </c>
      <c r="R90" s="106">
        <v>24506.3</v>
      </c>
      <c r="S90" s="25">
        <f t="shared" si="3"/>
        <v>0</v>
      </c>
      <c r="T90" s="19" t="s">
        <v>9</v>
      </c>
    </row>
    <row r="91" spans="1:20" x14ac:dyDescent="0.25">
      <c r="A91" s="12">
        <v>42125</v>
      </c>
      <c r="B91" s="183">
        <v>19665</v>
      </c>
      <c r="C91" s="14" t="s">
        <v>127</v>
      </c>
      <c r="D91" s="105">
        <v>2969.7</v>
      </c>
      <c r="E91" s="23">
        <v>42125</v>
      </c>
      <c r="F91" s="106">
        <v>2969.7</v>
      </c>
      <c r="G91" s="25">
        <f t="shared" si="2"/>
        <v>0</v>
      </c>
      <c r="H91" s="39" t="s">
        <v>9</v>
      </c>
      <c r="K91" s="3"/>
      <c r="M91" s="12">
        <v>42125</v>
      </c>
      <c r="N91" s="183">
        <v>19619</v>
      </c>
      <c r="O91" s="14" t="s">
        <v>213</v>
      </c>
      <c r="P91" s="105">
        <v>22613.5</v>
      </c>
      <c r="Q91" s="23">
        <v>42125</v>
      </c>
      <c r="R91" s="106">
        <v>22613.5</v>
      </c>
      <c r="S91" s="25">
        <f t="shared" si="3"/>
        <v>0</v>
      </c>
      <c r="T91" s="19" t="s">
        <v>1257</v>
      </c>
    </row>
    <row r="92" spans="1:20" x14ac:dyDescent="0.25">
      <c r="A92" s="20">
        <v>42125</v>
      </c>
      <c r="B92" s="183">
        <v>19666</v>
      </c>
      <c r="C92" s="14" t="s">
        <v>98</v>
      </c>
      <c r="D92" s="105">
        <v>5886.1</v>
      </c>
      <c r="E92" s="23">
        <v>42125</v>
      </c>
      <c r="F92" s="106">
        <v>5886.1</v>
      </c>
      <c r="G92" s="25">
        <f t="shared" si="2"/>
        <v>0</v>
      </c>
      <c r="H92" s="39" t="s">
        <v>9</v>
      </c>
      <c r="K92" s="3"/>
      <c r="M92" s="20">
        <v>42125</v>
      </c>
      <c r="N92" s="183">
        <v>19626</v>
      </c>
      <c r="O92" s="14" t="s">
        <v>213</v>
      </c>
      <c r="P92" s="105">
        <v>13780.32</v>
      </c>
      <c r="Q92" s="23">
        <v>42125</v>
      </c>
      <c r="R92" s="106">
        <v>13780.32</v>
      </c>
      <c r="S92" s="25">
        <f t="shared" si="3"/>
        <v>0</v>
      </c>
      <c r="T92" s="19" t="s">
        <v>1257</v>
      </c>
    </row>
    <row r="93" spans="1:20" x14ac:dyDescent="0.25">
      <c r="A93" s="12">
        <v>42125</v>
      </c>
      <c r="B93" s="183">
        <v>19667</v>
      </c>
      <c r="C93" s="14" t="s">
        <v>98</v>
      </c>
      <c r="D93" s="105">
        <v>247.2</v>
      </c>
      <c r="E93" s="23">
        <v>42125</v>
      </c>
      <c r="F93" s="106">
        <v>247.2</v>
      </c>
      <c r="G93" s="25">
        <f t="shared" si="2"/>
        <v>0</v>
      </c>
      <c r="H93" s="39" t="s">
        <v>19</v>
      </c>
      <c r="K93" s="3"/>
      <c r="M93" s="12">
        <v>42129</v>
      </c>
      <c r="N93" s="183">
        <v>20053</v>
      </c>
      <c r="O93" s="14" t="s">
        <v>213</v>
      </c>
      <c r="P93" s="105">
        <v>7524</v>
      </c>
      <c r="Q93" s="23">
        <v>42129</v>
      </c>
      <c r="R93" s="106">
        <v>7524</v>
      </c>
      <c r="S93" s="31">
        <f t="shared" si="3"/>
        <v>0</v>
      </c>
      <c r="T93" s="39" t="s">
        <v>773</v>
      </c>
    </row>
    <row r="94" spans="1:20" x14ac:dyDescent="0.25">
      <c r="A94" s="20">
        <v>42125</v>
      </c>
      <c r="B94" s="183">
        <v>19668</v>
      </c>
      <c r="C94" s="14" t="s">
        <v>1267</v>
      </c>
      <c r="D94" s="105">
        <v>800</v>
      </c>
      <c r="E94" s="23">
        <v>42126</v>
      </c>
      <c r="F94" s="106">
        <v>800</v>
      </c>
      <c r="G94" s="25">
        <f t="shared" si="2"/>
        <v>0</v>
      </c>
      <c r="H94" s="39" t="s">
        <v>19</v>
      </c>
      <c r="K94" s="3"/>
      <c r="M94" s="20">
        <v>42129</v>
      </c>
      <c r="N94" s="183">
        <v>20056</v>
      </c>
      <c r="O94" s="14" t="s">
        <v>213</v>
      </c>
      <c r="P94" s="105">
        <v>14787.88</v>
      </c>
      <c r="Q94" s="23">
        <v>42129</v>
      </c>
      <c r="R94" s="106">
        <v>14787.88</v>
      </c>
      <c r="S94" s="31">
        <f t="shared" si="3"/>
        <v>0</v>
      </c>
      <c r="T94" s="39" t="s">
        <v>9</v>
      </c>
    </row>
    <row r="95" spans="1:20" x14ac:dyDescent="0.25">
      <c r="A95" s="12">
        <v>42125</v>
      </c>
      <c r="B95" s="183">
        <v>19669</v>
      </c>
      <c r="C95" s="14" t="s">
        <v>95</v>
      </c>
      <c r="D95" s="105">
        <v>5378.8</v>
      </c>
      <c r="E95" s="23">
        <v>42125</v>
      </c>
      <c r="F95" s="106">
        <v>5378.8</v>
      </c>
      <c r="G95" s="25">
        <f t="shared" si="2"/>
        <v>0</v>
      </c>
      <c r="H95" s="39" t="s">
        <v>19</v>
      </c>
      <c r="K95" s="3"/>
      <c r="M95" s="12">
        <v>42130</v>
      </c>
      <c r="N95" s="183">
        <v>20125</v>
      </c>
      <c r="O95" s="14" t="s">
        <v>213</v>
      </c>
      <c r="P95" s="105">
        <v>7943</v>
      </c>
      <c r="Q95" s="23">
        <v>42130</v>
      </c>
      <c r="R95" s="106">
        <v>7943</v>
      </c>
      <c r="S95" s="31">
        <f t="shared" si="3"/>
        <v>0</v>
      </c>
      <c r="T95" s="39" t="s">
        <v>9</v>
      </c>
    </row>
    <row r="96" spans="1:20" x14ac:dyDescent="0.25">
      <c r="A96" s="20">
        <v>42125</v>
      </c>
      <c r="B96" s="183">
        <v>19670</v>
      </c>
      <c r="C96" s="14" t="s">
        <v>93</v>
      </c>
      <c r="D96" s="105">
        <v>3794.4</v>
      </c>
      <c r="E96" s="23">
        <v>42125</v>
      </c>
      <c r="F96" s="106">
        <v>3794.4</v>
      </c>
      <c r="G96" s="25">
        <f t="shared" si="2"/>
        <v>0</v>
      </c>
      <c r="H96" s="39" t="s">
        <v>19</v>
      </c>
      <c r="K96" s="3"/>
      <c r="M96" s="20">
        <v>42132</v>
      </c>
      <c r="N96" s="183">
        <v>20440</v>
      </c>
      <c r="O96" s="14" t="s">
        <v>213</v>
      </c>
      <c r="P96" s="105">
        <v>25631.200000000001</v>
      </c>
      <c r="Q96" s="23">
        <v>42133</v>
      </c>
      <c r="R96" s="106">
        <v>25631.200000000001</v>
      </c>
      <c r="S96" s="31">
        <f t="shared" si="3"/>
        <v>0</v>
      </c>
      <c r="T96" s="19" t="s">
        <v>1257</v>
      </c>
    </row>
    <row r="97" spans="1:20" x14ac:dyDescent="0.25">
      <c r="A97" s="12">
        <v>42125</v>
      </c>
      <c r="B97" s="183">
        <v>19671</v>
      </c>
      <c r="C97" s="14" t="s">
        <v>61</v>
      </c>
      <c r="D97" s="105">
        <v>7763.44</v>
      </c>
      <c r="E97" s="23">
        <v>42126</v>
      </c>
      <c r="F97" s="106">
        <v>7763.44</v>
      </c>
      <c r="G97" s="25">
        <f t="shared" si="2"/>
        <v>0</v>
      </c>
      <c r="H97" s="39" t="s">
        <v>62</v>
      </c>
      <c r="K97" s="3"/>
      <c r="M97" s="12">
        <v>42133</v>
      </c>
      <c r="N97" s="183">
        <v>20560</v>
      </c>
      <c r="O97" s="14" t="s">
        <v>213</v>
      </c>
      <c r="P97" s="105">
        <v>4264</v>
      </c>
      <c r="Q97" s="23">
        <v>42133</v>
      </c>
      <c r="R97" s="106">
        <v>4264</v>
      </c>
      <c r="S97" s="31">
        <f t="shared" si="3"/>
        <v>0</v>
      </c>
      <c r="T97" s="19" t="s">
        <v>41</v>
      </c>
    </row>
    <row r="98" spans="1:20" x14ac:dyDescent="0.25">
      <c r="A98" s="20">
        <v>42125</v>
      </c>
      <c r="B98" s="183">
        <v>19672</v>
      </c>
      <c r="C98" s="14" t="s">
        <v>77</v>
      </c>
      <c r="D98" s="105">
        <v>10322.4</v>
      </c>
      <c r="E98" s="23">
        <v>42126</v>
      </c>
      <c r="F98" s="106">
        <v>10322.4</v>
      </c>
      <c r="G98" s="25">
        <f t="shared" si="2"/>
        <v>0</v>
      </c>
      <c r="H98" s="39" t="s">
        <v>62</v>
      </c>
      <c r="I98" s="3"/>
      <c r="J98" s="42"/>
      <c r="K98" s="3"/>
      <c r="M98" s="20">
        <v>42134</v>
      </c>
      <c r="N98" s="183">
        <v>20603</v>
      </c>
      <c r="O98" s="14" t="s">
        <v>213</v>
      </c>
      <c r="P98" s="105">
        <v>7660.8</v>
      </c>
      <c r="Q98" s="23">
        <v>42134</v>
      </c>
      <c r="R98" s="118">
        <v>7660.8</v>
      </c>
      <c r="S98" s="31">
        <f t="shared" si="3"/>
        <v>0</v>
      </c>
      <c r="T98" s="56" t="s">
        <v>773</v>
      </c>
    </row>
    <row r="99" spans="1:20" x14ac:dyDescent="0.25">
      <c r="A99" s="12">
        <v>42125</v>
      </c>
      <c r="B99" s="183">
        <v>19673</v>
      </c>
      <c r="C99" s="14" t="s">
        <v>268</v>
      </c>
      <c r="D99" s="105">
        <v>24035.25</v>
      </c>
      <c r="E99" s="23">
        <v>42126</v>
      </c>
      <c r="F99" s="106">
        <v>24035.25</v>
      </c>
      <c r="G99" s="25">
        <f t="shared" si="2"/>
        <v>0</v>
      </c>
      <c r="H99" s="39" t="s">
        <v>62</v>
      </c>
      <c r="I99" s="3"/>
      <c r="J99" s="42"/>
      <c r="K99" s="3"/>
      <c r="M99" s="12">
        <v>42135</v>
      </c>
      <c r="N99" s="183">
        <v>20671</v>
      </c>
      <c r="O99" s="14" t="s">
        <v>213</v>
      </c>
      <c r="P99" s="105">
        <v>27902.7</v>
      </c>
      <c r="Q99" s="23">
        <v>42135</v>
      </c>
      <c r="R99" s="106">
        <f>271+27631.7</f>
        <v>27902.7</v>
      </c>
      <c r="S99" s="31">
        <f t="shared" si="3"/>
        <v>0</v>
      </c>
      <c r="T99" s="39" t="s">
        <v>15</v>
      </c>
    </row>
    <row r="100" spans="1:20" x14ac:dyDescent="0.25">
      <c r="A100" s="20">
        <v>42125</v>
      </c>
      <c r="B100" s="183">
        <v>19674</v>
      </c>
      <c r="C100" s="14" t="s">
        <v>176</v>
      </c>
      <c r="D100" s="105">
        <v>4644.3999999999996</v>
      </c>
      <c r="E100" s="30" t="s">
        <v>1268</v>
      </c>
      <c r="F100" s="106">
        <v>4644.3999999999996</v>
      </c>
      <c r="G100" s="25">
        <f t="shared" si="2"/>
        <v>0</v>
      </c>
      <c r="H100" s="39" t="s">
        <v>62</v>
      </c>
      <c r="I100" s="3"/>
      <c r="J100" s="42"/>
      <c r="K100" s="3"/>
      <c r="M100" s="20">
        <v>42135</v>
      </c>
      <c r="N100" s="183">
        <v>20732</v>
      </c>
      <c r="O100" s="14" t="s">
        <v>213</v>
      </c>
      <c r="P100" s="105">
        <v>491992.8</v>
      </c>
      <c r="Q100" s="23">
        <v>42137</v>
      </c>
      <c r="R100" s="106">
        <v>491992.8</v>
      </c>
      <c r="S100" s="31">
        <f t="shared" si="3"/>
        <v>0</v>
      </c>
      <c r="T100" s="19" t="s">
        <v>9</v>
      </c>
    </row>
    <row r="101" spans="1:20" x14ac:dyDescent="0.25">
      <c r="A101" s="12">
        <v>42125</v>
      </c>
      <c r="B101" s="183">
        <v>19675</v>
      </c>
      <c r="C101" s="14" t="s">
        <v>72</v>
      </c>
      <c r="D101" s="105">
        <v>18297.2</v>
      </c>
      <c r="E101" s="30" t="s">
        <v>1269</v>
      </c>
      <c r="F101" s="106">
        <v>18297.2</v>
      </c>
      <c r="G101" s="25">
        <f t="shared" si="2"/>
        <v>0</v>
      </c>
      <c r="H101" s="39" t="s">
        <v>62</v>
      </c>
      <c r="I101" s="3"/>
      <c r="J101" s="42"/>
      <c r="K101" s="3"/>
      <c r="M101" s="12">
        <v>42135</v>
      </c>
      <c r="N101" s="183">
        <v>20752</v>
      </c>
      <c r="O101" s="14" t="s">
        <v>213</v>
      </c>
      <c r="P101" s="105">
        <v>14820</v>
      </c>
      <c r="Q101" s="23">
        <v>42135</v>
      </c>
      <c r="R101" s="106">
        <v>14820</v>
      </c>
      <c r="S101" s="31">
        <f t="shared" si="3"/>
        <v>0</v>
      </c>
      <c r="T101" s="19" t="s">
        <v>9</v>
      </c>
    </row>
    <row r="102" spans="1:20" x14ac:dyDescent="0.25">
      <c r="A102" s="20">
        <v>42125</v>
      </c>
      <c r="B102" s="183">
        <v>19676</v>
      </c>
      <c r="C102" s="14" t="s">
        <v>111</v>
      </c>
      <c r="D102" s="105">
        <v>165400</v>
      </c>
      <c r="E102" s="23">
        <v>42128</v>
      </c>
      <c r="F102" s="106">
        <v>165400</v>
      </c>
      <c r="G102" s="25">
        <f t="shared" si="2"/>
        <v>0</v>
      </c>
      <c r="H102" s="39" t="s">
        <v>9</v>
      </c>
      <c r="I102" s="3"/>
      <c r="J102" s="42"/>
      <c r="K102" s="3"/>
      <c r="M102" s="20">
        <v>42139</v>
      </c>
      <c r="N102" s="183">
        <v>21137</v>
      </c>
      <c r="O102" s="14" t="s">
        <v>213</v>
      </c>
      <c r="P102" s="105">
        <v>19439.099999999999</v>
      </c>
      <c r="Q102" s="23">
        <v>42139</v>
      </c>
      <c r="R102" s="106">
        <v>19439.099999999999</v>
      </c>
      <c r="S102" s="48">
        <f t="shared" si="3"/>
        <v>0</v>
      </c>
      <c r="T102" s="39" t="s">
        <v>46</v>
      </c>
    </row>
    <row r="103" spans="1:20" x14ac:dyDescent="0.25">
      <c r="A103" s="12">
        <v>42125</v>
      </c>
      <c r="B103" s="183">
        <v>19677</v>
      </c>
      <c r="C103" s="14" t="s">
        <v>1270</v>
      </c>
      <c r="D103" s="105">
        <v>3265.2</v>
      </c>
      <c r="E103" s="23">
        <v>42125</v>
      </c>
      <c r="F103" s="106">
        <v>3265.2</v>
      </c>
      <c r="G103" s="25">
        <f t="shared" si="2"/>
        <v>0</v>
      </c>
      <c r="H103" s="39" t="s">
        <v>9</v>
      </c>
      <c r="I103" s="3"/>
      <c r="J103" s="42"/>
      <c r="K103" s="3"/>
      <c r="M103" s="12">
        <v>42141</v>
      </c>
      <c r="N103" s="183">
        <v>21339</v>
      </c>
      <c r="O103" s="14" t="s">
        <v>213</v>
      </c>
      <c r="P103" s="105">
        <v>4446</v>
      </c>
      <c r="Q103" s="23">
        <v>42141</v>
      </c>
      <c r="R103" s="118">
        <v>4446</v>
      </c>
      <c r="S103" s="31">
        <f t="shared" si="3"/>
        <v>0</v>
      </c>
      <c r="T103" s="62" t="s">
        <v>62</v>
      </c>
    </row>
    <row r="104" spans="1:20" x14ac:dyDescent="0.25">
      <c r="A104" s="20">
        <v>42125</v>
      </c>
      <c r="B104" s="183">
        <v>19678</v>
      </c>
      <c r="C104" s="14" t="s">
        <v>102</v>
      </c>
      <c r="D104" s="105">
        <v>2714</v>
      </c>
      <c r="E104" s="23">
        <v>42125</v>
      </c>
      <c r="F104" s="106">
        <v>2714</v>
      </c>
      <c r="G104" s="25">
        <f t="shared" si="2"/>
        <v>0</v>
      </c>
      <c r="H104" s="39" t="s">
        <v>9</v>
      </c>
      <c r="I104" s="3"/>
      <c r="J104" s="42"/>
      <c r="K104" s="3"/>
      <c r="M104" s="20">
        <v>42142</v>
      </c>
      <c r="N104" s="183">
        <v>21482</v>
      </c>
      <c r="O104" s="14" t="s">
        <v>213</v>
      </c>
      <c r="P104" s="105">
        <v>41128.480000000003</v>
      </c>
      <c r="Q104" s="65">
        <v>42143</v>
      </c>
      <c r="R104" s="106">
        <v>41128.480000000003</v>
      </c>
      <c r="S104" s="31">
        <f t="shared" si="3"/>
        <v>0</v>
      </c>
      <c r="T104" s="19" t="s">
        <v>41</v>
      </c>
    </row>
    <row r="105" spans="1:20" x14ac:dyDescent="0.25">
      <c r="A105" s="12">
        <v>42125</v>
      </c>
      <c r="B105" s="183">
        <v>19679</v>
      </c>
      <c r="C105" s="14" t="s">
        <v>1271</v>
      </c>
      <c r="D105" s="105">
        <v>11665.6</v>
      </c>
      <c r="E105" s="23">
        <v>42125</v>
      </c>
      <c r="F105" s="106">
        <v>11665.6</v>
      </c>
      <c r="G105" s="25">
        <f t="shared" si="2"/>
        <v>0</v>
      </c>
      <c r="H105" s="39" t="s">
        <v>1257</v>
      </c>
      <c r="I105" s="3"/>
      <c r="J105" s="42"/>
      <c r="K105" s="3"/>
      <c r="M105" s="12">
        <v>42143</v>
      </c>
      <c r="N105" s="183">
        <v>21541</v>
      </c>
      <c r="O105" s="14" t="s">
        <v>213</v>
      </c>
      <c r="P105" s="105">
        <v>3770</v>
      </c>
      <c r="Q105" s="23">
        <v>42144</v>
      </c>
      <c r="R105" s="118">
        <v>3770</v>
      </c>
      <c r="S105" s="31">
        <f t="shared" si="3"/>
        <v>0</v>
      </c>
      <c r="T105" s="56" t="s">
        <v>15</v>
      </c>
    </row>
    <row r="106" spans="1:20" x14ac:dyDescent="0.25">
      <c r="A106" s="20">
        <v>42125</v>
      </c>
      <c r="B106" s="183">
        <v>19680</v>
      </c>
      <c r="C106" s="14" t="s">
        <v>71</v>
      </c>
      <c r="D106" s="105">
        <v>2062.2600000000002</v>
      </c>
      <c r="E106" s="23">
        <v>42126</v>
      </c>
      <c r="F106" s="106">
        <v>2062.2600000000002</v>
      </c>
      <c r="G106" s="25">
        <f t="shared" si="2"/>
        <v>0</v>
      </c>
      <c r="H106" s="39" t="s">
        <v>9</v>
      </c>
      <c r="I106" s="3"/>
      <c r="J106" s="42"/>
      <c r="K106" s="3"/>
      <c r="M106" s="20">
        <v>42143</v>
      </c>
      <c r="N106" s="183">
        <v>21606</v>
      </c>
      <c r="O106" s="14" t="s">
        <v>213</v>
      </c>
      <c r="P106" s="105">
        <v>507242</v>
      </c>
      <c r="Q106" s="23">
        <v>42143</v>
      </c>
      <c r="R106" s="118">
        <v>507242</v>
      </c>
      <c r="S106" s="31">
        <f t="shared" si="3"/>
        <v>0</v>
      </c>
      <c r="T106" s="56" t="s">
        <v>9</v>
      </c>
    </row>
    <row r="107" spans="1:20" x14ac:dyDescent="0.25">
      <c r="A107" s="12">
        <v>42125</v>
      </c>
      <c r="B107" s="183">
        <v>19681</v>
      </c>
      <c r="C107" s="14" t="s">
        <v>161</v>
      </c>
      <c r="D107" s="105">
        <v>22922.46</v>
      </c>
      <c r="E107" s="23">
        <v>42125</v>
      </c>
      <c r="F107" s="106">
        <v>22922.46</v>
      </c>
      <c r="G107" s="25">
        <f t="shared" si="2"/>
        <v>0</v>
      </c>
      <c r="H107" s="39" t="s">
        <v>9</v>
      </c>
      <c r="I107" s="3"/>
      <c r="J107" s="42"/>
      <c r="K107" s="3"/>
      <c r="M107" s="12">
        <v>42145</v>
      </c>
      <c r="N107" s="183">
        <v>21761</v>
      </c>
      <c r="O107" s="15" t="s">
        <v>213</v>
      </c>
      <c r="P107" s="122">
        <v>6878</v>
      </c>
      <c r="Q107" s="23">
        <v>42145</v>
      </c>
      <c r="R107" s="118">
        <v>6878</v>
      </c>
      <c r="S107" s="31">
        <f t="shared" si="3"/>
        <v>0</v>
      </c>
      <c r="T107" s="68" t="s">
        <v>62</v>
      </c>
    </row>
    <row r="108" spans="1:20" x14ac:dyDescent="0.25">
      <c r="A108" s="20">
        <v>42125</v>
      </c>
      <c r="B108" s="183">
        <v>19682</v>
      </c>
      <c r="C108" s="14" t="s">
        <v>720</v>
      </c>
      <c r="D108" s="105">
        <v>1646.4</v>
      </c>
      <c r="E108" s="23">
        <v>42126</v>
      </c>
      <c r="F108" s="106">
        <v>1646.4</v>
      </c>
      <c r="G108" s="25">
        <f t="shared" si="2"/>
        <v>0</v>
      </c>
      <c r="H108" s="39" t="s">
        <v>94</v>
      </c>
      <c r="I108" s="3"/>
      <c r="J108" s="42"/>
      <c r="K108" s="3"/>
      <c r="M108" s="20">
        <v>42146</v>
      </c>
      <c r="N108" s="183">
        <v>21926</v>
      </c>
      <c r="O108" s="14" t="s">
        <v>213</v>
      </c>
      <c r="P108" s="105">
        <v>10000</v>
      </c>
      <c r="Q108" s="23"/>
      <c r="R108" s="106"/>
      <c r="S108" s="31">
        <f t="shared" si="3"/>
        <v>10000</v>
      </c>
      <c r="T108" s="39" t="s">
        <v>9</v>
      </c>
    </row>
    <row r="109" spans="1:20" x14ac:dyDescent="0.25">
      <c r="A109" s="12">
        <v>42125</v>
      </c>
      <c r="B109" s="183">
        <v>19683</v>
      </c>
      <c r="C109" s="14" t="s">
        <v>125</v>
      </c>
      <c r="D109" s="105">
        <v>3775.2</v>
      </c>
      <c r="E109" s="23">
        <v>42131</v>
      </c>
      <c r="F109" s="106">
        <v>3775.2</v>
      </c>
      <c r="G109" s="25">
        <f t="shared" si="2"/>
        <v>0</v>
      </c>
      <c r="H109" s="39" t="s">
        <v>94</v>
      </c>
      <c r="I109" s="3"/>
      <c r="J109" s="42"/>
      <c r="K109" s="3"/>
      <c r="M109" s="12">
        <v>42149</v>
      </c>
      <c r="N109" s="183">
        <v>22175</v>
      </c>
      <c r="O109" s="14" t="s">
        <v>213</v>
      </c>
      <c r="P109" s="105">
        <v>10395</v>
      </c>
      <c r="Q109" s="65">
        <v>42150</v>
      </c>
      <c r="R109" s="106">
        <v>10395</v>
      </c>
      <c r="S109" s="31">
        <f t="shared" si="3"/>
        <v>0</v>
      </c>
      <c r="T109" s="39" t="s">
        <v>15</v>
      </c>
    </row>
    <row r="110" spans="1:20" x14ac:dyDescent="0.25">
      <c r="A110" s="20">
        <v>42125</v>
      </c>
      <c r="B110" s="183">
        <v>19684</v>
      </c>
      <c r="C110" s="14" t="s">
        <v>1173</v>
      </c>
      <c r="D110" s="105">
        <v>1768.8</v>
      </c>
      <c r="E110" s="23">
        <v>42126</v>
      </c>
      <c r="F110" s="106">
        <v>1768.8</v>
      </c>
      <c r="G110" s="25">
        <f t="shared" si="2"/>
        <v>0</v>
      </c>
      <c r="H110" s="39" t="s">
        <v>9</v>
      </c>
      <c r="I110" s="3"/>
      <c r="J110" s="42"/>
      <c r="K110" s="3"/>
      <c r="M110" s="20">
        <v>42149</v>
      </c>
      <c r="N110" s="183">
        <v>22239</v>
      </c>
      <c r="O110" s="14" t="s">
        <v>213</v>
      </c>
      <c r="P110" s="105">
        <v>530400.05000000005</v>
      </c>
      <c r="Q110" s="65">
        <v>42149</v>
      </c>
      <c r="R110" s="106">
        <v>530400.05000000005</v>
      </c>
      <c r="S110" s="31">
        <f t="shared" si="3"/>
        <v>0</v>
      </c>
      <c r="T110" s="39" t="s">
        <v>9</v>
      </c>
    </row>
    <row r="111" spans="1:20" x14ac:dyDescent="0.25">
      <c r="A111" s="12">
        <v>42125</v>
      </c>
      <c r="B111" s="183">
        <v>19685</v>
      </c>
      <c r="C111" s="14" t="s">
        <v>112</v>
      </c>
      <c r="D111" s="105">
        <v>32036.09</v>
      </c>
      <c r="E111" s="23" t="s">
        <v>1272</v>
      </c>
      <c r="F111" s="106">
        <f>17800+14236.09</f>
        <v>32036.09</v>
      </c>
      <c r="G111" s="25">
        <f t="shared" si="2"/>
        <v>0</v>
      </c>
      <c r="H111" s="39" t="s">
        <v>9</v>
      </c>
      <c r="I111" s="3"/>
      <c r="J111" s="42"/>
      <c r="K111" s="3"/>
      <c r="M111" s="12">
        <v>42149</v>
      </c>
      <c r="N111" s="183">
        <v>22240</v>
      </c>
      <c r="O111" s="14" t="s">
        <v>213</v>
      </c>
      <c r="P111" s="105">
        <v>142.85</v>
      </c>
      <c r="Q111" s="65">
        <v>42149</v>
      </c>
      <c r="R111" s="106">
        <v>142.85</v>
      </c>
      <c r="S111" s="31">
        <f t="shared" si="3"/>
        <v>0</v>
      </c>
      <c r="T111" s="39" t="s">
        <v>9</v>
      </c>
    </row>
    <row r="112" spans="1:20" x14ac:dyDescent="0.25">
      <c r="A112" s="20">
        <v>42125</v>
      </c>
      <c r="B112" s="183">
        <v>19686</v>
      </c>
      <c r="C112" s="14" t="s">
        <v>90</v>
      </c>
      <c r="D112" s="105">
        <v>1656.9</v>
      </c>
      <c r="E112" s="23">
        <v>42125</v>
      </c>
      <c r="F112" s="106">
        <v>1656.9</v>
      </c>
      <c r="G112" s="25">
        <f t="shared" si="2"/>
        <v>0</v>
      </c>
      <c r="H112" s="39" t="s">
        <v>9</v>
      </c>
      <c r="I112" s="3"/>
      <c r="J112" s="42"/>
      <c r="K112" s="3"/>
      <c r="M112" s="20">
        <v>42151</v>
      </c>
      <c r="N112" s="183">
        <v>22333</v>
      </c>
      <c r="O112" s="150" t="s">
        <v>213</v>
      </c>
      <c r="P112" s="105">
        <v>4256</v>
      </c>
      <c r="Q112" s="65">
        <v>42151</v>
      </c>
      <c r="R112" s="106">
        <v>4256</v>
      </c>
      <c r="S112" s="31">
        <f t="shared" si="3"/>
        <v>0</v>
      </c>
      <c r="T112" s="39" t="s">
        <v>9</v>
      </c>
    </row>
    <row r="113" spans="1:20" x14ac:dyDescent="0.25">
      <c r="A113" s="12">
        <v>42125</v>
      </c>
      <c r="B113" s="183">
        <v>19687</v>
      </c>
      <c r="C113" s="14" t="s">
        <v>164</v>
      </c>
      <c r="D113" s="105">
        <v>80</v>
      </c>
      <c r="E113" s="23">
        <v>42125</v>
      </c>
      <c r="F113" s="106">
        <v>80</v>
      </c>
      <c r="G113" s="25">
        <f t="shared" si="2"/>
        <v>0</v>
      </c>
      <c r="H113" s="39" t="s">
        <v>9</v>
      </c>
      <c r="I113" s="3"/>
      <c r="J113" s="42"/>
      <c r="K113" s="3"/>
      <c r="M113" s="12">
        <v>42151</v>
      </c>
      <c r="N113" s="183">
        <v>22362</v>
      </c>
      <c r="O113" s="14" t="s">
        <v>213</v>
      </c>
      <c r="P113" s="105">
        <v>13721.08</v>
      </c>
      <c r="Q113" s="65">
        <v>42151</v>
      </c>
      <c r="R113" s="106">
        <v>13721.08</v>
      </c>
      <c r="S113" s="31">
        <f t="shared" si="3"/>
        <v>0</v>
      </c>
      <c r="T113" s="39" t="s">
        <v>46</v>
      </c>
    </row>
    <row r="114" spans="1:20" x14ac:dyDescent="0.25">
      <c r="A114" s="20">
        <v>42125</v>
      </c>
      <c r="B114" s="183">
        <v>19688</v>
      </c>
      <c r="C114" s="26" t="s">
        <v>218</v>
      </c>
      <c r="D114" s="105">
        <v>0</v>
      </c>
      <c r="E114" s="23"/>
      <c r="F114" s="106"/>
      <c r="G114" s="25">
        <f t="shared" si="2"/>
        <v>0</v>
      </c>
      <c r="H114" s="39" t="s">
        <v>13</v>
      </c>
      <c r="I114" s="3"/>
      <c r="J114" s="42"/>
      <c r="K114" s="3"/>
      <c r="M114" s="20">
        <v>42152</v>
      </c>
      <c r="N114" s="183">
        <v>22430</v>
      </c>
      <c r="O114" s="14" t="s">
        <v>213</v>
      </c>
      <c r="P114" s="105">
        <v>4459</v>
      </c>
      <c r="Q114" s="23">
        <v>42154</v>
      </c>
      <c r="R114" s="106">
        <v>4459</v>
      </c>
      <c r="S114" s="31">
        <f t="shared" si="3"/>
        <v>0</v>
      </c>
      <c r="T114" s="39" t="s">
        <v>187</v>
      </c>
    </row>
    <row r="115" spans="1:20" x14ac:dyDescent="0.25">
      <c r="A115" s="12">
        <v>42125</v>
      </c>
      <c r="B115" s="183">
        <v>19689</v>
      </c>
      <c r="C115" s="14" t="s">
        <v>35</v>
      </c>
      <c r="D115" s="105">
        <v>23730.57</v>
      </c>
      <c r="E115" s="23">
        <v>42126</v>
      </c>
      <c r="F115" s="106">
        <v>23730.57</v>
      </c>
      <c r="G115" s="25">
        <f t="shared" si="2"/>
        <v>0</v>
      </c>
      <c r="H115" s="39" t="s">
        <v>773</v>
      </c>
      <c r="I115" s="3"/>
      <c r="J115" s="42"/>
      <c r="K115" s="3"/>
      <c r="M115" s="12">
        <v>42152</v>
      </c>
      <c r="N115" s="183">
        <v>22490</v>
      </c>
      <c r="O115" s="14" t="s">
        <v>213</v>
      </c>
      <c r="P115" s="105">
        <v>29866</v>
      </c>
      <c r="Q115" s="23">
        <v>42153</v>
      </c>
      <c r="R115" s="106">
        <v>29866</v>
      </c>
      <c r="S115" s="31">
        <f t="shared" si="3"/>
        <v>0</v>
      </c>
      <c r="T115" s="39" t="s">
        <v>94</v>
      </c>
    </row>
    <row r="116" spans="1:20" x14ac:dyDescent="0.25">
      <c r="A116" s="20">
        <v>42125</v>
      </c>
      <c r="B116" s="183">
        <v>19690</v>
      </c>
      <c r="C116" s="14" t="s">
        <v>55</v>
      </c>
      <c r="D116" s="105">
        <v>2745.4</v>
      </c>
      <c r="E116" s="23">
        <v>42126</v>
      </c>
      <c r="F116" s="106">
        <v>2745.4</v>
      </c>
      <c r="G116" s="25">
        <f t="shared" si="2"/>
        <v>0</v>
      </c>
      <c r="H116" s="39" t="s">
        <v>773</v>
      </c>
      <c r="I116" s="3"/>
      <c r="J116" s="42"/>
      <c r="K116" s="3"/>
      <c r="M116" s="20">
        <v>42153</v>
      </c>
      <c r="N116" s="183">
        <v>22575</v>
      </c>
      <c r="O116" s="14" t="s">
        <v>213</v>
      </c>
      <c r="P116" s="105">
        <v>4352</v>
      </c>
      <c r="Q116" s="23">
        <v>42153</v>
      </c>
      <c r="R116" s="106">
        <v>4352</v>
      </c>
      <c r="S116" s="31">
        <f t="shared" si="3"/>
        <v>0</v>
      </c>
      <c r="T116" s="39" t="s">
        <v>9</v>
      </c>
    </row>
    <row r="117" spans="1:20" x14ac:dyDescent="0.25">
      <c r="A117" s="12">
        <v>42125</v>
      </c>
      <c r="B117" s="183">
        <v>19691</v>
      </c>
      <c r="C117" s="14" t="s">
        <v>1020</v>
      </c>
      <c r="D117" s="105">
        <v>1584.24</v>
      </c>
      <c r="E117" s="23">
        <v>42125</v>
      </c>
      <c r="F117" s="106">
        <v>1584.24</v>
      </c>
      <c r="G117" s="25">
        <f t="shared" si="2"/>
        <v>0</v>
      </c>
      <c r="H117" s="39" t="s">
        <v>9</v>
      </c>
      <c r="I117" s="3"/>
      <c r="J117" s="42"/>
      <c r="K117" s="3"/>
      <c r="M117" s="12">
        <v>42155</v>
      </c>
      <c r="N117" s="183">
        <v>22802</v>
      </c>
      <c r="O117" s="14" t="s">
        <v>213</v>
      </c>
      <c r="P117" s="105">
        <v>8162.4</v>
      </c>
      <c r="Q117" s="23">
        <v>42155</v>
      </c>
      <c r="R117" s="106">
        <v>8162.4</v>
      </c>
      <c r="S117" s="31">
        <f t="shared" si="3"/>
        <v>0</v>
      </c>
      <c r="T117" s="39" t="s">
        <v>9</v>
      </c>
    </row>
    <row r="118" spans="1:20" x14ac:dyDescent="0.25">
      <c r="A118" s="20">
        <v>42125</v>
      </c>
      <c r="B118" s="183">
        <v>19692</v>
      </c>
      <c r="C118" s="150" t="s">
        <v>80</v>
      </c>
      <c r="D118" s="105">
        <v>7116.2</v>
      </c>
      <c r="E118" s="23">
        <v>42125</v>
      </c>
      <c r="F118" s="106">
        <v>7116.2</v>
      </c>
      <c r="G118" s="25">
        <f t="shared" si="2"/>
        <v>0</v>
      </c>
      <c r="H118" s="39" t="s">
        <v>9</v>
      </c>
      <c r="I118" s="3"/>
      <c r="J118" s="42"/>
      <c r="K118" s="3"/>
      <c r="M118" s="20">
        <v>42154</v>
      </c>
      <c r="N118" s="183">
        <v>22755</v>
      </c>
      <c r="O118" s="14" t="s">
        <v>930</v>
      </c>
      <c r="P118" s="105">
        <v>661.85</v>
      </c>
      <c r="Q118" s="23">
        <v>42154</v>
      </c>
      <c r="R118" s="106">
        <v>661.85</v>
      </c>
      <c r="S118" s="31">
        <f t="shared" si="3"/>
        <v>0</v>
      </c>
      <c r="T118" s="39" t="s">
        <v>1273</v>
      </c>
    </row>
    <row r="119" spans="1:20" x14ac:dyDescent="0.25">
      <c r="A119" s="12">
        <v>42125</v>
      </c>
      <c r="B119" s="183">
        <v>19693</v>
      </c>
      <c r="C119" s="14" t="s">
        <v>1020</v>
      </c>
      <c r="D119" s="105">
        <v>4727.5200000000004</v>
      </c>
      <c r="E119" s="23">
        <v>42125</v>
      </c>
      <c r="F119" s="106">
        <v>4727.5200000000004</v>
      </c>
      <c r="G119" s="25">
        <f t="shared" si="2"/>
        <v>0</v>
      </c>
      <c r="H119" s="39" t="s">
        <v>9</v>
      </c>
      <c r="I119" s="3"/>
      <c r="J119" s="42"/>
      <c r="K119" s="3"/>
      <c r="M119" s="12">
        <v>42139</v>
      </c>
      <c r="N119" s="183">
        <v>21152</v>
      </c>
      <c r="O119" s="14" t="s">
        <v>1274</v>
      </c>
      <c r="P119" s="105">
        <v>2843.8</v>
      </c>
      <c r="Q119" s="23">
        <v>42139</v>
      </c>
      <c r="R119" s="106">
        <v>2843.8</v>
      </c>
      <c r="S119" s="48">
        <f t="shared" si="3"/>
        <v>0</v>
      </c>
      <c r="T119" s="39" t="s">
        <v>9</v>
      </c>
    </row>
    <row r="120" spans="1:20" x14ac:dyDescent="0.25">
      <c r="A120" s="20">
        <v>42125</v>
      </c>
      <c r="B120" s="183">
        <v>19694</v>
      </c>
      <c r="C120" s="14" t="s">
        <v>1020</v>
      </c>
      <c r="D120" s="105">
        <v>30</v>
      </c>
      <c r="E120" s="23">
        <v>42125</v>
      </c>
      <c r="F120" s="106">
        <v>30</v>
      </c>
      <c r="G120" s="25">
        <f t="shared" si="2"/>
        <v>0</v>
      </c>
      <c r="H120" s="39" t="s">
        <v>9</v>
      </c>
      <c r="I120" s="3"/>
      <c r="J120" s="42"/>
      <c r="K120" s="3"/>
      <c r="M120" s="20">
        <v>42128</v>
      </c>
      <c r="N120" s="183">
        <v>20016</v>
      </c>
      <c r="O120" s="14" t="s">
        <v>1275</v>
      </c>
      <c r="P120" s="105">
        <v>8568.5</v>
      </c>
      <c r="Q120" s="23">
        <v>42130</v>
      </c>
      <c r="R120" s="106">
        <v>8568.5</v>
      </c>
      <c r="S120" s="31">
        <f t="shared" si="3"/>
        <v>0</v>
      </c>
      <c r="T120" s="19" t="s">
        <v>149</v>
      </c>
    </row>
    <row r="121" spans="1:20" x14ac:dyDescent="0.25">
      <c r="A121" s="12">
        <v>42125</v>
      </c>
      <c r="B121" s="183">
        <v>19695</v>
      </c>
      <c r="C121" s="14" t="s">
        <v>1276</v>
      </c>
      <c r="D121" s="105">
        <v>5043.6000000000004</v>
      </c>
      <c r="E121" s="23">
        <v>42125</v>
      </c>
      <c r="F121" s="106">
        <v>5043.6000000000004</v>
      </c>
      <c r="G121" s="25">
        <f t="shared" si="2"/>
        <v>0</v>
      </c>
      <c r="H121" s="39" t="s">
        <v>9</v>
      </c>
      <c r="I121" s="3"/>
      <c r="J121" s="42"/>
      <c r="K121" s="3"/>
      <c r="M121" s="12">
        <v>42131</v>
      </c>
      <c r="N121" s="183">
        <v>20311</v>
      </c>
      <c r="O121" s="14" t="s">
        <v>1275</v>
      </c>
      <c r="P121" s="105">
        <v>19146.060000000001</v>
      </c>
      <c r="Q121" s="23">
        <v>42133</v>
      </c>
      <c r="R121" s="106">
        <v>19146.060000000001</v>
      </c>
      <c r="S121" s="31">
        <f t="shared" si="3"/>
        <v>0</v>
      </c>
      <c r="T121" s="39" t="s">
        <v>149</v>
      </c>
    </row>
    <row r="122" spans="1:20" x14ac:dyDescent="0.25">
      <c r="A122" s="20">
        <v>42125</v>
      </c>
      <c r="B122" s="183">
        <v>19696</v>
      </c>
      <c r="C122" s="14" t="s">
        <v>24</v>
      </c>
      <c r="D122" s="105">
        <v>287183.90000000002</v>
      </c>
      <c r="E122" s="23" t="s">
        <v>1277</v>
      </c>
      <c r="F122" s="106">
        <f>211526.97+75656.93</f>
        <v>287183.90000000002</v>
      </c>
      <c r="G122" s="25">
        <f t="shared" si="2"/>
        <v>0</v>
      </c>
      <c r="H122" s="39" t="s">
        <v>46</v>
      </c>
      <c r="I122" s="3"/>
      <c r="J122" s="42"/>
      <c r="K122" s="3"/>
      <c r="M122" s="20">
        <v>42135</v>
      </c>
      <c r="N122" s="183">
        <v>20780</v>
      </c>
      <c r="O122" s="14" t="s">
        <v>1275</v>
      </c>
      <c r="P122" s="105">
        <v>13824.7</v>
      </c>
      <c r="Q122" s="23">
        <v>42137</v>
      </c>
      <c r="R122" s="106">
        <v>13824.7</v>
      </c>
      <c r="S122" s="31">
        <f t="shared" si="3"/>
        <v>0</v>
      </c>
      <c r="T122" s="19" t="s">
        <v>149</v>
      </c>
    </row>
    <row r="123" spans="1:20" x14ac:dyDescent="0.25">
      <c r="A123" s="12">
        <v>42125</v>
      </c>
      <c r="B123" s="183">
        <v>19697</v>
      </c>
      <c r="C123" s="14" t="s">
        <v>791</v>
      </c>
      <c r="D123" s="105">
        <v>2563</v>
      </c>
      <c r="E123" s="23">
        <v>42125</v>
      </c>
      <c r="F123" s="106">
        <v>2563</v>
      </c>
      <c r="G123" s="25">
        <f t="shared" si="2"/>
        <v>0</v>
      </c>
      <c r="H123" s="39" t="s">
        <v>9</v>
      </c>
      <c r="I123" s="3"/>
      <c r="J123" s="42"/>
      <c r="K123" s="3"/>
      <c r="M123" s="12">
        <v>42138</v>
      </c>
      <c r="N123" s="183">
        <v>21046</v>
      </c>
      <c r="O123" s="14" t="s">
        <v>1275</v>
      </c>
      <c r="P123" s="105">
        <v>1802</v>
      </c>
      <c r="Q123" s="23">
        <v>42140</v>
      </c>
      <c r="R123" s="106">
        <v>1802</v>
      </c>
      <c r="S123" s="48">
        <f t="shared" si="3"/>
        <v>0</v>
      </c>
      <c r="T123" s="39" t="s">
        <v>149</v>
      </c>
    </row>
    <row r="124" spans="1:20" x14ac:dyDescent="0.25">
      <c r="A124" s="20">
        <v>42125</v>
      </c>
      <c r="B124" s="183">
        <v>19698</v>
      </c>
      <c r="C124" s="14" t="s">
        <v>24</v>
      </c>
      <c r="D124" s="105">
        <v>100500.1</v>
      </c>
      <c r="E124" s="23">
        <v>42151</v>
      </c>
      <c r="F124" s="106">
        <v>100500.1</v>
      </c>
      <c r="G124" s="25">
        <f t="shared" si="2"/>
        <v>0</v>
      </c>
      <c r="H124" s="39" t="s">
        <v>1257</v>
      </c>
      <c r="I124" s="3"/>
      <c r="J124" s="42"/>
      <c r="K124" s="3"/>
      <c r="M124" s="20">
        <v>42138</v>
      </c>
      <c r="N124" s="183">
        <v>21062</v>
      </c>
      <c r="O124" s="14" t="s">
        <v>1275</v>
      </c>
      <c r="P124" s="105">
        <v>17455</v>
      </c>
      <c r="Q124" s="23">
        <v>42140</v>
      </c>
      <c r="R124" s="106">
        <v>17455</v>
      </c>
      <c r="S124" s="48">
        <f t="shared" si="3"/>
        <v>0</v>
      </c>
      <c r="T124" s="39" t="s">
        <v>149</v>
      </c>
    </row>
    <row r="125" spans="1:20" x14ac:dyDescent="0.25">
      <c r="A125" s="12">
        <v>42126</v>
      </c>
      <c r="B125" s="183">
        <v>19699</v>
      </c>
      <c r="C125" s="40" t="s">
        <v>720</v>
      </c>
      <c r="D125" s="105">
        <v>13467.6</v>
      </c>
      <c r="E125" s="23">
        <v>42126</v>
      </c>
      <c r="F125" s="106">
        <v>13467.6</v>
      </c>
      <c r="G125" s="25">
        <f t="shared" si="2"/>
        <v>0</v>
      </c>
      <c r="H125" s="41" t="s">
        <v>9</v>
      </c>
      <c r="I125" s="3"/>
      <c r="J125" s="42"/>
      <c r="K125" s="3"/>
      <c r="M125" s="12">
        <v>42142</v>
      </c>
      <c r="N125" s="183">
        <v>21510</v>
      </c>
      <c r="O125" s="14" t="s">
        <v>1275</v>
      </c>
      <c r="P125" s="105">
        <v>15273.1</v>
      </c>
      <c r="Q125" s="23">
        <v>42145</v>
      </c>
      <c r="R125" s="106">
        <v>15273.1</v>
      </c>
      <c r="S125" s="31">
        <f t="shared" si="3"/>
        <v>0</v>
      </c>
      <c r="T125" s="39" t="s">
        <v>149</v>
      </c>
    </row>
    <row r="126" spans="1:20" x14ac:dyDescent="0.25">
      <c r="A126" s="20">
        <v>42126</v>
      </c>
      <c r="B126" s="183">
        <v>19700</v>
      </c>
      <c r="C126" s="40" t="s">
        <v>21</v>
      </c>
      <c r="D126" s="105">
        <v>14705.2</v>
      </c>
      <c r="E126" s="23">
        <v>42126</v>
      </c>
      <c r="F126" s="106">
        <v>14705.2</v>
      </c>
      <c r="G126" s="25">
        <f t="shared" si="2"/>
        <v>0</v>
      </c>
      <c r="H126" s="41" t="s">
        <v>9</v>
      </c>
      <c r="I126" s="3"/>
      <c r="J126" s="42"/>
      <c r="K126" s="3"/>
      <c r="M126" s="20">
        <v>42145</v>
      </c>
      <c r="N126" s="183">
        <v>21800</v>
      </c>
      <c r="O126" s="15" t="s">
        <v>1275</v>
      </c>
      <c r="P126" s="122">
        <v>1680</v>
      </c>
      <c r="Q126" s="23">
        <v>42149</v>
      </c>
      <c r="R126" s="118">
        <v>1680</v>
      </c>
      <c r="S126" s="31">
        <f t="shared" si="3"/>
        <v>0</v>
      </c>
      <c r="T126" s="68" t="s">
        <v>149</v>
      </c>
    </row>
    <row r="127" spans="1:20" x14ac:dyDescent="0.25">
      <c r="A127" s="12">
        <v>42126</v>
      </c>
      <c r="B127" s="183">
        <v>19701</v>
      </c>
      <c r="C127" s="40" t="s">
        <v>121</v>
      </c>
      <c r="D127" s="105">
        <v>2208.8000000000002</v>
      </c>
      <c r="E127" s="23">
        <v>42126</v>
      </c>
      <c r="F127" s="106">
        <v>2208.8000000000002</v>
      </c>
      <c r="G127" s="25">
        <f t="shared" si="2"/>
        <v>0</v>
      </c>
      <c r="H127" s="41" t="s">
        <v>9</v>
      </c>
      <c r="I127" s="3"/>
      <c r="J127" s="42"/>
      <c r="K127" s="3"/>
      <c r="M127" s="12">
        <v>42145</v>
      </c>
      <c r="N127" s="183">
        <v>21822</v>
      </c>
      <c r="O127" s="15" t="s">
        <v>1275</v>
      </c>
      <c r="P127" s="122">
        <v>15423</v>
      </c>
      <c r="Q127" s="23">
        <v>42149</v>
      </c>
      <c r="R127" s="118">
        <v>15423</v>
      </c>
      <c r="S127" s="31">
        <f t="shared" si="3"/>
        <v>0</v>
      </c>
      <c r="T127" s="68" t="s">
        <v>149</v>
      </c>
    </row>
    <row r="128" spans="1:20" x14ac:dyDescent="0.25">
      <c r="A128" s="20">
        <v>42126</v>
      </c>
      <c r="B128" s="183">
        <v>19702</v>
      </c>
      <c r="C128" s="40" t="s">
        <v>141</v>
      </c>
      <c r="D128" s="105">
        <v>2143</v>
      </c>
      <c r="E128" s="23">
        <v>42143</v>
      </c>
      <c r="F128" s="106">
        <v>2143</v>
      </c>
      <c r="G128" s="25">
        <f t="shared" si="2"/>
        <v>0</v>
      </c>
      <c r="H128" s="41" t="s">
        <v>9</v>
      </c>
      <c r="I128" s="3"/>
      <c r="J128" s="42"/>
      <c r="K128" s="3"/>
      <c r="M128" s="20">
        <v>42149</v>
      </c>
      <c r="N128" s="183">
        <v>22238</v>
      </c>
      <c r="O128" s="14" t="s">
        <v>1275</v>
      </c>
      <c r="P128" s="105">
        <v>5267.5</v>
      </c>
      <c r="Q128" s="65">
        <v>42151</v>
      </c>
      <c r="R128" s="106">
        <v>5267.5</v>
      </c>
      <c r="S128" s="31">
        <f t="shared" si="3"/>
        <v>0</v>
      </c>
      <c r="T128" s="39" t="s">
        <v>773</v>
      </c>
    </row>
    <row r="129" spans="1:20" x14ac:dyDescent="0.25">
      <c r="A129" s="12">
        <v>42126</v>
      </c>
      <c r="B129" s="183">
        <v>19703</v>
      </c>
      <c r="C129" s="40" t="s">
        <v>14</v>
      </c>
      <c r="D129" s="105">
        <v>16719.3</v>
      </c>
      <c r="E129" s="23">
        <v>42149</v>
      </c>
      <c r="F129" s="106">
        <v>16719.3</v>
      </c>
      <c r="G129" s="25">
        <f t="shared" si="2"/>
        <v>0</v>
      </c>
      <c r="H129" s="41" t="s">
        <v>15</v>
      </c>
      <c r="I129" s="3"/>
      <c r="J129" s="42"/>
      <c r="K129" s="3"/>
      <c r="M129" s="12">
        <v>42152</v>
      </c>
      <c r="N129" s="183">
        <v>22521</v>
      </c>
      <c r="O129" s="14" t="s">
        <v>1275</v>
      </c>
      <c r="P129" s="105">
        <v>1798.8</v>
      </c>
      <c r="Q129" s="23">
        <v>42154</v>
      </c>
      <c r="R129" s="106">
        <v>1798.8</v>
      </c>
      <c r="S129" s="31">
        <f t="shared" si="3"/>
        <v>0</v>
      </c>
      <c r="T129" s="39" t="s">
        <v>149</v>
      </c>
    </row>
    <row r="130" spans="1:20" x14ac:dyDescent="0.25">
      <c r="A130" s="20">
        <v>42126</v>
      </c>
      <c r="B130" s="183">
        <v>19704</v>
      </c>
      <c r="C130" s="40" t="s">
        <v>1256</v>
      </c>
      <c r="D130" s="105">
        <v>14092.8</v>
      </c>
      <c r="E130" s="23">
        <v>42126</v>
      </c>
      <c r="F130" s="106">
        <v>14092.8</v>
      </c>
      <c r="G130" s="25">
        <f t="shared" si="2"/>
        <v>0</v>
      </c>
      <c r="H130" s="41" t="s">
        <v>9</v>
      </c>
      <c r="K130" s="3"/>
      <c r="M130" s="20">
        <v>42152</v>
      </c>
      <c r="N130" s="183">
        <v>22523</v>
      </c>
      <c r="O130" s="14" t="s">
        <v>1275</v>
      </c>
      <c r="P130" s="105">
        <v>1484.1</v>
      </c>
      <c r="Q130" s="23">
        <v>42154</v>
      </c>
      <c r="R130" s="106">
        <v>1484.1</v>
      </c>
      <c r="S130" s="31">
        <f t="shared" si="3"/>
        <v>0</v>
      </c>
      <c r="T130" s="39" t="s">
        <v>149</v>
      </c>
    </row>
    <row r="131" spans="1:20" x14ac:dyDescent="0.25">
      <c r="A131" s="12">
        <v>42126</v>
      </c>
      <c r="B131" s="183">
        <v>19705</v>
      </c>
      <c r="C131" s="40" t="s">
        <v>296</v>
      </c>
      <c r="D131" s="105">
        <v>1772.7</v>
      </c>
      <c r="E131" s="23">
        <v>42126</v>
      </c>
      <c r="F131" s="106">
        <v>1772.7</v>
      </c>
      <c r="G131" s="25">
        <f t="shared" ref="G131:G194" si="4">D131-F131</f>
        <v>0</v>
      </c>
      <c r="H131" s="41" t="s">
        <v>9</v>
      </c>
      <c r="J131" s="107"/>
      <c r="K131" s="3"/>
      <c r="M131" s="12">
        <v>42125</v>
      </c>
      <c r="N131" s="183">
        <v>19649</v>
      </c>
      <c r="O131" s="14" t="s">
        <v>332</v>
      </c>
      <c r="P131" s="105">
        <v>2382.8000000000002</v>
      </c>
      <c r="Q131" s="23">
        <v>42125</v>
      </c>
      <c r="R131" s="106">
        <v>2382.8000000000002</v>
      </c>
      <c r="S131" s="25">
        <f t="shared" ref="S131:S194" si="5">P131-R131</f>
        <v>0</v>
      </c>
      <c r="T131" s="19" t="s">
        <v>9</v>
      </c>
    </row>
    <row r="132" spans="1:20" x14ac:dyDescent="0.25">
      <c r="A132" s="20">
        <v>42126</v>
      </c>
      <c r="B132" s="183">
        <v>19706</v>
      </c>
      <c r="C132" s="40" t="s">
        <v>1175</v>
      </c>
      <c r="D132" s="105">
        <v>25874.6</v>
      </c>
      <c r="E132" s="23">
        <v>42126</v>
      </c>
      <c r="F132" s="106">
        <v>25874.6</v>
      </c>
      <c r="G132" s="25">
        <f t="shared" si="4"/>
        <v>0</v>
      </c>
      <c r="H132" s="41" t="s">
        <v>9</v>
      </c>
      <c r="J132" s="107"/>
      <c r="K132" s="3"/>
      <c r="M132" s="20">
        <v>42126</v>
      </c>
      <c r="N132" s="183">
        <v>19766</v>
      </c>
      <c r="O132" s="40" t="s">
        <v>332</v>
      </c>
      <c r="P132" s="105">
        <v>2500.6</v>
      </c>
      <c r="Q132" s="23">
        <v>42126</v>
      </c>
      <c r="R132" s="106">
        <v>2500.6</v>
      </c>
      <c r="S132" s="25">
        <f t="shared" si="5"/>
        <v>0</v>
      </c>
      <c r="T132" s="41" t="s">
        <v>9</v>
      </c>
    </row>
    <row r="133" spans="1:20" x14ac:dyDescent="0.25">
      <c r="A133" s="12">
        <v>42126</v>
      </c>
      <c r="B133" s="183">
        <v>19707</v>
      </c>
      <c r="C133" s="40" t="s">
        <v>103</v>
      </c>
      <c r="D133" s="105">
        <v>40390.400000000001</v>
      </c>
      <c r="E133" s="23">
        <v>42129</v>
      </c>
      <c r="F133" s="106">
        <v>40390.400000000001</v>
      </c>
      <c r="G133" s="25">
        <f t="shared" si="4"/>
        <v>0</v>
      </c>
      <c r="H133" s="41" t="s">
        <v>9</v>
      </c>
      <c r="K133" s="3"/>
      <c r="M133" s="12">
        <v>42128</v>
      </c>
      <c r="N133" s="183">
        <v>19972</v>
      </c>
      <c r="O133" s="14" t="s">
        <v>332</v>
      </c>
      <c r="P133" s="105">
        <v>646.95000000000005</v>
      </c>
      <c r="Q133" s="23">
        <v>42128</v>
      </c>
      <c r="R133" s="106">
        <v>646.95000000000005</v>
      </c>
      <c r="S133" s="31">
        <f t="shared" si="5"/>
        <v>0</v>
      </c>
      <c r="T133" s="19" t="s">
        <v>9</v>
      </c>
    </row>
    <row r="134" spans="1:20" x14ac:dyDescent="0.25">
      <c r="A134" s="20">
        <v>42126</v>
      </c>
      <c r="B134" s="183">
        <v>19708</v>
      </c>
      <c r="C134" s="40" t="s">
        <v>116</v>
      </c>
      <c r="D134" s="105">
        <v>14577.4</v>
      </c>
      <c r="E134" s="23">
        <v>42126</v>
      </c>
      <c r="F134" s="106">
        <v>14577.4</v>
      </c>
      <c r="G134" s="25">
        <f t="shared" si="4"/>
        <v>0</v>
      </c>
      <c r="H134" s="41" t="s">
        <v>9</v>
      </c>
      <c r="K134" s="3"/>
      <c r="M134" s="20">
        <v>42129</v>
      </c>
      <c r="N134" s="183">
        <v>20077</v>
      </c>
      <c r="O134" s="14" t="s">
        <v>332</v>
      </c>
      <c r="P134" s="105">
        <v>2223</v>
      </c>
      <c r="Q134" s="23">
        <v>42129</v>
      </c>
      <c r="R134" s="106">
        <v>2223</v>
      </c>
      <c r="S134" s="31">
        <f t="shared" si="5"/>
        <v>0</v>
      </c>
      <c r="T134" s="39" t="s">
        <v>9</v>
      </c>
    </row>
    <row r="135" spans="1:20" x14ac:dyDescent="0.25">
      <c r="A135" s="12">
        <v>42126</v>
      </c>
      <c r="B135" s="183">
        <v>19709</v>
      </c>
      <c r="C135" s="40" t="s">
        <v>1278</v>
      </c>
      <c r="D135" s="105">
        <v>21676.5</v>
      </c>
      <c r="E135" s="23">
        <v>42126</v>
      </c>
      <c r="F135" s="106">
        <v>21676.5</v>
      </c>
      <c r="G135" s="32">
        <f t="shared" si="4"/>
        <v>0</v>
      </c>
      <c r="H135" s="41" t="s">
        <v>9</v>
      </c>
      <c r="K135" s="3"/>
      <c r="M135" s="12">
        <v>42131</v>
      </c>
      <c r="N135" s="183">
        <v>20278</v>
      </c>
      <c r="O135" s="14" t="s">
        <v>332</v>
      </c>
      <c r="P135" s="105">
        <v>2388.3000000000002</v>
      </c>
      <c r="Q135" s="23">
        <v>42131</v>
      </c>
      <c r="R135" s="106">
        <v>2388.3000000000002</v>
      </c>
      <c r="S135" s="32">
        <f t="shared" si="5"/>
        <v>0</v>
      </c>
      <c r="T135" s="19" t="s">
        <v>9</v>
      </c>
    </row>
    <row r="136" spans="1:20" x14ac:dyDescent="0.25">
      <c r="A136" s="20">
        <v>42126</v>
      </c>
      <c r="B136" s="183">
        <v>19710</v>
      </c>
      <c r="C136" s="40" t="s">
        <v>1261</v>
      </c>
      <c r="D136" s="105">
        <v>3412.4</v>
      </c>
      <c r="E136" s="23">
        <v>42126</v>
      </c>
      <c r="F136" s="106">
        <v>3412.4</v>
      </c>
      <c r="G136" s="25">
        <f t="shared" si="4"/>
        <v>0</v>
      </c>
      <c r="H136" s="41" t="s">
        <v>9</v>
      </c>
      <c r="K136" s="3"/>
      <c r="M136" s="20">
        <v>42132</v>
      </c>
      <c r="N136" s="183">
        <v>20374</v>
      </c>
      <c r="O136" s="14" t="s">
        <v>332</v>
      </c>
      <c r="P136" s="105">
        <v>2502.3000000000002</v>
      </c>
      <c r="Q136" s="23">
        <v>42132</v>
      </c>
      <c r="R136" s="106">
        <v>2502.3000000000002</v>
      </c>
      <c r="S136" s="31">
        <f t="shared" si="5"/>
        <v>0</v>
      </c>
      <c r="T136" s="19" t="s">
        <v>9</v>
      </c>
    </row>
    <row r="137" spans="1:20" x14ac:dyDescent="0.25">
      <c r="A137" s="12">
        <v>42126</v>
      </c>
      <c r="B137" s="183">
        <v>19711</v>
      </c>
      <c r="C137" s="40" t="s">
        <v>854</v>
      </c>
      <c r="D137" s="105">
        <v>4964</v>
      </c>
      <c r="E137" s="23">
        <v>42126</v>
      </c>
      <c r="F137" s="106">
        <v>4964</v>
      </c>
      <c r="G137" s="25">
        <f t="shared" si="4"/>
        <v>0</v>
      </c>
      <c r="H137" s="41" t="s">
        <v>9</v>
      </c>
      <c r="K137" s="3"/>
      <c r="M137" s="12">
        <v>42133</v>
      </c>
      <c r="N137" s="183">
        <v>20537</v>
      </c>
      <c r="O137" s="14" t="s">
        <v>332</v>
      </c>
      <c r="P137" s="105">
        <v>2157.6</v>
      </c>
      <c r="Q137" s="23">
        <v>42133</v>
      </c>
      <c r="R137" s="106">
        <v>2157.6</v>
      </c>
      <c r="S137" s="31">
        <f t="shared" si="5"/>
        <v>0</v>
      </c>
      <c r="T137" s="19" t="s">
        <v>9</v>
      </c>
    </row>
    <row r="138" spans="1:20" x14ac:dyDescent="0.25">
      <c r="A138" s="20">
        <v>42126</v>
      </c>
      <c r="B138" s="183">
        <v>19712</v>
      </c>
      <c r="C138" s="44" t="s">
        <v>218</v>
      </c>
      <c r="D138" s="105">
        <v>0</v>
      </c>
      <c r="E138" s="23"/>
      <c r="F138" s="106"/>
      <c r="G138" s="25">
        <f t="shared" si="4"/>
        <v>0</v>
      </c>
      <c r="H138" s="41" t="s">
        <v>13</v>
      </c>
      <c r="K138" s="3"/>
      <c r="M138" s="20">
        <v>42136</v>
      </c>
      <c r="N138" s="183">
        <v>20841</v>
      </c>
      <c r="O138" s="14" t="s">
        <v>332</v>
      </c>
      <c r="P138" s="105">
        <v>2208</v>
      </c>
      <c r="Q138" s="23">
        <v>42136</v>
      </c>
      <c r="R138" s="106">
        <v>2208</v>
      </c>
      <c r="S138" s="31">
        <f t="shared" si="5"/>
        <v>0</v>
      </c>
      <c r="T138" s="39" t="s">
        <v>9</v>
      </c>
    </row>
    <row r="139" spans="1:20" x14ac:dyDescent="0.25">
      <c r="A139" s="12">
        <v>42126</v>
      </c>
      <c r="B139" s="183">
        <v>19713</v>
      </c>
      <c r="C139" s="40" t="s">
        <v>1279</v>
      </c>
      <c r="D139" s="105">
        <v>75278.149999999994</v>
      </c>
      <c r="E139" s="23">
        <v>42129</v>
      </c>
      <c r="F139" s="106">
        <v>75278.149999999994</v>
      </c>
      <c r="G139" s="25">
        <f t="shared" si="4"/>
        <v>0</v>
      </c>
      <c r="H139" s="41" t="s">
        <v>9</v>
      </c>
      <c r="K139" s="3"/>
      <c r="M139" s="12">
        <v>42138</v>
      </c>
      <c r="N139" s="183">
        <v>21015</v>
      </c>
      <c r="O139" s="14" t="s">
        <v>332</v>
      </c>
      <c r="P139" s="105">
        <v>2580</v>
      </c>
      <c r="Q139" s="23">
        <v>42138</v>
      </c>
      <c r="R139" s="106">
        <v>2580</v>
      </c>
      <c r="S139" s="48">
        <f t="shared" si="5"/>
        <v>0</v>
      </c>
      <c r="T139" s="39" t="s">
        <v>9</v>
      </c>
    </row>
    <row r="140" spans="1:20" x14ac:dyDescent="0.25">
      <c r="A140" s="20">
        <v>42126</v>
      </c>
      <c r="B140" s="183">
        <v>19714</v>
      </c>
      <c r="C140" s="40" t="s">
        <v>791</v>
      </c>
      <c r="D140" s="105">
        <v>2343</v>
      </c>
      <c r="E140" s="23">
        <v>42129</v>
      </c>
      <c r="F140" s="106">
        <v>2343</v>
      </c>
      <c r="G140" s="25">
        <f t="shared" si="4"/>
        <v>0</v>
      </c>
      <c r="H140" s="41" t="s">
        <v>9</v>
      </c>
      <c r="K140" s="3"/>
      <c r="M140" s="20">
        <v>42140</v>
      </c>
      <c r="N140" s="183">
        <v>21266</v>
      </c>
      <c r="O140" s="14" t="s">
        <v>332</v>
      </c>
      <c r="P140" s="105">
        <v>2229</v>
      </c>
      <c r="Q140" s="23">
        <v>42140</v>
      </c>
      <c r="R140" s="106">
        <v>2229</v>
      </c>
      <c r="S140" s="31">
        <f t="shared" si="5"/>
        <v>0</v>
      </c>
      <c r="T140" s="62" t="s">
        <v>9</v>
      </c>
    </row>
    <row r="141" spans="1:20" x14ac:dyDescent="0.25">
      <c r="A141" s="12">
        <v>42126</v>
      </c>
      <c r="B141" s="183">
        <v>19715</v>
      </c>
      <c r="C141" s="40" t="s">
        <v>1026</v>
      </c>
      <c r="D141" s="105">
        <v>7323.6</v>
      </c>
      <c r="E141" s="23">
        <v>42126</v>
      </c>
      <c r="F141" s="106">
        <v>7323.6</v>
      </c>
      <c r="G141" s="25">
        <f t="shared" si="4"/>
        <v>0</v>
      </c>
      <c r="H141" s="41" t="s">
        <v>9</v>
      </c>
      <c r="K141" s="3"/>
      <c r="M141" s="12">
        <v>42144</v>
      </c>
      <c r="N141" s="183">
        <v>21672</v>
      </c>
      <c r="O141" s="14" t="s">
        <v>332</v>
      </c>
      <c r="P141" s="105">
        <v>3186.2</v>
      </c>
      <c r="Q141" s="23">
        <v>42144</v>
      </c>
      <c r="R141" s="118">
        <v>3186.2</v>
      </c>
      <c r="S141" s="31">
        <f t="shared" si="5"/>
        <v>0</v>
      </c>
      <c r="T141" s="62" t="s">
        <v>9</v>
      </c>
    </row>
    <row r="142" spans="1:20" x14ac:dyDescent="0.25">
      <c r="A142" s="20">
        <v>42126</v>
      </c>
      <c r="B142" s="183">
        <v>19716</v>
      </c>
      <c r="C142" s="40" t="s">
        <v>125</v>
      </c>
      <c r="D142" s="105">
        <v>18954</v>
      </c>
      <c r="E142" s="23" t="s">
        <v>1280</v>
      </c>
      <c r="F142" s="106">
        <f>16500+2454</f>
        <v>18954</v>
      </c>
      <c r="G142" s="25">
        <f t="shared" si="4"/>
        <v>0</v>
      </c>
      <c r="H142" s="41" t="s">
        <v>9</v>
      </c>
      <c r="K142" s="3"/>
      <c r="M142" s="20">
        <v>42147</v>
      </c>
      <c r="N142" s="183">
        <v>22019</v>
      </c>
      <c r="O142" s="14" t="s">
        <v>332</v>
      </c>
      <c r="P142" s="105">
        <v>2438.4</v>
      </c>
      <c r="Q142" s="65">
        <v>42147</v>
      </c>
      <c r="R142" s="106">
        <v>2438.4</v>
      </c>
      <c r="S142" s="31">
        <f t="shared" si="5"/>
        <v>0</v>
      </c>
      <c r="T142" s="39" t="s">
        <v>9</v>
      </c>
    </row>
    <row r="143" spans="1:20" x14ac:dyDescent="0.25">
      <c r="A143" s="12">
        <v>42126</v>
      </c>
      <c r="B143" s="183">
        <v>19717</v>
      </c>
      <c r="C143" s="40" t="s">
        <v>333</v>
      </c>
      <c r="D143" s="105">
        <v>10417.6</v>
      </c>
      <c r="E143" s="23">
        <v>42126</v>
      </c>
      <c r="F143" s="106">
        <v>10417.6</v>
      </c>
      <c r="G143" s="25">
        <f t="shared" si="4"/>
        <v>0</v>
      </c>
      <c r="H143" s="41" t="s">
        <v>41</v>
      </c>
      <c r="K143" s="3"/>
      <c r="M143" s="12">
        <v>42149</v>
      </c>
      <c r="N143" s="183">
        <v>22215</v>
      </c>
      <c r="O143" s="14" t="s">
        <v>332</v>
      </c>
      <c r="P143" s="105">
        <v>710.65</v>
      </c>
      <c r="Q143" s="65">
        <v>42149</v>
      </c>
      <c r="R143" s="106">
        <v>710.65</v>
      </c>
      <c r="S143" s="31">
        <f t="shared" si="5"/>
        <v>0</v>
      </c>
      <c r="T143" s="39" t="s">
        <v>9</v>
      </c>
    </row>
    <row r="144" spans="1:20" x14ac:dyDescent="0.25">
      <c r="A144" s="20">
        <v>42126</v>
      </c>
      <c r="B144" s="183">
        <v>19718</v>
      </c>
      <c r="C144" s="40" t="s">
        <v>1281</v>
      </c>
      <c r="D144" s="105">
        <v>9610.7999999999993</v>
      </c>
      <c r="E144" s="23">
        <v>42126</v>
      </c>
      <c r="F144" s="106">
        <v>9610.7999999999993</v>
      </c>
      <c r="G144" s="25">
        <f t="shared" si="4"/>
        <v>0</v>
      </c>
      <c r="H144" s="41" t="s">
        <v>9</v>
      </c>
      <c r="K144" s="3"/>
      <c r="M144" s="20">
        <v>42150</v>
      </c>
      <c r="N144" s="183">
        <v>22312</v>
      </c>
      <c r="O144" s="14" t="s">
        <v>332</v>
      </c>
      <c r="P144" s="105">
        <v>2743.8</v>
      </c>
      <c r="Q144" s="65">
        <v>42150</v>
      </c>
      <c r="R144" s="106">
        <v>2743.8</v>
      </c>
      <c r="S144" s="31">
        <f t="shared" si="5"/>
        <v>0</v>
      </c>
      <c r="T144" s="39" t="s">
        <v>9</v>
      </c>
    </row>
    <row r="145" spans="1:20" x14ac:dyDescent="0.25">
      <c r="A145" s="12">
        <v>42126</v>
      </c>
      <c r="B145" s="183">
        <v>19719</v>
      </c>
      <c r="C145" s="40" t="s">
        <v>1261</v>
      </c>
      <c r="D145" s="105">
        <v>3161.6</v>
      </c>
      <c r="E145" s="23">
        <v>42126</v>
      </c>
      <c r="F145" s="106">
        <v>3161.6</v>
      </c>
      <c r="G145" s="25">
        <f t="shared" si="4"/>
        <v>0</v>
      </c>
      <c r="H145" s="41" t="s">
        <v>9</v>
      </c>
      <c r="M145" s="12">
        <v>42152</v>
      </c>
      <c r="N145" s="183">
        <v>22478</v>
      </c>
      <c r="O145" s="14" t="s">
        <v>332</v>
      </c>
      <c r="P145" s="105">
        <v>722.7</v>
      </c>
      <c r="Q145" s="23">
        <v>42152</v>
      </c>
      <c r="R145" s="106">
        <v>722.7</v>
      </c>
      <c r="S145" s="31">
        <f t="shared" si="5"/>
        <v>0</v>
      </c>
      <c r="T145" s="39" t="s">
        <v>9</v>
      </c>
    </row>
    <row r="146" spans="1:20" x14ac:dyDescent="0.25">
      <c r="A146" s="20">
        <v>42126</v>
      </c>
      <c r="B146" s="183">
        <v>19720</v>
      </c>
      <c r="C146" s="40" t="s">
        <v>694</v>
      </c>
      <c r="D146" s="105">
        <v>3486</v>
      </c>
      <c r="E146" s="23">
        <v>42126</v>
      </c>
      <c r="F146" s="106">
        <v>3486</v>
      </c>
      <c r="G146" s="25">
        <f t="shared" si="4"/>
        <v>0</v>
      </c>
      <c r="H146" s="41" t="s">
        <v>9</v>
      </c>
      <c r="M146" s="20">
        <v>42153</v>
      </c>
      <c r="N146" s="183">
        <v>22602</v>
      </c>
      <c r="O146" s="14" t="s">
        <v>332</v>
      </c>
      <c r="P146" s="105">
        <v>3077.1</v>
      </c>
      <c r="Q146" s="23">
        <v>42153</v>
      </c>
      <c r="R146" s="106">
        <v>3077.1</v>
      </c>
      <c r="S146" s="31">
        <f t="shared" si="5"/>
        <v>0</v>
      </c>
      <c r="T146" s="39" t="s">
        <v>9</v>
      </c>
    </row>
    <row r="147" spans="1:20" x14ac:dyDescent="0.25">
      <c r="A147" s="12">
        <v>42126</v>
      </c>
      <c r="B147" s="183">
        <v>19721</v>
      </c>
      <c r="C147" s="40" t="s">
        <v>34</v>
      </c>
      <c r="D147" s="105">
        <v>4932</v>
      </c>
      <c r="E147" s="23">
        <v>42126</v>
      </c>
      <c r="F147" s="106">
        <v>4932</v>
      </c>
      <c r="G147" s="25">
        <f t="shared" si="4"/>
        <v>0</v>
      </c>
      <c r="H147" s="41" t="s">
        <v>9</v>
      </c>
      <c r="M147" s="12">
        <v>42154</v>
      </c>
      <c r="N147" s="183">
        <v>22743</v>
      </c>
      <c r="O147" s="14" t="s">
        <v>332</v>
      </c>
      <c r="P147" s="105">
        <v>2732</v>
      </c>
      <c r="Q147" s="23">
        <v>42154</v>
      </c>
      <c r="R147" s="106">
        <v>2732</v>
      </c>
      <c r="S147" s="31">
        <f t="shared" si="5"/>
        <v>0</v>
      </c>
      <c r="T147" s="39" t="s">
        <v>9</v>
      </c>
    </row>
    <row r="148" spans="1:20" x14ac:dyDescent="0.25">
      <c r="A148" s="20">
        <v>42126</v>
      </c>
      <c r="B148" s="183">
        <v>19722</v>
      </c>
      <c r="C148" s="44" t="s">
        <v>218</v>
      </c>
      <c r="D148" s="105">
        <v>0</v>
      </c>
      <c r="E148" s="23"/>
      <c r="F148" s="106"/>
      <c r="G148" s="25">
        <f t="shared" si="4"/>
        <v>0</v>
      </c>
      <c r="H148" s="41" t="s">
        <v>13</v>
      </c>
      <c r="M148" s="20">
        <v>42128</v>
      </c>
      <c r="N148" s="183">
        <v>20015</v>
      </c>
      <c r="O148" s="14" t="s">
        <v>732</v>
      </c>
      <c r="P148" s="105">
        <v>24126.1</v>
      </c>
      <c r="Q148" s="23">
        <v>42130</v>
      </c>
      <c r="R148" s="106">
        <v>24126.1</v>
      </c>
      <c r="S148" s="31">
        <f t="shared" si="5"/>
        <v>0</v>
      </c>
      <c r="T148" s="19" t="s">
        <v>149</v>
      </c>
    </row>
    <row r="149" spans="1:20" x14ac:dyDescent="0.25">
      <c r="A149" s="12">
        <v>42126</v>
      </c>
      <c r="B149" s="183">
        <v>19723</v>
      </c>
      <c r="C149" s="40" t="s">
        <v>829</v>
      </c>
      <c r="D149" s="105">
        <v>10990</v>
      </c>
      <c r="E149" s="23">
        <v>42126</v>
      </c>
      <c r="F149" s="106">
        <v>10990</v>
      </c>
      <c r="G149" s="25">
        <f t="shared" si="4"/>
        <v>0</v>
      </c>
      <c r="H149" s="41" t="s">
        <v>9</v>
      </c>
      <c r="M149" s="12">
        <v>42131</v>
      </c>
      <c r="N149" s="183">
        <v>20301</v>
      </c>
      <c r="O149" s="14" t="s">
        <v>732</v>
      </c>
      <c r="P149" s="105">
        <v>31635.11</v>
      </c>
      <c r="Q149" s="23">
        <v>42133</v>
      </c>
      <c r="R149" s="106">
        <v>31635.11</v>
      </c>
      <c r="S149" s="31">
        <f t="shared" si="5"/>
        <v>0</v>
      </c>
      <c r="T149" s="19" t="s">
        <v>149</v>
      </c>
    </row>
    <row r="150" spans="1:20" x14ac:dyDescent="0.25">
      <c r="A150" s="20">
        <v>42126</v>
      </c>
      <c r="B150" s="183">
        <v>19724</v>
      </c>
      <c r="C150" s="40" t="s">
        <v>215</v>
      </c>
      <c r="D150" s="105">
        <v>35483.199999999997</v>
      </c>
      <c r="E150" s="23">
        <v>42126</v>
      </c>
      <c r="F150" s="106">
        <v>35483.199999999997</v>
      </c>
      <c r="G150" s="25">
        <f t="shared" si="4"/>
        <v>0</v>
      </c>
      <c r="H150" s="41" t="s">
        <v>9</v>
      </c>
      <c r="M150" s="20">
        <v>42135</v>
      </c>
      <c r="N150" s="183">
        <v>20782</v>
      </c>
      <c r="O150" s="14" t="s">
        <v>732</v>
      </c>
      <c r="P150" s="105">
        <v>8578.5</v>
      </c>
      <c r="Q150" s="23">
        <v>42137</v>
      </c>
      <c r="R150" s="106">
        <v>8578.5</v>
      </c>
      <c r="S150" s="31">
        <f t="shared" si="5"/>
        <v>0</v>
      </c>
      <c r="T150" s="19" t="s">
        <v>9</v>
      </c>
    </row>
    <row r="151" spans="1:20" x14ac:dyDescent="0.25">
      <c r="A151" s="12">
        <v>42126</v>
      </c>
      <c r="B151" s="183">
        <v>19725</v>
      </c>
      <c r="C151" s="40" t="s">
        <v>225</v>
      </c>
      <c r="D151" s="105">
        <v>2563.6</v>
      </c>
      <c r="E151" s="23">
        <v>42126</v>
      </c>
      <c r="F151" s="106">
        <v>2563.6</v>
      </c>
      <c r="G151" s="25">
        <f t="shared" si="4"/>
        <v>0</v>
      </c>
      <c r="H151" s="41" t="s">
        <v>9</v>
      </c>
      <c r="M151" s="12">
        <v>42142</v>
      </c>
      <c r="N151" s="183">
        <v>21512</v>
      </c>
      <c r="O151" s="14" t="s">
        <v>732</v>
      </c>
      <c r="P151" s="105">
        <v>41769.4</v>
      </c>
      <c r="Q151" s="23">
        <v>42145</v>
      </c>
      <c r="R151" s="106">
        <v>41769.4</v>
      </c>
      <c r="S151" s="31">
        <f t="shared" si="5"/>
        <v>0</v>
      </c>
      <c r="T151" s="39" t="s">
        <v>149</v>
      </c>
    </row>
    <row r="152" spans="1:20" x14ac:dyDescent="0.25">
      <c r="A152" s="20">
        <v>42126</v>
      </c>
      <c r="B152" s="183">
        <v>19726</v>
      </c>
      <c r="C152" s="40" t="s">
        <v>829</v>
      </c>
      <c r="D152" s="105">
        <v>1205.4000000000001</v>
      </c>
      <c r="E152" s="23">
        <v>42126</v>
      </c>
      <c r="F152" s="106">
        <v>1205.4000000000001</v>
      </c>
      <c r="G152" s="25">
        <f t="shared" si="4"/>
        <v>0</v>
      </c>
      <c r="H152" s="41" t="s">
        <v>9</v>
      </c>
      <c r="M152" s="20">
        <v>42145</v>
      </c>
      <c r="N152" s="183">
        <v>21828</v>
      </c>
      <c r="O152" s="15" t="s">
        <v>732</v>
      </c>
      <c r="P152" s="122">
        <v>30028.2</v>
      </c>
      <c r="Q152" s="23">
        <v>42149</v>
      </c>
      <c r="R152" s="118">
        <v>30028.2</v>
      </c>
      <c r="S152" s="31">
        <f t="shared" si="5"/>
        <v>0</v>
      </c>
      <c r="T152" s="68" t="s">
        <v>149</v>
      </c>
    </row>
    <row r="153" spans="1:20" x14ac:dyDescent="0.25">
      <c r="A153" s="12">
        <v>42126</v>
      </c>
      <c r="B153" s="183">
        <v>19727</v>
      </c>
      <c r="C153" s="40" t="s">
        <v>375</v>
      </c>
      <c r="D153" s="105">
        <v>2514.4</v>
      </c>
      <c r="E153" s="23">
        <v>42126</v>
      </c>
      <c r="F153" s="106">
        <v>2514.4</v>
      </c>
      <c r="G153" s="25">
        <f t="shared" si="4"/>
        <v>0</v>
      </c>
      <c r="H153" s="41" t="s">
        <v>9</v>
      </c>
      <c r="M153" s="12">
        <v>42129</v>
      </c>
      <c r="N153" s="183">
        <v>20085</v>
      </c>
      <c r="O153" s="14" t="s">
        <v>236</v>
      </c>
      <c r="P153" s="105">
        <v>4556</v>
      </c>
      <c r="Q153" s="23">
        <v>42136</v>
      </c>
      <c r="R153" s="106">
        <v>4556</v>
      </c>
      <c r="S153" s="31">
        <f t="shared" si="5"/>
        <v>0</v>
      </c>
      <c r="T153" s="39" t="s">
        <v>94</v>
      </c>
    </row>
    <row r="154" spans="1:20" x14ac:dyDescent="0.25">
      <c r="A154" s="20">
        <v>42126</v>
      </c>
      <c r="B154" s="183">
        <v>19728</v>
      </c>
      <c r="C154" s="40" t="s">
        <v>912</v>
      </c>
      <c r="D154" s="105">
        <v>4402.2</v>
      </c>
      <c r="E154" s="23">
        <v>42126</v>
      </c>
      <c r="F154" s="106">
        <v>4402.2</v>
      </c>
      <c r="G154" s="25">
        <f t="shared" si="4"/>
        <v>0</v>
      </c>
      <c r="H154" s="41" t="s">
        <v>9</v>
      </c>
      <c r="M154" s="20">
        <v>42134</v>
      </c>
      <c r="N154" s="183">
        <v>20602</v>
      </c>
      <c r="O154" s="14" t="s">
        <v>236</v>
      </c>
      <c r="P154" s="105">
        <v>50172.45</v>
      </c>
      <c r="Q154" s="12" t="s">
        <v>1282</v>
      </c>
      <c r="R154" s="118">
        <f>24555.76+25616.69</f>
        <v>50172.45</v>
      </c>
      <c r="S154" s="31">
        <f t="shared" si="5"/>
        <v>0</v>
      </c>
      <c r="T154" s="56" t="s">
        <v>773</v>
      </c>
    </row>
    <row r="155" spans="1:20" x14ac:dyDescent="0.25">
      <c r="A155" s="12">
        <v>42126</v>
      </c>
      <c r="B155" s="183">
        <v>19729</v>
      </c>
      <c r="C155" s="40" t="s">
        <v>1182</v>
      </c>
      <c r="D155" s="105">
        <v>3046.1</v>
      </c>
      <c r="E155" s="23">
        <v>42126</v>
      </c>
      <c r="F155" s="106">
        <v>3046.1</v>
      </c>
      <c r="G155" s="25">
        <f t="shared" si="4"/>
        <v>0</v>
      </c>
      <c r="H155" s="41" t="s">
        <v>9</v>
      </c>
      <c r="M155" s="12">
        <v>42137</v>
      </c>
      <c r="N155" s="183">
        <v>20876</v>
      </c>
      <c r="O155" s="14" t="s">
        <v>236</v>
      </c>
      <c r="P155" s="105">
        <v>45783.37</v>
      </c>
      <c r="Q155" s="205" t="s">
        <v>1283</v>
      </c>
      <c r="R155" s="106">
        <f>6362+21383.31+18038.06</f>
        <v>45783.37</v>
      </c>
      <c r="S155" s="31">
        <f t="shared" si="5"/>
        <v>0</v>
      </c>
      <c r="T155" s="39" t="s">
        <v>773</v>
      </c>
    </row>
    <row r="156" spans="1:20" x14ac:dyDescent="0.25">
      <c r="A156" s="20">
        <v>42126</v>
      </c>
      <c r="B156" s="183">
        <v>19730</v>
      </c>
      <c r="C156" s="40" t="s">
        <v>1182</v>
      </c>
      <c r="D156" s="105">
        <v>2549.1999999999998</v>
      </c>
      <c r="E156" s="23">
        <v>42126</v>
      </c>
      <c r="F156" s="106">
        <v>2549.1999999999998</v>
      </c>
      <c r="G156" s="25">
        <f t="shared" si="4"/>
        <v>0</v>
      </c>
      <c r="H156" s="41" t="s">
        <v>9</v>
      </c>
      <c r="M156" s="20">
        <v>42145</v>
      </c>
      <c r="N156" s="183">
        <v>21792</v>
      </c>
      <c r="O156" s="15" t="s">
        <v>236</v>
      </c>
      <c r="P156" s="122">
        <v>3433.4</v>
      </c>
      <c r="Q156" s="23">
        <v>42153</v>
      </c>
      <c r="R156" s="118">
        <v>3433.4</v>
      </c>
      <c r="S156" s="31">
        <f t="shared" si="5"/>
        <v>0</v>
      </c>
      <c r="T156" s="68" t="s">
        <v>94</v>
      </c>
    </row>
    <row r="157" spans="1:20" s="4" customFormat="1" x14ac:dyDescent="0.25">
      <c r="A157" s="12">
        <v>42126</v>
      </c>
      <c r="B157" s="183">
        <v>19731</v>
      </c>
      <c r="C157" s="40" t="s">
        <v>164</v>
      </c>
      <c r="D157" s="105">
        <v>4190</v>
      </c>
      <c r="E157" s="23">
        <v>42126</v>
      </c>
      <c r="F157" s="106">
        <v>4190</v>
      </c>
      <c r="G157" s="25">
        <f t="shared" si="4"/>
        <v>0</v>
      </c>
      <c r="H157" s="41" t="s">
        <v>9</v>
      </c>
      <c r="J157" s="43"/>
      <c r="K157" s="43"/>
      <c r="M157" s="12">
        <v>42149</v>
      </c>
      <c r="N157" s="183">
        <v>22217</v>
      </c>
      <c r="O157" s="14" t="s">
        <v>236</v>
      </c>
      <c r="P157" s="105">
        <v>34272</v>
      </c>
      <c r="Q157" s="65">
        <v>42153</v>
      </c>
      <c r="R157" s="114">
        <v>11528.54</v>
      </c>
      <c r="S157" s="55">
        <f t="shared" si="5"/>
        <v>22743.46</v>
      </c>
      <c r="T157" s="39" t="s">
        <v>1257</v>
      </c>
    </row>
    <row r="158" spans="1:20" s="4" customFormat="1" x14ac:dyDescent="0.25">
      <c r="A158" s="20">
        <v>42126</v>
      </c>
      <c r="B158" s="183">
        <v>19732</v>
      </c>
      <c r="C158" s="40" t="s">
        <v>1284</v>
      </c>
      <c r="D158" s="105">
        <v>12401.7</v>
      </c>
      <c r="E158" s="23">
        <v>42126</v>
      </c>
      <c r="F158" s="106">
        <v>12401.7</v>
      </c>
      <c r="G158" s="25">
        <f t="shared" si="4"/>
        <v>0</v>
      </c>
      <c r="H158" s="41" t="s">
        <v>9</v>
      </c>
      <c r="J158" s="107"/>
      <c r="K158" s="43"/>
      <c r="M158" s="20">
        <v>42154</v>
      </c>
      <c r="N158" s="183">
        <v>22735</v>
      </c>
      <c r="O158" s="14" t="s">
        <v>236</v>
      </c>
      <c r="P158" s="105">
        <v>48357.599999999999</v>
      </c>
      <c r="Q158" s="23"/>
      <c r="R158" s="106"/>
      <c r="S158" s="31">
        <f t="shared" si="5"/>
        <v>48357.599999999999</v>
      </c>
      <c r="T158" s="39" t="s">
        <v>46</v>
      </c>
    </row>
    <row r="159" spans="1:20" s="4" customFormat="1" x14ac:dyDescent="0.25">
      <c r="A159" s="12">
        <v>42126</v>
      </c>
      <c r="B159" s="183">
        <v>19733</v>
      </c>
      <c r="C159" s="40" t="s">
        <v>590</v>
      </c>
      <c r="D159" s="105">
        <v>20247</v>
      </c>
      <c r="E159" s="23">
        <v>42126</v>
      </c>
      <c r="F159" s="106">
        <v>20247</v>
      </c>
      <c r="G159" s="25">
        <f t="shared" si="4"/>
        <v>0</v>
      </c>
      <c r="H159" s="41" t="s">
        <v>9</v>
      </c>
      <c r="J159" s="43"/>
      <c r="K159" s="43"/>
      <c r="M159" s="12">
        <v>42126</v>
      </c>
      <c r="N159" s="183">
        <v>19728</v>
      </c>
      <c r="O159" s="40" t="s">
        <v>912</v>
      </c>
      <c r="P159" s="105">
        <v>4402.2</v>
      </c>
      <c r="Q159" s="23">
        <v>42126</v>
      </c>
      <c r="R159" s="106">
        <v>4402.2</v>
      </c>
      <c r="S159" s="25">
        <f t="shared" si="5"/>
        <v>0</v>
      </c>
      <c r="T159" s="41" t="s">
        <v>9</v>
      </c>
    </row>
    <row r="160" spans="1:20" s="4" customFormat="1" x14ac:dyDescent="0.25">
      <c r="A160" s="20">
        <v>42126</v>
      </c>
      <c r="B160" s="183">
        <v>19734</v>
      </c>
      <c r="C160" s="40" t="s">
        <v>1260</v>
      </c>
      <c r="D160" s="105">
        <v>105716.45</v>
      </c>
      <c r="E160" s="23">
        <v>42140</v>
      </c>
      <c r="F160" s="106">
        <v>105716.45</v>
      </c>
      <c r="G160" s="25">
        <f t="shared" si="4"/>
        <v>0</v>
      </c>
      <c r="H160" s="41" t="s">
        <v>9</v>
      </c>
      <c r="J160" s="43"/>
      <c r="K160" s="43"/>
      <c r="M160" s="20">
        <v>42131</v>
      </c>
      <c r="N160" s="183">
        <v>20316</v>
      </c>
      <c r="O160" s="14" t="s">
        <v>912</v>
      </c>
      <c r="P160" s="105">
        <v>2118.1999999999998</v>
      </c>
      <c r="Q160" s="23">
        <v>42131</v>
      </c>
      <c r="R160" s="106">
        <v>2118.1999999999998</v>
      </c>
      <c r="S160" s="31">
        <f t="shared" si="5"/>
        <v>0</v>
      </c>
      <c r="T160" s="39" t="s">
        <v>9</v>
      </c>
    </row>
    <row r="161" spans="1:20" s="4" customFormat="1" x14ac:dyDescent="0.25">
      <c r="A161" s="12">
        <v>42126</v>
      </c>
      <c r="B161" s="183">
        <v>19735</v>
      </c>
      <c r="C161" s="40" t="s">
        <v>285</v>
      </c>
      <c r="D161" s="105">
        <v>312.39999999999998</v>
      </c>
      <c r="E161" s="23">
        <v>42126</v>
      </c>
      <c r="F161" s="106">
        <v>312.39999999999998</v>
      </c>
      <c r="G161" s="25">
        <f t="shared" si="4"/>
        <v>0</v>
      </c>
      <c r="H161" s="41" t="s">
        <v>15</v>
      </c>
      <c r="J161" s="107"/>
      <c r="K161" s="43"/>
      <c r="M161" s="12">
        <v>42131</v>
      </c>
      <c r="N161" s="183">
        <v>20317</v>
      </c>
      <c r="O161" s="14" t="s">
        <v>912</v>
      </c>
      <c r="P161" s="105">
        <v>25322.49</v>
      </c>
      <c r="Q161" s="23">
        <v>42131</v>
      </c>
      <c r="R161" s="106">
        <v>25322.49</v>
      </c>
      <c r="S161" s="31">
        <f t="shared" si="5"/>
        <v>0</v>
      </c>
      <c r="T161" s="39" t="s">
        <v>9</v>
      </c>
    </row>
    <row r="162" spans="1:20" s="4" customFormat="1" x14ac:dyDescent="0.25">
      <c r="A162" s="20">
        <v>42126</v>
      </c>
      <c r="B162" s="183">
        <v>19736</v>
      </c>
      <c r="C162" s="40" t="s">
        <v>226</v>
      </c>
      <c r="D162" s="105">
        <v>664</v>
      </c>
      <c r="E162" s="23">
        <v>42126</v>
      </c>
      <c r="F162" s="106">
        <v>664</v>
      </c>
      <c r="G162" s="25">
        <f t="shared" si="4"/>
        <v>0</v>
      </c>
      <c r="H162" s="41" t="s">
        <v>46</v>
      </c>
      <c r="J162" s="43"/>
      <c r="K162" s="43"/>
      <c r="M162" s="20">
        <v>42133</v>
      </c>
      <c r="N162" s="183">
        <v>20557</v>
      </c>
      <c r="O162" s="14" t="s">
        <v>912</v>
      </c>
      <c r="P162" s="105">
        <v>4828</v>
      </c>
      <c r="Q162" s="23">
        <v>42137</v>
      </c>
      <c r="R162" s="106">
        <v>4828</v>
      </c>
      <c r="S162" s="31">
        <f t="shared" si="5"/>
        <v>0</v>
      </c>
      <c r="T162" s="19" t="s">
        <v>1273</v>
      </c>
    </row>
    <row r="163" spans="1:20" s="4" customFormat="1" x14ac:dyDescent="0.25">
      <c r="A163" s="12">
        <v>42126</v>
      </c>
      <c r="B163" s="183">
        <v>19737</v>
      </c>
      <c r="C163" s="40" t="s">
        <v>99</v>
      </c>
      <c r="D163" s="105">
        <v>2569</v>
      </c>
      <c r="E163" s="23">
        <v>42126</v>
      </c>
      <c r="F163" s="106">
        <v>2569</v>
      </c>
      <c r="G163" s="25">
        <f t="shared" si="4"/>
        <v>0</v>
      </c>
      <c r="H163" s="41" t="s">
        <v>9</v>
      </c>
      <c r="J163" s="43"/>
      <c r="K163" s="43"/>
      <c r="M163" s="12">
        <v>42143</v>
      </c>
      <c r="N163" s="183">
        <v>21586</v>
      </c>
      <c r="O163" s="14" t="s">
        <v>912</v>
      </c>
      <c r="P163" s="105">
        <v>28369.95</v>
      </c>
      <c r="Q163" s="23">
        <v>42143</v>
      </c>
      <c r="R163" s="118">
        <v>28369.95</v>
      </c>
      <c r="S163" s="31">
        <f t="shared" si="5"/>
        <v>0</v>
      </c>
      <c r="T163" s="56" t="s">
        <v>9</v>
      </c>
    </row>
    <row r="164" spans="1:20" s="4" customFormat="1" x14ac:dyDescent="0.25">
      <c r="A164" s="20">
        <v>42126</v>
      </c>
      <c r="B164" s="183">
        <v>19738</v>
      </c>
      <c r="C164" s="40" t="s">
        <v>151</v>
      </c>
      <c r="D164" s="105">
        <v>1454.25</v>
      </c>
      <c r="E164" s="23">
        <v>42127</v>
      </c>
      <c r="F164" s="106">
        <v>1454.25</v>
      </c>
      <c r="G164" s="25">
        <f t="shared" si="4"/>
        <v>0</v>
      </c>
      <c r="H164" s="41" t="s">
        <v>9</v>
      </c>
      <c r="J164" s="43"/>
      <c r="K164" s="43"/>
      <c r="M164" s="20">
        <v>42147</v>
      </c>
      <c r="N164" s="183">
        <v>22050</v>
      </c>
      <c r="O164" s="14" t="s">
        <v>912</v>
      </c>
      <c r="P164" s="105">
        <v>3431.1</v>
      </c>
      <c r="Q164" s="65">
        <v>42147</v>
      </c>
      <c r="R164" s="106">
        <v>3431.1</v>
      </c>
      <c r="S164" s="31">
        <f t="shared" si="5"/>
        <v>0</v>
      </c>
      <c r="T164" s="39" t="s">
        <v>9</v>
      </c>
    </row>
    <row r="165" spans="1:20" s="4" customFormat="1" x14ac:dyDescent="0.25">
      <c r="A165" s="12">
        <v>42126</v>
      </c>
      <c r="B165" s="183">
        <v>19739</v>
      </c>
      <c r="C165" s="40" t="s">
        <v>35</v>
      </c>
      <c r="D165" s="105">
        <v>25007.4</v>
      </c>
      <c r="E165" s="23">
        <v>42126</v>
      </c>
      <c r="F165" s="106">
        <v>25007.4</v>
      </c>
      <c r="G165" s="25">
        <f t="shared" si="4"/>
        <v>0</v>
      </c>
      <c r="H165" s="41" t="s">
        <v>773</v>
      </c>
      <c r="J165" s="43"/>
      <c r="K165" s="43"/>
      <c r="M165" s="12">
        <v>42151</v>
      </c>
      <c r="N165" s="183">
        <v>22347</v>
      </c>
      <c r="O165" s="14" t="s">
        <v>912</v>
      </c>
      <c r="P165" s="105">
        <v>31593.95</v>
      </c>
      <c r="Q165" s="65">
        <v>42151</v>
      </c>
      <c r="R165" s="106">
        <v>31593.95</v>
      </c>
      <c r="S165" s="31">
        <f t="shared" si="5"/>
        <v>0</v>
      </c>
      <c r="T165" s="39" t="s">
        <v>1273</v>
      </c>
    </row>
    <row r="166" spans="1:20" s="4" customFormat="1" x14ac:dyDescent="0.25">
      <c r="A166" s="20">
        <v>42126</v>
      </c>
      <c r="B166" s="183">
        <v>19740</v>
      </c>
      <c r="C166" s="40" t="s">
        <v>256</v>
      </c>
      <c r="D166" s="105">
        <v>8675.6</v>
      </c>
      <c r="E166" s="23">
        <v>42126</v>
      </c>
      <c r="F166" s="106">
        <v>8675.6</v>
      </c>
      <c r="G166" s="25">
        <f t="shared" si="4"/>
        <v>0</v>
      </c>
      <c r="H166" s="41" t="s">
        <v>773</v>
      </c>
      <c r="J166" s="43"/>
      <c r="K166" s="43"/>
      <c r="M166" s="20">
        <v>42126</v>
      </c>
      <c r="N166" s="183">
        <v>19788</v>
      </c>
      <c r="O166" s="40" t="s">
        <v>738</v>
      </c>
      <c r="P166" s="105">
        <v>38541.5</v>
      </c>
      <c r="Q166" s="23">
        <v>42128</v>
      </c>
      <c r="R166" s="106">
        <v>38541.5</v>
      </c>
      <c r="S166" s="31">
        <f t="shared" si="5"/>
        <v>0</v>
      </c>
      <c r="T166" s="41" t="s">
        <v>94</v>
      </c>
    </row>
    <row r="167" spans="1:20" s="4" customFormat="1" x14ac:dyDescent="0.25">
      <c r="A167" s="12">
        <v>42126</v>
      </c>
      <c r="B167" s="183">
        <v>19741</v>
      </c>
      <c r="C167" s="40" t="s">
        <v>591</v>
      </c>
      <c r="D167" s="105">
        <v>8823.6</v>
      </c>
      <c r="E167" s="23">
        <v>42126</v>
      </c>
      <c r="F167" s="106">
        <v>8823.6</v>
      </c>
      <c r="G167" s="25">
        <f t="shared" si="4"/>
        <v>0</v>
      </c>
      <c r="H167" s="41" t="s">
        <v>773</v>
      </c>
      <c r="J167" s="43"/>
      <c r="K167" s="43"/>
      <c r="M167" s="12">
        <v>42133</v>
      </c>
      <c r="N167" s="183">
        <v>20554</v>
      </c>
      <c r="O167" s="14" t="s">
        <v>738</v>
      </c>
      <c r="P167" s="105">
        <v>38019</v>
      </c>
      <c r="Q167" s="23">
        <v>42137</v>
      </c>
      <c r="R167" s="106">
        <v>38019</v>
      </c>
      <c r="S167" s="31">
        <f t="shared" si="5"/>
        <v>0</v>
      </c>
      <c r="T167" s="19" t="s">
        <v>1273</v>
      </c>
    </row>
    <row r="168" spans="1:20" x14ac:dyDescent="0.25">
      <c r="A168" s="20">
        <v>42126</v>
      </c>
      <c r="B168" s="183">
        <v>19742</v>
      </c>
      <c r="C168" s="40" t="s">
        <v>56</v>
      </c>
      <c r="D168" s="105">
        <v>12608.8</v>
      </c>
      <c r="E168" s="23">
        <v>42126</v>
      </c>
      <c r="F168" s="106">
        <v>12608.8</v>
      </c>
      <c r="G168" s="25">
        <f t="shared" si="4"/>
        <v>0</v>
      </c>
      <c r="H168" s="41" t="s">
        <v>773</v>
      </c>
      <c r="I168" s="3"/>
      <c r="J168" s="42"/>
      <c r="M168" s="20">
        <v>42149</v>
      </c>
      <c r="N168" s="183">
        <v>22213</v>
      </c>
      <c r="O168" s="14" t="s">
        <v>738</v>
      </c>
      <c r="P168" s="105">
        <v>14191.8</v>
      </c>
      <c r="Q168" s="65">
        <v>42149</v>
      </c>
      <c r="R168" s="106">
        <v>14191.8</v>
      </c>
      <c r="S168" s="31">
        <f t="shared" si="5"/>
        <v>0</v>
      </c>
      <c r="T168" s="39" t="s">
        <v>1273</v>
      </c>
    </row>
    <row r="169" spans="1:20" x14ac:dyDescent="0.25">
      <c r="A169" s="12">
        <v>42126</v>
      </c>
      <c r="B169" s="183">
        <v>19743</v>
      </c>
      <c r="C169" s="40" t="s">
        <v>37</v>
      </c>
      <c r="D169" s="105">
        <v>2117.5</v>
      </c>
      <c r="E169" s="23">
        <v>42136</v>
      </c>
      <c r="F169" s="106">
        <v>2117.5</v>
      </c>
      <c r="G169" s="25">
        <f t="shared" si="4"/>
        <v>0</v>
      </c>
      <c r="H169" s="41" t="s">
        <v>773</v>
      </c>
      <c r="I169" s="3"/>
      <c r="J169" s="42"/>
      <c r="M169" s="12">
        <v>42153</v>
      </c>
      <c r="N169" s="183">
        <v>22641</v>
      </c>
      <c r="O169" s="14" t="s">
        <v>1285</v>
      </c>
      <c r="P169" s="105">
        <v>53905.2</v>
      </c>
      <c r="Q169" s="23">
        <v>42154</v>
      </c>
      <c r="R169" s="106">
        <v>53905.2</v>
      </c>
      <c r="S169" s="31">
        <f t="shared" si="5"/>
        <v>0</v>
      </c>
      <c r="T169" s="39" t="s">
        <v>1257</v>
      </c>
    </row>
    <row r="170" spans="1:20" x14ac:dyDescent="0.25">
      <c r="A170" s="20">
        <v>42126</v>
      </c>
      <c r="B170" s="183">
        <v>19744</v>
      </c>
      <c r="C170" s="40" t="s">
        <v>45</v>
      </c>
      <c r="D170" s="105">
        <v>66176.7</v>
      </c>
      <c r="E170" s="23">
        <v>42140</v>
      </c>
      <c r="F170" s="106">
        <v>66176.7</v>
      </c>
      <c r="G170" s="25">
        <f t="shared" si="4"/>
        <v>0</v>
      </c>
      <c r="H170" s="41" t="s">
        <v>1013</v>
      </c>
      <c r="I170" s="3"/>
      <c r="J170" s="42"/>
      <c r="M170" s="20">
        <v>42142</v>
      </c>
      <c r="N170" s="183">
        <v>21455</v>
      </c>
      <c r="O170" s="14" t="s">
        <v>243</v>
      </c>
      <c r="P170" s="105">
        <v>1253.04</v>
      </c>
      <c r="Q170" s="65">
        <v>42144</v>
      </c>
      <c r="R170" s="106">
        <v>1253.04</v>
      </c>
      <c r="S170" s="31">
        <f t="shared" si="5"/>
        <v>0</v>
      </c>
      <c r="T170" s="19" t="s">
        <v>62</v>
      </c>
    </row>
    <row r="171" spans="1:20" x14ac:dyDescent="0.25">
      <c r="A171" s="12">
        <v>42126</v>
      </c>
      <c r="B171" s="183">
        <v>19745</v>
      </c>
      <c r="C171" s="40" t="s">
        <v>83</v>
      </c>
      <c r="D171" s="105">
        <v>1540.2</v>
      </c>
      <c r="E171" s="23">
        <v>42128</v>
      </c>
      <c r="F171" s="106">
        <v>1540.2</v>
      </c>
      <c r="G171" s="25">
        <f t="shared" si="4"/>
        <v>0</v>
      </c>
      <c r="H171" s="41" t="s">
        <v>59</v>
      </c>
      <c r="I171" s="3"/>
      <c r="J171" s="42"/>
      <c r="M171" s="12">
        <v>42149</v>
      </c>
      <c r="N171" s="183">
        <v>22197</v>
      </c>
      <c r="O171" s="14" t="s">
        <v>243</v>
      </c>
      <c r="P171" s="105">
        <v>1253.04</v>
      </c>
      <c r="Q171" s="65">
        <v>42150</v>
      </c>
      <c r="R171" s="106">
        <v>1253.04</v>
      </c>
      <c r="S171" s="31">
        <f t="shared" si="5"/>
        <v>0</v>
      </c>
      <c r="T171" s="39" t="s">
        <v>62</v>
      </c>
    </row>
    <row r="172" spans="1:20" x14ac:dyDescent="0.25">
      <c r="A172" s="20">
        <v>42126</v>
      </c>
      <c r="B172" s="183">
        <v>19746</v>
      </c>
      <c r="C172" s="40" t="s">
        <v>59</v>
      </c>
      <c r="D172" s="105">
        <v>40.200000000000003</v>
      </c>
      <c r="E172" s="23">
        <v>42128</v>
      </c>
      <c r="F172" s="106">
        <v>40.200000000000003</v>
      </c>
      <c r="G172" s="25">
        <f t="shared" si="4"/>
        <v>0</v>
      </c>
      <c r="H172" s="41" t="s">
        <v>9</v>
      </c>
      <c r="I172" s="3"/>
      <c r="J172" s="42"/>
      <c r="M172" s="20">
        <v>42128</v>
      </c>
      <c r="N172" s="183">
        <v>19967</v>
      </c>
      <c r="O172" s="14" t="s">
        <v>79</v>
      </c>
      <c r="P172" s="105">
        <v>3506.13</v>
      </c>
      <c r="Q172" s="23">
        <v>42129</v>
      </c>
      <c r="R172" s="106">
        <v>3506.13</v>
      </c>
      <c r="S172" s="31">
        <f t="shared" si="5"/>
        <v>0</v>
      </c>
      <c r="T172" s="19" t="s">
        <v>9</v>
      </c>
    </row>
    <row r="173" spans="1:20" x14ac:dyDescent="0.25">
      <c r="A173" s="12">
        <v>42126</v>
      </c>
      <c r="B173" s="183">
        <v>19747</v>
      </c>
      <c r="C173" s="40" t="s">
        <v>89</v>
      </c>
      <c r="D173" s="105">
        <v>2701.4</v>
      </c>
      <c r="E173" s="23">
        <v>42126</v>
      </c>
      <c r="F173" s="106">
        <v>2701.4</v>
      </c>
      <c r="G173" s="25">
        <f t="shared" si="4"/>
        <v>0</v>
      </c>
      <c r="H173" s="41" t="s">
        <v>9</v>
      </c>
      <c r="I173" s="3"/>
      <c r="J173" s="42"/>
      <c r="M173" s="12">
        <v>42135</v>
      </c>
      <c r="N173" s="183">
        <v>20733</v>
      </c>
      <c r="O173" s="14" t="s">
        <v>79</v>
      </c>
      <c r="P173" s="105">
        <v>1280.28</v>
      </c>
      <c r="Q173" s="23">
        <v>42136</v>
      </c>
      <c r="R173" s="106">
        <v>1280.28</v>
      </c>
      <c r="S173" s="31">
        <f t="shared" si="5"/>
        <v>0</v>
      </c>
      <c r="T173" s="19" t="s">
        <v>62</v>
      </c>
    </row>
    <row r="174" spans="1:20" x14ac:dyDescent="0.25">
      <c r="A174" s="20">
        <v>42126</v>
      </c>
      <c r="B174" s="183">
        <v>19748</v>
      </c>
      <c r="C174" s="40" t="s">
        <v>26</v>
      </c>
      <c r="D174" s="105">
        <v>3264</v>
      </c>
      <c r="E174" s="23">
        <v>42126</v>
      </c>
      <c r="F174" s="106">
        <v>3264</v>
      </c>
      <c r="G174" s="25">
        <f t="shared" si="4"/>
        <v>0</v>
      </c>
      <c r="H174" s="41" t="s">
        <v>9</v>
      </c>
      <c r="I174" s="3"/>
      <c r="J174" s="42"/>
      <c r="M174" s="20">
        <v>42128</v>
      </c>
      <c r="N174" s="183">
        <v>19989</v>
      </c>
      <c r="O174" s="14" t="s">
        <v>199</v>
      </c>
      <c r="P174" s="105">
        <v>6929.6</v>
      </c>
      <c r="Q174" s="23">
        <v>42130</v>
      </c>
      <c r="R174" s="106">
        <v>6929.6</v>
      </c>
      <c r="S174" s="31">
        <f t="shared" si="5"/>
        <v>0</v>
      </c>
      <c r="T174" s="19" t="s">
        <v>149</v>
      </c>
    </row>
    <row r="175" spans="1:20" x14ac:dyDescent="0.25">
      <c r="A175" s="12">
        <v>42126</v>
      </c>
      <c r="B175" s="183">
        <v>19749</v>
      </c>
      <c r="C175" s="40" t="s">
        <v>131</v>
      </c>
      <c r="D175" s="105">
        <v>9649.25</v>
      </c>
      <c r="E175" s="23">
        <v>42126</v>
      </c>
      <c r="F175" s="106">
        <v>9649.25</v>
      </c>
      <c r="G175" s="25">
        <f t="shared" si="4"/>
        <v>0</v>
      </c>
      <c r="H175" s="41" t="s">
        <v>1257</v>
      </c>
      <c r="I175" s="3"/>
      <c r="J175" s="42"/>
      <c r="M175" s="12">
        <v>42131</v>
      </c>
      <c r="N175" s="183">
        <v>20307</v>
      </c>
      <c r="O175" s="14" t="s">
        <v>199</v>
      </c>
      <c r="P175" s="105">
        <v>3014</v>
      </c>
      <c r="Q175" s="23">
        <v>42133</v>
      </c>
      <c r="R175" s="106">
        <v>3014</v>
      </c>
      <c r="S175" s="31">
        <f t="shared" si="5"/>
        <v>0</v>
      </c>
      <c r="T175" s="39" t="s">
        <v>149</v>
      </c>
    </row>
    <row r="176" spans="1:20" x14ac:dyDescent="0.25">
      <c r="A176" s="20">
        <v>42126</v>
      </c>
      <c r="B176" s="183">
        <v>19750</v>
      </c>
      <c r="C176" s="40" t="s">
        <v>130</v>
      </c>
      <c r="D176" s="105">
        <v>6369.01</v>
      </c>
      <c r="E176" s="23">
        <v>42127</v>
      </c>
      <c r="F176" s="106">
        <v>6369.01</v>
      </c>
      <c r="G176" s="25">
        <f t="shared" si="4"/>
        <v>0</v>
      </c>
      <c r="H176" s="41" t="s">
        <v>1257</v>
      </c>
      <c r="I176" s="3"/>
      <c r="J176" s="42"/>
      <c r="M176" s="20">
        <v>42135</v>
      </c>
      <c r="N176" s="183">
        <v>20762</v>
      </c>
      <c r="O176" s="14" t="s">
        <v>199</v>
      </c>
      <c r="P176" s="105">
        <v>7838.2</v>
      </c>
      <c r="Q176" s="23">
        <v>42137</v>
      </c>
      <c r="R176" s="106">
        <v>7838.2</v>
      </c>
      <c r="S176" s="31">
        <f t="shared" si="5"/>
        <v>0</v>
      </c>
      <c r="T176" s="19" t="s">
        <v>149</v>
      </c>
    </row>
    <row r="177" spans="1:20" x14ac:dyDescent="0.25">
      <c r="A177" s="12">
        <v>42126</v>
      </c>
      <c r="B177" s="183">
        <v>19751</v>
      </c>
      <c r="C177" s="40" t="s">
        <v>1058</v>
      </c>
      <c r="D177" s="105">
        <v>4381.7</v>
      </c>
      <c r="E177" s="23">
        <v>42126</v>
      </c>
      <c r="F177" s="106">
        <v>4381.7</v>
      </c>
      <c r="G177" s="25">
        <f t="shared" si="4"/>
        <v>0</v>
      </c>
      <c r="H177" s="41" t="s">
        <v>9</v>
      </c>
      <c r="I177" s="3"/>
      <c r="J177" s="42"/>
      <c r="K177" s="3"/>
      <c r="M177" s="12">
        <v>42142</v>
      </c>
      <c r="N177" s="183">
        <v>21493</v>
      </c>
      <c r="O177" s="14" t="s">
        <v>199</v>
      </c>
      <c r="P177" s="105">
        <v>16874.599999999999</v>
      </c>
      <c r="Q177" s="65">
        <v>42145</v>
      </c>
      <c r="R177" s="106">
        <v>16874.599999999999</v>
      </c>
      <c r="S177" s="31">
        <f t="shared" si="5"/>
        <v>0</v>
      </c>
      <c r="T177" s="19" t="s">
        <v>149</v>
      </c>
    </row>
    <row r="178" spans="1:20" x14ac:dyDescent="0.25">
      <c r="A178" s="20">
        <v>42126</v>
      </c>
      <c r="B178" s="183">
        <v>19752</v>
      </c>
      <c r="C178" s="40" t="s">
        <v>169</v>
      </c>
      <c r="D178" s="105">
        <v>2359.6</v>
      </c>
      <c r="E178" s="23">
        <v>42126</v>
      </c>
      <c r="F178" s="106">
        <v>2359.6</v>
      </c>
      <c r="G178" s="25">
        <f t="shared" si="4"/>
        <v>0</v>
      </c>
      <c r="H178" s="41" t="s">
        <v>9</v>
      </c>
      <c r="I178" s="3"/>
      <c r="J178" s="42"/>
      <c r="K178" s="3"/>
      <c r="M178" s="20">
        <v>42149</v>
      </c>
      <c r="N178" s="183">
        <v>22231</v>
      </c>
      <c r="O178" s="14" t="s">
        <v>199</v>
      </c>
      <c r="P178" s="105">
        <v>10188.799999999999</v>
      </c>
      <c r="Q178" s="65">
        <v>42151</v>
      </c>
      <c r="R178" s="106">
        <v>10188.799999999999</v>
      </c>
      <c r="S178" s="31">
        <f t="shared" si="5"/>
        <v>0</v>
      </c>
      <c r="T178" s="39" t="s">
        <v>149</v>
      </c>
    </row>
    <row r="179" spans="1:20" x14ac:dyDescent="0.25">
      <c r="A179" s="12">
        <v>42126</v>
      </c>
      <c r="B179" s="183">
        <v>19753</v>
      </c>
      <c r="C179" s="40" t="s">
        <v>165</v>
      </c>
      <c r="D179" s="105">
        <v>2277</v>
      </c>
      <c r="E179" s="23">
        <v>42126</v>
      </c>
      <c r="F179" s="106">
        <v>2277</v>
      </c>
      <c r="G179" s="25">
        <f t="shared" si="4"/>
        <v>0</v>
      </c>
      <c r="H179" s="41" t="s">
        <v>1257</v>
      </c>
      <c r="I179" s="3"/>
      <c r="J179" s="42"/>
      <c r="K179" s="3"/>
      <c r="M179" s="12">
        <v>42149</v>
      </c>
      <c r="N179" s="183">
        <v>22244</v>
      </c>
      <c r="O179" s="14" t="s">
        <v>199</v>
      </c>
      <c r="P179" s="105">
        <v>2457.6</v>
      </c>
      <c r="Q179" s="65">
        <v>42151</v>
      </c>
      <c r="R179" s="106">
        <v>2457.6</v>
      </c>
      <c r="S179" s="31">
        <f t="shared" si="5"/>
        <v>0</v>
      </c>
      <c r="T179" s="39" t="s">
        <v>149</v>
      </c>
    </row>
    <row r="180" spans="1:20" x14ac:dyDescent="0.25">
      <c r="A180" s="20">
        <v>42126</v>
      </c>
      <c r="B180" s="183">
        <v>19754</v>
      </c>
      <c r="C180" s="40" t="s">
        <v>133</v>
      </c>
      <c r="D180" s="105">
        <v>2942.45</v>
      </c>
      <c r="E180" s="23">
        <v>42126</v>
      </c>
      <c r="F180" s="106">
        <v>2942.45</v>
      </c>
      <c r="G180" s="25">
        <f t="shared" si="4"/>
        <v>0</v>
      </c>
      <c r="H180" s="41" t="s">
        <v>9</v>
      </c>
      <c r="I180" s="3"/>
      <c r="J180" s="42"/>
      <c r="K180" s="3"/>
      <c r="M180" s="20">
        <v>42128</v>
      </c>
      <c r="N180" s="183">
        <v>19980</v>
      </c>
      <c r="O180" s="14" t="s">
        <v>1286</v>
      </c>
      <c r="P180" s="105">
        <v>99152.1</v>
      </c>
      <c r="Q180" s="23">
        <v>42130</v>
      </c>
      <c r="R180" s="106">
        <v>99152.1</v>
      </c>
      <c r="S180" s="31">
        <f t="shared" si="5"/>
        <v>0</v>
      </c>
      <c r="T180" s="19" t="s">
        <v>9</v>
      </c>
    </row>
    <row r="181" spans="1:20" x14ac:dyDescent="0.25">
      <c r="A181" s="12">
        <v>42126</v>
      </c>
      <c r="B181" s="183">
        <v>19755</v>
      </c>
      <c r="C181" s="40" t="s">
        <v>264</v>
      </c>
      <c r="D181" s="105">
        <v>780</v>
      </c>
      <c r="E181" s="23">
        <v>42126</v>
      </c>
      <c r="F181" s="106">
        <v>780</v>
      </c>
      <c r="G181" s="25">
        <f t="shared" si="4"/>
        <v>0</v>
      </c>
      <c r="H181" s="41" t="s">
        <v>9</v>
      </c>
      <c r="I181" s="3"/>
      <c r="J181" s="42"/>
      <c r="K181" s="3"/>
      <c r="M181" s="12">
        <v>42133</v>
      </c>
      <c r="N181" s="183">
        <v>20548</v>
      </c>
      <c r="O181" s="14" t="s">
        <v>697</v>
      </c>
      <c r="P181" s="105">
        <v>99516.6</v>
      </c>
      <c r="Q181" s="23">
        <v>42135</v>
      </c>
      <c r="R181" s="106">
        <v>99516.6</v>
      </c>
      <c r="S181" s="31">
        <f t="shared" si="5"/>
        <v>0</v>
      </c>
      <c r="T181" s="19" t="s">
        <v>9</v>
      </c>
    </row>
    <row r="182" spans="1:20" x14ac:dyDescent="0.25">
      <c r="A182" s="20">
        <v>42126</v>
      </c>
      <c r="B182" s="183">
        <v>19756</v>
      </c>
      <c r="C182" s="44" t="s">
        <v>218</v>
      </c>
      <c r="D182" s="105">
        <v>0</v>
      </c>
      <c r="E182" s="23"/>
      <c r="F182" s="106"/>
      <c r="G182" s="25">
        <f t="shared" si="4"/>
        <v>0</v>
      </c>
      <c r="H182" s="41" t="s">
        <v>13</v>
      </c>
      <c r="I182" s="3"/>
      <c r="J182" s="42"/>
      <c r="K182" s="3"/>
      <c r="M182" s="20">
        <v>42135</v>
      </c>
      <c r="N182" s="183">
        <v>20776</v>
      </c>
      <c r="O182" s="14" t="s">
        <v>697</v>
      </c>
      <c r="P182" s="105">
        <v>9309.6</v>
      </c>
      <c r="Q182" s="23">
        <v>42145</v>
      </c>
      <c r="R182" s="106">
        <v>9309.6</v>
      </c>
      <c r="S182" s="31">
        <f t="shared" si="5"/>
        <v>0</v>
      </c>
      <c r="T182" s="19" t="s">
        <v>9</v>
      </c>
    </row>
    <row r="183" spans="1:20" x14ac:dyDescent="0.25">
      <c r="A183" s="12">
        <v>42126</v>
      </c>
      <c r="B183" s="183">
        <v>19757</v>
      </c>
      <c r="C183" s="40" t="s">
        <v>21</v>
      </c>
      <c r="D183" s="105">
        <v>2425.5</v>
      </c>
      <c r="E183" s="23">
        <v>42126</v>
      </c>
      <c r="F183" s="106">
        <v>2425.5</v>
      </c>
      <c r="G183" s="25">
        <f t="shared" si="4"/>
        <v>0</v>
      </c>
      <c r="H183" s="41" t="s">
        <v>9</v>
      </c>
      <c r="I183" s="3"/>
      <c r="J183" s="42"/>
      <c r="K183" s="3"/>
      <c r="M183" s="12">
        <v>42138</v>
      </c>
      <c r="N183" s="183">
        <v>21047</v>
      </c>
      <c r="O183" s="14" t="s">
        <v>697</v>
      </c>
      <c r="P183" s="105">
        <v>9090</v>
      </c>
      <c r="Q183" s="23">
        <v>42145</v>
      </c>
      <c r="R183" s="106">
        <v>9090</v>
      </c>
      <c r="S183" s="48">
        <f t="shared" si="5"/>
        <v>0</v>
      </c>
      <c r="T183" s="39" t="s">
        <v>9</v>
      </c>
    </row>
    <row r="184" spans="1:20" x14ac:dyDescent="0.25">
      <c r="A184" s="20">
        <v>42126</v>
      </c>
      <c r="B184" s="183">
        <v>19758</v>
      </c>
      <c r="C184" s="14" t="s">
        <v>439</v>
      </c>
      <c r="D184" s="105">
        <v>8127.6</v>
      </c>
      <c r="E184" s="23">
        <v>42126</v>
      </c>
      <c r="F184" s="106">
        <v>8127.6</v>
      </c>
      <c r="G184" s="25">
        <f t="shared" si="4"/>
        <v>0</v>
      </c>
      <c r="H184" s="19" t="s">
        <v>9</v>
      </c>
      <c r="I184" s="3"/>
      <c r="J184" s="42"/>
      <c r="K184" s="3"/>
      <c r="M184" s="20">
        <v>42139</v>
      </c>
      <c r="N184" s="183">
        <v>21105</v>
      </c>
      <c r="O184" s="14" t="s">
        <v>697</v>
      </c>
      <c r="P184" s="105">
        <v>7831.8</v>
      </c>
      <c r="Q184" s="23">
        <v>42153</v>
      </c>
      <c r="R184" s="106">
        <v>7831.8</v>
      </c>
      <c r="S184" s="48">
        <f t="shared" si="5"/>
        <v>0</v>
      </c>
      <c r="T184" s="39" t="s">
        <v>94</v>
      </c>
    </row>
    <row r="185" spans="1:20" x14ac:dyDescent="0.25">
      <c r="A185" s="12">
        <v>42126</v>
      </c>
      <c r="B185" s="183">
        <v>19759</v>
      </c>
      <c r="C185" s="40" t="s">
        <v>136</v>
      </c>
      <c r="D185" s="105">
        <v>8500.7999999999993</v>
      </c>
      <c r="E185" s="23">
        <v>42126</v>
      </c>
      <c r="F185" s="106">
        <v>8500.7999999999993</v>
      </c>
      <c r="G185" s="25">
        <f t="shared" si="4"/>
        <v>0</v>
      </c>
      <c r="H185" s="41" t="s">
        <v>9</v>
      </c>
      <c r="I185" s="3"/>
      <c r="J185" s="42"/>
      <c r="K185" s="3"/>
      <c r="M185" s="12">
        <v>42140</v>
      </c>
      <c r="N185" s="183">
        <v>21261</v>
      </c>
      <c r="O185" s="14" t="s">
        <v>697</v>
      </c>
      <c r="P185" s="105">
        <v>6121.8</v>
      </c>
      <c r="Q185" s="23">
        <v>42153</v>
      </c>
      <c r="R185" s="106">
        <v>6121.8</v>
      </c>
      <c r="S185" s="31">
        <f t="shared" si="5"/>
        <v>0</v>
      </c>
      <c r="T185" s="62" t="s">
        <v>1257</v>
      </c>
    </row>
    <row r="186" spans="1:20" x14ac:dyDescent="0.25">
      <c r="A186" s="20">
        <v>42126</v>
      </c>
      <c r="B186" s="183">
        <v>19760</v>
      </c>
      <c r="C186" s="40" t="s">
        <v>1182</v>
      </c>
      <c r="D186" s="105">
        <v>658</v>
      </c>
      <c r="E186" s="23">
        <v>42126</v>
      </c>
      <c r="F186" s="106">
        <v>658</v>
      </c>
      <c r="G186" s="25">
        <f t="shared" si="4"/>
        <v>0</v>
      </c>
      <c r="H186" s="41" t="s">
        <v>9</v>
      </c>
      <c r="I186" s="3"/>
      <c r="J186" s="42"/>
      <c r="K186" s="3"/>
      <c r="M186" s="20">
        <v>42149</v>
      </c>
      <c r="N186" s="183">
        <v>22230</v>
      </c>
      <c r="O186" s="14" t="s">
        <v>697</v>
      </c>
      <c r="P186" s="105">
        <v>8355.6</v>
      </c>
      <c r="Q186" s="65"/>
      <c r="R186" s="106"/>
      <c r="S186" s="31">
        <f t="shared" si="5"/>
        <v>8355.6</v>
      </c>
      <c r="T186" s="39" t="s">
        <v>9</v>
      </c>
    </row>
    <row r="187" spans="1:20" x14ac:dyDescent="0.25">
      <c r="A187" s="12">
        <v>42126</v>
      </c>
      <c r="B187" s="183">
        <v>19761</v>
      </c>
      <c r="C187" s="40" t="s">
        <v>91</v>
      </c>
      <c r="D187" s="105">
        <v>12201.04</v>
      </c>
      <c r="E187" s="23">
        <v>42127</v>
      </c>
      <c r="F187" s="106">
        <v>12201.04</v>
      </c>
      <c r="G187" s="25">
        <f t="shared" si="4"/>
        <v>0</v>
      </c>
      <c r="H187" s="41" t="s">
        <v>9</v>
      </c>
      <c r="I187" s="3"/>
      <c r="J187" s="42"/>
      <c r="K187" s="3"/>
      <c r="M187" s="12">
        <v>42150</v>
      </c>
      <c r="N187" s="183">
        <v>22317</v>
      </c>
      <c r="O187" s="14" t="s">
        <v>697</v>
      </c>
      <c r="P187" s="105">
        <v>26372.6</v>
      </c>
      <c r="Q187" s="65"/>
      <c r="R187" s="106"/>
      <c r="S187" s="31">
        <f t="shared" si="5"/>
        <v>26372.6</v>
      </c>
      <c r="T187" s="39" t="s">
        <v>9</v>
      </c>
    </row>
    <row r="188" spans="1:20" x14ac:dyDescent="0.25">
      <c r="A188" s="20">
        <v>42126</v>
      </c>
      <c r="B188" s="183">
        <v>19762</v>
      </c>
      <c r="C188" s="40" t="s">
        <v>81</v>
      </c>
      <c r="D188" s="105">
        <v>2653.2</v>
      </c>
      <c r="E188" s="23">
        <v>42127</v>
      </c>
      <c r="F188" s="106">
        <v>2653.2</v>
      </c>
      <c r="G188" s="25">
        <f t="shared" si="4"/>
        <v>0</v>
      </c>
      <c r="H188" s="41" t="s">
        <v>59</v>
      </c>
      <c r="I188" s="3"/>
      <c r="J188" s="42"/>
      <c r="K188" s="3"/>
      <c r="M188" s="20">
        <v>42150</v>
      </c>
      <c r="N188" s="183">
        <v>22327</v>
      </c>
      <c r="O188" s="148" t="s">
        <v>697</v>
      </c>
      <c r="P188" s="105">
        <v>24409.88</v>
      </c>
      <c r="Q188" s="65"/>
      <c r="R188" s="106"/>
      <c r="S188" s="31">
        <f t="shared" si="5"/>
        <v>24409.88</v>
      </c>
      <c r="T188" s="39" t="s">
        <v>9</v>
      </c>
    </row>
    <row r="189" spans="1:20" x14ac:dyDescent="0.25">
      <c r="A189" s="12">
        <v>42126</v>
      </c>
      <c r="B189" s="183">
        <v>19763</v>
      </c>
      <c r="C189" s="40" t="s">
        <v>167</v>
      </c>
      <c r="D189" s="105">
        <v>508.8</v>
      </c>
      <c r="E189" s="23">
        <v>42127</v>
      </c>
      <c r="F189" s="106">
        <v>508.8</v>
      </c>
      <c r="G189" s="25">
        <f t="shared" si="4"/>
        <v>0</v>
      </c>
      <c r="H189" s="41" t="s">
        <v>59</v>
      </c>
      <c r="I189" s="3"/>
      <c r="J189" s="42"/>
      <c r="K189" s="3"/>
      <c r="M189" s="12">
        <v>42151</v>
      </c>
      <c r="N189" s="183">
        <v>22415</v>
      </c>
      <c r="O189" s="14" t="s">
        <v>697</v>
      </c>
      <c r="P189" s="105">
        <v>23058.49</v>
      </c>
      <c r="Q189" s="23"/>
      <c r="R189" s="106"/>
      <c r="S189" s="31">
        <f t="shared" si="5"/>
        <v>23058.49</v>
      </c>
      <c r="T189" s="39" t="s">
        <v>9</v>
      </c>
    </row>
    <row r="190" spans="1:20" x14ac:dyDescent="0.25">
      <c r="A190" s="20">
        <v>42126</v>
      </c>
      <c r="B190" s="183">
        <v>19764</v>
      </c>
      <c r="C190" s="40" t="s">
        <v>82</v>
      </c>
      <c r="D190" s="105">
        <v>5678</v>
      </c>
      <c r="E190" s="23">
        <v>42127</v>
      </c>
      <c r="F190" s="106">
        <v>5678</v>
      </c>
      <c r="G190" s="25">
        <f t="shared" si="4"/>
        <v>0</v>
      </c>
      <c r="H190" s="41" t="s">
        <v>59</v>
      </c>
      <c r="I190" s="3"/>
      <c r="J190" s="42"/>
      <c r="K190" s="3"/>
      <c r="M190" s="20">
        <v>42151</v>
      </c>
      <c r="N190" s="183">
        <v>22419</v>
      </c>
      <c r="O190" s="14" t="s">
        <v>697</v>
      </c>
      <c r="P190" s="105">
        <v>22218.31</v>
      </c>
      <c r="Q190" s="23"/>
      <c r="R190" s="106"/>
      <c r="S190" s="31">
        <f t="shared" si="5"/>
        <v>22218.31</v>
      </c>
      <c r="T190" s="39" t="s">
        <v>9</v>
      </c>
    </row>
    <row r="191" spans="1:20" x14ac:dyDescent="0.25">
      <c r="A191" s="12">
        <v>42126</v>
      </c>
      <c r="B191" s="183">
        <v>19765</v>
      </c>
      <c r="C191" s="40" t="s">
        <v>120</v>
      </c>
      <c r="D191" s="105">
        <v>1488</v>
      </c>
      <c r="E191" s="23">
        <v>42127</v>
      </c>
      <c r="F191" s="106">
        <v>1488</v>
      </c>
      <c r="G191" s="25">
        <f t="shared" si="4"/>
        <v>0</v>
      </c>
      <c r="H191" s="41" t="s">
        <v>59</v>
      </c>
      <c r="I191" s="3"/>
      <c r="J191" s="42"/>
      <c r="K191" s="3"/>
      <c r="M191" s="12">
        <v>42154</v>
      </c>
      <c r="N191" s="183">
        <v>22716</v>
      </c>
      <c r="O191" s="14" t="s">
        <v>697</v>
      </c>
      <c r="P191" s="105">
        <v>9149.4</v>
      </c>
      <c r="Q191" s="23"/>
      <c r="R191" s="106"/>
      <c r="S191" s="31">
        <f t="shared" si="5"/>
        <v>9149.4</v>
      </c>
      <c r="T191" s="39" t="s">
        <v>9</v>
      </c>
    </row>
    <row r="192" spans="1:20" x14ac:dyDescent="0.25">
      <c r="A192" s="20">
        <v>42126</v>
      </c>
      <c r="B192" s="183">
        <v>19766</v>
      </c>
      <c r="C192" s="40" t="s">
        <v>332</v>
      </c>
      <c r="D192" s="105">
        <v>2500.6</v>
      </c>
      <c r="E192" s="23">
        <v>42126</v>
      </c>
      <c r="F192" s="106">
        <v>2500.6</v>
      </c>
      <c r="G192" s="25">
        <f t="shared" si="4"/>
        <v>0</v>
      </c>
      <c r="H192" s="41" t="s">
        <v>9</v>
      </c>
      <c r="I192" s="3"/>
      <c r="J192" s="42"/>
      <c r="K192" s="3"/>
      <c r="M192" s="20">
        <v>42154</v>
      </c>
      <c r="N192" s="183">
        <v>22769</v>
      </c>
      <c r="O192" s="14" t="s">
        <v>697</v>
      </c>
      <c r="P192" s="105">
        <v>15735.6</v>
      </c>
      <c r="Q192" s="23"/>
      <c r="R192" s="106"/>
      <c r="S192" s="31">
        <f t="shared" si="5"/>
        <v>15735.6</v>
      </c>
      <c r="T192" s="39" t="s">
        <v>9</v>
      </c>
    </row>
    <row r="193" spans="1:20" x14ac:dyDescent="0.25">
      <c r="A193" s="12">
        <v>42126</v>
      </c>
      <c r="B193" s="183">
        <v>19767</v>
      </c>
      <c r="C193" s="40" t="s">
        <v>53</v>
      </c>
      <c r="D193" s="105">
        <v>2216.8000000000002</v>
      </c>
      <c r="E193" s="23">
        <v>42127</v>
      </c>
      <c r="F193" s="106">
        <v>2216.8000000000002</v>
      </c>
      <c r="G193" s="25">
        <f t="shared" si="4"/>
        <v>0</v>
      </c>
      <c r="H193" s="41" t="s">
        <v>59</v>
      </c>
      <c r="I193" s="3"/>
      <c r="J193" s="42"/>
      <c r="K193" s="3"/>
      <c r="M193" s="12">
        <v>42144</v>
      </c>
      <c r="N193" s="183">
        <v>21700</v>
      </c>
      <c r="O193" s="14" t="s">
        <v>1287</v>
      </c>
      <c r="P193" s="105">
        <v>9028.7999999999993</v>
      </c>
      <c r="Q193" s="23">
        <v>42153</v>
      </c>
      <c r="R193" s="106">
        <v>9028.7999999999993</v>
      </c>
      <c r="S193" s="31">
        <f t="shared" si="5"/>
        <v>0</v>
      </c>
      <c r="T193" s="39" t="s">
        <v>9</v>
      </c>
    </row>
    <row r="194" spans="1:20" x14ac:dyDescent="0.25">
      <c r="A194" s="20">
        <v>42126</v>
      </c>
      <c r="B194" s="183">
        <v>19768</v>
      </c>
      <c r="C194" s="40" t="s">
        <v>292</v>
      </c>
      <c r="D194" s="105">
        <v>2968</v>
      </c>
      <c r="E194" s="23">
        <v>42127</v>
      </c>
      <c r="F194" s="106">
        <v>2968</v>
      </c>
      <c r="G194" s="25">
        <f t="shared" si="4"/>
        <v>0</v>
      </c>
      <c r="H194" s="41" t="s">
        <v>59</v>
      </c>
      <c r="I194" s="3"/>
      <c r="J194" s="42"/>
      <c r="K194" s="3"/>
      <c r="M194" s="20">
        <v>42145</v>
      </c>
      <c r="N194" s="183">
        <v>21816</v>
      </c>
      <c r="O194" s="15" t="s">
        <v>1287</v>
      </c>
      <c r="P194" s="122">
        <v>7038</v>
      </c>
      <c r="Q194" s="23">
        <v>42153</v>
      </c>
      <c r="R194" s="118">
        <v>7038</v>
      </c>
      <c r="S194" s="31">
        <f t="shared" si="5"/>
        <v>0</v>
      </c>
      <c r="T194" s="68" t="s">
        <v>9</v>
      </c>
    </row>
    <row r="195" spans="1:20" x14ac:dyDescent="0.25">
      <c r="A195" s="12">
        <v>42126</v>
      </c>
      <c r="B195" s="183">
        <v>19769</v>
      </c>
      <c r="C195" s="40" t="s">
        <v>135</v>
      </c>
      <c r="D195" s="105">
        <v>1868</v>
      </c>
      <c r="E195" s="23">
        <v>42126</v>
      </c>
      <c r="F195" s="106">
        <v>1868</v>
      </c>
      <c r="G195" s="25">
        <f t="shared" ref="G195:G258" si="6">D195-F195</f>
        <v>0</v>
      </c>
      <c r="H195" s="41" t="s">
        <v>9</v>
      </c>
      <c r="I195" s="3"/>
      <c r="J195" s="42"/>
      <c r="K195" s="3"/>
      <c r="M195" s="12">
        <v>42125</v>
      </c>
      <c r="N195" s="183">
        <v>19582</v>
      </c>
      <c r="O195" s="14" t="s">
        <v>341</v>
      </c>
      <c r="P195" s="105">
        <v>3534</v>
      </c>
      <c r="Q195" s="23">
        <v>42125</v>
      </c>
      <c r="R195" s="106">
        <v>3534</v>
      </c>
      <c r="S195" s="25">
        <f t="shared" ref="S195:S258" si="7">P195-R195</f>
        <v>0</v>
      </c>
      <c r="T195" s="19" t="s">
        <v>9</v>
      </c>
    </row>
    <row r="196" spans="1:20" x14ac:dyDescent="0.25">
      <c r="A196" s="20">
        <v>42126</v>
      </c>
      <c r="B196" s="183">
        <v>19770</v>
      </c>
      <c r="C196" s="202">
        <v>105</v>
      </c>
      <c r="D196" s="105">
        <v>3456</v>
      </c>
      <c r="E196" s="23">
        <v>42127</v>
      </c>
      <c r="F196" s="106">
        <v>3456</v>
      </c>
      <c r="G196" s="25">
        <f t="shared" si="6"/>
        <v>0</v>
      </c>
      <c r="H196" s="41" t="s">
        <v>59</v>
      </c>
      <c r="I196" s="3"/>
      <c r="J196" s="42"/>
      <c r="K196" s="3"/>
      <c r="M196" s="20">
        <v>42145</v>
      </c>
      <c r="N196" s="183">
        <v>21818</v>
      </c>
      <c r="O196" s="15" t="s">
        <v>196</v>
      </c>
      <c r="P196" s="122">
        <v>10322.92</v>
      </c>
      <c r="Q196" s="23">
        <v>42149</v>
      </c>
      <c r="R196" s="118">
        <v>10322.92</v>
      </c>
      <c r="S196" s="31">
        <f t="shared" si="7"/>
        <v>0</v>
      </c>
      <c r="T196" s="68" t="s">
        <v>149</v>
      </c>
    </row>
    <row r="197" spans="1:20" x14ac:dyDescent="0.25">
      <c r="A197" s="12">
        <v>42126</v>
      </c>
      <c r="B197" s="183">
        <v>19771</v>
      </c>
      <c r="C197" s="40" t="s">
        <v>57</v>
      </c>
      <c r="D197" s="105">
        <v>1260</v>
      </c>
      <c r="E197" s="23">
        <v>42127</v>
      </c>
      <c r="F197" s="106">
        <v>1260</v>
      </c>
      <c r="G197" s="25">
        <f t="shared" si="6"/>
        <v>0</v>
      </c>
      <c r="H197" s="41" t="s">
        <v>59</v>
      </c>
      <c r="I197" s="3"/>
      <c r="J197" s="42"/>
      <c r="K197" s="3"/>
      <c r="M197" s="12">
        <v>42125</v>
      </c>
      <c r="N197" s="183">
        <v>19651</v>
      </c>
      <c r="O197" s="14" t="s">
        <v>426</v>
      </c>
      <c r="P197" s="105">
        <v>5143.2</v>
      </c>
      <c r="Q197" s="23">
        <v>42126</v>
      </c>
      <c r="R197" s="106">
        <v>5143.2</v>
      </c>
      <c r="S197" s="25">
        <f t="shared" si="7"/>
        <v>0</v>
      </c>
      <c r="T197" s="19" t="s">
        <v>62</v>
      </c>
    </row>
    <row r="198" spans="1:20" x14ac:dyDescent="0.25">
      <c r="A198" s="20">
        <v>42126</v>
      </c>
      <c r="B198" s="183">
        <v>19772</v>
      </c>
      <c r="C198" s="40" t="s">
        <v>375</v>
      </c>
      <c r="D198" s="105">
        <v>994</v>
      </c>
      <c r="E198" s="23">
        <v>42126</v>
      </c>
      <c r="F198" s="106">
        <v>994</v>
      </c>
      <c r="G198" s="25">
        <f t="shared" si="6"/>
        <v>0</v>
      </c>
      <c r="H198" s="41" t="s">
        <v>9</v>
      </c>
      <c r="I198" s="3"/>
      <c r="J198" s="42"/>
      <c r="K198" s="3"/>
      <c r="M198" s="20">
        <v>42135</v>
      </c>
      <c r="N198" s="183">
        <v>20743</v>
      </c>
      <c r="O198" s="14" t="s">
        <v>426</v>
      </c>
      <c r="P198" s="105">
        <v>10448.700000000001</v>
      </c>
      <c r="Q198" s="23">
        <v>42136</v>
      </c>
      <c r="R198" s="106">
        <v>10448.700000000001</v>
      </c>
      <c r="S198" s="31">
        <f t="shared" si="7"/>
        <v>0</v>
      </c>
      <c r="T198" s="19" t="s">
        <v>62</v>
      </c>
    </row>
    <row r="199" spans="1:20" x14ac:dyDescent="0.25">
      <c r="A199" s="12">
        <v>42126</v>
      </c>
      <c r="B199" s="183">
        <v>19773</v>
      </c>
      <c r="C199" s="40" t="s">
        <v>915</v>
      </c>
      <c r="D199" s="105">
        <v>3690</v>
      </c>
      <c r="E199" s="23">
        <v>42127</v>
      </c>
      <c r="F199" s="106">
        <v>3690</v>
      </c>
      <c r="G199" s="25">
        <f t="shared" si="6"/>
        <v>0</v>
      </c>
      <c r="H199" s="41" t="s">
        <v>59</v>
      </c>
      <c r="I199" s="3"/>
      <c r="J199" s="42"/>
      <c r="K199" s="3"/>
      <c r="M199" s="12">
        <v>42149</v>
      </c>
      <c r="N199" s="183">
        <v>22174</v>
      </c>
      <c r="O199" s="14" t="s">
        <v>426</v>
      </c>
      <c r="P199" s="105">
        <v>4754.3999999999996</v>
      </c>
      <c r="Q199" s="65">
        <v>42150</v>
      </c>
      <c r="R199" s="106">
        <v>4754.3999999999996</v>
      </c>
      <c r="S199" s="31">
        <f t="shared" si="7"/>
        <v>0</v>
      </c>
      <c r="T199" s="39" t="s">
        <v>62</v>
      </c>
    </row>
    <row r="200" spans="1:20" x14ac:dyDescent="0.25">
      <c r="A200" s="20">
        <v>42126</v>
      </c>
      <c r="B200" s="183">
        <v>19774</v>
      </c>
      <c r="C200" s="40" t="s">
        <v>130</v>
      </c>
      <c r="D200" s="105">
        <v>2568.5</v>
      </c>
      <c r="E200" s="23">
        <v>42127</v>
      </c>
      <c r="F200" s="106">
        <v>2568.5</v>
      </c>
      <c r="G200" s="25">
        <f t="shared" si="6"/>
        <v>0</v>
      </c>
      <c r="H200" s="41" t="s">
        <v>9</v>
      </c>
      <c r="I200" s="3"/>
      <c r="J200" s="42"/>
      <c r="K200" s="3"/>
      <c r="M200" s="20">
        <v>42151</v>
      </c>
      <c r="N200" s="183">
        <v>22400</v>
      </c>
      <c r="O200" s="14" t="s">
        <v>426</v>
      </c>
      <c r="P200" s="105">
        <v>19363.5</v>
      </c>
      <c r="Q200" s="23">
        <v>42152</v>
      </c>
      <c r="R200" s="106">
        <v>19363.5</v>
      </c>
      <c r="S200" s="31">
        <f t="shared" si="7"/>
        <v>0</v>
      </c>
      <c r="T200" s="39" t="s">
        <v>62</v>
      </c>
    </row>
    <row r="201" spans="1:20" x14ac:dyDescent="0.25">
      <c r="A201" s="12">
        <v>42126</v>
      </c>
      <c r="B201" s="183">
        <v>19775</v>
      </c>
      <c r="C201" s="40" t="s">
        <v>579</v>
      </c>
      <c r="D201" s="105">
        <v>1561.8</v>
      </c>
      <c r="E201" s="23">
        <v>42126</v>
      </c>
      <c r="F201" s="106">
        <v>1561.8</v>
      </c>
      <c r="G201" s="25">
        <f t="shared" si="6"/>
        <v>0</v>
      </c>
      <c r="H201" s="41" t="s">
        <v>9</v>
      </c>
      <c r="I201" s="3"/>
      <c r="J201" s="42"/>
      <c r="K201" s="3"/>
      <c r="M201" s="12">
        <v>42153</v>
      </c>
      <c r="N201" s="183">
        <v>22618</v>
      </c>
      <c r="O201" s="14" t="s">
        <v>426</v>
      </c>
      <c r="P201" s="105">
        <v>27541.8</v>
      </c>
      <c r="Q201" s="23">
        <v>42155</v>
      </c>
      <c r="R201" s="106">
        <v>27541.8</v>
      </c>
      <c r="S201" s="31">
        <f t="shared" si="7"/>
        <v>0</v>
      </c>
      <c r="T201" s="39" t="s">
        <v>62</v>
      </c>
    </row>
    <row r="202" spans="1:20" x14ac:dyDescent="0.25">
      <c r="A202" s="20">
        <v>42126</v>
      </c>
      <c r="B202" s="183">
        <v>19776</v>
      </c>
      <c r="C202" s="40" t="s">
        <v>125</v>
      </c>
      <c r="D202" s="105">
        <v>862</v>
      </c>
      <c r="E202" s="23">
        <v>42131</v>
      </c>
      <c r="F202" s="106">
        <v>862</v>
      </c>
      <c r="G202" s="25">
        <f t="shared" si="6"/>
        <v>0</v>
      </c>
      <c r="H202" s="41" t="s">
        <v>9</v>
      </c>
      <c r="I202" s="3"/>
      <c r="J202" s="42"/>
      <c r="K202" s="3"/>
      <c r="M202" s="20">
        <v>42144</v>
      </c>
      <c r="N202" s="183">
        <v>21697</v>
      </c>
      <c r="O202" s="14" t="s">
        <v>734</v>
      </c>
      <c r="P202" s="105">
        <v>9673.6</v>
      </c>
      <c r="Q202" s="23">
        <v>42145</v>
      </c>
      <c r="R202" s="106">
        <v>9673.6</v>
      </c>
      <c r="S202" s="31">
        <f t="shared" si="7"/>
        <v>0</v>
      </c>
      <c r="T202" s="39" t="s">
        <v>94</v>
      </c>
    </row>
    <row r="203" spans="1:20" x14ac:dyDescent="0.25">
      <c r="A203" s="12">
        <v>42126</v>
      </c>
      <c r="B203" s="183">
        <v>19777</v>
      </c>
      <c r="C203" s="40" t="s">
        <v>102</v>
      </c>
      <c r="D203" s="105">
        <v>4943</v>
      </c>
      <c r="E203" s="23">
        <v>42126</v>
      </c>
      <c r="F203" s="106">
        <v>4943</v>
      </c>
      <c r="G203" s="25">
        <f t="shared" si="6"/>
        <v>0</v>
      </c>
      <c r="H203" s="41" t="s">
        <v>9</v>
      </c>
      <c r="I203" s="3"/>
      <c r="J203" s="42"/>
      <c r="K203" s="3"/>
      <c r="M203" s="12">
        <v>42144</v>
      </c>
      <c r="N203" s="183">
        <v>21714</v>
      </c>
      <c r="O203" s="14" t="s">
        <v>734</v>
      </c>
      <c r="P203" s="105">
        <v>27417.3</v>
      </c>
      <c r="Q203" s="23">
        <v>42145</v>
      </c>
      <c r="R203" s="106">
        <v>27417.3</v>
      </c>
      <c r="S203" s="31">
        <f t="shared" si="7"/>
        <v>0</v>
      </c>
      <c r="T203" s="39" t="s">
        <v>1257</v>
      </c>
    </row>
    <row r="204" spans="1:20" x14ac:dyDescent="0.25">
      <c r="A204" s="20">
        <v>42126</v>
      </c>
      <c r="B204" s="183">
        <v>19778</v>
      </c>
      <c r="C204" s="40" t="s">
        <v>50</v>
      </c>
      <c r="D204" s="105">
        <v>2978.4</v>
      </c>
      <c r="E204" s="23">
        <v>42126</v>
      </c>
      <c r="F204" s="106">
        <v>2978.4</v>
      </c>
      <c r="G204" s="25">
        <f t="shared" si="6"/>
        <v>0</v>
      </c>
      <c r="H204" s="41" t="s">
        <v>41</v>
      </c>
      <c r="I204" s="3"/>
      <c r="J204" s="42"/>
      <c r="K204" s="3"/>
      <c r="M204" s="20">
        <v>42150</v>
      </c>
      <c r="N204" s="183">
        <v>22275</v>
      </c>
      <c r="O204" s="14" t="s">
        <v>734</v>
      </c>
      <c r="P204" s="105">
        <v>5558</v>
      </c>
      <c r="Q204" s="65">
        <v>42150</v>
      </c>
      <c r="R204" s="106">
        <v>5558</v>
      </c>
      <c r="S204" s="31">
        <f t="shared" si="7"/>
        <v>0</v>
      </c>
      <c r="T204" s="39" t="s">
        <v>59</v>
      </c>
    </row>
    <row r="205" spans="1:20" x14ac:dyDescent="0.25">
      <c r="A205" s="12">
        <v>42126</v>
      </c>
      <c r="B205" s="183">
        <v>19779</v>
      </c>
      <c r="C205" s="40" t="s">
        <v>48</v>
      </c>
      <c r="D205" s="105">
        <v>1090.2</v>
      </c>
      <c r="E205" s="23">
        <v>42126</v>
      </c>
      <c r="F205" s="106">
        <v>1090.2</v>
      </c>
      <c r="G205" s="25">
        <f t="shared" si="6"/>
        <v>0</v>
      </c>
      <c r="H205" s="41" t="s">
        <v>41</v>
      </c>
      <c r="I205" s="3"/>
      <c r="J205" s="42"/>
      <c r="K205" s="3"/>
      <c r="M205" s="12">
        <v>42140</v>
      </c>
      <c r="N205" s="183">
        <v>21248</v>
      </c>
      <c r="O205" s="14" t="s">
        <v>699</v>
      </c>
      <c r="P205" s="105">
        <v>2333.6</v>
      </c>
      <c r="Q205" s="23">
        <v>42151</v>
      </c>
      <c r="R205" s="106">
        <v>2333.6</v>
      </c>
      <c r="S205" s="48">
        <f t="shared" si="7"/>
        <v>0</v>
      </c>
      <c r="T205" s="19" t="s">
        <v>9</v>
      </c>
    </row>
    <row r="206" spans="1:20" x14ac:dyDescent="0.25">
      <c r="A206" s="20">
        <v>42126</v>
      </c>
      <c r="B206" s="183">
        <v>19780</v>
      </c>
      <c r="C206" s="40" t="s">
        <v>141</v>
      </c>
      <c r="D206" s="105">
        <v>10114.299999999999</v>
      </c>
      <c r="E206" s="23">
        <v>42154</v>
      </c>
      <c r="F206" s="106">
        <v>10114.299999999999</v>
      </c>
      <c r="G206" s="31">
        <f t="shared" si="6"/>
        <v>0</v>
      </c>
      <c r="H206" s="41" t="s">
        <v>41</v>
      </c>
      <c r="I206" s="3"/>
      <c r="J206" s="42"/>
      <c r="K206" s="3"/>
      <c r="M206" s="20">
        <v>42151</v>
      </c>
      <c r="N206" s="183">
        <v>22363</v>
      </c>
      <c r="O206" s="14" t="s">
        <v>699</v>
      </c>
      <c r="P206" s="105">
        <v>2697</v>
      </c>
      <c r="Q206" s="65"/>
      <c r="R206" s="106"/>
      <c r="S206" s="31">
        <f t="shared" si="7"/>
        <v>2697</v>
      </c>
      <c r="T206" s="39" t="s">
        <v>9</v>
      </c>
    </row>
    <row r="207" spans="1:20" x14ac:dyDescent="0.25">
      <c r="A207" s="12">
        <v>42126</v>
      </c>
      <c r="B207" s="183">
        <v>19781</v>
      </c>
      <c r="C207" s="40" t="s">
        <v>118</v>
      </c>
      <c r="D207" s="105">
        <v>2041.2</v>
      </c>
      <c r="E207" s="23">
        <v>42136</v>
      </c>
      <c r="F207" s="106">
        <v>2041.2</v>
      </c>
      <c r="G207" s="31">
        <f t="shared" si="6"/>
        <v>0</v>
      </c>
      <c r="H207" s="41" t="s">
        <v>9</v>
      </c>
      <c r="I207" s="3"/>
      <c r="J207" s="42"/>
      <c r="K207" s="3"/>
      <c r="M207" s="12">
        <v>42155</v>
      </c>
      <c r="N207" s="183">
        <v>22801</v>
      </c>
      <c r="O207" s="14" t="s">
        <v>699</v>
      </c>
      <c r="P207" s="105">
        <v>361.2</v>
      </c>
      <c r="Q207" s="23">
        <v>42155</v>
      </c>
      <c r="R207" s="106">
        <v>361.2</v>
      </c>
      <c r="S207" s="31">
        <f t="shared" si="7"/>
        <v>0</v>
      </c>
      <c r="T207" s="39" t="s">
        <v>9</v>
      </c>
    </row>
    <row r="208" spans="1:20" x14ac:dyDescent="0.25">
      <c r="A208" s="20">
        <v>42126</v>
      </c>
      <c r="B208" s="183">
        <v>19782</v>
      </c>
      <c r="C208" s="40" t="s">
        <v>118</v>
      </c>
      <c r="D208" s="105">
        <v>760</v>
      </c>
      <c r="E208" s="23">
        <v>42126</v>
      </c>
      <c r="F208" s="106">
        <v>760</v>
      </c>
      <c r="G208" s="31">
        <f t="shared" si="6"/>
        <v>0</v>
      </c>
      <c r="H208" s="41" t="s">
        <v>9</v>
      </c>
      <c r="I208" s="3"/>
      <c r="J208" s="42"/>
      <c r="K208" s="3"/>
      <c r="M208" s="20">
        <v>42144</v>
      </c>
      <c r="N208" s="183">
        <v>21716</v>
      </c>
      <c r="O208" s="14" t="s">
        <v>1288</v>
      </c>
      <c r="P208" s="105">
        <v>31558</v>
      </c>
      <c r="Q208" s="23">
        <v>42153</v>
      </c>
      <c r="R208" s="114">
        <v>5134.3</v>
      </c>
      <c r="S208" s="55">
        <f t="shared" si="7"/>
        <v>26423.7</v>
      </c>
      <c r="T208" s="39" t="s">
        <v>9</v>
      </c>
    </row>
    <row r="209" spans="1:20" x14ac:dyDescent="0.25">
      <c r="A209" s="12">
        <v>42126</v>
      </c>
      <c r="B209" s="183">
        <v>19783</v>
      </c>
      <c r="C209" s="40" t="s">
        <v>191</v>
      </c>
      <c r="D209" s="105">
        <v>15750.4</v>
      </c>
      <c r="E209" s="23">
        <v>42126</v>
      </c>
      <c r="F209" s="106">
        <v>15750.4</v>
      </c>
      <c r="G209" s="31">
        <f t="shared" si="6"/>
        <v>0</v>
      </c>
      <c r="H209" s="41" t="s">
        <v>9</v>
      </c>
      <c r="I209" s="3"/>
      <c r="J209" s="42"/>
      <c r="K209" s="3"/>
      <c r="M209" s="12">
        <v>42145</v>
      </c>
      <c r="N209" s="183">
        <v>21817</v>
      </c>
      <c r="O209" s="15" t="s">
        <v>1288</v>
      </c>
      <c r="P209" s="122">
        <v>20215.099999999999</v>
      </c>
      <c r="Q209" s="23">
        <v>42153</v>
      </c>
      <c r="R209" s="118">
        <v>20215.099999999999</v>
      </c>
      <c r="S209" s="31">
        <f t="shared" si="7"/>
        <v>0</v>
      </c>
      <c r="T209" s="68" t="s">
        <v>9</v>
      </c>
    </row>
    <row r="210" spans="1:20" x14ac:dyDescent="0.25">
      <c r="A210" s="20">
        <v>42126</v>
      </c>
      <c r="B210" s="183">
        <v>19784</v>
      </c>
      <c r="C210" s="40" t="s">
        <v>411</v>
      </c>
      <c r="D210" s="105">
        <v>2200.8000000000002</v>
      </c>
      <c r="E210" s="23">
        <v>42126</v>
      </c>
      <c r="F210" s="106">
        <v>2200.8000000000002</v>
      </c>
      <c r="G210" s="31">
        <f t="shared" si="6"/>
        <v>0</v>
      </c>
      <c r="H210" s="41" t="s">
        <v>9</v>
      </c>
      <c r="I210" s="3"/>
      <c r="J210" s="42"/>
      <c r="K210" s="3"/>
      <c r="M210" s="20">
        <v>42145</v>
      </c>
      <c r="N210" s="183">
        <v>21819</v>
      </c>
      <c r="O210" s="15" t="s">
        <v>1288</v>
      </c>
      <c r="P210" s="122">
        <v>14650.6</v>
      </c>
      <c r="Q210" s="23">
        <v>42153</v>
      </c>
      <c r="R210" s="118">
        <v>14650.6</v>
      </c>
      <c r="S210" s="31">
        <f t="shared" si="7"/>
        <v>0</v>
      </c>
      <c r="T210" s="68" t="s">
        <v>9</v>
      </c>
    </row>
    <row r="211" spans="1:20" x14ac:dyDescent="0.25">
      <c r="A211" s="12">
        <v>42126</v>
      </c>
      <c r="B211" s="183">
        <v>19785</v>
      </c>
      <c r="C211" s="40" t="s">
        <v>111</v>
      </c>
      <c r="D211" s="105">
        <v>24353.5</v>
      </c>
      <c r="E211" s="23">
        <v>42129</v>
      </c>
      <c r="F211" s="106">
        <v>24353.5</v>
      </c>
      <c r="G211" s="31">
        <f t="shared" si="6"/>
        <v>0</v>
      </c>
      <c r="H211" s="41" t="s">
        <v>1257</v>
      </c>
      <c r="I211" s="3"/>
      <c r="J211" s="42"/>
      <c r="K211" s="3"/>
      <c r="M211" s="12">
        <v>42131</v>
      </c>
      <c r="N211" s="183">
        <v>20279</v>
      </c>
      <c r="O211" s="14" t="s">
        <v>28</v>
      </c>
      <c r="P211" s="105">
        <v>1268</v>
      </c>
      <c r="Q211" s="23">
        <v>42131</v>
      </c>
      <c r="R211" s="106">
        <v>1268</v>
      </c>
      <c r="S211" s="31">
        <f t="shared" si="7"/>
        <v>0</v>
      </c>
      <c r="T211" s="19" t="s">
        <v>9</v>
      </c>
    </row>
    <row r="212" spans="1:20" x14ac:dyDescent="0.25">
      <c r="A212" s="20">
        <v>42126</v>
      </c>
      <c r="B212" s="183">
        <v>19786</v>
      </c>
      <c r="C212" s="40" t="s">
        <v>122</v>
      </c>
      <c r="D212" s="105">
        <v>1092</v>
      </c>
      <c r="E212" s="23">
        <v>42126</v>
      </c>
      <c r="F212" s="106">
        <v>1092</v>
      </c>
      <c r="G212" s="31">
        <f t="shared" si="6"/>
        <v>0</v>
      </c>
      <c r="H212" s="41" t="s">
        <v>9</v>
      </c>
      <c r="I212" s="3"/>
      <c r="J212" s="42"/>
      <c r="K212" s="3"/>
      <c r="M212" s="20">
        <v>42137</v>
      </c>
      <c r="N212" s="183">
        <v>20917</v>
      </c>
      <c r="O212" s="14" t="s">
        <v>28</v>
      </c>
      <c r="P212" s="105">
        <v>2248.4</v>
      </c>
      <c r="Q212" s="23">
        <v>42137</v>
      </c>
      <c r="R212" s="106">
        <v>2248.4</v>
      </c>
      <c r="S212" s="31">
        <f t="shared" si="7"/>
        <v>0</v>
      </c>
      <c r="T212" s="19" t="s">
        <v>46</v>
      </c>
    </row>
    <row r="213" spans="1:20" x14ac:dyDescent="0.25">
      <c r="A213" s="12">
        <v>42126</v>
      </c>
      <c r="B213" s="183">
        <v>19787</v>
      </c>
      <c r="C213" s="40" t="s">
        <v>228</v>
      </c>
      <c r="D213" s="105">
        <v>2664.9</v>
      </c>
      <c r="E213" s="23">
        <v>42126</v>
      </c>
      <c r="F213" s="106">
        <v>2664.9</v>
      </c>
      <c r="G213" s="31">
        <f t="shared" si="6"/>
        <v>0</v>
      </c>
      <c r="H213" s="41" t="s">
        <v>9</v>
      </c>
      <c r="I213" s="3"/>
      <c r="J213" s="42"/>
      <c r="K213" s="3"/>
      <c r="M213" s="12">
        <v>42138</v>
      </c>
      <c r="N213" s="183">
        <v>21021</v>
      </c>
      <c r="O213" s="14" t="s">
        <v>28</v>
      </c>
      <c r="P213" s="105">
        <v>715.3</v>
      </c>
      <c r="Q213" s="23">
        <v>42138</v>
      </c>
      <c r="R213" s="106">
        <v>715.3</v>
      </c>
      <c r="S213" s="48">
        <f t="shared" si="7"/>
        <v>0</v>
      </c>
      <c r="T213" s="39" t="s">
        <v>9</v>
      </c>
    </row>
    <row r="214" spans="1:20" x14ac:dyDescent="0.25">
      <c r="A214" s="20">
        <v>42126</v>
      </c>
      <c r="B214" s="183">
        <v>19788</v>
      </c>
      <c r="C214" s="40" t="s">
        <v>738</v>
      </c>
      <c r="D214" s="105">
        <v>38541.5</v>
      </c>
      <c r="E214" s="23">
        <v>42128</v>
      </c>
      <c r="F214" s="106">
        <v>38541.5</v>
      </c>
      <c r="G214" s="31">
        <f t="shared" si="6"/>
        <v>0</v>
      </c>
      <c r="H214" s="41" t="s">
        <v>94</v>
      </c>
      <c r="I214" s="3"/>
      <c r="J214" s="42"/>
      <c r="K214" s="3"/>
      <c r="M214" s="20">
        <v>42145</v>
      </c>
      <c r="N214" s="183">
        <v>21772</v>
      </c>
      <c r="O214" s="15" t="s">
        <v>28</v>
      </c>
      <c r="P214" s="122">
        <v>423.2</v>
      </c>
      <c r="Q214" s="23">
        <v>42145</v>
      </c>
      <c r="R214" s="118">
        <v>423.2</v>
      </c>
      <c r="S214" s="31">
        <f t="shared" si="7"/>
        <v>0</v>
      </c>
      <c r="T214" s="68" t="s">
        <v>9</v>
      </c>
    </row>
    <row r="215" spans="1:20" x14ac:dyDescent="0.25">
      <c r="A215" s="12">
        <v>42126</v>
      </c>
      <c r="B215" s="183">
        <v>19789</v>
      </c>
      <c r="C215" s="40" t="s">
        <v>291</v>
      </c>
      <c r="D215" s="105">
        <v>9805.1</v>
      </c>
      <c r="E215" s="23">
        <v>42126</v>
      </c>
      <c r="F215" s="106">
        <v>9805.1</v>
      </c>
      <c r="G215" s="31">
        <f t="shared" si="6"/>
        <v>0</v>
      </c>
      <c r="H215" s="41" t="s">
        <v>9</v>
      </c>
      <c r="I215" s="3"/>
      <c r="J215" s="42"/>
      <c r="K215" s="3"/>
      <c r="M215" s="12">
        <v>42125</v>
      </c>
      <c r="N215" s="183">
        <v>19631</v>
      </c>
      <c r="O215" s="14" t="s">
        <v>694</v>
      </c>
      <c r="P215" s="105">
        <v>2354.8000000000002</v>
      </c>
      <c r="Q215" s="23">
        <v>42126</v>
      </c>
      <c r="R215" s="106">
        <v>2354.8000000000002</v>
      </c>
      <c r="S215" s="25">
        <f t="shared" si="7"/>
        <v>0</v>
      </c>
      <c r="T215" s="19" t="s">
        <v>9</v>
      </c>
    </row>
    <row r="216" spans="1:20" x14ac:dyDescent="0.25">
      <c r="A216" s="20">
        <v>42126</v>
      </c>
      <c r="B216" s="183">
        <v>19790</v>
      </c>
      <c r="C216" s="40" t="s">
        <v>136</v>
      </c>
      <c r="D216" s="105">
        <v>34489.599999999999</v>
      </c>
      <c r="E216" s="23" t="s">
        <v>1289</v>
      </c>
      <c r="F216" s="106">
        <f>11000+23489.6</f>
        <v>34489.599999999999</v>
      </c>
      <c r="G216" s="31">
        <f t="shared" si="6"/>
        <v>0</v>
      </c>
      <c r="H216" s="41" t="s">
        <v>94</v>
      </c>
      <c r="I216" s="3"/>
      <c r="J216" s="42"/>
      <c r="K216" s="3"/>
      <c r="M216" s="20">
        <v>42126</v>
      </c>
      <c r="N216" s="183">
        <v>19720</v>
      </c>
      <c r="O216" s="40" t="s">
        <v>694</v>
      </c>
      <c r="P216" s="105">
        <v>3486</v>
      </c>
      <c r="Q216" s="23">
        <v>42126</v>
      </c>
      <c r="R216" s="106">
        <v>3486</v>
      </c>
      <c r="S216" s="25">
        <f t="shared" si="7"/>
        <v>0</v>
      </c>
      <c r="T216" s="41" t="s">
        <v>9</v>
      </c>
    </row>
    <row r="217" spans="1:20" x14ac:dyDescent="0.25">
      <c r="A217" s="12">
        <v>42126</v>
      </c>
      <c r="B217" s="183">
        <v>19791</v>
      </c>
      <c r="C217" s="40" t="s">
        <v>285</v>
      </c>
      <c r="D217" s="105">
        <v>701.6</v>
      </c>
      <c r="E217" s="23">
        <v>42128</v>
      </c>
      <c r="F217" s="106">
        <v>701.6</v>
      </c>
      <c r="G217" s="31">
        <f t="shared" si="6"/>
        <v>0</v>
      </c>
      <c r="H217" s="41" t="s">
        <v>19</v>
      </c>
      <c r="I217" s="3"/>
      <c r="J217" s="42"/>
      <c r="K217" s="3"/>
      <c r="M217" s="12">
        <v>42127</v>
      </c>
      <c r="N217" s="183">
        <v>19836</v>
      </c>
      <c r="O217" s="40" t="s">
        <v>694</v>
      </c>
      <c r="P217" s="105">
        <v>2214</v>
      </c>
      <c r="Q217" s="23">
        <v>42127</v>
      </c>
      <c r="R217" s="106">
        <v>2214</v>
      </c>
      <c r="S217" s="31">
        <f t="shared" si="7"/>
        <v>0</v>
      </c>
      <c r="T217" s="41" t="s">
        <v>9</v>
      </c>
    </row>
    <row r="218" spans="1:20" x14ac:dyDescent="0.25">
      <c r="A218" s="20">
        <v>42126</v>
      </c>
      <c r="B218" s="183">
        <v>19792</v>
      </c>
      <c r="C218" s="40" t="s">
        <v>98</v>
      </c>
      <c r="D218" s="105">
        <v>2319.5500000000002</v>
      </c>
      <c r="E218" s="23">
        <v>42128</v>
      </c>
      <c r="F218" s="106">
        <v>2319.5500000000002</v>
      </c>
      <c r="G218" s="31">
        <f t="shared" si="6"/>
        <v>0</v>
      </c>
      <c r="H218" s="41" t="s">
        <v>19</v>
      </c>
      <c r="I218" s="3"/>
      <c r="J218" s="42"/>
      <c r="K218" s="3"/>
      <c r="M218" s="20">
        <v>42128</v>
      </c>
      <c r="N218" s="183">
        <v>19907</v>
      </c>
      <c r="O218" s="14" t="s">
        <v>694</v>
      </c>
      <c r="P218" s="105">
        <v>2465.25</v>
      </c>
      <c r="Q218" s="23">
        <v>42128</v>
      </c>
      <c r="R218" s="106">
        <v>2465.25</v>
      </c>
      <c r="S218" s="31">
        <f t="shared" si="7"/>
        <v>0</v>
      </c>
      <c r="T218" s="19" t="s">
        <v>9</v>
      </c>
    </row>
    <row r="219" spans="1:20" x14ac:dyDescent="0.25">
      <c r="A219" s="12">
        <v>42126</v>
      </c>
      <c r="B219" s="183">
        <v>19793</v>
      </c>
      <c r="C219" s="40" t="s">
        <v>104</v>
      </c>
      <c r="D219" s="105">
        <v>5029.2</v>
      </c>
      <c r="E219" s="23">
        <v>42128</v>
      </c>
      <c r="F219" s="106">
        <v>5029.2</v>
      </c>
      <c r="G219" s="31">
        <f t="shared" si="6"/>
        <v>0</v>
      </c>
      <c r="H219" s="41" t="s">
        <v>19</v>
      </c>
      <c r="I219" s="3"/>
      <c r="J219" s="42"/>
      <c r="K219" s="3"/>
      <c r="M219" s="12">
        <v>42130</v>
      </c>
      <c r="N219" s="183">
        <v>20203</v>
      </c>
      <c r="O219" s="14" t="s">
        <v>694</v>
      </c>
      <c r="P219" s="105">
        <v>1241.2</v>
      </c>
      <c r="Q219" s="23">
        <v>42130</v>
      </c>
      <c r="R219" s="106">
        <v>1241.2</v>
      </c>
      <c r="S219" s="31">
        <f t="shared" si="7"/>
        <v>0</v>
      </c>
      <c r="T219" s="39" t="s">
        <v>9</v>
      </c>
    </row>
    <row r="220" spans="1:20" x14ac:dyDescent="0.25">
      <c r="A220" s="20">
        <v>42126</v>
      </c>
      <c r="B220" s="183">
        <v>19794</v>
      </c>
      <c r="C220" s="40" t="s">
        <v>1267</v>
      </c>
      <c r="D220" s="105">
        <v>1400</v>
      </c>
      <c r="E220" s="23">
        <v>42128</v>
      </c>
      <c r="F220" s="106">
        <v>1400</v>
      </c>
      <c r="G220" s="31">
        <f t="shared" si="6"/>
        <v>0</v>
      </c>
      <c r="H220" s="41" t="s">
        <v>19</v>
      </c>
      <c r="I220" s="3"/>
      <c r="J220" s="42"/>
      <c r="K220" s="3"/>
      <c r="M220" s="20">
        <v>42132</v>
      </c>
      <c r="N220" s="183">
        <v>20368</v>
      </c>
      <c r="O220" s="14" t="s">
        <v>694</v>
      </c>
      <c r="P220" s="105">
        <v>2464</v>
      </c>
      <c r="Q220" s="23">
        <v>42132</v>
      </c>
      <c r="R220" s="106">
        <v>2464</v>
      </c>
      <c r="S220" s="31">
        <f t="shared" si="7"/>
        <v>0</v>
      </c>
      <c r="T220" s="19" t="s">
        <v>9</v>
      </c>
    </row>
    <row r="221" spans="1:20" x14ac:dyDescent="0.25">
      <c r="A221" s="12">
        <v>42126</v>
      </c>
      <c r="B221" s="183">
        <v>19795</v>
      </c>
      <c r="C221" s="40" t="s">
        <v>158</v>
      </c>
      <c r="D221" s="105">
        <v>2160.1999999999998</v>
      </c>
      <c r="E221" s="23">
        <v>42126</v>
      </c>
      <c r="F221" s="106">
        <v>2160.1999999999998</v>
      </c>
      <c r="G221" s="31">
        <f t="shared" si="6"/>
        <v>0</v>
      </c>
      <c r="H221" s="41" t="s">
        <v>9</v>
      </c>
      <c r="I221" s="3"/>
      <c r="J221" s="42"/>
      <c r="K221" s="3"/>
      <c r="M221" s="12">
        <v>42132</v>
      </c>
      <c r="N221" s="183">
        <v>20460</v>
      </c>
      <c r="O221" s="14" t="s">
        <v>694</v>
      </c>
      <c r="P221" s="105">
        <v>5185.1000000000004</v>
      </c>
      <c r="Q221" s="23">
        <v>42133</v>
      </c>
      <c r="R221" s="106">
        <v>5185.1000000000004</v>
      </c>
      <c r="S221" s="31">
        <f t="shared" si="7"/>
        <v>0</v>
      </c>
      <c r="T221" s="19" t="s">
        <v>9</v>
      </c>
    </row>
    <row r="222" spans="1:20" x14ac:dyDescent="0.25">
      <c r="A222" s="20">
        <v>42126</v>
      </c>
      <c r="B222" s="183">
        <v>19796</v>
      </c>
      <c r="C222" s="40" t="s">
        <v>95</v>
      </c>
      <c r="D222" s="105">
        <v>5285</v>
      </c>
      <c r="E222" s="23">
        <v>42128</v>
      </c>
      <c r="F222" s="106">
        <v>5285</v>
      </c>
      <c r="G222" s="31">
        <f t="shared" si="6"/>
        <v>0</v>
      </c>
      <c r="H222" s="41" t="s">
        <v>19</v>
      </c>
      <c r="I222" s="3"/>
      <c r="J222" s="42"/>
      <c r="K222" s="3"/>
      <c r="M222" s="20">
        <v>42136</v>
      </c>
      <c r="N222" s="183">
        <v>20825</v>
      </c>
      <c r="O222" s="14" t="s">
        <v>694</v>
      </c>
      <c r="P222" s="105">
        <v>1274.9000000000001</v>
      </c>
      <c r="Q222" s="23">
        <v>42136</v>
      </c>
      <c r="R222" s="106">
        <v>1274.9000000000001</v>
      </c>
      <c r="S222" s="31">
        <f t="shared" si="7"/>
        <v>0</v>
      </c>
      <c r="T222" s="39" t="s">
        <v>9</v>
      </c>
    </row>
    <row r="223" spans="1:20" x14ac:dyDescent="0.25">
      <c r="A223" s="12">
        <v>42126</v>
      </c>
      <c r="B223" s="183">
        <v>19797</v>
      </c>
      <c r="C223" s="40" t="s">
        <v>93</v>
      </c>
      <c r="D223" s="105">
        <v>2695</v>
      </c>
      <c r="E223" s="23">
        <v>42128</v>
      </c>
      <c r="F223" s="106">
        <v>2695</v>
      </c>
      <c r="G223" s="31">
        <f t="shared" si="6"/>
        <v>0</v>
      </c>
      <c r="H223" s="41" t="s">
        <v>19</v>
      </c>
      <c r="I223" s="3"/>
      <c r="J223" s="42"/>
      <c r="K223" s="3"/>
      <c r="M223" s="12">
        <v>42139</v>
      </c>
      <c r="N223" s="183">
        <v>21131</v>
      </c>
      <c r="O223" s="14" t="s">
        <v>694</v>
      </c>
      <c r="P223" s="105">
        <v>1399.95</v>
      </c>
      <c r="Q223" s="23">
        <v>42139</v>
      </c>
      <c r="R223" s="106">
        <v>1399.95</v>
      </c>
      <c r="S223" s="48">
        <f t="shared" si="7"/>
        <v>0</v>
      </c>
      <c r="T223" s="39" t="s">
        <v>9</v>
      </c>
    </row>
    <row r="224" spans="1:20" x14ac:dyDescent="0.25">
      <c r="A224" s="20">
        <v>42126</v>
      </c>
      <c r="B224" s="183">
        <v>19798</v>
      </c>
      <c r="C224" s="146" t="s">
        <v>111</v>
      </c>
      <c r="D224" s="105">
        <v>295782</v>
      </c>
      <c r="E224" s="23">
        <v>42129</v>
      </c>
      <c r="F224" s="106">
        <v>295782</v>
      </c>
      <c r="G224" s="31">
        <f t="shared" si="6"/>
        <v>0</v>
      </c>
      <c r="H224" s="41" t="s">
        <v>9</v>
      </c>
      <c r="I224" s="3"/>
      <c r="J224" s="42"/>
      <c r="K224" s="3"/>
      <c r="M224" s="20">
        <v>42140</v>
      </c>
      <c r="N224" s="183">
        <v>21308</v>
      </c>
      <c r="O224" s="14" t="s">
        <v>694</v>
      </c>
      <c r="P224" s="105">
        <v>1134.5999999999999</v>
      </c>
      <c r="Q224" s="23">
        <v>42140</v>
      </c>
      <c r="R224" s="118">
        <v>1134.5999999999999</v>
      </c>
      <c r="S224" s="31">
        <f t="shared" si="7"/>
        <v>0</v>
      </c>
      <c r="T224" s="62" t="s">
        <v>9</v>
      </c>
    </row>
    <row r="225" spans="1:20" x14ac:dyDescent="0.25">
      <c r="A225" s="12">
        <v>42126</v>
      </c>
      <c r="B225" s="183">
        <v>19799</v>
      </c>
      <c r="C225" s="40" t="s">
        <v>1290</v>
      </c>
      <c r="D225" s="105">
        <v>3774</v>
      </c>
      <c r="E225" s="23">
        <v>42127</v>
      </c>
      <c r="F225" s="106">
        <v>3774</v>
      </c>
      <c r="G225" s="31">
        <f t="shared" si="6"/>
        <v>0</v>
      </c>
      <c r="H225" s="41" t="s">
        <v>9</v>
      </c>
      <c r="I225" s="3"/>
      <c r="J225" s="42"/>
      <c r="K225" s="3"/>
      <c r="M225" s="12">
        <v>42146</v>
      </c>
      <c r="N225" s="183">
        <v>21947</v>
      </c>
      <c r="O225" s="14" t="s">
        <v>694</v>
      </c>
      <c r="P225" s="105">
        <v>1456</v>
      </c>
      <c r="Q225" s="23">
        <v>42146</v>
      </c>
      <c r="R225" s="106">
        <v>1456</v>
      </c>
      <c r="S225" s="31">
        <f t="shared" si="7"/>
        <v>0</v>
      </c>
      <c r="T225" s="39" t="s">
        <v>9</v>
      </c>
    </row>
    <row r="226" spans="1:20" x14ac:dyDescent="0.25">
      <c r="A226" s="20">
        <v>42126</v>
      </c>
      <c r="B226" s="183">
        <v>19800</v>
      </c>
      <c r="C226" s="40" t="s">
        <v>484</v>
      </c>
      <c r="D226" s="105">
        <v>15292.2</v>
      </c>
      <c r="E226" s="23">
        <v>42133</v>
      </c>
      <c r="F226" s="106">
        <v>15292.2</v>
      </c>
      <c r="G226" s="31">
        <f t="shared" si="6"/>
        <v>0</v>
      </c>
      <c r="H226" s="41" t="s">
        <v>9</v>
      </c>
      <c r="K226" s="3"/>
      <c r="M226" s="20">
        <v>42148</v>
      </c>
      <c r="N226" s="183">
        <v>22091</v>
      </c>
      <c r="O226" s="14" t="s">
        <v>694</v>
      </c>
      <c r="P226" s="105">
        <v>1129.5999999999999</v>
      </c>
      <c r="Q226" s="65">
        <v>42148</v>
      </c>
      <c r="R226" s="106">
        <v>1129.5999999999999</v>
      </c>
      <c r="S226" s="31">
        <f t="shared" si="7"/>
        <v>0</v>
      </c>
      <c r="T226" s="39" t="s">
        <v>9</v>
      </c>
    </row>
    <row r="227" spans="1:20" x14ac:dyDescent="0.25">
      <c r="A227" s="12">
        <v>42126</v>
      </c>
      <c r="B227" s="183">
        <v>19801</v>
      </c>
      <c r="C227" s="40" t="s">
        <v>821</v>
      </c>
      <c r="D227" s="105">
        <v>3117</v>
      </c>
      <c r="E227" s="23">
        <v>42126</v>
      </c>
      <c r="F227" s="106">
        <v>3117</v>
      </c>
      <c r="G227" s="31">
        <f t="shared" si="6"/>
        <v>0</v>
      </c>
      <c r="H227" s="41" t="s">
        <v>9</v>
      </c>
      <c r="K227" s="3"/>
      <c r="M227" s="12">
        <v>42150</v>
      </c>
      <c r="N227" s="183">
        <v>22281</v>
      </c>
      <c r="O227" s="14" t="s">
        <v>714</v>
      </c>
      <c r="P227" s="105">
        <v>1466.5</v>
      </c>
      <c r="Q227" s="65">
        <v>42150</v>
      </c>
      <c r="R227" s="106">
        <v>1466.5</v>
      </c>
      <c r="S227" s="31">
        <f t="shared" si="7"/>
        <v>0</v>
      </c>
      <c r="T227" s="39" t="s">
        <v>9</v>
      </c>
    </row>
    <row r="228" spans="1:20" x14ac:dyDescent="0.25">
      <c r="A228" s="20">
        <v>42126</v>
      </c>
      <c r="B228" s="183">
        <v>19802</v>
      </c>
      <c r="C228" s="40" t="s">
        <v>855</v>
      </c>
      <c r="D228" s="105">
        <v>3220.1</v>
      </c>
      <c r="E228" s="23">
        <v>42126</v>
      </c>
      <c r="F228" s="106">
        <v>3220.1</v>
      </c>
      <c r="G228" s="31">
        <f t="shared" si="6"/>
        <v>0</v>
      </c>
      <c r="H228" s="41" t="s">
        <v>9</v>
      </c>
      <c r="K228" s="3"/>
      <c r="M228" s="20">
        <v>42131</v>
      </c>
      <c r="N228" s="183">
        <v>20238</v>
      </c>
      <c r="O228" s="14" t="s">
        <v>1291</v>
      </c>
      <c r="P228" s="105">
        <v>2096.5</v>
      </c>
      <c r="Q228" s="23">
        <v>42140</v>
      </c>
      <c r="R228" s="106">
        <v>2096.5</v>
      </c>
      <c r="S228" s="31">
        <f t="shared" si="7"/>
        <v>0</v>
      </c>
      <c r="T228" s="39" t="s">
        <v>9</v>
      </c>
    </row>
    <row r="229" spans="1:20" x14ac:dyDescent="0.25">
      <c r="A229" s="12">
        <v>42126</v>
      </c>
      <c r="B229" s="183">
        <v>19803</v>
      </c>
      <c r="C229" s="40" t="s">
        <v>1173</v>
      </c>
      <c r="D229" s="105">
        <v>2427.6</v>
      </c>
      <c r="E229" s="23">
        <v>42127</v>
      </c>
      <c r="F229" s="106">
        <v>2427.6</v>
      </c>
      <c r="G229" s="31">
        <f t="shared" si="6"/>
        <v>0</v>
      </c>
      <c r="H229" s="41" t="s">
        <v>9</v>
      </c>
      <c r="K229" s="3"/>
      <c r="M229" s="12">
        <v>42125</v>
      </c>
      <c r="N229" s="183">
        <v>19592</v>
      </c>
      <c r="O229" s="14" t="s">
        <v>1259</v>
      </c>
      <c r="P229" s="105">
        <v>2551.5</v>
      </c>
      <c r="Q229" s="23">
        <v>42125</v>
      </c>
      <c r="R229" s="106">
        <v>2551.5</v>
      </c>
      <c r="S229" s="25">
        <f t="shared" si="7"/>
        <v>0</v>
      </c>
      <c r="T229" s="19" t="s">
        <v>9</v>
      </c>
    </row>
    <row r="230" spans="1:20" x14ac:dyDescent="0.25">
      <c r="A230" s="20">
        <v>42126</v>
      </c>
      <c r="B230" s="183">
        <v>19804</v>
      </c>
      <c r="C230" s="40" t="s">
        <v>336</v>
      </c>
      <c r="D230" s="105">
        <v>3036.1</v>
      </c>
      <c r="E230" s="23">
        <v>42126</v>
      </c>
      <c r="F230" s="106">
        <v>3036.1</v>
      </c>
      <c r="G230" s="31">
        <f t="shared" si="6"/>
        <v>0</v>
      </c>
      <c r="H230" s="41" t="s">
        <v>9</v>
      </c>
      <c r="J230" s="107"/>
      <c r="K230" s="3"/>
      <c r="M230" s="20">
        <v>42125</v>
      </c>
      <c r="N230" s="183">
        <v>19590</v>
      </c>
      <c r="O230" s="14" t="s">
        <v>290</v>
      </c>
      <c r="P230" s="105">
        <v>404.3</v>
      </c>
      <c r="Q230" s="23">
        <v>42125</v>
      </c>
      <c r="R230" s="106">
        <v>404.3</v>
      </c>
      <c r="S230" s="25">
        <f t="shared" si="7"/>
        <v>0</v>
      </c>
      <c r="T230" s="19" t="s">
        <v>9</v>
      </c>
    </row>
    <row r="231" spans="1:20" x14ac:dyDescent="0.25">
      <c r="A231" s="12">
        <v>42126</v>
      </c>
      <c r="B231" s="183">
        <v>19805</v>
      </c>
      <c r="C231" s="40" t="s">
        <v>1262</v>
      </c>
      <c r="D231" s="105">
        <v>87032.7</v>
      </c>
      <c r="E231" s="23">
        <v>42142</v>
      </c>
      <c r="F231" s="106">
        <v>87032.7</v>
      </c>
      <c r="G231" s="31">
        <f t="shared" si="6"/>
        <v>0</v>
      </c>
      <c r="H231" s="41" t="s">
        <v>1013</v>
      </c>
      <c r="K231" s="3"/>
      <c r="M231" s="12">
        <v>42128</v>
      </c>
      <c r="N231" s="183">
        <v>19897</v>
      </c>
      <c r="O231" s="14" t="s">
        <v>290</v>
      </c>
      <c r="P231" s="105">
        <v>372.1</v>
      </c>
      <c r="Q231" s="23">
        <v>42128</v>
      </c>
      <c r="R231" s="106">
        <v>372.1</v>
      </c>
      <c r="S231" s="31">
        <f t="shared" si="7"/>
        <v>0</v>
      </c>
      <c r="T231" s="19" t="s">
        <v>9</v>
      </c>
    </row>
    <row r="232" spans="1:20" x14ac:dyDescent="0.25">
      <c r="A232" s="20">
        <v>42126</v>
      </c>
      <c r="B232" s="183">
        <v>19806</v>
      </c>
      <c r="C232" s="40" t="s">
        <v>108</v>
      </c>
      <c r="D232" s="105">
        <v>8475.6</v>
      </c>
      <c r="E232" s="23">
        <v>42137</v>
      </c>
      <c r="F232" s="106">
        <v>8475.6</v>
      </c>
      <c r="G232" s="31">
        <f t="shared" si="6"/>
        <v>0</v>
      </c>
      <c r="H232" s="41" t="s">
        <v>1257</v>
      </c>
      <c r="K232" s="3"/>
      <c r="M232" s="20">
        <v>42139</v>
      </c>
      <c r="N232" s="183">
        <v>21104</v>
      </c>
      <c r="O232" s="14" t="s">
        <v>290</v>
      </c>
      <c r="P232" s="105">
        <v>319.2</v>
      </c>
      <c r="Q232" s="23">
        <v>42139</v>
      </c>
      <c r="R232" s="106">
        <v>319.2</v>
      </c>
      <c r="S232" s="48">
        <f t="shared" si="7"/>
        <v>0</v>
      </c>
      <c r="T232" s="39" t="s">
        <v>9</v>
      </c>
    </row>
    <row r="233" spans="1:20" x14ac:dyDescent="0.25">
      <c r="A233" s="12">
        <v>42126</v>
      </c>
      <c r="B233" s="183">
        <v>19807</v>
      </c>
      <c r="C233" s="40" t="s">
        <v>125</v>
      </c>
      <c r="D233" s="105">
        <v>25107.3</v>
      </c>
      <c r="E233" s="23" t="s">
        <v>1292</v>
      </c>
      <c r="F233" s="106">
        <f>10000+15107.3</f>
        <v>25107.3</v>
      </c>
      <c r="G233" s="31">
        <f t="shared" si="6"/>
        <v>0</v>
      </c>
      <c r="H233" s="41" t="s">
        <v>9</v>
      </c>
      <c r="K233" s="3"/>
      <c r="M233" s="12">
        <v>42148</v>
      </c>
      <c r="N233" s="183">
        <v>22074</v>
      </c>
      <c r="O233" s="14" t="s">
        <v>290</v>
      </c>
      <c r="P233" s="105">
        <v>327.9</v>
      </c>
      <c r="Q233" s="65">
        <v>42148</v>
      </c>
      <c r="R233" s="106">
        <v>327.9</v>
      </c>
      <c r="S233" s="31">
        <f t="shared" si="7"/>
        <v>0</v>
      </c>
      <c r="T233" s="39" t="s">
        <v>9</v>
      </c>
    </row>
    <row r="234" spans="1:20" x14ac:dyDescent="0.25">
      <c r="A234" s="20">
        <v>42126</v>
      </c>
      <c r="B234" s="183">
        <v>19808</v>
      </c>
      <c r="C234" s="40" t="s">
        <v>440</v>
      </c>
      <c r="D234" s="105">
        <v>10444.5</v>
      </c>
      <c r="E234" s="23">
        <v>42126</v>
      </c>
      <c r="F234" s="106">
        <v>10444.5</v>
      </c>
      <c r="G234" s="31">
        <f t="shared" si="6"/>
        <v>0</v>
      </c>
      <c r="H234" s="41" t="s">
        <v>9</v>
      </c>
      <c r="K234" s="3"/>
      <c r="M234" s="20">
        <v>42152</v>
      </c>
      <c r="N234" s="183">
        <v>22513</v>
      </c>
      <c r="O234" s="14" t="s">
        <v>651</v>
      </c>
      <c r="P234" s="105">
        <v>40491.9</v>
      </c>
      <c r="Q234" s="23"/>
      <c r="R234" s="106"/>
      <c r="S234" s="31">
        <f t="shared" si="7"/>
        <v>40491.9</v>
      </c>
      <c r="T234" s="39" t="s">
        <v>1257</v>
      </c>
    </row>
    <row r="235" spans="1:20" x14ac:dyDescent="0.25">
      <c r="A235" s="12">
        <v>42126</v>
      </c>
      <c r="B235" s="183">
        <v>19809</v>
      </c>
      <c r="C235" s="40" t="s">
        <v>154</v>
      </c>
      <c r="D235" s="105">
        <v>18139.5</v>
      </c>
      <c r="E235" s="23">
        <v>42127</v>
      </c>
      <c r="F235" s="106">
        <v>18139.5</v>
      </c>
      <c r="G235" s="31">
        <f t="shared" si="6"/>
        <v>0</v>
      </c>
      <c r="H235" s="41" t="s">
        <v>773</v>
      </c>
      <c r="K235" s="3"/>
      <c r="M235" s="12">
        <v>42125</v>
      </c>
      <c r="N235" s="183">
        <v>19681</v>
      </c>
      <c r="O235" s="14" t="s">
        <v>161</v>
      </c>
      <c r="P235" s="105">
        <v>22922.46</v>
      </c>
      <c r="Q235" s="23">
        <v>42125</v>
      </c>
      <c r="R235" s="106">
        <v>22922.46</v>
      </c>
      <c r="S235" s="25">
        <f t="shared" si="7"/>
        <v>0</v>
      </c>
      <c r="T235" s="39" t="s">
        <v>9</v>
      </c>
    </row>
    <row r="236" spans="1:20" x14ac:dyDescent="0.25">
      <c r="A236" s="20">
        <v>42126</v>
      </c>
      <c r="B236" s="183">
        <v>19810</v>
      </c>
      <c r="C236" s="40" t="s">
        <v>112</v>
      </c>
      <c r="D236" s="105">
        <v>2137.8000000000002</v>
      </c>
      <c r="E236" s="23" t="s">
        <v>1209</v>
      </c>
      <c r="F236" s="106">
        <f>2000+137.8</f>
        <v>2137.8000000000002</v>
      </c>
      <c r="G236" s="31">
        <f t="shared" si="6"/>
        <v>0</v>
      </c>
      <c r="H236" s="41" t="s">
        <v>9</v>
      </c>
      <c r="K236" s="3"/>
      <c r="M236" s="20">
        <v>42126</v>
      </c>
      <c r="N236" s="183">
        <v>19811</v>
      </c>
      <c r="O236" s="40" t="s">
        <v>161</v>
      </c>
      <c r="P236" s="105">
        <v>25277.4</v>
      </c>
      <c r="Q236" s="23">
        <v>42126</v>
      </c>
      <c r="R236" s="106">
        <v>25277.4</v>
      </c>
      <c r="S236" s="31">
        <f t="shared" si="7"/>
        <v>0</v>
      </c>
      <c r="T236" s="41" t="s">
        <v>9</v>
      </c>
    </row>
    <row r="237" spans="1:20" x14ac:dyDescent="0.25">
      <c r="A237" s="12">
        <v>42126</v>
      </c>
      <c r="B237" s="183">
        <v>19811</v>
      </c>
      <c r="C237" s="40" t="s">
        <v>161</v>
      </c>
      <c r="D237" s="105">
        <v>25277.4</v>
      </c>
      <c r="E237" s="23">
        <v>42126</v>
      </c>
      <c r="F237" s="106">
        <v>25277.4</v>
      </c>
      <c r="G237" s="31">
        <f t="shared" si="6"/>
        <v>0</v>
      </c>
      <c r="H237" s="41" t="s">
        <v>9</v>
      </c>
      <c r="K237" s="3"/>
      <c r="M237" s="12">
        <v>42130</v>
      </c>
      <c r="N237" s="183">
        <v>20190</v>
      </c>
      <c r="O237" s="14" t="s">
        <v>161</v>
      </c>
      <c r="P237" s="105">
        <v>1201.2</v>
      </c>
      <c r="Q237" s="23">
        <v>42130</v>
      </c>
      <c r="R237" s="106">
        <v>1201.2</v>
      </c>
      <c r="S237" s="31">
        <f t="shared" si="7"/>
        <v>0</v>
      </c>
      <c r="T237" s="39" t="s">
        <v>9</v>
      </c>
    </row>
    <row r="238" spans="1:20" x14ac:dyDescent="0.25">
      <c r="A238" s="20">
        <v>42127</v>
      </c>
      <c r="B238" s="183">
        <v>19812</v>
      </c>
      <c r="C238" s="40" t="s">
        <v>229</v>
      </c>
      <c r="D238" s="105">
        <v>1700.19</v>
      </c>
      <c r="E238" s="23">
        <v>42127</v>
      </c>
      <c r="F238" s="106">
        <v>1700.19</v>
      </c>
      <c r="G238" s="31">
        <f t="shared" si="6"/>
        <v>0</v>
      </c>
      <c r="H238" s="41" t="s">
        <v>9</v>
      </c>
      <c r="K238" s="3"/>
      <c r="M238" s="20">
        <v>42132</v>
      </c>
      <c r="N238" s="183">
        <v>20445</v>
      </c>
      <c r="O238" s="14" t="s">
        <v>161</v>
      </c>
      <c r="P238" s="105">
        <v>24175.8</v>
      </c>
      <c r="Q238" s="23">
        <v>42132</v>
      </c>
      <c r="R238" s="106">
        <v>24175.8</v>
      </c>
      <c r="S238" s="31">
        <f t="shared" si="7"/>
        <v>0</v>
      </c>
      <c r="T238" s="19" t="s">
        <v>9</v>
      </c>
    </row>
    <row r="239" spans="1:20" x14ac:dyDescent="0.25">
      <c r="A239" s="12">
        <v>42127</v>
      </c>
      <c r="B239" s="183">
        <v>19813</v>
      </c>
      <c r="C239" s="40" t="s">
        <v>1271</v>
      </c>
      <c r="D239" s="105">
        <v>29257.32</v>
      </c>
      <c r="E239" s="23">
        <v>42128</v>
      </c>
      <c r="F239" s="106">
        <v>29257.32</v>
      </c>
      <c r="G239" s="31">
        <f t="shared" si="6"/>
        <v>0</v>
      </c>
      <c r="H239" s="41" t="s">
        <v>1257</v>
      </c>
      <c r="K239" s="3"/>
      <c r="M239" s="12">
        <v>42132</v>
      </c>
      <c r="N239" s="183">
        <v>20461</v>
      </c>
      <c r="O239" s="14" t="s">
        <v>161</v>
      </c>
      <c r="P239" s="105">
        <v>2654.4</v>
      </c>
      <c r="Q239" s="23">
        <v>42133</v>
      </c>
      <c r="R239" s="106">
        <v>2654.4</v>
      </c>
      <c r="S239" s="31">
        <f t="shared" si="7"/>
        <v>0</v>
      </c>
      <c r="T239" s="19" t="s">
        <v>9</v>
      </c>
    </row>
    <row r="240" spans="1:20" x14ac:dyDescent="0.25">
      <c r="A240" s="20">
        <v>42127</v>
      </c>
      <c r="B240" s="183">
        <v>19814</v>
      </c>
      <c r="C240" s="40" t="s">
        <v>74</v>
      </c>
      <c r="D240" s="105">
        <v>1403</v>
      </c>
      <c r="E240" s="23">
        <v>42127</v>
      </c>
      <c r="F240" s="106">
        <v>1403</v>
      </c>
      <c r="G240" s="31">
        <f t="shared" si="6"/>
        <v>0</v>
      </c>
      <c r="H240" s="41" t="s">
        <v>9</v>
      </c>
      <c r="K240" s="3"/>
      <c r="M240" s="20">
        <v>42135</v>
      </c>
      <c r="N240" s="183">
        <v>20765</v>
      </c>
      <c r="O240" s="14" t="s">
        <v>161</v>
      </c>
      <c r="P240" s="105">
        <v>24444.47</v>
      </c>
      <c r="Q240" s="23">
        <v>42135</v>
      </c>
      <c r="R240" s="106">
        <v>24444.47</v>
      </c>
      <c r="S240" s="31">
        <f t="shared" si="7"/>
        <v>0</v>
      </c>
      <c r="T240" s="19" t="s">
        <v>9</v>
      </c>
    </row>
    <row r="241" spans="1:20" x14ac:dyDescent="0.25">
      <c r="A241" s="12">
        <v>42127</v>
      </c>
      <c r="B241" s="183">
        <v>19815</v>
      </c>
      <c r="C241" s="40" t="s">
        <v>1182</v>
      </c>
      <c r="D241" s="105">
        <v>2153.8000000000002</v>
      </c>
      <c r="E241" s="23">
        <v>42127</v>
      </c>
      <c r="F241" s="106">
        <v>2153.8000000000002</v>
      </c>
      <c r="G241" s="31">
        <f t="shared" si="6"/>
        <v>0</v>
      </c>
      <c r="H241" s="41" t="s">
        <v>9</v>
      </c>
      <c r="K241" s="3"/>
      <c r="M241" s="12">
        <v>42142</v>
      </c>
      <c r="N241" s="183">
        <v>21387</v>
      </c>
      <c r="O241" s="14" t="s">
        <v>161</v>
      </c>
      <c r="P241" s="105">
        <v>28766.2</v>
      </c>
      <c r="Q241" s="23">
        <v>42142</v>
      </c>
      <c r="R241" s="118">
        <v>28766.2</v>
      </c>
      <c r="S241" s="31">
        <f t="shared" si="7"/>
        <v>0</v>
      </c>
      <c r="T241" s="56" t="s">
        <v>94</v>
      </c>
    </row>
    <row r="242" spans="1:20" x14ac:dyDescent="0.25">
      <c r="A242" s="20">
        <v>42127</v>
      </c>
      <c r="B242" s="183">
        <v>19816</v>
      </c>
      <c r="C242" s="40" t="s">
        <v>1020</v>
      </c>
      <c r="D242" s="105">
        <v>4170.5200000000004</v>
      </c>
      <c r="E242" s="23">
        <v>42127</v>
      </c>
      <c r="F242" s="106">
        <v>4170.5200000000004</v>
      </c>
      <c r="G242" s="31">
        <f t="shared" si="6"/>
        <v>0</v>
      </c>
      <c r="H242" s="41" t="s">
        <v>9</v>
      </c>
      <c r="I242" s="3"/>
      <c r="J242" s="42"/>
      <c r="K242" s="3"/>
      <c r="M242" s="20">
        <v>42145</v>
      </c>
      <c r="N242" s="183">
        <v>21735</v>
      </c>
      <c r="O242" s="15" t="s">
        <v>161</v>
      </c>
      <c r="P242" s="122">
        <v>2754</v>
      </c>
      <c r="Q242" s="23">
        <v>42145</v>
      </c>
      <c r="R242" s="118">
        <v>2754</v>
      </c>
      <c r="S242" s="31">
        <f t="shared" si="7"/>
        <v>0</v>
      </c>
      <c r="T242" s="68" t="s">
        <v>9</v>
      </c>
    </row>
    <row r="243" spans="1:20" x14ac:dyDescent="0.25">
      <c r="A243" s="12">
        <v>42127</v>
      </c>
      <c r="B243" s="183">
        <v>19817</v>
      </c>
      <c r="C243" s="40" t="s">
        <v>24</v>
      </c>
      <c r="D243" s="105">
        <v>213399.3</v>
      </c>
      <c r="E243" s="23">
        <v>42151</v>
      </c>
      <c r="F243" s="106">
        <v>213399.3</v>
      </c>
      <c r="G243" s="31">
        <f t="shared" si="6"/>
        <v>0</v>
      </c>
      <c r="H243" s="41" t="s">
        <v>46</v>
      </c>
      <c r="I243" s="3"/>
      <c r="J243" s="42"/>
      <c r="K243" s="3"/>
      <c r="M243" s="12">
        <v>42145</v>
      </c>
      <c r="N243" s="183">
        <v>21787</v>
      </c>
      <c r="O243" s="15" t="s">
        <v>161</v>
      </c>
      <c r="P243" s="122">
        <v>25103.8</v>
      </c>
      <c r="Q243" s="23">
        <v>42145</v>
      </c>
      <c r="R243" s="118">
        <v>25103.8</v>
      </c>
      <c r="S243" s="31">
        <f t="shared" si="7"/>
        <v>0</v>
      </c>
      <c r="T243" s="68" t="s">
        <v>9</v>
      </c>
    </row>
    <row r="244" spans="1:20" x14ac:dyDescent="0.25">
      <c r="A244" s="20">
        <v>42127</v>
      </c>
      <c r="B244" s="183">
        <v>19818</v>
      </c>
      <c r="C244" s="40" t="s">
        <v>24</v>
      </c>
      <c r="D244" s="105">
        <v>19609.599999999999</v>
      </c>
      <c r="E244" s="23">
        <v>42151</v>
      </c>
      <c r="F244" s="106">
        <v>19609.599999999999</v>
      </c>
      <c r="G244" s="31">
        <f t="shared" si="6"/>
        <v>0</v>
      </c>
      <c r="H244" s="41" t="s">
        <v>59</v>
      </c>
      <c r="I244" s="3"/>
      <c r="J244" s="42"/>
      <c r="K244" s="3"/>
      <c r="M244" s="20">
        <v>42147</v>
      </c>
      <c r="N244" s="183">
        <v>22036</v>
      </c>
      <c r="O244" s="14" t="s">
        <v>161</v>
      </c>
      <c r="P244" s="105">
        <v>26859.8</v>
      </c>
      <c r="Q244" s="65">
        <v>42147</v>
      </c>
      <c r="R244" s="106">
        <v>26859.8</v>
      </c>
      <c r="S244" s="31">
        <f t="shared" si="7"/>
        <v>0</v>
      </c>
      <c r="T244" s="39" t="s">
        <v>773</v>
      </c>
    </row>
    <row r="245" spans="1:20" x14ac:dyDescent="0.25">
      <c r="A245" s="12">
        <v>42127</v>
      </c>
      <c r="B245" s="183">
        <v>19819</v>
      </c>
      <c r="C245" s="40" t="s">
        <v>571</v>
      </c>
      <c r="D245" s="105">
        <v>10481</v>
      </c>
      <c r="E245" s="23">
        <v>42127</v>
      </c>
      <c r="F245" s="106">
        <v>10481</v>
      </c>
      <c r="G245" s="31">
        <f t="shared" si="6"/>
        <v>0</v>
      </c>
      <c r="H245" s="41" t="s">
        <v>9</v>
      </c>
      <c r="I245" s="3"/>
      <c r="J245" s="42"/>
      <c r="K245" s="3"/>
      <c r="M245" s="12">
        <v>42149</v>
      </c>
      <c r="N245" s="183">
        <v>22243</v>
      </c>
      <c r="O245" s="14" t="s">
        <v>161</v>
      </c>
      <c r="P245" s="105">
        <v>26974.799999999999</v>
      </c>
      <c r="Q245" s="65">
        <v>42150</v>
      </c>
      <c r="R245" s="106">
        <v>26974.799999999999</v>
      </c>
      <c r="S245" s="31">
        <f t="shared" si="7"/>
        <v>0</v>
      </c>
      <c r="T245" s="39" t="s">
        <v>1273</v>
      </c>
    </row>
    <row r="246" spans="1:20" x14ac:dyDescent="0.25">
      <c r="A246" s="20">
        <v>42127</v>
      </c>
      <c r="B246" s="183">
        <v>19820</v>
      </c>
      <c r="C246" s="40" t="s">
        <v>24</v>
      </c>
      <c r="D246" s="105">
        <v>43073.1</v>
      </c>
      <c r="E246" s="23">
        <v>42151</v>
      </c>
      <c r="F246" s="106">
        <v>43073.1</v>
      </c>
      <c r="G246" s="31">
        <f t="shared" si="6"/>
        <v>0</v>
      </c>
      <c r="H246" s="41" t="s">
        <v>773</v>
      </c>
      <c r="I246" s="3"/>
      <c r="J246" s="42"/>
      <c r="K246" s="3"/>
      <c r="M246" s="20">
        <v>42150</v>
      </c>
      <c r="N246" s="183">
        <v>22257</v>
      </c>
      <c r="O246" s="14" t="s">
        <v>161</v>
      </c>
      <c r="P246" s="105">
        <v>2643.2</v>
      </c>
      <c r="Q246" s="65">
        <v>42150</v>
      </c>
      <c r="R246" s="106">
        <v>2643.2</v>
      </c>
      <c r="S246" s="31">
        <f t="shared" si="7"/>
        <v>0</v>
      </c>
      <c r="T246" s="39" t="s">
        <v>9</v>
      </c>
    </row>
    <row r="247" spans="1:20" x14ac:dyDescent="0.25">
      <c r="A247" s="12">
        <v>42127</v>
      </c>
      <c r="B247" s="183">
        <v>19821</v>
      </c>
      <c r="C247" s="40" t="s">
        <v>111</v>
      </c>
      <c r="D247" s="105">
        <v>41588.14</v>
      </c>
      <c r="E247" s="23">
        <v>42129</v>
      </c>
      <c r="F247" s="106">
        <v>41588.14</v>
      </c>
      <c r="G247" s="31">
        <f t="shared" si="6"/>
        <v>0</v>
      </c>
      <c r="H247" s="41" t="s">
        <v>187</v>
      </c>
      <c r="I247" s="3"/>
      <c r="J247" s="42"/>
      <c r="K247" s="3"/>
      <c r="M247" s="12">
        <v>42136</v>
      </c>
      <c r="N247" s="183">
        <v>20859</v>
      </c>
      <c r="O247" s="14" t="s">
        <v>360</v>
      </c>
      <c r="P247" s="105">
        <v>365.8</v>
      </c>
      <c r="Q247" s="23">
        <v>42136</v>
      </c>
      <c r="R247" s="106">
        <v>365.8</v>
      </c>
      <c r="S247" s="31">
        <f t="shared" si="7"/>
        <v>0</v>
      </c>
      <c r="T247" s="39" t="s">
        <v>62</v>
      </c>
    </row>
    <row r="248" spans="1:20" x14ac:dyDescent="0.25">
      <c r="A248" s="20">
        <v>42127</v>
      </c>
      <c r="B248" s="183">
        <v>19822</v>
      </c>
      <c r="C248" s="40" t="s">
        <v>1260</v>
      </c>
      <c r="D248" s="105">
        <v>40123.65</v>
      </c>
      <c r="E248" s="23">
        <v>42140</v>
      </c>
      <c r="F248" s="106">
        <v>40123.65</v>
      </c>
      <c r="G248" s="31">
        <f t="shared" si="6"/>
        <v>0</v>
      </c>
      <c r="H248" s="41" t="s">
        <v>9</v>
      </c>
      <c r="I248" s="3"/>
      <c r="J248" s="42"/>
      <c r="K248" s="3"/>
      <c r="M248" s="20">
        <v>42146</v>
      </c>
      <c r="N248" s="183">
        <v>21942</v>
      </c>
      <c r="O248" s="14" t="s">
        <v>360</v>
      </c>
      <c r="P248" s="105">
        <v>66.7</v>
      </c>
      <c r="Q248" s="23">
        <v>42146</v>
      </c>
      <c r="R248" s="106">
        <v>66.7</v>
      </c>
      <c r="S248" s="31">
        <f t="shared" si="7"/>
        <v>0</v>
      </c>
      <c r="T248" s="39" t="s">
        <v>9</v>
      </c>
    </row>
    <row r="249" spans="1:20" x14ac:dyDescent="0.25">
      <c r="A249" s="12">
        <v>42127</v>
      </c>
      <c r="B249" s="183">
        <v>19823</v>
      </c>
      <c r="C249" s="40" t="s">
        <v>18</v>
      </c>
      <c r="D249" s="105">
        <v>1966.5</v>
      </c>
      <c r="E249" s="23">
        <v>42127</v>
      </c>
      <c r="F249" s="106">
        <v>1966.5</v>
      </c>
      <c r="G249" s="31">
        <f t="shared" si="6"/>
        <v>0</v>
      </c>
      <c r="H249" s="41" t="s">
        <v>9</v>
      </c>
      <c r="I249" s="3"/>
      <c r="J249" s="42"/>
      <c r="K249" s="3"/>
      <c r="M249" s="12">
        <v>42126</v>
      </c>
      <c r="N249" s="183">
        <v>19723</v>
      </c>
      <c r="O249" s="40" t="s">
        <v>829</v>
      </c>
      <c r="P249" s="105">
        <v>10990</v>
      </c>
      <c r="Q249" s="23">
        <v>42126</v>
      </c>
      <c r="R249" s="106">
        <v>10990</v>
      </c>
      <c r="S249" s="25">
        <f t="shared" si="7"/>
        <v>0</v>
      </c>
      <c r="T249" s="41" t="s">
        <v>9</v>
      </c>
    </row>
    <row r="250" spans="1:20" x14ac:dyDescent="0.25">
      <c r="A250" s="20">
        <v>42127</v>
      </c>
      <c r="B250" s="183">
        <v>19824</v>
      </c>
      <c r="C250" s="40" t="s">
        <v>854</v>
      </c>
      <c r="D250" s="105">
        <v>5989.6</v>
      </c>
      <c r="E250" s="23" t="s">
        <v>1289</v>
      </c>
      <c r="F250" s="106">
        <f>4000+1989.6</f>
        <v>5989.6</v>
      </c>
      <c r="G250" s="31">
        <f t="shared" si="6"/>
        <v>0</v>
      </c>
      <c r="H250" s="41" t="s">
        <v>9</v>
      </c>
      <c r="I250" s="3"/>
      <c r="J250" s="42"/>
      <c r="K250" s="3"/>
      <c r="M250" s="20">
        <v>42126</v>
      </c>
      <c r="N250" s="183">
        <v>19726</v>
      </c>
      <c r="O250" s="40" t="s">
        <v>829</v>
      </c>
      <c r="P250" s="105">
        <v>1205.4000000000001</v>
      </c>
      <c r="Q250" s="23">
        <v>42126</v>
      </c>
      <c r="R250" s="106">
        <v>1205.4000000000001</v>
      </c>
      <c r="S250" s="25">
        <f t="shared" si="7"/>
        <v>0</v>
      </c>
      <c r="T250" s="41" t="s">
        <v>9</v>
      </c>
    </row>
    <row r="251" spans="1:20" x14ac:dyDescent="0.25">
      <c r="A251" s="12">
        <v>42127</v>
      </c>
      <c r="B251" s="183">
        <v>19825</v>
      </c>
      <c r="C251" s="44" t="s">
        <v>218</v>
      </c>
      <c r="D251" s="105">
        <v>0</v>
      </c>
      <c r="E251" s="23"/>
      <c r="F251" s="106"/>
      <c r="G251" s="31">
        <f t="shared" si="6"/>
        <v>0</v>
      </c>
      <c r="H251" s="41" t="s">
        <v>13</v>
      </c>
      <c r="I251" s="3"/>
      <c r="J251" s="42"/>
      <c r="K251" s="3"/>
      <c r="M251" s="12">
        <v>42129</v>
      </c>
      <c r="N251" s="183">
        <v>20049</v>
      </c>
      <c r="O251" s="14" t="s">
        <v>829</v>
      </c>
      <c r="P251" s="105">
        <v>5482.8</v>
      </c>
      <c r="Q251" s="23">
        <v>42129</v>
      </c>
      <c r="R251" s="106">
        <v>5482.8</v>
      </c>
      <c r="S251" s="31">
        <f t="shared" si="7"/>
        <v>0</v>
      </c>
      <c r="T251" s="39" t="s">
        <v>9</v>
      </c>
    </row>
    <row r="252" spans="1:20" x14ac:dyDescent="0.25">
      <c r="A252" s="20">
        <v>42127</v>
      </c>
      <c r="B252" s="183">
        <v>19826</v>
      </c>
      <c r="C252" s="40" t="s">
        <v>863</v>
      </c>
      <c r="D252" s="105">
        <v>9310.7000000000007</v>
      </c>
      <c r="E252" s="23">
        <v>42127</v>
      </c>
      <c r="F252" s="106">
        <v>9310.7000000000007</v>
      </c>
      <c r="G252" s="31">
        <f t="shared" si="6"/>
        <v>0</v>
      </c>
      <c r="H252" s="41" t="s">
        <v>9</v>
      </c>
      <c r="I252" s="3"/>
      <c r="J252" s="42"/>
      <c r="K252" s="3"/>
      <c r="M252" s="20">
        <v>42131</v>
      </c>
      <c r="N252" s="183">
        <v>20228</v>
      </c>
      <c r="O252" s="14" t="s">
        <v>829</v>
      </c>
      <c r="P252" s="105">
        <v>9542.75</v>
      </c>
      <c r="Q252" s="23">
        <v>42131</v>
      </c>
      <c r="R252" s="106">
        <v>9542.75</v>
      </c>
      <c r="S252" s="31">
        <f t="shared" si="7"/>
        <v>0</v>
      </c>
      <c r="T252" s="39" t="s">
        <v>9</v>
      </c>
    </row>
    <row r="253" spans="1:20" x14ac:dyDescent="0.25">
      <c r="A253" s="12">
        <v>42127</v>
      </c>
      <c r="B253" s="183">
        <v>19827</v>
      </c>
      <c r="C253" s="206" t="s">
        <v>218</v>
      </c>
      <c r="D253" s="105">
        <v>0</v>
      </c>
      <c r="E253" s="23"/>
      <c r="F253" s="106"/>
      <c r="G253" s="31">
        <f t="shared" si="6"/>
        <v>0</v>
      </c>
      <c r="H253" s="41" t="s">
        <v>13</v>
      </c>
      <c r="I253" s="3"/>
      <c r="J253" s="42"/>
      <c r="K253" s="3"/>
      <c r="M253" s="12">
        <v>42132</v>
      </c>
      <c r="N253" s="183">
        <v>20354</v>
      </c>
      <c r="O253" s="14" t="s">
        <v>829</v>
      </c>
      <c r="P253" s="105">
        <v>14829.5</v>
      </c>
      <c r="Q253" s="23">
        <v>42132</v>
      </c>
      <c r="R253" s="106">
        <v>14829.5</v>
      </c>
      <c r="S253" s="31">
        <f t="shared" si="7"/>
        <v>0</v>
      </c>
      <c r="T253" s="19" t="s">
        <v>9</v>
      </c>
    </row>
    <row r="254" spans="1:20" x14ac:dyDescent="0.25">
      <c r="A254" s="20">
        <v>42127</v>
      </c>
      <c r="B254" s="183">
        <v>19828</v>
      </c>
      <c r="C254" s="40" t="s">
        <v>131</v>
      </c>
      <c r="D254" s="105">
        <v>5625.8</v>
      </c>
      <c r="E254" s="23">
        <v>42128</v>
      </c>
      <c r="F254" s="106">
        <v>5625.8</v>
      </c>
      <c r="G254" s="31">
        <f t="shared" si="6"/>
        <v>0</v>
      </c>
      <c r="H254" s="41" t="s">
        <v>1257</v>
      </c>
      <c r="I254" s="3"/>
      <c r="J254" s="42"/>
      <c r="K254" s="3"/>
      <c r="M254" s="20">
        <v>42132</v>
      </c>
      <c r="N254" s="183">
        <v>20359</v>
      </c>
      <c r="O254" s="14" t="s">
        <v>829</v>
      </c>
      <c r="P254" s="105">
        <v>252.4</v>
      </c>
      <c r="Q254" s="23">
        <v>42132</v>
      </c>
      <c r="R254" s="106">
        <v>252.4</v>
      </c>
      <c r="S254" s="31">
        <f t="shared" si="7"/>
        <v>0</v>
      </c>
      <c r="T254" s="19" t="s">
        <v>9</v>
      </c>
    </row>
    <row r="255" spans="1:20" x14ac:dyDescent="0.25">
      <c r="A255" s="12">
        <v>42127</v>
      </c>
      <c r="B255" s="183">
        <v>19829</v>
      </c>
      <c r="C255" s="40" t="s">
        <v>720</v>
      </c>
      <c r="D255" s="105">
        <v>18089.599999999999</v>
      </c>
      <c r="E255" s="23">
        <v>42127</v>
      </c>
      <c r="F255" s="106">
        <v>18089.599999999999</v>
      </c>
      <c r="G255" s="31">
        <f t="shared" si="6"/>
        <v>0</v>
      </c>
      <c r="H255" s="41" t="s">
        <v>9</v>
      </c>
      <c r="I255" s="3"/>
      <c r="J255" s="42"/>
      <c r="K255" s="3"/>
      <c r="M255" s="12">
        <v>42133</v>
      </c>
      <c r="N255" s="183">
        <v>20499</v>
      </c>
      <c r="O255" s="14" t="s">
        <v>829</v>
      </c>
      <c r="P255" s="105">
        <v>6231.2</v>
      </c>
      <c r="Q255" s="23">
        <v>42133</v>
      </c>
      <c r="R255" s="106">
        <v>6231.2</v>
      </c>
      <c r="S255" s="31">
        <f t="shared" si="7"/>
        <v>0</v>
      </c>
      <c r="T255" s="19" t="s">
        <v>9</v>
      </c>
    </row>
    <row r="256" spans="1:20" x14ac:dyDescent="0.25">
      <c r="A256" s="20">
        <v>42127</v>
      </c>
      <c r="B256" s="183">
        <v>19830</v>
      </c>
      <c r="C256" s="40" t="s">
        <v>21</v>
      </c>
      <c r="D256" s="105">
        <v>8655.4</v>
      </c>
      <c r="E256" s="23">
        <v>42127</v>
      </c>
      <c r="F256" s="106">
        <v>8655.4</v>
      </c>
      <c r="G256" s="31">
        <f t="shared" si="6"/>
        <v>0</v>
      </c>
      <c r="H256" s="41" t="s">
        <v>9</v>
      </c>
      <c r="I256" s="3"/>
      <c r="J256" s="42"/>
      <c r="K256" s="3"/>
      <c r="M256" s="20">
        <v>42133</v>
      </c>
      <c r="N256" s="183">
        <v>20501</v>
      </c>
      <c r="O256" s="14" t="s">
        <v>829</v>
      </c>
      <c r="P256" s="105">
        <v>367.2</v>
      </c>
      <c r="Q256" s="23">
        <v>42133</v>
      </c>
      <c r="R256" s="106">
        <v>367.2</v>
      </c>
      <c r="S256" s="31">
        <f t="shared" si="7"/>
        <v>0</v>
      </c>
      <c r="T256" s="19" t="s">
        <v>9</v>
      </c>
    </row>
    <row r="257" spans="1:20" x14ac:dyDescent="0.25">
      <c r="A257" s="12">
        <v>42127</v>
      </c>
      <c r="B257" s="183">
        <v>19831</v>
      </c>
      <c r="C257" s="40" t="s">
        <v>1256</v>
      </c>
      <c r="D257" s="105">
        <v>9203.2000000000007</v>
      </c>
      <c r="E257" s="23">
        <v>42127</v>
      </c>
      <c r="F257" s="106">
        <v>9203.2000000000007</v>
      </c>
      <c r="G257" s="31">
        <f t="shared" si="6"/>
        <v>0</v>
      </c>
      <c r="H257" s="41" t="s">
        <v>1257</v>
      </c>
      <c r="I257" s="3"/>
      <c r="J257" s="42"/>
      <c r="K257" s="3"/>
      <c r="M257" s="12">
        <v>42134</v>
      </c>
      <c r="N257" s="183">
        <v>20658</v>
      </c>
      <c r="O257" s="14" t="s">
        <v>829</v>
      </c>
      <c r="P257" s="105">
        <v>4333</v>
      </c>
      <c r="Q257" s="23">
        <v>42134</v>
      </c>
      <c r="R257" s="106">
        <v>4333</v>
      </c>
      <c r="S257" s="31">
        <f t="shared" si="7"/>
        <v>0</v>
      </c>
      <c r="T257" s="39" t="s">
        <v>9</v>
      </c>
    </row>
    <row r="258" spans="1:20" x14ac:dyDescent="0.25">
      <c r="A258" s="20">
        <v>42127</v>
      </c>
      <c r="B258" s="183">
        <v>19832</v>
      </c>
      <c r="C258" s="40" t="s">
        <v>112</v>
      </c>
      <c r="D258" s="105">
        <v>18297.349999999999</v>
      </c>
      <c r="E258" s="23">
        <v>42129</v>
      </c>
      <c r="F258" s="106">
        <v>18297.349999999999</v>
      </c>
      <c r="G258" s="31">
        <f t="shared" si="6"/>
        <v>0</v>
      </c>
      <c r="H258" s="41" t="s">
        <v>9</v>
      </c>
      <c r="I258" s="3"/>
      <c r="J258" s="42"/>
      <c r="K258" s="3"/>
      <c r="M258" s="20">
        <v>42138</v>
      </c>
      <c r="N258" s="183">
        <v>20971</v>
      </c>
      <c r="O258" s="14" t="s">
        <v>829</v>
      </c>
      <c r="P258" s="105">
        <v>3736.2</v>
      </c>
      <c r="Q258" s="23">
        <v>42138</v>
      </c>
      <c r="R258" s="106">
        <v>3736.2</v>
      </c>
      <c r="S258" s="31">
        <f t="shared" si="7"/>
        <v>0</v>
      </c>
      <c r="T258" s="19" t="s">
        <v>9</v>
      </c>
    </row>
    <row r="259" spans="1:20" x14ac:dyDescent="0.25">
      <c r="A259" s="12">
        <v>42127</v>
      </c>
      <c r="B259" s="183">
        <v>19833</v>
      </c>
      <c r="C259" s="40" t="s">
        <v>1185</v>
      </c>
      <c r="D259" s="105">
        <v>2081.6999999999998</v>
      </c>
      <c r="E259" s="23">
        <v>42127</v>
      </c>
      <c r="F259" s="106">
        <v>2081.6999999999998</v>
      </c>
      <c r="G259" s="31">
        <f t="shared" ref="G259:G322" si="8">D259-F259</f>
        <v>0</v>
      </c>
      <c r="H259" s="41" t="s">
        <v>9</v>
      </c>
      <c r="I259" s="3"/>
      <c r="J259" s="42"/>
      <c r="K259" s="3"/>
      <c r="M259" s="12">
        <v>42138</v>
      </c>
      <c r="N259" s="183">
        <v>20973</v>
      </c>
      <c r="O259" s="14" t="s">
        <v>829</v>
      </c>
      <c r="P259" s="105">
        <v>176.4</v>
      </c>
      <c r="Q259" s="23">
        <v>42138</v>
      </c>
      <c r="R259" s="106">
        <v>176.4</v>
      </c>
      <c r="S259" s="31">
        <f t="shared" ref="S259:S322" si="9">P259-R259</f>
        <v>0</v>
      </c>
      <c r="T259" s="19" t="s">
        <v>9</v>
      </c>
    </row>
    <row r="260" spans="1:20" x14ac:dyDescent="0.25">
      <c r="A260" s="20">
        <v>42127</v>
      </c>
      <c r="B260" s="183">
        <v>19834</v>
      </c>
      <c r="C260" s="146" t="s">
        <v>299</v>
      </c>
      <c r="D260" s="105">
        <v>2222</v>
      </c>
      <c r="E260" s="23">
        <v>42127</v>
      </c>
      <c r="F260" s="106">
        <v>2222</v>
      </c>
      <c r="G260" s="31">
        <f t="shared" si="8"/>
        <v>0</v>
      </c>
      <c r="H260" s="41" t="s">
        <v>1257</v>
      </c>
      <c r="I260" s="3"/>
      <c r="J260" s="42"/>
      <c r="K260" s="3"/>
      <c r="M260" s="20">
        <v>42139</v>
      </c>
      <c r="N260" s="183">
        <v>21099</v>
      </c>
      <c r="O260" s="14" t="s">
        <v>829</v>
      </c>
      <c r="P260" s="105">
        <v>9504.2000000000007</v>
      </c>
      <c r="Q260" s="23">
        <v>42139</v>
      </c>
      <c r="R260" s="106">
        <v>9504.2000000000007</v>
      </c>
      <c r="S260" s="48">
        <f t="shared" si="9"/>
        <v>0</v>
      </c>
      <c r="T260" s="39" t="s">
        <v>9</v>
      </c>
    </row>
    <row r="261" spans="1:20" x14ac:dyDescent="0.25">
      <c r="A261" s="12">
        <v>42127</v>
      </c>
      <c r="B261" s="183">
        <v>19835</v>
      </c>
      <c r="C261" s="40" t="s">
        <v>130</v>
      </c>
      <c r="D261" s="105">
        <v>5214</v>
      </c>
      <c r="E261" s="23" t="s">
        <v>1293</v>
      </c>
      <c r="F261" s="106">
        <f>2078.49+3135.51</f>
        <v>5214</v>
      </c>
      <c r="G261" s="31">
        <f t="shared" si="8"/>
        <v>0</v>
      </c>
      <c r="H261" s="41" t="s">
        <v>62</v>
      </c>
      <c r="I261" s="3"/>
      <c r="J261" s="42"/>
      <c r="K261" s="3"/>
      <c r="M261" s="12">
        <v>42140</v>
      </c>
      <c r="N261" s="183">
        <v>21320</v>
      </c>
      <c r="O261" s="14" t="s">
        <v>829</v>
      </c>
      <c r="P261" s="105">
        <v>4581.2</v>
      </c>
      <c r="Q261" s="23">
        <v>42140</v>
      </c>
      <c r="R261" s="118">
        <v>4581.2</v>
      </c>
      <c r="S261" s="31">
        <f t="shared" si="9"/>
        <v>0</v>
      </c>
      <c r="T261" s="62" t="s">
        <v>9</v>
      </c>
    </row>
    <row r="262" spans="1:20" x14ac:dyDescent="0.25">
      <c r="A262" s="20">
        <v>42127</v>
      </c>
      <c r="B262" s="183">
        <v>19836</v>
      </c>
      <c r="C262" s="40" t="s">
        <v>694</v>
      </c>
      <c r="D262" s="105">
        <v>2214</v>
      </c>
      <c r="E262" s="23">
        <v>42127</v>
      </c>
      <c r="F262" s="106">
        <v>2214</v>
      </c>
      <c r="G262" s="31">
        <f t="shared" si="8"/>
        <v>0</v>
      </c>
      <c r="H262" s="41" t="s">
        <v>9</v>
      </c>
      <c r="I262" s="3"/>
      <c r="J262" s="42"/>
      <c r="K262" s="3"/>
      <c r="M262" s="20">
        <v>42145</v>
      </c>
      <c r="N262" s="183">
        <v>21732</v>
      </c>
      <c r="O262" s="14" t="s">
        <v>829</v>
      </c>
      <c r="P262" s="105">
        <v>4497.2</v>
      </c>
      <c r="Q262" s="23">
        <v>42145</v>
      </c>
      <c r="R262" s="106">
        <v>4497.2</v>
      </c>
      <c r="S262" s="31">
        <f t="shared" si="9"/>
        <v>0</v>
      </c>
      <c r="T262" s="39" t="s">
        <v>9</v>
      </c>
    </row>
    <row r="263" spans="1:20" x14ac:dyDescent="0.25">
      <c r="A263" s="12">
        <v>42127</v>
      </c>
      <c r="B263" s="183">
        <v>19837</v>
      </c>
      <c r="C263" s="40" t="s">
        <v>1058</v>
      </c>
      <c r="D263" s="105">
        <v>2257.6</v>
      </c>
      <c r="E263" s="23">
        <v>42127</v>
      </c>
      <c r="F263" s="106">
        <v>2257.6</v>
      </c>
      <c r="G263" s="31">
        <f t="shared" si="8"/>
        <v>0</v>
      </c>
      <c r="H263" s="41" t="s">
        <v>9</v>
      </c>
      <c r="I263" s="3"/>
      <c r="J263" s="42"/>
      <c r="K263" s="3"/>
      <c r="M263" s="12">
        <v>42147</v>
      </c>
      <c r="N263" s="183">
        <v>22011</v>
      </c>
      <c r="O263" s="14" t="s">
        <v>829</v>
      </c>
      <c r="P263" s="105">
        <v>13685.6</v>
      </c>
      <c r="Q263" s="65">
        <v>42147</v>
      </c>
      <c r="R263" s="106">
        <v>13685.6</v>
      </c>
      <c r="S263" s="31">
        <f t="shared" si="9"/>
        <v>0</v>
      </c>
      <c r="T263" s="39" t="s">
        <v>9</v>
      </c>
    </row>
    <row r="264" spans="1:20" x14ac:dyDescent="0.25">
      <c r="A264" s="20">
        <v>42127</v>
      </c>
      <c r="B264" s="183">
        <v>19838</v>
      </c>
      <c r="C264" s="40" t="s">
        <v>143</v>
      </c>
      <c r="D264" s="105">
        <v>4468.8</v>
      </c>
      <c r="E264" s="23">
        <v>42128</v>
      </c>
      <c r="F264" s="106">
        <v>4468.8</v>
      </c>
      <c r="G264" s="31">
        <f t="shared" si="8"/>
        <v>0</v>
      </c>
      <c r="H264" s="41" t="s">
        <v>9</v>
      </c>
      <c r="I264" s="3"/>
      <c r="J264" s="42"/>
      <c r="K264" s="3"/>
      <c r="M264" s="20">
        <v>42147</v>
      </c>
      <c r="N264" s="183">
        <v>22012</v>
      </c>
      <c r="O264" s="14" t="s">
        <v>829</v>
      </c>
      <c r="P264" s="105">
        <v>513</v>
      </c>
      <c r="Q264" s="65">
        <v>42147</v>
      </c>
      <c r="R264" s="106">
        <v>513</v>
      </c>
      <c r="S264" s="31">
        <f t="shared" si="9"/>
        <v>0</v>
      </c>
      <c r="T264" s="39" t="s">
        <v>9</v>
      </c>
    </row>
    <row r="265" spans="1:20" x14ac:dyDescent="0.25">
      <c r="A265" s="12">
        <v>42127</v>
      </c>
      <c r="B265" s="183">
        <v>19839</v>
      </c>
      <c r="C265" s="40" t="s">
        <v>143</v>
      </c>
      <c r="D265" s="105">
        <v>24605.25</v>
      </c>
      <c r="E265" s="23">
        <v>42128</v>
      </c>
      <c r="F265" s="106">
        <v>24605.25</v>
      </c>
      <c r="G265" s="31">
        <f t="shared" si="8"/>
        <v>0</v>
      </c>
      <c r="H265" s="41" t="s">
        <v>9</v>
      </c>
      <c r="I265" s="3"/>
      <c r="J265" s="42"/>
      <c r="K265" s="3"/>
      <c r="M265" s="12">
        <v>42151</v>
      </c>
      <c r="N265" s="183">
        <v>22335</v>
      </c>
      <c r="O265" s="14" t="s">
        <v>829</v>
      </c>
      <c r="P265" s="105">
        <v>2558.4</v>
      </c>
      <c r="Q265" s="65">
        <v>42151</v>
      </c>
      <c r="R265" s="106">
        <v>2558.4</v>
      </c>
      <c r="S265" s="31">
        <f t="shared" si="9"/>
        <v>0</v>
      </c>
      <c r="T265" s="39" t="s">
        <v>9</v>
      </c>
    </row>
    <row r="266" spans="1:20" x14ac:dyDescent="0.25">
      <c r="A266" s="12">
        <v>42127</v>
      </c>
      <c r="B266" s="183">
        <v>19840</v>
      </c>
      <c r="C266" s="40" t="s">
        <v>125</v>
      </c>
      <c r="D266" s="105">
        <v>17272.7</v>
      </c>
      <c r="E266" s="23">
        <v>42127</v>
      </c>
      <c r="F266" s="106">
        <v>17272.7</v>
      </c>
      <c r="G266" s="31">
        <f t="shared" si="8"/>
        <v>0</v>
      </c>
      <c r="H266" s="41" t="s">
        <v>9</v>
      </c>
      <c r="I266" s="3"/>
      <c r="J266" s="42"/>
      <c r="K266" s="3"/>
      <c r="M266" s="12">
        <v>42154</v>
      </c>
      <c r="N266" s="183">
        <v>22750</v>
      </c>
      <c r="O266" s="14" t="s">
        <v>829</v>
      </c>
      <c r="P266" s="105">
        <v>8749.2000000000007</v>
      </c>
      <c r="Q266" s="23">
        <v>42154</v>
      </c>
      <c r="R266" s="106">
        <v>8749.2000000000007</v>
      </c>
      <c r="S266" s="31">
        <f t="shared" si="9"/>
        <v>0</v>
      </c>
      <c r="T266" s="39" t="s">
        <v>9</v>
      </c>
    </row>
    <row r="267" spans="1:20" x14ac:dyDescent="0.25">
      <c r="A267" s="20">
        <v>42127</v>
      </c>
      <c r="B267" s="183">
        <v>19841</v>
      </c>
      <c r="C267" s="40" t="s">
        <v>86</v>
      </c>
      <c r="D267" s="105">
        <v>438.35</v>
      </c>
      <c r="E267" s="23">
        <v>42127</v>
      </c>
      <c r="F267" s="106">
        <v>438.35</v>
      </c>
      <c r="G267" s="31">
        <f t="shared" si="8"/>
        <v>0</v>
      </c>
      <c r="H267" s="41" t="s">
        <v>9</v>
      </c>
      <c r="I267" s="3"/>
      <c r="J267" s="42"/>
      <c r="K267" s="3"/>
      <c r="M267" s="20">
        <v>42125</v>
      </c>
      <c r="N267" s="183">
        <v>19589</v>
      </c>
      <c r="O267" s="14" t="s">
        <v>464</v>
      </c>
      <c r="P267" s="105">
        <v>2990.4</v>
      </c>
      <c r="Q267" s="23">
        <v>42125</v>
      </c>
      <c r="R267" s="106">
        <v>2990.4</v>
      </c>
      <c r="S267" s="25">
        <f t="shared" si="9"/>
        <v>0</v>
      </c>
      <c r="T267" s="19" t="s">
        <v>9</v>
      </c>
    </row>
    <row r="268" spans="1:20" x14ac:dyDescent="0.25">
      <c r="A268" s="12">
        <v>42127</v>
      </c>
      <c r="B268" s="183">
        <v>19842</v>
      </c>
      <c r="C268" s="40" t="s">
        <v>1182</v>
      </c>
      <c r="D268" s="105">
        <v>593.20000000000005</v>
      </c>
      <c r="E268" s="23">
        <v>42127</v>
      </c>
      <c r="F268" s="106">
        <v>593.20000000000005</v>
      </c>
      <c r="G268" s="31">
        <f t="shared" si="8"/>
        <v>0</v>
      </c>
      <c r="H268" s="41" t="s">
        <v>9</v>
      </c>
      <c r="I268" s="3"/>
      <c r="J268" s="42"/>
      <c r="K268" s="3"/>
      <c r="M268" s="12">
        <v>42130</v>
      </c>
      <c r="N268" s="183">
        <v>20191</v>
      </c>
      <c r="O268" s="14" t="s">
        <v>464</v>
      </c>
      <c r="P268" s="105">
        <v>2564.8000000000002</v>
      </c>
      <c r="Q268" s="23">
        <v>42130</v>
      </c>
      <c r="R268" s="106">
        <v>2564.8000000000002</v>
      </c>
      <c r="S268" s="31">
        <f t="shared" si="9"/>
        <v>0</v>
      </c>
      <c r="T268" s="39" t="s">
        <v>9</v>
      </c>
    </row>
    <row r="269" spans="1:20" x14ac:dyDescent="0.25">
      <c r="A269" s="20">
        <v>42127</v>
      </c>
      <c r="B269" s="183">
        <v>19843</v>
      </c>
      <c r="C269" s="40" t="s">
        <v>24</v>
      </c>
      <c r="D269" s="105">
        <v>33671.1</v>
      </c>
      <c r="E269" s="23">
        <v>42151</v>
      </c>
      <c r="F269" s="106">
        <v>33671.1</v>
      </c>
      <c r="G269" s="31">
        <f t="shared" si="8"/>
        <v>0</v>
      </c>
      <c r="H269" s="41" t="s">
        <v>773</v>
      </c>
      <c r="I269" s="3"/>
      <c r="J269" s="42"/>
      <c r="K269" s="3"/>
      <c r="M269" s="20">
        <v>42138</v>
      </c>
      <c r="N269" s="183">
        <v>20977</v>
      </c>
      <c r="O269" s="14" t="s">
        <v>464</v>
      </c>
      <c r="P269" s="105">
        <v>3735.2</v>
      </c>
      <c r="Q269" s="23">
        <v>42138</v>
      </c>
      <c r="R269" s="106">
        <v>3735.2</v>
      </c>
      <c r="S269" s="48">
        <f t="shared" si="9"/>
        <v>0</v>
      </c>
      <c r="T269" s="19" t="s">
        <v>9</v>
      </c>
    </row>
    <row r="270" spans="1:20" x14ac:dyDescent="0.25">
      <c r="A270" s="12">
        <v>42127</v>
      </c>
      <c r="B270" s="183">
        <v>19844</v>
      </c>
      <c r="C270" s="40" t="s">
        <v>151</v>
      </c>
      <c r="D270" s="105">
        <v>4183.3999999999996</v>
      </c>
      <c r="E270" s="23">
        <v>42128</v>
      </c>
      <c r="F270" s="106">
        <v>4183.3999999999996</v>
      </c>
      <c r="G270" s="31">
        <f t="shared" si="8"/>
        <v>0</v>
      </c>
      <c r="H270" s="41" t="s">
        <v>9</v>
      </c>
      <c r="I270" s="3"/>
      <c r="J270" s="42"/>
      <c r="K270" s="3"/>
      <c r="M270" s="12">
        <v>42141</v>
      </c>
      <c r="N270" s="183">
        <v>21321</v>
      </c>
      <c r="O270" s="150" t="s">
        <v>464</v>
      </c>
      <c r="P270" s="105">
        <v>1321.6</v>
      </c>
      <c r="Q270" s="23">
        <v>42141</v>
      </c>
      <c r="R270" s="118">
        <v>1321.6</v>
      </c>
      <c r="S270" s="31">
        <f t="shared" si="9"/>
        <v>0</v>
      </c>
      <c r="T270" s="62" t="s">
        <v>9</v>
      </c>
    </row>
    <row r="271" spans="1:20" x14ac:dyDescent="0.25">
      <c r="A271" s="20">
        <v>42127</v>
      </c>
      <c r="B271" s="183">
        <v>19845</v>
      </c>
      <c r="C271" s="40" t="s">
        <v>53</v>
      </c>
      <c r="D271" s="105">
        <v>1812.2</v>
      </c>
      <c r="E271" s="23">
        <v>42127</v>
      </c>
      <c r="F271" s="106">
        <v>1812.2</v>
      </c>
      <c r="G271" s="31">
        <f t="shared" si="8"/>
        <v>0</v>
      </c>
      <c r="H271" s="41" t="s">
        <v>59</v>
      </c>
      <c r="I271" s="3"/>
      <c r="J271" s="42"/>
      <c r="K271" s="3"/>
      <c r="M271" s="20">
        <v>42146</v>
      </c>
      <c r="N271" s="183">
        <v>21876</v>
      </c>
      <c r="O271" s="14" t="s">
        <v>464</v>
      </c>
      <c r="P271" s="105">
        <v>3126</v>
      </c>
      <c r="Q271" s="23">
        <v>42146</v>
      </c>
      <c r="R271" s="106">
        <v>3126</v>
      </c>
      <c r="S271" s="31">
        <f t="shared" si="9"/>
        <v>0</v>
      </c>
      <c r="T271" s="39" t="s">
        <v>9</v>
      </c>
    </row>
    <row r="272" spans="1:20" x14ac:dyDescent="0.25">
      <c r="A272" s="12">
        <v>42127</v>
      </c>
      <c r="B272" s="183">
        <v>19846</v>
      </c>
      <c r="C272" s="40" t="s">
        <v>83</v>
      </c>
      <c r="D272" s="105">
        <v>3583.6</v>
      </c>
      <c r="E272" s="23">
        <v>42127</v>
      </c>
      <c r="F272" s="106">
        <v>3583.6</v>
      </c>
      <c r="G272" s="31">
        <f t="shared" si="8"/>
        <v>0</v>
      </c>
      <c r="H272" s="41" t="s">
        <v>59</v>
      </c>
      <c r="I272" s="3"/>
      <c r="J272" s="42"/>
      <c r="K272" s="3"/>
      <c r="M272" s="12">
        <v>42151</v>
      </c>
      <c r="N272" s="183">
        <v>22337</v>
      </c>
      <c r="O272" s="14" t="s">
        <v>464</v>
      </c>
      <c r="P272" s="105">
        <v>2629.1</v>
      </c>
      <c r="Q272" s="65">
        <v>42151</v>
      </c>
      <c r="R272" s="106">
        <v>2629.1</v>
      </c>
      <c r="S272" s="31">
        <f t="shared" si="9"/>
        <v>0</v>
      </c>
      <c r="T272" s="39" t="s">
        <v>9</v>
      </c>
    </row>
    <row r="273" spans="1:20" x14ac:dyDescent="0.25">
      <c r="A273" s="20">
        <v>42127</v>
      </c>
      <c r="B273" s="183">
        <v>19847</v>
      </c>
      <c r="C273" s="40" t="s">
        <v>120</v>
      </c>
      <c r="D273" s="105">
        <v>1427.4</v>
      </c>
      <c r="E273" s="23">
        <v>42127</v>
      </c>
      <c r="F273" s="106">
        <v>1427.4</v>
      </c>
      <c r="G273" s="31">
        <f t="shared" si="8"/>
        <v>0</v>
      </c>
      <c r="H273" s="41" t="s">
        <v>59</v>
      </c>
      <c r="I273" s="3"/>
      <c r="J273" s="42"/>
      <c r="K273" s="3"/>
      <c r="M273" s="20">
        <v>42154</v>
      </c>
      <c r="N273" s="183">
        <v>22679</v>
      </c>
      <c r="O273" s="14" t="s">
        <v>464</v>
      </c>
      <c r="P273" s="105">
        <v>1732.4</v>
      </c>
      <c r="Q273" s="23">
        <v>42154</v>
      </c>
      <c r="R273" s="106">
        <v>1732.4</v>
      </c>
      <c r="S273" s="31">
        <f t="shared" si="9"/>
        <v>0</v>
      </c>
      <c r="T273" s="39" t="s">
        <v>9</v>
      </c>
    </row>
    <row r="274" spans="1:20" x14ac:dyDescent="0.25">
      <c r="A274" s="12">
        <v>42127</v>
      </c>
      <c r="B274" s="183">
        <v>19848</v>
      </c>
      <c r="C274" s="40" t="s">
        <v>82</v>
      </c>
      <c r="D274" s="105">
        <v>1965.6</v>
      </c>
      <c r="E274" s="23">
        <v>42127</v>
      </c>
      <c r="F274" s="106">
        <v>1965.6</v>
      </c>
      <c r="G274" s="31">
        <f t="shared" si="8"/>
        <v>0</v>
      </c>
      <c r="H274" s="41" t="s">
        <v>59</v>
      </c>
      <c r="I274" s="3"/>
      <c r="J274" s="42"/>
      <c r="K274" s="3"/>
      <c r="M274" s="12">
        <v>42131</v>
      </c>
      <c r="N274" s="183">
        <v>20280</v>
      </c>
      <c r="O274" s="14" t="s">
        <v>1294</v>
      </c>
      <c r="P274" s="105">
        <v>2843.8</v>
      </c>
      <c r="Q274" s="23">
        <v>42131</v>
      </c>
      <c r="R274" s="106">
        <v>2843.8</v>
      </c>
      <c r="S274" s="31">
        <f t="shared" si="9"/>
        <v>0</v>
      </c>
      <c r="T274" s="19" t="s">
        <v>9</v>
      </c>
    </row>
    <row r="275" spans="1:20" x14ac:dyDescent="0.25">
      <c r="A275" s="20">
        <v>42127</v>
      </c>
      <c r="B275" s="183">
        <v>19849</v>
      </c>
      <c r="C275" s="40" t="s">
        <v>137</v>
      </c>
      <c r="D275" s="105">
        <v>518.4</v>
      </c>
      <c r="E275" s="23">
        <v>42127</v>
      </c>
      <c r="F275" s="106">
        <v>518.4</v>
      </c>
      <c r="G275" s="31">
        <f t="shared" si="8"/>
        <v>0</v>
      </c>
      <c r="H275" s="41" t="s">
        <v>9</v>
      </c>
      <c r="I275" s="3"/>
      <c r="J275" s="42"/>
      <c r="K275" s="3"/>
      <c r="M275" s="20">
        <v>42125</v>
      </c>
      <c r="N275" s="183">
        <v>19636</v>
      </c>
      <c r="O275" s="14" t="s">
        <v>89</v>
      </c>
      <c r="P275" s="105">
        <v>3914.6</v>
      </c>
      <c r="Q275" s="23">
        <v>42125</v>
      </c>
      <c r="R275" s="106">
        <v>3914.6</v>
      </c>
      <c r="S275" s="25">
        <f t="shared" si="9"/>
        <v>0</v>
      </c>
      <c r="T275" s="19" t="s">
        <v>9</v>
      </c>
    </row>
    <row r="276" spans="1:20" x14ac:dyDescent="0.25">
      <c r="A276" s="12">
        <v>42127</v>
      </c>
      <c r="B276" s="183">
        <v>19850</v>
      </c>
      <c r="C276" s="40" t="s">
        <v>238</v>
      </c>
      <c r="D276" s="105">
        <v>390</v>
      </c>
      <c r="E276" s="23">
        <v>42128</v>
      </c>
      <c r="F276" s="106">
        <v>390</v>
      </c>
      <c r="G276" s="31">
        <f t="shared" si="8"/>
        <v>0</v>
      </c>
      <c r="H276" s="41" t="s">
        <v>59</v>
      </c>
      <c r="I276" s="3"/>
      <c r="J276" s="42"/>
      <c r="K276" s="3"/>
      <c r="M276" s="12">
        <v>42126</v>
      </c>
      <c r="N276" s="183">
        <v>19747</v>
      </c>
      <c r="O276" s="40" t="s">
        <v>89</v>
      </c>
      <c r="P276" s="105">
        <v>2701.4</v>
      </c>
      <c r="Q276" s="23">
        <v>42126</v>
      </c>
      <c r="R276" s="106">
        <v>2701.4</v>
      </c>
      <c r="S276" s="25">
        <f t="shared" si="9"/>
        <v>0</v>
      </c>
      <c r="T276" s="41" t="s">
        <v>9</v>
      </c>
    </row>
    <row r="277" spans="1:20" x14ac:dyDescent="0.25">
      <c r="A277" s="20">
        <v>42127</v>
      </c>
      <c r="B277" s="183">
        <v>19851</v>
      </c>
      <c r="C277" s="40" t="s">
        <v>71</v>
      </c>
      <c r="D277" s="105">
        <v>8099.7</v>
      </c>
      <c r="E277" s="23">
        <v>42127</v>
      </c>
      <c r="F277" s="106">
        <v>8099.7</v>
      </c>
      <c r="G277" s="31">
        <f t="shared" si="8"/>
        <v>0</v>
      </c>
      <c r="H277" s="41" t="s">
        <v>9</v>
      </c>
      <c r="I277" s="3"/>
      <c r="J277" s="42"/>
      <c r="K277" s="3"/>
      <c r="M277" s="20">
        <v>42127</v>
      </c>
      <c r="N277" s="183">
        <v>19870</v>
      </c>
      <c r="O277" s="14" t="s">
        <v>89</v>
      </c>
      <c r="P277" s="105">
        <v>3504</v>
      </c>
      <c r="Q277" s="23">
        <v>42127</v>
      </c>
      <c r="R277" s="106">
        <v>3504</v>
      </c>
      <c r="S277" s="31">
        <f t="shared" si="9"/>
        <v>0</v>
      </c>
      <c r="T277" s="19" t="s">
        <v>9</v>
      </c>
    </row>
    <row r="278" spans="1:20" x14ac:dyDescent="0.25">
      <c r="A278" s="12">
        <v>42127</v>
      </c>
      <c r="B278" s="183">
        <v>19852</v>
      </c>
      <c r="C278" s="40" t="s">
        <v>152</v>
      </c>
      <c r="D278" s="105">
        <v>8983.2000000000007</v>
      </c>
      <c r="E278" s="23">
        <v>42127</v>
      </c>
      <c r="F278" s="106">
        <v>8983.2000000000007</v>
      </c>
      <c r="G278" s="31">
        <f t="shared" si="8"/>
        <v>0</v>
      </c>
      <c r="H278" s="41" t="s">
        <v>59</v>
      </c>
      <c r="I278" s="3"/>
      <c r="J278" s="42"/>
      <c r="K278" s="3"/>
      <c r="M278" s="12">
        <v>42128</v>
      </c>
      <c r="N278" s="183">
        <v>19954</v>
      </c>
      <c r="O278" s="14" t="s">
        <v>89</v>
      </c>
      <c r="P278" s="105">
        <v>886.6</v>
      </c>
      <c r="Q278" s="23">
        <v>42128</v>
      </c>
      <c r="R278" s="106">
        <v>886.6</v>
      </c>
      <c r="S278" s="31">
        <f t="shared" si="9"/>
        <v>0</v>
      </c>
      <c r="T278" s="19" t="s">
        <v>9</v>
      </c>
    </row>
    <row r="279" spans="1:20" x14ac:dyDescent="0.25">
      <c r="A279" s="20">
        <v>42127</v>
      </c>
      <c r="B279" s="183">
        <v>19853</v>
      </c>
      <c r="C279" s="40" t="s">
        <v>24</v>
      </c>
      <c r="D279" s="105">
        <v>4210.8</v>
      </c>
      <c r="E279" s="23">
        <v>42151</v>
      </c>
      <c r="F279" s="106">
        <v>4210.8</v>
      </c>
      <c r="G279" s="31">
        <f t="shared" si="8"/>
        <v>0</v>
      </c>
      <c r="H279" s="41" t="s">
        <v>9</v>
      </c>
      <c r="I279" s="3"/>
      <c r="J279" s="42"/>
      <c r="K279" s="3"/>
      <c r="M279" s="20">
        <v>42130</v>
      </c>
      <c r="N279" s="183">
        <v>20170</v>
      </c>
      <c r="O279" s="14" t="s">
        <v>89</v>
      </c>
      <c r="P279" s="105">
        <v>3964</v>
      </c>
      <c r="Q279" s="23">
        <v>42130</v>
      </c>
      <c r="R279" s="106">
        <v>3964</v>
      </c>
      <c r="S279" s="31">
        <f t="shared" si="9"/>
        <v>0</v>
      </c>
      <c r="T279" s="39" t="s">
        <v>9</v>
      </c>
    </row>
    <row r="280" spans="1:20" x14ac:dyDescent="0.25">
      <c r="A280" s="12">
        <v>42127</v>
      </c>
      <c r="B280" s="183">
        <v>19854</v>
      </c>
      <c r="C280" s="44" t="s">
        <v>218</v>
      </c>
      <c r="D280" s="105">
        <v>0</v>
      </c>
      <c r="E280" s="23"/>
      <c r="F280" s="106"/>
      <c r="G280" s="31">
        <f t="shared" si="8"/>
        <v>0</v>
      </c>
      <c r="H280" s="41" t="s">
        <v>13</v>
      </c>
      <c r="I280" s="3"/>
      <c r="J280" s="42"/>
      <c r="K280" s="3"/>
      <c r="M280" s="12">
        <v>42130</v>
      </c>
      <c r="N280" s="183">
        <v>20172</v>
      </c>
      <c r="O280" s="14" t="s">
        <v>89</v>
      </c>
      <c r="P280" s="105">
        <v>780</v>
      </c>
      <c r="Q280" s="23">
        <v>42130</v>
      </c>
      <c r="R280" s="106">
        <v>780</v>
      </c>
      <c r="S280" s="31">
        <f t="shared" si="9"/>
        <v>0</v>
      </c>
      <c r="T280" s="39" t="s">
        <v>9</v>
      </c>
    </row>
    <row r="281" spans="1:20" x14ac:dyDescent="0.25">
      <c r="A281" s="20">
        <v>42127</v>
      </c>
      <c r="B281" s="183">
        <v>19855</v>
      </c>
      <c r="C281" s="202">
        <v>105</v>
      </c>
      <c r="D281" s="105">
        <v>3132</v>
      </c>
      <c r="E281" s="23">
        <v>42127</v>
      </c>
      <c r="F281" s="106">
        <v>3132</v>
      </c>
      <c r="G281" s="31">
        <f t="shared" si="8"/>
        <v>0</v>
      </c>
      <c r="H281" s="41" t="s">
        <v>59</v>
      </c>
      <c r="I281" s="3"/>
      <c r="J281" s="42"/>
      <c r="K281" s="3"/>
      <c r="M281" s="20">
        <v>42132</v>
      </c>
      <c r="N281" s="183">
        <v>20425</v>
      </c>
      <c r="O281" s="14" t="s">
        <v>89</v>
      </c>
      <c r="P281" s="105">
        <v>1211.5999999999999</v>
      </c>
      <c r="Q281" s="23">
        <v>42132</v>
      </c>
      <c r="R281" s="106">
        <v>1211.5999999999999</v>
      </c>
      <c r="S281" s="31">
        <f t="shared" si="9"/>
        <v>0</v>
      </c>
      <c r="T281" s="19" t="s">
        <v>9</v>
      </c>
    </row>
    <row r="282" spans="1:20" x14ac:dyDescent="0.25">
      <c r="A282" s="12">
        <v>42127</v>
      </c>
      <c r="B282" s="183">
        <v>19856</v>
      </c>
      <c r="C282" s="40" t="s">
        <v>57</v>
      </c>
      <c r="D282" s="105">
        <v>432</v>
      </c>
      <c r="E282" s="23">
        <v>42127</v>
      </c>
      <c r="F282" s="106">
        <v>432</v>
      </c>
      <c r="G282" s="31">
        <f t="shared" si="8"/>
        <v>0</v>
      </c>
      <c r="H282" s="41" t="s">
        <v>59</v>
      </c>
      <c r="I282" s="3"/>
      <c r="J282" s="42"/>
      <c r="K282" s="3"/>
      <c r="M282" s="12">
        <v>42133</v>
      </c>
      <c r="N282" s="183">
        <v>20551</v>
      </c>
      <c r="O282" s="14" t="s">
        <v>89</v>
      </c>
      <c r="P282" s="105">
        <v>3571.4</v>
      </c>
      <c r="Q282" s="23">
        <v>42133</v>
      </c>
      <c r="R282" s="106">
        <v>3571.4</v>
      </c>
      <c r="S282" s="31">
        <f t="shared" si="9"/>
        <v>0</v>
      </c>
      <c r="T282" s="19" t="s">
        <v>9</v>
      </c>
    </row>
    <row r="283" spans="1:20" x14ac:dyDescent="0.25">
      <c r="A283" s="20">
        <v>42127</v>
      </c>
      <c r="B283" s="183">
        <v>19857</v>
      </c>
      <c r="C283" s="40" t="s">
        <v>102</v>
      </c>
      <c r="D283" s="105">
        <v>2251.1999999999998</v>
      </c>
      <c r="E283" s="23">
        <v>42127</v>
      </c>
      <c r="F283" s="106">
        <v>2251.1999999999998</v>
      </c>
      <c r="G283" s="31">
        <f t="shared" si="8"/>
        <v>0</v>
      </c>
      <c r="H283" s="41" t="s">
        <v>9</v>
      </c>
      <c r="I283" s="3"/>
      <c r="J283" s="42"/>
      <c r="K283" s="3"/>
      <c r="M283" s="20">
        <v>42134</v>
      </c>
      <c r="N283" s="183">
        <v>20647</v>
      </c>
      <c r="O283" s="110" t="s">
        <v>89</v>
      </c>
      <c r="P283" s="105">
        <v>1945.6</v>
      </c>
      <c r="Q283" s="23">
        <v>42134</v>
      </c>
      <c r="R283" s="106">
        <v>1945.6</v>
      </c>
      <c r="S283" s="31">
        <f t="shared" si="9"/>
        <v>0</v>
      </c>
      <c r="T283" s="39" t="s">
        <v>9</v>
      </c>
    </row>
    <row r="284" spans="1:20" x14ac:dyDescent="0.25">
      <c r="A284" s="12">
        <v>42127</v>
      </c>
      <c r="B284" s="183">
        <v>19858</v>
      </c>
      <c r="C284" s="40" t="s">
        <v>375</v>
      </c>
      <c r="D284" s="105">
        <v>2033.2</v>
      </c>
      <c r="E284" s="23">
        <v>42127</v>
      </c>
      <c r="F284" s="106">
        <v>2033.2</v>
      </c>
      <c r="G284" s="31">
        <f t="shared" si="8"/>
        <v>0</v>
      </c>
      <c r="H284" s="41" t="s">
        <v>9</v>
      </c>
      <c r="I284" s="3"/>
      <c r="J284" s="42"/>
      <c r="K284" s="3"/>
      <c r="M284" s="12">
        <v>42135</v>
      </c>
      <c r="N284" s="183">
        <v>20726</v>
      </c>
      <c r="O284" s="14" t="s">
        <v>89</v>
      </c>
      <c r="P284" s="105">
        <v>3232</v>
      </c>
      <c r="Q284" s="23">
        <v>42135</v>
      </c>
      <c r="R284" s="106">
        <v>3232</v>
      </c>
      <c r="S284" s="31">
        <f t="shared" si="9"/>
        <v>0</v>
      </c>
      <c r="T284" s="19" t="s">
        <v>9</v>
      </c>
    </row>
    <row r="285" spans="1:20" x14ac:dyDescent="0.25">
      <c r="A285" s="20">
        <v>42127</v>
      </c>
      <c r="B285" s="183">
        <v>19859</v>
      </c>
      <c r="C285" s="40" t="s">
        <v>34</v>
      </c>
      <c r="D285" s="105">
        <v>3592.8</v>
      </c>
      <c r="E285" s="23">
        <v>42127</v>
      </c>
      <c r="F285" s="106">
        <v>3592.8</v>
      </c>
      <c r="G285" s="31">
        <f t="shared" si="8"/>
        <v>0</v>
      </c>
      <c r="H285" s="41" t="s">
        <v>9</v>
      </c>
      <c r="I285" s="3"/>
      <c r="J285" s="42"/>
      <c r="K285" s="3"/>
      <c r="M285" s="20">
        <v>42136</v>
      </c>
      <c r="N285" s="183">
        <v>20842</v>
      </c>
      <c r="O285" s="14" t="s">
        <v>89</v>
      </c>
      <c r="P285" s="105">
        <v>1040</v>
      </c>
      <c r="Q285" s="23">
        <v>42136</v>
      </c>
      <c r="R285" s="106">
        <v>1040</v>
      </c>
      <c r="S285" s="31">
        <f t="shared" si="9"/>
        <v>0</v>
      </c>
      <c r="T285" s="39" t="s">
        <v>9</v>
      </c>
    </row>
    <row r="286" spans="1:20" x14ac:dyDescent="0.25">
      <c r="A286" s="12">
        <v>42127</v>
      </c>
      <c r="B286" s="183">
        <v>19860</v>
      </c>
      <c r="C286" s="40" t="s">
        <v>1182</v>
      </c>
      <c r="D286" s="105">
        <v>192</v>
      </c>
      <c r="E286" s="23">
        <v>42127</v>
      </c>
      <c r="F286" s="106">
        <v>192</v>
      </c>
      <c r="G286" s="31">
        <f t="shared" si="8"/>
        <v>0</v>
      </c>
      <c r="H286" s="41" t="s">
        <v>9</v>
      </c>
      <c r="I286" s="3"/>
      <c r="J286" s="42"/>
      <c r="K286" s="3"/>
      <c r="M286" s="12">
        <v>42137</v>
      </c>
      <c r="N286" s="183">
        <v>20932</v>
      </c>
      <c r="O286" s="14" t="s">
        <v>89</v>
      </c>
      <c r="P286" s="105">
        <v>3809</v>
      </c>
      <c r="Q286" s="23">
        <v>42137</v>
      </c>
      <c r="R286" s="106">
        <v>3809</v>
      </c>
      <c r="S286" s="31">
        <f t="shared" si="9"/>
        <v>0</v>
      </c>
      <c r="T286" s="19" t="s">
        <v>9</v>
      </c>
    </row>
    <row r="287" spans="1:20" x14ac:dyDescent="0.25">
      <c r="A287" s="20">
        <v>42127</v>
      </c>
      <c r="B287" s="183">
        <v>19861</v>
      </c>
      <c r="C287" s="40" t="s">
        <v>229</v>
      </c>
      <c r="D287" s="105">
        <v>4904.18</v>
      </c>
      <c r="E287" s="23">
        <v>42127</v>
      </c>
      <c r="F287" s="106">
        <v>4904.18</v>
      </c>
      <c r="G287" s="31">
        <f t="shared" si="8"/>
        <v>0</v>
      </c>
      <c r="H287" s="41" t="s">
        <v>9</v>
      </c>
      <c r="I287" s="3"/>
      <c r="J287" s="42"/>
      <c r="K287" s="3"/>
      <c r="M287" s="20">
        <v>42139</v>
      </c>
      <c r="N287" s="183">
        <v>21161</v>
      </c>
      <c r="O287" s="14" t="s">
        <v>89</v>
      </c>
      <c r="P287" s="105">
        <v>4274</v>
      </c>
      <c r="Q287" s="23">
        <v>42139</v>
      </c>
      <c r="R287" s="106">
        <v>4274</v>
      </c>
      <c r="S287" s="48">
        <f t="shared" si="9"/>
        <v>0</v>
      </c>
      <c r="T287" s="39" t="s">
        <v>9</v>
      </c>
    </row>
    <row r="288" spans="1:20" x14ac:dyDescent="0.25">
      <c r="A288" s="12">
        <v>42127</v>
      </c>
      <c r="B288" s="183">
        <v>19862</v>
      </c>
      <c r="C288" s="40" t="s">
        <v>383</v>
      </c>
      <c r="D288" s="105">
        <v>1937.6</v>
      </c>
      <c r="E288" s="23">
        <v>42127</v>
      </c>
      <c r="F288" s="106">
        <v>1937.6</v>
      </c>
      <c r="G288" s="31">
        <f t="shared" si="8"/>
        <v>0</v>
      </c>
      <c r="H288" s="41" t="s">
        <v>9</v>
      </c>
      <c r="I288" s="3"/>
      <c r="J288" s="42"/>
      <c r="K288" s="3"/>
      <c r="M288" s="12">
        <v>42140</v>
      </c>
      <c r="N288" s="183">
        <v>21277</v>
      </c>
      <c r="O288" s="14" t="s">
        <v>89</v>
      </c>
      <c r="P288" s="105">
        <v>3340.6</v>
      </c>
      <c r="Q288" s="23">
        <v>42140</v>
      </c>
      <c r="R288" s="118">
        <v>3340.6</v>
      </c>
      <c r="S288" s="31">
        <f t="shared" si="9"/>
        <v>0</v>
      </c>
      <c r="T288" s="62" t="s">
        <v>9</v>
      </c>
    </row>
    <row r="289" spans="1:20" x14ac:dyDescent="0.25">
      <c r="A289" s="20">
        <v>42127</v>
      </c>
      <c r="B289" s="183">
        <v>19863</v>
      </c>
      <c r="C289" s="40" t="s">
        <v>131</v>
      </c>
      <c r="D289" s="105">
        <v>7620</v>
      </c>
      <c r="E289" s="23">
        <v>42127</v>
      </c>
      <c r="F289" s="106">
        <v>7620</v>
      </c>
      <c r="G289" s="31">
        <f t="shared" si="8"/>
        <v>0</v>
      </c>
      <c r="H289" s="41" t="s">
        <v>9</v>
      </c>
      <c r="I289" s="3"/>
      <c r="J289" s="42"/>
      <c r="K289" s="3"/>
      <c r="M289" s="20">
        <v>42141</v>
      </c>
      <c r="N289" s="183">
        <v>21366</v>
      </c>
      <c r="O289" s="14" t="s">
        <v>89</v>
      </c>
      <c r="P289" s="105">
        <v>1015.2</v>
      </c>
      <c r="Q289" s="23">
        <v>42141</v>
      </c>
      <c r="R289" s="118">
        <v>1015.2</v>
      </c>
      <c r="S289" s="31">
        <f t="shared" si="9"/>
        <v>0</v>
      </c>
      <c r="T289" s="56" t="s">
        <v>9</v>
      </c>
    </row>
    <row r="290" spans="1:20" x14ac:dyDescent="0.25">
      <c r="A290" s="12">
        <v>42127</v>
      </c>
      <c r="B290" s="183">
        <v>19864</v>
      </c>
      <c r="C290" s="40" t="s">
        <v>66</v>
      </c>
      <c r="D290" s="105">
        <v>1495.65</v>
      </c>
      <c r="E290" s="23">
        <v>42127</v>
      </c>
      <c r="F290" s="106">
        <v>1495.65</v>
      </c>
      <c r="G290" s="31">
        <f t="shared" si="8"/>
        <v>0</v>
      </c>
      <c r="H290" s="41" t="s">
        <v>9</v>
      </c>
      <c r="I290" s="3"/>
      <c r="J290" s="42"/>
      <c r="K290" s="3"/>
      <c r="M290" s="12">
        <v>42142</v>
      </c>
      <c r="N290" s="183">
        <v>21474</v>
      </c>
      <c r="O290" s="14" t="s">
        <v>89</v>
      </c>
      <c r="P290" s="105">
        <v>4063.2</v>
      </c>
      <c r="Q290" s="65">
        <v>42142</v>
      </c>
      <c r="R290" s="106">
        <v>4063.2</v>
      </c>
      <c r="S290" s="31">
        <f t="shared" si="9"/>
        <v>0</v>
      </c>
      <c r="T290" s="19" t="s">
        <v>9</v>
      </c>
    </row>
    <row r="291" spans="1:20" x14ac:dyDescent="0.25">
      <c r="A291" s="20">
        <v>42127</v>
      </c>
      <c r="B291" s="183">
        <v>19865</v>
      </c>
      <c r="C291" s="40" t="s">
        <v>38</v>
      </c>
      <c r="D291" s="105">
        <v>3768</v>
      </c>
      <c r="E291" s="23">
        <v>42130</v>
      </c>
      <c r="F291" s="106">
        <v>3768</v>
      </c>
      <c r="G291" s="31">
        <f t="shared" si="8"/>
        <v>0</v>
      </c>
      <c r="H291" s="41" t="s">
        <v>62</v>
      </c>
      <c r="I291" s="3"/>
      <c r="J291" s="42"/>
      <c r="K291" s="3"/>
      <c r="M291" s="20">
        <v>42143</v>
      </c>
      <c r="N291" s="183">
        <v>21580</v>
      </c>
      <c r="O291" s="14" t="s">
        <v>89</v>
      </c>
      <c r="P291" s="105">
        <v>2137.1999999999998</v>
      </c>
      <c r="Q291" s="23">
        <v>42143</v>
      </c>
      <c r="R291" s="106">
        <v>2137.1999999999998</v>
      </c>
      <c r="S291" s="31">
        <f t="shared" si="9"/>
        <v>0</v>
      </c>
      <c r="T291" s="56" t="s">
        <v>9</v>
      </c>
    </row>
    <row r="292" spans="1:20" x14ac:dyDescent="0.25">
      <c r="A292" s="12">
        <v>42127</v>
      </c>
      <c r="B292" s="183">
        <v>19866</v>
      </c>
      <c r="C292" s="40" t="s">
        <v>215</v>
      </c>
      <c r="D292" s="105">
        <v>9499.7999999999993</v>
      </c>
      <c r="E292" s="23">
        <v>42127</v>
      </c>
      <c r="F292" s="106">
        <v>9499.7999999999993</v>
      </c>
      <c r="G292" s="31">
        <f t="shared" si="8"/>
        <v>0</v>
      </c>
      <c r="H292" s="41" t="s">
        <v>9</v>
      </c>
      <c r="I292" s="3"/>
      <c r="J292" s="42"/>
      <c r="K292" s="3"/>
      <c r="M292" s="12">
        <v>42144</v>
      </c>
      <c r="N292" s="183">
        <v>21687</v>
      </c>
      <c r="O292" s="14" t="s">
        <v>89</v>
      </c>
      <c r="P292" s="105">
        <v>4246.2</v>
      </c>
      <c r="Q292" s="23">
        <v>42144</v>
      </c>
      <c r="R292" s="118">
        <v>4246.2</v>
      </c>
      <c r="S292" s="31">
        <f t="shared" si="9"/>
        <v>0</v>
      </c>
      <c r="T292" s="56" t="s">
        <v>9</v>
      </c>
    </row>
    <row r="293" spans="1:20" x14ac:dyDescent="0.25">
      <c r="A293" s="20">
        <v>42127</v>
      </c>
      <c r="B293" s="183">
        <v>19867</v>
      </c>
      <c r="C293" s="40" t="s">
        <v>50</v>
      </c>
      <c r="D293" s="105">
        <v>4468.3999999999996</v>
      </c>
      <c r="E293" s="23">
        <v>42127</v>
      </c>
      <c r="F293" s="106">
        <v>4468.3999999999996</v>
      </c>
      <c r="G293" s="31">
        <f t="shared" si="8"/>
        <v>0</v>
      </c>
      <c r="H293" s="41" t="s">
        <v>62</v>
      </c>
      <c r="I293" s="3"/>
      <c r="J293" s="42"/>
      <c r="K293" s="3"/>
      <c r="M293" s="20">
        <v>42145</v>
      </c>
      <c r="N293" s="183">
        <v>21774</v>
      </c>
      <c r="O293" s="15" t="s">
        <v>89</v>
      </c>
      <c r="P293" s="122">
        <v>2916.5</v>
      </c>
      <c r="Q293" s="23">
        <v>42145</v>
      </c>
      <c r="R293" s="118">
        <v>2916.5</v>
      </c>
      <c r="S293" s="31">
        <f t="shared" si="9"/>
        <v>0</v>
      </c>
      <c r="T293" s="68" t="s">
        <v>9</v>
      </c>
    </row>
    <row r="294" spans="1:20" x14ac:dyDescent="0.25">
      <c r="A294" s="12">
        <v>42127</v>
      </c>
      <c r="B294" s="183">
        <v>19868</v>
      </c>
      <c r="C294" s="14" t="s">
        <v>35</v>
      </c>
      <c r="D294" s="105">
        <v>24880.85</v>
      </c>
      <c r="E294" s="23">
        <v>42127</v>
      </c>
      <c r="F294" s="106">
        <v>24880.85</v>
      </c>
      <c r="G294" s="31">
        <f t="shared" si="8"/>
        <v>0</v>
      </c>
      <c r="H294" s="19" t="s">
        <v>773</v>
      </c>
      <c r="I294" s="3"/>
      <c r="J294" s="42"/>
      <c r="K294" s="3"/>
      <c r="M294" s="12">
        <v>42146</v>
      </c>
      <c r="N294" s="183">
        <v>21900</v>
      </c>
      <c r="O294" s="14" t="s">
        <v>89</v>
      </c>
      <c r="P294" s="105">
        <v>941.6</v>
      </c>
      <c r="Q294" s="23">
        <v>42146</v>
      </c>
      <c r="R294" s="106">
        <v>941.6</v>
      </c>
      <c r="S294" s="31">
        <f t="shared" si="9"/>
        <v>0</v>
      </c>
      <c r="T294" s="39" t="s">
        <v>9</v>
      </c>
    </row>
    <row r="295" spans="1:20" x14ac:dyDescent="0.25">
      <c r="A295" s="20">
        <v>42127</v>
      </c>
      <c r="B295" s="183">
        <v>19869</v>
      </c>
      <c r="C295" s="14" t="s">
        <v>35</v>
      </c>
      <c r="D295" s="105">
        <v>252</v>
      </c>
      <c r="E295" s="23">
        <v>42127</v>
      </c>
      <c r="F295" s="106">
        <v>252</v>
      </c>
      <c r="G295" s="31">
        <f t="shared" si="8"/>
        <v>0</v>
      </c>
      <c r="H295" s="19" t="s">
        <v>62</v>
      </c>
      <c r="I295" s="3"/>
      <c r="J295" s="42"/>
      <c r="K295" s="3"/>
      <c r="M295" s="20">
        <v>42147</v>
      </c>
      <c r="N295" s="183">
        <v>22035</v>
      </c>
      <c r="O295" s="14" t="s">
        <v>89</v>
      </c>
      <c r="P295" s="105">
        <v>4250</v>
      </c>
      <c r="Q295" s="65">
        <v>42147</v>
      </c>
      <c r="R295" s="106">
        <v>4250</v>
      </c>
      <c r="S295" s="31">
        <f t="shared" si="9"/>
        <v>0</v>
      </c>
      <c r="T295" s="39" t="s">
        <v>9</v>
      </c>
    </row>
    <row r="296" spans="1:20" x14ac:dyDescent="0.25">
      <c r="A296" s="12">
        <v>42127</v>
      </c>
      <c r="B296" s="183">
        <v>19870</v>
      </c>
      <c r="C296" s="14" t="s">
        <v>89</v>
      </c>
      <c r="D296" s="105">
        <v>3504</v>
      </c>
      <c r="E296" s="23">
        <v>42127</v>
      </c>
      <c r="F296" s="106">
        <v>3504</v>
      </c>
      <c r="G296" s="31">
        <f t="shared" si="8"/>
        <v>0</v>
      </c>
      <c r="H296" s="19" t="s">
        <v>9</v>
      </c>
      <c r="I296" s="3"/>
      <c r="J296" s="42"/>
      <c r="K296" s="3"/>
      <c r="M296" s="12">
        <v>42148</v>
      </c>
      <c r="N296" s="183">
        <v>22121</v>
      </c>
      <c r="O296" s="14" t="s">
        <v>89</v>
      </c>
      <c r="P296" s="105">
        <v>2957.2</v>
      </c>
      <c r="Q296" s="65">
        <v>42148</v>
      </c>
      <c r="R296" s="106">
        <v>2957.2</v>
      </c>
      <c r="S296" s="31">
        <f t="shared" si="9"/>
        <v>0</v>
      </c>
      <c r="T296" s="39" t="s">
        <v>9</v>
      </c>
    </row>
    <row r="297" spans="1:20" x14ac:dyDescent="0.25">
      <c r="A297" s="20">
        <v>42127</v>
      </c>
      <c r="B297" s="183">
        <v>19871</v>
      </c>
      <c r="C297" s="14" t="s">
        <v>256</v>
      </c>
      <c r="D297" s="105">
        <v>8167.8</v>
      </c>
      <c r="E297" s="23">
        <v>42127</v>
      </c>
      <c r="F297" s="106">
        <f>587.4+7580.4</f>
        <v>8167.7999999999993</v>
      </c>
      <c r="G297" s="31">
        <f t="shared" si="8"/>
        <v>0</v>
      </c>
      <c r="H297" s="19" t="s">
        <v>773</v>
      </c>
      <c r="I297" s="3"/>
      <c r="J297" s="42"/>
      <c r="K297" s="3"/>
      <c r="M297" s="20">
        <v>42150</v>
      </c>
      <c r="N297" s="183">
        <v>22308</v>
      </c>
      <c r="O297" s="14" t="s">
        <v>89</v>
      </c>
      <c r="P297" s="105">
        <v>3694.8</v>
      </c>
      <c r="Q297" s="65">
        <v>42150</v>
      </c>
      <c r="R297" s="106">
        <v>3694.8</v>
      </c>
      <c r="S297" s="31">
        <f t="shared" si="9"/>
        <v>0</v>
      </c>
      <c r="T297" s="39" t="s">
        <v>9</v>
      </c>
    </row>
    <row r="298" spans="1:20" x14ac:dyDescent="0.25">
      <c r="A298" s="12">
        <v>42127</v>
      </c>
      <c r="B298" s="183">
        <v>19872</v>
      </c>
      <c r="C298" s="26" t="s">
        <v>218</v>
      </c>
      <c r="D298" s="105">
        <v>0</v>
      </c>
      <c r="E298" s="23"/>
      <c r="F298" s="106"/>
      <c r="G298" s="31">
        <f t="shared" si="8"/>
        <v>0</v>
      </c>
      <c r="H298" s="19" t="s">
        <v>13</v>
      </c>
      <c r="I298" s="3"/>
      <c r="J298" s="42"/>
      <c r="K298" s="3"/>
      <c r="M298" s="12">
        <v>42151</v>
      </c>
      <c r="N298" s="183">
        <v>22388</v>
      </c>
      <c r="O298" s="14" t="s">
        <v>89</v>
      </c>
      <c r="P298" s="105">
        <v>2343.4</v>
      </c>
      <c r="Q298" s="23">
        <v>42151</v>
      </c>
      <c r="R298" s="106">
        <v>2343.4</v>
      </c>
      <c r="S298" s="31">
        <f t="shared" si="9"/>
        <v>0</v>
      </c>
      <c r="T298" s="39" t="s">
        <v>9</v>
      </c>
    </row>
    <row r="299" spans="1:20" x14ac:dyDescent="0.25">
      <c r="A299" s="20">
        <v>42127</v>
      </c>
      <c r="B299" s="183">
        <v>19873</v>
      </c>
      <c r="C299" s="14" t="s">
        <v>14</v>
      </c>
      <c r="D299" s="105">
        <v>18345.75</v>
      </c>
      <c r="E299" s="23">
        <v>42149</v>
      </c>
      <c r="F299" s="106">
        <v>18345.75</v>
      </c>
      <c r="G299" s="31">
        <f t="shared" si="8"/>
        <v>0</v>
      </c>
      <c r="H299" s="19" t="s">
        <v>62</v>
      </c>
      <c r="I299" s="3"/>
      <c r="J299" s="42"/>
      <c r="K299" s="3"/>
      <c r="M299" s="20">
        <v>42152</v>
      </c>
      <c r="N299" s="183">
        <v>22489</v>
      </c>
      <c r="O299" s="14" t="s">
        <v>89</v>
      </c>
      <c r="P299" s="105">
        <v>2164.6</v>
      </c>
      <c r="Q299" s="23">
        <v>42152</v>
      </c>
      <c r="R299" s="106">
        <v>2164.6</v>
      </c>
      <c r="S299" s="31">
        <f t="shared" si="9"/>
        <v>0</v>
      </c>
      <c r="T299" s="39" t="s">
        <v>9</v>
      </c>
    </row>
    <row r="300" spans="1:20" x14ac:dyDescent="0.25">
      <c r="A300" s="12">
        <v>42127</v>
      </c>
      <c r="B300" s="183">
        <v>19874</v>
      </c>
      <c r="C300" s="14" t="s">
        <v>1197</v>
      </c>
      <c r="D300" s="105">
        <v>1974.5</v>
      </c>
      <c r="E300" s="23">
        <v>42127</v>
      </c>
      <c r="F300" s="106">
        <v>1974.5</v>
      </c>
      <c r="G300" s="31">
        <f t="shared" si="8"/>
        <v>0</v>
      </c>
      <c r="H300" s="19" t="s">
        <v>9</v>
      </c>
      <c r="I300" s="3"/>
      <c r="J300" s="42"/>
      <c r="K300" s="3"/>
      <c r="M300" s="12">
        <v>42153</v>
      </c>
      <c r="N300" s="183">
        <v>22609</v>
      </c>
      <c r="O300" s="14" t="s">
        <v>89</v>
      </c>
      <c r="P300" s="105">
        <v>4475.3999999999996</v>
      </c>
      <c r="Q300" s="23">
        <v>42153</v>
      </c>
      <c r="R300" s="106">
        <v>4475.3999999999996</v>
      </c>
      <c r="S300" s="31">
        <f t="shared" si="9"/>
        <v>0</v>
      </c>
      <c r="T300" s="39" t="s">
        <v>9</v>
      </c>
    </row>
    <row r="301" spans="1:20" x14ac:dyDescent="0.25">
      <c r="A301" s="20">
        <v>42127</v>
      </c>
      <c r="B301" s="183">
        <v>19875</v>
      </c>
      <c r="C301" s="14" t="s">
        <v>158</v>
      </c>
      <c r="D301" s="105">
        <v>1030.2</v>
      </c>
      <c r="E301" s="23">
        <v>42127</v>
      </c>
      <c r="F301" s="106">
        <v>1030.2</v>
      </c>
      <c r="G301" s="31">
        <f t="shared" si="8"/>
        <v>0</v>
      </c>
      <c r="H301" s="19" t="s">
        <v>9</v>
      </c>
      <c r="I301" s="3"/>
      <c r="J301" s="42"/>
      <c r="K301" s="3"/>
      <c r="M301" s="20">
        <v>42154</v>
      </c>
      <c r="N301" s="183">
        <v>22746</v>
      </c>
      <c r="O301" s="14" t="s">
        <v>89</v>
      </c>
      <c r="P301" s="105">
        <v>4316.1000000000004</v>
      </c>
      <c r="Q301" s="23">
        <v>42154</v>
      </c>
      <c r="R301" s="106">
        <v>4316.1000000000004</v>
      </c>
      <c r="S301" s="31">
        <f t="shared" si="9"/>
        <v>0</v>
      </c>
      <c r="T301" s="39" t="s">
        <v>9</v>
      </c>
    </row>
    <row r="302" spans="1:20" x14ac:dyDescent="0.25">
      <c r="A302" s="12">
        <v>42127</v>
      </c>
      <c r="B302" s="183">
        <v>19876</v>
      </c>
      <c r="C302" s="14" t="s">
        <v>43</v>
      </c>
      <c r="D302" s="105">
        <v>6995.6</v>
      </c>
      <c r="E302" s="23">
        <v>42127</v>
      </c>
      <c r="F302" s="106">
        <v>6995.6</v>
      </c>
      <c r="G302" s="31">
        <f t="shared" si="8"/>
        <v>0</v>
      </c>
      <c r="H302" s="19" t="s">
        <v>9</v>
      </c>
      <c r="I302" s="3"/>
      <c r="J302" s="42"/>
      <c r="K302" s="3"/>
      <c r="M302" s="12">
        <v>42155</v>
      </c>
      <c r="N302" s="183">
        <v>22836</v>
      </c>
      <c r="O302" s="14" t="s">
        <v>89</v>
      </c>
      <c r="P302" s="105">
        <v>2576.8000000000002</v>
      </c>
      <c r="Q302" s="23">
        <v>42155</v>
      </c>
      <c r="R302" s="106">
        <v>2576.8000000000002</v>
      </c>
      <c r="S302" s="31">
        <f t="shared" si="9"/>
        <v>0</v>
      </c>
      <c r="T302" s="39" t="s">
        <v>9</v>
      </c>
    </row>
    <row r="303" spans="1:20" x14ac:dyDescent="0.25">
      <c r="A303" s="20">
        <v>42127</v>
      </c>
      <c r="B303" s="183">
        <v>19877</v>
      </c>
      <c r="C303" s="14" t="s">
        <v>43</v>
      </c>
      <c r="D303" s="105">
        <v>2045.8</v>
      </c>
      <c r="E303" s="23">
        <v>42127</v>
      </c>
      <c r="F303" s="106">
        <v>2045.8</v>
      </c>
      <c r="G303" s="31">
        <f t="shared" si="8"/>
        <v>0</v>
      </c>
      <c r="H303" s="19" t="s">
        <v>9</v>
      </c>
      <c r="I303" s="3"/>
      <c r="J303" s="42"/>
      <c r="K303" s="3"/>
      <c r="M303" s="20">
        <v>42136</v>
      </c>
      <c r="N303" s="183">
        <v>20814</v>
      </c>
      <c r="O303" s="14" t="s">
        <v>1295</v>
      </c>
      <c r="P303" s="105">
        <v>2831.4</v>
      </c>
      <c r="Q303" s="23">
        <v>42136</v>
      </c>
      <c r="R303" s="106">
        <v>2831.4</v>
      </c>
      <c r="S303" s="31">
        <f t="shared" si="9"/>
        <v>0</v>
      </c>
      <c r="T303" s="39" t="s">
        <v>59</v>
      </c>
    </row>
    <row r="304" spans="1:20" x14ac:dyDescent="0.25">
      <c r="A304" s="12">
        <v>42127</v>
      </c>
      <c r="B304" s="183">
        <v>19878</v>
      </c>
      <c r="C304" s="14" t="s">
        <v>159</v>
      </c>
      <c r="D304" s="105">
        <v>9166.4</v>
      </c>
      <c r="E304" s="23">
        <v>42127</v>
      </c>
      <c r="F304" s="106">
        <v>9166.4</v>
      </c>
      <c r="G304" s="31">
        <f t="shared" si="8"/>
        <v>0</v>
      </c>
      <c r="H304" s="19" t="s">
        <v>9</v>
      </c>
      <c r="I304" s="3"/>
      <c r="J304" s="42"/>
      <c r="K304" s="3"/>
      <c r="M304" s="12">
        <v>42137</v>
      </c>
      <c r="N304" s="183">
        <v>20902</v>
      </c>
      <c r="O304" s="14" t="s">
        <v>1295</v>
      </c>
      <c r="P304" s="105">
        <v>2242.5</v>
      </c>
      <c r="Q304" s="23">
        <v>42137</v>
      </c>
      <c r="R304" s="106">
        <v>2242.5</v>
      </c>
      <c r="S304" s="31">
        <f t="shared" si="9"/>
        <v>0</v>
      </c>
      <c r="T304" s="19" t="s">
        <v>1257</v>
      </c>
    </row>
    <row r="305" spans="1:20" x14ac:dyDescent="0.25">
      <c r="A305" s="20">
        <v>42127</v>
      </c>
      <c r="B305" s="183">
        <v>19879</v>
      </c>
      <c r="C305" s="14" t="s">
        <v>21</v>
      </c>
      <c r="D305" s="105">
        <v>1809.5</v>
      </c>
      <c r="E305" s="23">
        <v>42127</v>
      </c>
      <c r="F305" s="106">
        <v>1809.5</v>
      </c>
      <c r="G305" s="31">
        <f t="shared" si="8"/>
        <v>0</v>
      </c>
      <c r="H305" s="19" t="s">
        <v>9</v>
      </c>
      <c r="I305" s="3"/>
      <c r="J305" s="42"/>
      <c r="K305" s="3"/>
      <c r="M305" s="20">
        <v>42139</v>
      </c>
      <c r="N305" s="183">
        <v>21118</v>
      </c>
      <c r="O305" s="14" t="s">
        <v>1295</v>
      </c>
      <c r="P305" s="105">
        <v>2761.2</v>
      </c>
      <c r="Q305" s="23">
        <v>42139</v>
      </c>
      <c r="R305" s="106">
        <v>2761.2</v>
      </c>
      <c r="S305" s="48">
        <f t="shared" si="9"/>
        <v>0</v>
      </c>
      <c r="T305" s="39" t="s">
        <v>59</v>
      </c>
    </row>
    <row r="306" spans="1:20" x14ac:dyDescent="0.25">
      <c r="A306" s="12">
        <v>42127</v>
      </c>
      <c r="B306" s="183">
        <v>19880</v>
      </c>
      <c r="C306" s="14" t="s">
        <v>375</v>
      </c>
      <c r="D306" s="105">
        <v>1498</v>
      </c>
      <c r="E306" s="23">
        <v>42127</v>
      </c>
      <c r="F306" s="106">
        <v>1498</v>
      </c>
      <c r="G306" s="31">
        <f t="shared" si="8"/>
        <v>0</v>
      </c>
      <c r="H306" s="19" t="s">
        <v>187</v>
      </c>
      <c r="I306" s="3"/>
      <c r="J306" s="42"/>
      <c r="K306" s="3"/>
      <c r="M306" s="12">
        <v>42139</v>
      </c>
      <c r="N306" s="183">
        <v>21122</v>
      </c>
      <c r="O306" s="14" t="s">
        <v>1295</v>
      </c>
      <c r="P306" s="105">
        <v>699.4</v>
      </c>
      <c r="Q306" s="23">
        <v>42139</v>
      </c>
      <c r="R306" s="106">
        <v>699.4</v>
      </c>
      <c r="S306" s="48">
        <f t="shared" si="9"/>
        <v>0</v>
      </c>
      <c r="T306" s="39" t="s">
        <v>59</v>
      </c>
    </row>
    <row r="307" spans="1:20" x14ac:dyDescent="0.25">
      <c r="A307" s="20">
        <v>42127</v>
      </c>
      <c r="B307" s="183">
        <v>19881</v>
      </c>
      <c r="C307" s="14" t="s">
        <v>305</v>
      </c>
      <c r="D307" s="105">
        <v>1057.5</v>
      </c>
      <c r="E307" s="23">
        <v>42127</v>
      </c>
      <c r="F307" s="106">
        <v>1057.5</v>
      </c>
      <c r="G307" s="31">
        <f t="shared" si="8"/>
        <v>0</v>
      </c>
      <c r="H307" s="19" t="s">
        <v>9</v>
      </c>
      <c r="I307" s="3"/>
      <c r="J307" s="42"/>
      <c r="K307" s="3"/>
      <c r="M307" s="20">
        <v>42125</v>
      </c>
      <c r="N307" s="183">
        <v>19614</v>
      </c>
      <c r="O307" s="14" t="s">
        <v>292</v>
      </c>
      <c r="P307" s="105">
        <v>2601.3000000000002</v>
      </c>
      <c r="Q307" s="23">
        <v>42125</v>
      </c>
      <c r="R307" s="106">
        <v>2601.3000000000002</v>
      </c>
      <c r="S307" s="25">
        <f t="shared" si="9"/>
        <v>0</v>
      </c>
      <c r="T307" s="19" t="s">
        <v>59</v>
      </c>
    </row>
    <row r="308" spans="1:20" x14ac:dyDescent="0.25">
      <c r="A308" s="12">
        <v>42127</v>
      </c>
      <c r="B308" s="183">
        <v>19882</v>
      </c>
      <c r="C308" s="150" t="s">
        <v>80</v>
      </c>
      <c r="D308" s="105">
        <v>7901.6</v>
      </c>
      <c r="E308" s="23">
        <v>42127</v>
      </c>
      <c r="F308" s="106">
        <v>7901.6</v>
      </c>
      <c r="G308" s="31">
        <f t="shared" si="8"/>
        <v>0</v>
      </c>
      <c r="H308" s="19" t="s">
        <v>9</v>
      </c>
      <c r="I308" s="3"/>
      <c r="J308" s="42"/>
      <c r="K308" s="3"/>
      <c r="M308" s="12">
        <v>42126</v>
      </c>
      <c r="N308" s="183">
        <v>19768</v>
      </c>
      <c r="O308" s="40" t="s">
        <v>292</v>
      </c>
      <c r="P308" s="105">
        <v>2968</v>
      </c>
      <c r="Q308" s="23">
        <v>42127</v>
      </c>
      <c r="R308" s="106">
        <v>2968</v>
      </c>
      <c r="S308" s="25">
        <f t="shared" si="9"/>
        <v>0</v>
      </c>
      <c r="T308" s="41" t="s">
        <v>59</v>
      </c>
    </row>
    <row r="309" spans="1:20" x14ac:dyDescent="0.25">
      <c r="A309" s="20">
        <v>42127</v>
      </c>
      <c r="B309" s="183">
        <v>19883</v>
      </c>
      <c r="C309" s="14" t="s">
        <v>834</v>
      </c>
      <c r="D309" s="105">
        <v>6399.3</v>
      </c>
      <c r="E309" s="23">
        <v>42127</v>
      </c>
      <c r="F309" s="106">
        <v>6399.3</v>
      </c>
      <c r="G309" s="31">
        <f t="shared" si="8"/>
        <v>0</v>
      </c>
      <c r="H309" s="19" t="s">
        <v>9</v>
      </c>
      <c r="I309" s="3"/>
      <c r="J309" s="42"/>
      <c r="K309" s="3"/>
      <c r="M309" s="20">
        <v>42128</v>
      </c>
      <c r="N309" s="183">
        <v>19926</v>
      </c>
      <c r="O309" s="14" t="s">
        <v>292</v>
      </c>
      <c r="P309" s="105">
        <v>2297.1</v>
      </c>
      <c r="Q309" s="23">
        <v>42128</v>
      </c>
      <c r="R309" s="106">
        <v>2297.1</v>
      </c>
      <c r="S309" s="31">
        <f t="shared" si="9"/>
        <v>0</v>
      </c>
      <c r="T309" s="19" t="s">
        <v>59</v>
      </c>
    </row>
    <row r="310" spans="1:20" x14ac:dyDescent="0.25">
      <c r="A310" s="12">
        <v>42127</v>
      </c>
      <c r="B310" s="183">
        <v>19884</v>
      </c>
      <c r="C310" s="110" t="s">
        <v>454</v>
      </c>
      <c r="D310" s="105">
        <v>652.79999999999995</v>
      </c>
      <c r="E310" s="23">
        <v>42129</v>
      </c>
      <c r="F310" s="106">
        <v>652.79999999999995</v>
      </c>
      <c r="G310" s="31">
        <f t="shared" si="8"/>
        <v>0</v>
      </c>
      <c r="H310" s="19" t="s">
        <v>62</v>
      </c>
      <c r="I310" s="3"/>
      <c r="J310" s="42"/>
      <c r="K310" s="3"/>
      <c r="M310" s="12">
        <v>42132</v>
      </c>
      <c r="N310" s="183">
        <v>20377</v>
      </c>
      <c r="O310" s="14" t="s">
        <v>292</v>
      </c>
      <c r="P310" s="105">
        <v>2904.2</v>
      </c>
      <c r="Q310" s="23">
        <v>42133</v>
      </c>
      <c r="R310" s="106">
        <v>2904.2</v>
      </c>
      <c r="S310" s="31">
        <f t="shared" si="9"/>
        <v>0</v>
      </c>
      <c r="T310" s="19" t="s">
        <v>59</v>
      </c>
    </row>
    <row r="311" spans="1:20" x14ac:dyDescent="0.25">
      <c r="A311" s="20">
        <v>42127</v>
      </c>
      <c r="B311" s="183">
        <v>19885</v>
      </c>
      <c r="C311" s="14" t="s">
        <v>102</v>
      </c>
      <c r="D311" s="105">
        <v>805</v>
      </c>
      <c r="E311" s="23">
        <v>42127</v>
      </c>
      <c r="F311" s="106">
        <v>805</v>
      </c>
      <c r="G311" s="31">
        <f t="shared" si="8"/>
        <v>0</v>
      </c>
      <c r="H311" s="19" t="s">
        <v>9</v>
      </c>
      <c r="I311" s="3"/>
      <c r="J311" s="42"/>
      <c r="K311" s="3"/>
      <c r="M311" s="20">
        <v>42146</v>
      </c>
      <c r="N311" s="183">
        <v>21872</v>
      </c>
      <c r="O311" s="14" t="s">
        <v>292</v>
      </c>
      <c r="P311" s="105">
        <v>3066.8</v>
      </c>
      <c r="Q311" s="23">
        <v>42146</v>
      </c>
      <c r="R311" s="106">
        <v>3066.8</v>
      </c>
      <c r="S311" s="31">
        <f t="shared" si="9"/>
        <v>0</v>
      </c>
      <c r="T311" s="39" t="s">
        <v>59</v>
      </c>
    </row>
    <row r="312" spans="1:20" x14ac:dyDescent="0.25">
      <c r="A312" s="12">
        <v>42127</v>
      </c>
      <c r="B312" s="183">
        <v>19886</v>
      </c>
      <c r="C312" s="14" t="s">
        <v>121</v>
      </c>
      <c r="D312" s="105">
        <v>597.6</v>
      </c>
      <c r="E312" s="23">
        <v>42127</v>
      </c>
      <c r="F312" s="106">
        <v>597.6</v>
      </c>
      <c r="G312" s="31">
        <f t="shared" si="8"/>
        <v>0</v>
      </c>
      <c r="H312" s="19" t="s">
        <v>9</v>
      </c>
      <c r="I312" s="3"/>
      <c r="J312" s="42"/>
      <c r="K312" s="3"/>
      <c r="M312" s="12">
        <v>42147</v>
      </c>
      <c r="N312" s="183">
        <v>22010</v>
      </c>
      <c r="O312" s="14" t="s">
        <v>292</v>
      </c>
      <c r="P312" s="105">
        <v>4081</v>
      </c>
      <c r="Q312" s="65">
        <v>42147</v>
      </c>
      <c r="R312" s="106">
        <v>4081</v>
      </c>
      <c r="S312" s="31">
        <f t="shared" si="9"/>
        <v>0</v>
      </c>
      <c r="T312" s="39" t="s">
        <v>59</v>
      </c>
    </row>
    <row r="313" spans="1:20" x14ac:dyDescent="0.25">
      <c r="A313" s="20">
        <v>42127</v>
      </c>
      <c r="B313" s="183">
        <v>19887</v>
      </c>
      <c r="C313" s="14" t="s">
        <v>1058</v>
      </c>
      <c r="D313" s="105">
        <v>91.2</v>
      </c>
      <c r="E313" s="23">
        <v>42131</v>
      </c>
      <c r="F313" s="106">
        <v>91.2</v>
      </c>
      <c r="G313" s="31">
        <f t="shared" si="8"/>
        <v>0</v>
      </c>
      <c r="H313" s="19" t="s">
        <v>9</v>
      </c>
      <c r="I313" s="3"/>
      <c r="J313" s="42"/>
      <c r="K313" s="3"/>
      <c r="M313" s="20">
        <v>42151</v>
      </c>
      <c r="N313" s="183">
        <v>22374</v>
      </c>
      <c r="O313" s="14" t="s">
        <v>292</v>
      </c>
      <c r="P313" s="105">
        <v>2200.8000000000002</v>
      </c>
      <c r="Q313" s="65">
        <v>42151</v>
      </c>
      <c r="R313" s="106">
        <v>2200.8000000000002</v>
      </c>
      <c r="S313" s="31">
        <f t="shared" si="9"/>
        <v>0</v>
      </c>
      <c r="T313" s="39" t="s">
        <v>1257</v>
      </c>
    </row>
    <row r="314" spans="1:20" x14ac:dyDescent="0.25">
      <c r="A314" s="20">
        <v>42128</v>
      </c>
      <c r="B314" s="183">
        <v>19888</v>
      </c>
      <c r="C314" s="14" t="s">
        <v>720</v>
      </c>
      <c r="D314" s="105">
        <v>13022.8</v>
      </c>
      <c r="E314" s="23">
        <v>42128</v>
      </c>
      <c r="F314" s="106">
        <v>13022.8</v>
      </c>
      <c r="G314" s="31">
        <f t="shared" si="8"/>
        <v>0</v>
      </c>
      <c r="H314" s="19" t="s">
        <v>9</v>
      </c>
      <c r="I314" s="3"/>
      <c r="J314" s="42"/>
      <c r="K314" s="3"/>
      <c r="M314" s="20">
        <v>42153</v>
      </c>
      <c r="N314" s="183">
        <v>22563</v>
      </c>
      <c r="O314" s="14" t="s">
        <v>292</v>
      </c>
      <c r="P314" s="105">
        <v>2616.6</v>
      </c>
      <c r="Q314" s="23">
        <v>42184</v>
      </c>
      <c r="R314" s="106">
        <v>2616.6</v>
      </c>
      <c r="S314" s="31">
        <f t="shared" si="9"/>
        <v>0</v>
      </c>
      <c r="T314" s="39" t="s">
        <v>59</v>
      </c>
    </row>
    <row r="315" spans="1:20" x14ac:dyDescent="0.25">
      <c r="A315" s="20">
        <v>42128</v>
      </c>
      <c r="B315" s="183">
        <v>19889</v>
      </c>
      <c r="C315" s="14" t="s">
        <v>18</v>
      </c>
      <c r="D315" s="105">
        <v>2395.25</v>
      </c>
      <c r="E315" s="23">
        <v>42128</v>
      </c>
      <c r="F315" s="106">
        <v>2395.25</v>
      </c>
      <c r="G315" s="31">
        <f t="shared" si="8"/>
        <v>0</v>
      </c>
      <c r="H315" s="19" t="s">
        <v>9</v>
      </c>
      <c r="I315" s="3"/>
      <c r="J315" s="42"/>
      <c r="K315" s="3"/>
      <c r="M315" s="20">
        <v>42154</v>
      </c>
      <c r="N315" s="183">
        <v>22717</v>
      </c>
      <c r="O315" s="14" t="s">
        <v>292</v>
      </c>
      <c r="P315" s="105">
        <v>2998.8</v>
      </c>
      <c r="Q315" s="23">
        <v>42154</v>
      </c>
      <c r="R315" s="106">
        <v>2998.8</v>
      </c>
      <c r="S315" s="31">
        <f t="shared" si="9"/>
        <v>0</v>
      </c>
      <c r="T315" s="39" t="s">
        <v>59</v>
      </c>
    </row>
    <row r="316" spans="1:20" x14ac:dyDescent="0.25">
      <c r="A316" s="20">
        <v>42128</v>
      </c>
      <c r="B316" s="183">
        <v>19890</v>
      </c>
      <c r="C316" s="14" t="s">
        <v>14</v>
      </c>
      <c r="D316" s="105">
        <v>15265.2</v>
      </c>
      <c r="E316" s="23">
        <v>42149</v>
      </c>
      <c r="F316" s="106">
        <v>15265.2</v>
      </c>
      <c r="G316" s="31">
        <f t="shared" si="8"/>
        <v>0</v>
      </c>
      <c r="H316" s="19" t="s">
        <v>9</v>
      </c>
      <c r="I316" s="3"/>
      <c r="J316" s="42"/>
      <c r="K316" s="3"/>
      <c r="M316" s="20">
        <v>42155</v>
      </c>
      <c r="N316" s="183">
        <v>22835</v>
      </c>
      <c r="O316" s="14" t="s">
        <v>292</v>
      </c>
      <c r="P316" s="105">
        <v>2200.8000000000002</v>
      </c>
      <c r="Q316" s="23">
        <v>42155</v>
      </c>
      <c r="R316" s="106">
        <v>2200.8000000000002</v>
      </c>
      <c r="S316" s="31">
        <f t="shared" si="9"/>
        <v>0</v>
      </c>
      <c r="T316" s="39" t="s">
        <v>59</v>
      </c>
    </row>
    <row r="317" spans="1:20" x14ac:dyDescent="0.25">
      <c r="A317" s="20">
        <v>42128</v>
      </c>
      <c r="B317" s="183">
        <v>19891</v>
      </c>
      <c r="C317" s="14" t="s">
        <v>383</v>
      </c>
      <c r="D317" s="105">
        <v>3655.15</v>
      </c>
      <c r="E317" s="23">
        <v>42128</v>
      </c>
      <c r="F317" s="106">
        <v>3655.15</v>
      </c>
      <c r="G317" s="31">
        <f t="shared" si="8"/>
        <v>0</v>
      </c>
      <c r="H317" s="19" t="s">
        <v>9</v>
      </c>
      <c r="I317" s="3"/>
      <c r="J317" s="42"/>
      <c r="K317" s="3"/>
      <c r="M317" s="20">
        <v>42128</v>
      </c>
      <c r="N317" s="183">
        <v>19983</v>
      </c>
      <c r="O317" s="14" t="s">
        <v>200</v>
      </c>
      <c r="P317" s="105">
        <v>1792</v>
      </c>
      <c r="Q317" s="23">
        <v>42130</v>
      </c>
      <c r="R317" s="106">
        <v>1792</v>
      </c>
      <c r="S317" s="31">
        <f t="shared" si="9"/>
        <v>0</v>
      </c>
      <c r="T317" s="19" t="s">
        <v>149</v>
      </c>
    </row>
    <row r="318" spans="1:20" x14ac:dyDescent="0.25">
      <c r="A318" s="20">
        <v>42128</v>
      </c>
      <c r="B318" s="183">
        <v>19892</v>
      </c>
      <c r="C318" s="14" t="s">
        <v>1270</v>
      </c>
      <c r="D318" s="105">
        <v>5577.2</v>
      </c>
      <c r="E318" s="23">
        <v>42128</v>
      </c>
      <c r="F318" s="106">
        <v>5577.2</v>
      </c>
      <c r="G318" s="31">
        <f t="shared" si="8"/>
        <v>0</v>
      </c>
      <c r="H318" s="19" t="s">
        <v>9</v>
      </c>
      <c r="I318" s="3"/>
      <c r="J318" s="42"/>
      <c r="K318" s="3"/>
      <c r="M318" s="20">
        <v>42131</v>
      </c>
      <c r="N318" s="183">
        <v>20312</v>
      </c>
      <c r="O318" s="14" t="s">
        <v>200</v>
      </c>
      <c r="P318" s="105">
        <v>1320</v>
      </c>
      <c r="Q318" s="23">
        <v>42133</v>
      </c>
      <c r="R318" s="106">
        <v>1320</v>
      </c>
      <c r="S318" s="31">
        <f t="shared" si="9"/>
        <v>0</v>
      </c>
      <c r="T318" s="39" t="s">
        <v>149</v>
      </c>
    </row>
    <row r="319" spans="1:20" x14ac:dyDescent="0.25">
      <c r="A319" s="20">
        <v>42128</v>
      </c>
      <c r="B319" s="183">
        <v>19893</v>
      </c>
      <c r="C319" s="14" t="s">
        <v>21</v>
      </c>
      <c r="D319" s="105">
        <v>10589.6</v>
      </c>
      <c r="E319" s="23">
        <v>42128</v>
      </c>
      <c r="F319" s="106">
        <v>10589.6</v>
      </c>
      <c r="G319" s="31">
        <f t="shared" si="8"/>
        <v>0</v>
      </c>
      <c r="H319" s="19" t="s">
        <v>9</v>
      </c>
      <c r="I319" s="3"/>
      <c r="J319" s="42"/>
      <c r="K319" s="3"/>
      <c r="M319" s="20">
        <v>42138</v>
      </c>
      <c r="N319" s="183">
        <v>21040</v>
      </c>
      <c r="O319" s="14" t="s">
        <v>200</v>
      </c>
      <c r="P319" s="105">
        <v>3468</v>
      </c>
      <c r="Q319" s="23">
        <v>42140</v>
      </c>
      <c r="R319" s="106">
        <v>3468</v>
      </c>
      <c r="S319" s="48">
        <f t="shared" si="9"/>
        <v>0</v>
      </c>
      <c r="T319" s="39" t="s">
        <v>149</v>
      </c>
    </row>
    <row r="320" spans="1:20" x14ac:dyDescent="0.25">
      <c r="A320" s="20">
        <v>42128</v>
      </c>
      <c r="B320" s="183">
        <v>19894</v>
      </c>
      <c r="C320" s="14" t="s">
        <v>1256</v>
      </c>
      <c r="D320" s="105">
        <v>7323.4</v>
      </c>
      <c r="E320" s="23">
        <v>42128</v>
      </c>
      <c r="F320" s="106">
        <v>7323.4</v>
      </c>
      <c r="G320" s="31">
        <f t="shared" si="8"/>
        <v>0</v>
      </c>
      <c r="H320" s="19" t="s">
        <v>1257</v>
      </c>
      <c r="I320" s="3"/>
      <c r="J320" s="42"/>
      <c r="K320" s="3"/>
      <c r="M320" s="20">
        <v>42142</v>
      </c>
      <c r="N320" s="183">
        <v>21504</v>
      </c>
      <c r="O320" s="14" t="s">
        <v>200</v>
      </c>
      <c r="P320" s="105">
        <v>1616.1</v>
      </c>
      <c r="Q320" s="23">
        <v>42149</v>
      </c>
      <c r="R320" s="106">
        <v>1616.1</v>
      </c>
      <c r="S320" s="31">
        <f t="shared" si="9"/>
        <v>0</v>
      </c>
      <c r="T320" s="39" t="s">
        <v>149</v>
      </c>
    </row>
    <row r="321" spans="1:20" x14ac:dyDescent="0.25">
      <c r="A321" s="20">
        <v>42128</v>
      </c>
      <c r="B321" s="183">
        <v>19895</v>
      </c>
      <c r="C321" s="14" t="s">
        <v>1182</v>
      </c>
      <c r="D321" s="105">
        <v>1964.4</v>
      </c>
      <c r="E321" s="23">
        <v>42128</v>
      </c>
      <c r="F321" s="106">
        <v>1964.4</v>
      </c>
      <c r="G321" s="31">
        <f t="shared" si="8"/>
        <v>0</v>
      </c>
      <c r="H321" s="19" t="s">
        <v>9</v>
      </c>
      <c r="I321" s="3"/>
      <c r="J321" s="42"/>
      <c r="K321" s="3"/>
      <c r="M321" s="20">
        <v>42133</v>
      </c>
      <c r="N321" s="183">
        <v>20468</v>
      </c>
      <c r="O321" s="14" t="s">
        <v>1031</v>
      </c>
      <c r="P321" s="105">
        <v>4603.2</v>
      </c>
      <c r="Q321" s="23">
        <v>42133</v>
      </c>
      <c r="R321" s="106">
        <v>4603.2</v>
      </c>
      <c r="S321" s="31">
        <f t="shared" si="9"/>
        <v>0</v>
      </c>
      <c r="T321" s="19" t="s">
        <v>9</v>
      </c>
    </row>
    <row r="322" spans="1:20" x14ac:dyDescent="0.25">
      <c r="A322" s="20">
        <v>42128</v>
      </c>
      <c r="B322" s="183">
        <v>19896</v>
      </c>
      <c r="C322" s="14" t="s">
        <v>151</v>
      </c>
      <c r="D322" s="105">
        <v>2659.5</v>
      </c>
      <c r="E322" s="23">
        <v>42129</v>
      </c>
      <c r="F322" s="106">
        <v>2659.5</v>
      </c>
      <c r="G322" s="31">
        <f t="shared" si="8"/>
        <v>0</v>
      </c>
      <c r="H322" s="19" t="s">
        <v>9</v>
      </c>
      <c r="I322" s="3"/>
      <c r="J322" s="42"/>
      <c r="K322" s="3"/>
      <c r="M322" s="20">
        <v>42125</v>
      </c>
      <c r="N322" s="183">
        <v>19586</v>
      </c>
      <c r="O322" s="14" t="s">
        <v>21</v>
      </c>
      <c r="P322" s="105">
        <v>9218.9</v>
      </c>
      <c r="Q322" s="23">
        <v>42125</v>
      </c>
      <c r="R322" s="106">
        <v>9218.9</v>
      </c>
      <c r="S322" s="25">
        <f t="shared" si="9"/>
        <v>0</v>
      </c>
      <c r="T322" s="19" t="s">
        <v>9</v>
      </c>
    </row>
    <row r="323" spans="1:20" x14ac:dyDescent="0.25">
      <c r="A323" s="20">
        <v>42128</v>
      </c>
      <c r="B323" s="183">
        <v>19897</v>
      </c>
      <c r="C323" s="14" t="s">
        <v>290</v>
      </c>
      <c r="D323" s="105">
        <v>372.1</v>
      </c>
      <c r="E323" s="23">
        <v>42128</v>
      </c>
      <c r="F323" s="106">
        <v>372.1</v>
      </c>
      <c r="G323" s="31">
        <f t="shared" ref="G323:G386" si="10">D323-F323</f>
        <v>0</v>
      </c>
      <c r="H323" s="19" t="s">
        <v>9</v>
      </c>
      <c r="I323" s="3"/>
      <c r="J323" s="42"/>
      <c r="K323" s="3"/>
      <c r="M323" s="20">
        <v>42126</v>
      </c>
      <c r="N323" s="183">
        <v>19700</v>
      </c>
      <c r="O323" s="40" t="s">
        <v>21</v>
      </c>
      <c r="P323" s="105">
        <v>14705.2</v>
      </c>
      <c r="Q323" s="23">
        <v>42126</v>
      </c>
      <c r="R323" s="106">
        <v>14705.2</v>
      </c>
      <c r="S323" s="25">
        <f t="shared" ref="S323:S386" si="11">P323-R323</f>
        <v>0</v>
      </c>
      <c r="T323" s="41" t="s">
        <v>9</v>
      </c>
    </row>
    <row r="324" spans="1:20" x14ac:dyDescent="0.25">
      <c r="A324" s="20">
        <v>42128</v>
      </c>
      <c r="B324" s="183">
        <v>19898</v>
      </c>
      <c r="C324" s="14" t="s">
        <v>121</v>
      </c>
      <c r="D324" s="105">
        <v>2163.6</v>
      </c>
      <c r="E324" s="23">
        <v>42128</v>
      </c>
      <c r="F324" s="106">
        <v>2163.6</v>
      </c>
      <c r="G324" s="31">
        <f t="shared" si="10"/>
        <v>0</v>
      </c>
      <c r="H324" s="19" t="s">
        <v>9</v>
      </c>
      <c r="I324" s="3"/>
      <c r="J324" s="42"/>
      <c r="K324" s="3"/>
      <c r="M324" s="20">
        <v>42126</v>
      </c>
      <c r="N324" s="183">
        <v>19757</v>
      </c>
      <c r="O324" s="40" t="s">
        <v>21</v>
      </c>
      <c r="P324" s="105">
        <v>2425.5</v>
      </c>
      <c r="Q324" s="23">
        <v>42126</v>
      </c>
      <c r="R324" s="106">
        <v>2425.5</v>
      </c>
      <c r="S324" s="25">
        <f t="shared" si="11"/>
        <v>0</v>
      </c>
      <c r="T324" s="41" t="s">
        <v>9</v>
      </c>
    </row>
    <row r="325" spans="1:20" x14ac:dyDescent="0.25">
      <c r="A325" s="20">
        <v>42128</v>
      </c>
      <c r="B325" s="183">
        <v>19899</v>
      </c>
      <c r="C325" s="14" t="s">
        <v>122</v>
      </c>
      <c r="D325" s="105">
        <v>6600</v>
      </c>
      <c r="E325" s="23">
        <v>42128</v>
      </c>
      <c r="F325" s="106">
        <v>6600</v>
      </c>
      <c r="G325" s="31">
        <f t="shared" si="10"/>
        <v>0</v>
      </c>
      <c r="H325" s="19" t="s">
        <v>9</v>
      </c>
      <c r="I325" s="3"/>
      <c r="J325" s="42"/>
      <c r="K325" s="3"/>
      <c r="M325" s="20">
        <v>42127</v>
      </c>
      <c r="N325" s="183">
        <v>19830</v>
      </c>
      <c r="O325" s="40" t="s">
        <v>21</v>
      </c>
      <c r="P325" s="105">
        <v>8655.4</v>
      </c>
      <c r="Q325" s="23">
        <v>42127</v>
      </c>
      <c r="R325" s="106">
        <v>8655.4</v>
      </c>
      <c r="S325" s="31">
        <f t="shared" si="11"/>
        <v>0</v>
      </c>
      <c r="T325" s="41" t="s">
        <v>9</v>
      </c>
    </row>
    <row r="326" spans="1:20" x14ac:dyDescent="0.25">
      <c r="A326" s="20">
        <v>42128</v>
      </c>
      <c r="B326" s="183">
        <v>19900</v>
      </c>
      <c r="C326" s="14" t="s">
        <v>20</v>
      </c>
      <c r="D326" s="105">
        <v>8316.4</v>
      </c>
      <c r="E326" s="23">
        <v>42128</v>
      </c>
      <c r="F326" s="106">
        <v>8316.4</v>
      </c>
      <c r="G326" s="31">
        <f t="shared" si="10"/>
        <v>0</v>
      </c>
      <c r="H326" s="19" t="s">
        <v>94</v>
      </c>
      <c r="I326" s="3"/>
      <c r="J326" s="42"/>
      <c r="K326" s="3"/>
      <c r="M326" s="20">
        <v>42127</v>
      </c>
      <c r="N326" s="183">
        <v>19879</v>
      </c>
      <c r="O326" s="14" t="s">
        <v>21</v>
      </c>
      <c r="P326" s="105">
        <v>1809.5</v>
      </c>
      <c r="Q326" s="23">
        <v>42127</v>
      </c>
      <c r="R326" s="106">
        <v>1809.5</v>
      </c>
      <c r="S326" s="31">
        <f t="shared" si="11"/>
        <v>0</v>
      </c>
      <c r="T326" s="19" t="s">
        <v>9</v>
      </c>
    </row>
    <row r="327" spans="1:20" x14ac:dyDescent="0.25">
      <c r="A327" s="20">
        <v>42128</v>
      </c>
      <c r="B327" s="183">
        <v>19901</v>
      </c>
      <c r="C327" s="14" t="s">
        <v>114</v>
      </c>
      <c r="D327" s="105">
        <v>307.2</v>
      </c>
      <c r="E327" s="23">
        <v>42128</v>
      </c>
      <c r="F327" s="106">
        <v>307.2</v>
      </c>
      <c r="G327" s="31">
        <f t="shared" si="10"/>
        <v>0</v>
      </c>
      <c r="H327" s="19" t="s">
        <v>9</v>
      </c>
      <c r="I327" s="3"/>
      <c r="J327" s="42"/>
      <c r="K327" s="3"/>
      <c r="M327" s="20">
        <v>42128</v>
      </c>
      <c r="N327" s="183">
        <v>19893</v>
      </c>
      <c r="O327" s="14" t="s">
        <v>21</v>
      </c>
      <c r="P327" s="105">
        <v>10589.6</v>
      </c>
      <c r="Q327" s="23">
        <v>42128</v>
      </c>
      <c r="R327" s="106">
        <v>10589.6</v>
      </c>
      <c r="S327" s="31">
        <f t="shared" si="11"/>
        <v>0</v>
      </c>
      <c r="T327" s="19" t="s">
        <v>9</v>
      </c>
    </row>
    <row r="328" spans="1:20" x14ac:dyDescent="0.25">
      <c r="A328" s="20">
        <v>42128</v>
      </c>
      <c r="B328" s="183">
        <v>19902</v>
      </c>
      <c r="C328" s="14" t="s">
        <v>474</v>
      </c>
      <c r="D328" s="105">
        <v>4305</v>
      </c>
      <c r="E328" s="23">
        <v>42128</v>
      </c>
      <c r="F328" s="106">
        <v>4305</v>
      </c>
      <c r="G328" s="31">
        <f t="shared" si="10"/>
        <v>0</v>
      </c>
      <c r="H328" s="19" t="s">
        <v>9</v>
      </c>
      <c r="I328" s="3"/>
      <c r="J328" s="42"/>
      <c r="K328" s="3"/>
      <c r="M328" s="20">
        <v>42129</v>
      </c>
      <c r="N328" s="183">
        <v>20020</v>
      </c>
      <c r="O328" s="14" t="s">
        <v>21</v>
      </c>
      <c r="P328" s="105">
        <v>6680.8</v>
      </c>
      <c r="Q328" s="23">
        <v>42129</v>
      </c>
      <c r="R328" s="106">
        <v>6680.8</v>
      </c>
      <c r="S328" s="31">
        <f t="shared" si="11"/>
        <v>0</v>
      </c>
      <c r="T328" s="19" t="s">
        <v>9</v>
      </c>
    </row>
    <row r="329" spans="1:20" x14ac:dyDescent="0.25">
      <c r="A329" s="20">
        <v>42128</v>
      </c>
      <c r="B329" s="183">
        <v>19903</v>
      </c>
      <c r="C329" s="14" t="s">
        <v>1278</v>
      </c>
      <c r="D329" s="105">
        <v>11602.8</v>
      </c>
      <c r="E329" s="23">
        <v>42128</v>
      </c>
      <c r="F329" s="106">
        <v>11602.8</v>
      </c>
      <c r="G329" s="31">
        <f t="shared" si="10"/>
        <v>0</v>
      </c>
      <c r="H329" s="19" t="s">
        <v>9</v>
      </c>
      <c r="I329" s="3"/>
      <c r="J329" s="42"/>
      <c r="K329" s="3"/>
      <c r="M329" s="20">
        <v>42131</v>
      </c>
      <c r="N329" s="183">
        <v>20210</v>
      </c>
      <c r="O329" s="14" t="s">
        <v>21</v>
      </c>
      <c r="P329" s="105">
        <v>6624.8</v>
      </c>
      <c r="Q329" s="23">
        <v>42131</v>
      </c>
      <c r="R329" s="106">
        <v>6624.8</v>
      </c>
      <c r="S329" s="31">
        <f t="shared" si="11"/>
        <v>0</v>
      </c>
      <c r="T329" s="39" t="s">
        <v>9</v>
      </c>
    </row>
    <row r="330" spans="1:20" x14ac:dyDescent="0.25">
      <c r="A330" s="20">
        <v>42128</v>
      </c>
      <c r="B330" s="183">
        <v>19904</v>
      </c>
      <c r="C330" s="14" t="s">
        <v>1261</v>
      </c>
      <c r="D330" s="105">
        <v>10621.8</v>
      </c>
      <c r="E330" s="23">
        <v>42128</v>
      </c>
      <c r="F330" s="106">
        <v>10621.8</v>
      </c>
      <c r="G330" s="31">
        <f t="shared" si="10"/>
        <v>0</v>
      </c>
      <c r="H330" s="19" t="s">
        <v>9</v>
      </c>
      <c r="I330" s="3"/>
      <c r="J330" s="42"/>
      <c r="K330" s="3"/>
      <c r="M330" s="20">
        <v>42132</v>
      </c>
      <c r="N330" s="183">
        <v>20335</v>
      </c>
      <c r="O330" s="14" t="s">
        <v>21</v>
      </c>
      <c r="P330" s="105">
        <v>7291.2</v>
      </c>
      <c r="Q330" s="23">
        <v>42132</v>
      </c>
      <c r="R330" s="106">
        <v>7291.2</v>
      </c>
      <c r="S330" s="31">
        <f t="shared" si="11"/>
        <v>0</v>
      </c>
      <c r="T330" s="19" t="s">
        <v>9</v>
      </c>
    </row>
    <row r="331" spans="1:20" x14ac:dyDescent="0.25">
      <c r="A331" s="20">
        <v>42128</v>
      </c>
      <c r="B331" s="183">
        <v>19905</v>
      </c>
      <c r="C331" s="14" t="s">
        <v>1194</v>
      </c>
      <c r="D331" s="105">
        <v>2968.2</v>
      </c>
      <c r="E331" s="23">
        <v>42128</v>
      </c>
      <c r="F331" s="106">
        <v>2968.2</v>
      </c>
      <c r="G331" s="31">
        <f t="shared" si="10"/>
        <v>0</v>
      </c>
      <c r="H331" s="19" t="s">
        <v>9</v>
      </c>
      <c r="I331" s="3"/>
      <c r="J331" s="42"/>
      <c r="K331" s="3"/>
      <c r="M331" s="20">
        <v>42133</v>
      </c>
      <c r="N331" s="183">
        <v>20470</v>
      </c>
      <c r="O331" s="14" t="s">
        <v>21</v>
      </c>
      <c r="P331" s="105">
        <v>16888.8</v>
      </c>
      <c r="Q331" s="23">
        <v>42133</v>
      </c>
      <c r="R331" s="106">
        <v>16888.8</v>
      </c>
      <c r="S331" s="31">
        <f t="shared" si="11"/>
        <v>0</v>
      </c>
      <c r="T331" s="39" t="s">
        <v>9</v>
      </c>
    </row>
    <row r="332" spans="1:20" x14ac:dyDescent="0.25">
      <c r="A332" s="20">
        <v>42128</v>
      </c>
      <c r="B332" s="183">
        <v>19906</v>
      </c>
      <c r="C332" s="14" t="s">
        <v>1260</v>
      </c>
      <c r="D332" s="105">
        <v>67022.100000000006</v>
      </c>
      <c r="E332" s="23">
        <v>42140</v>
      </c>
      <c r="F332" s="106">
        <v>67022.100000000006</v>
      </c>
      <c r="G332" s="31">
        <f t="shared" si="10"/>
        <v>0</v>
      </c>
      <c r="H332" s="19" t="s">
        <v>149</v>
      </c>
      <c r="I332" s="3"/>
      <c r="J332" s="42"/>
      <c r="K332" s="3"/>
      <c r="M332" s="20">
        <v>42134</v>
      </c>
      <c r="N332" s="183">
        <v>20594</v>
      </c>
      <c r="O332" s="14" t="s">
        <v>21</v>
      </c>
      <c r="P332" s="105">
        <v>13066.5</v>
      </c>
      <c r="Q332" s="23">
        <v>42134</v>
      </c>
      <c r="R332" s="106">
        <v>13066.5</v>
      </c>
      <c r="S332" s="31">
        <f t="shared" si="11"/>
        <v>0</v>
      </c>
      <c r="T332" s="56" t="s">
        <v>9</v>
      </c>
    </row>
    <row r="333" spans="1:20" x14ac:dyDescent="0.25">
      <c r="A333" s="20">
        <v>42128</v>
      </c>
      <c r="B333" s="183">
        <v>19907</v>
      </c>
      <c r="C333" s="14" t="s">
        <v>694</v>
      </c>
      <c r="D333" s="105">
        <v>2465.25</v>
      </c>
      <c r="E333" s="23">
        <v>42128</v>
      </c>
      <c r="F333" s="106">
        <v>2465.25</v>
      </c>
      <c r="G333" s="31">
        <f t="shared" si="10"/>
        <v>0</v>
      </c>
      <c r="H333" s="19" t="s">
        <v>9</v>
      </c>
      <c r="I333" s="3"/>
      <c r="J333" s="42"/>
      <c r="K333" s="3"/>
      <c r="M333" s="20">
        <v>42150</v>
      </c>
      <c r="N333" s="183">
        <v>22316</v>
      </c>
      <c r="O333" s="14" t="s">
        <v>21</v>
      </c>
      <c r="P333" s="105">
        <v>3015.8</v>
      </c>
      <c r="Q333" s="65">
        <v>42150</v>
      </c>
      <c r="R333" s="106">
        <v>3015.8</v>
      </c>
      <c r="S333" s="31">
        <f t="shared" si="11"/>
        <v>0</v>
      </c>
      <c r="T333" s="39" t="s">
        <v>9</v>
      </c>
    </row>
    <row r="334" spans="1:20" x14ac:dyDescent="0.25">
      <c r="A334" s="20">
        <v>42128</v>
      </c>
      <c r="B334" s="183">
        <v>19908</v>
      </c>
      <c r="C334" s="14" t="s">
        <v>137</v>
      </c>
      <c r="D334" s="105">
        <v>2387</v>
      </c>
      <c r="E334" s="23">
        <v>42128</v>
      </c>
      <c r="F334" s="106">
        <v>2387</v>
      </c>
      <c r="G334" s="31">
        <f t="shared" si="10"/>
        <v>0</v>
      </c>
      <c r="H334" s="19" t="s">
        <v>9</v>
      </c>
      <c r="I334" s="3"/>
      <c r="J334" s="42"/>
      <c r="K334" s="3"/>
      <c r="M334" s="20">
        <v>42154</v>
      </c>
      <c r="N334" s="183">
        <v>22674</v>
      </c>
      <c r="O334" s="14" t="s">
        <v>21</v>
      </c>
      <c r="P334" s="105">
        <v>6747.9</v>
      </c>
      <c r="Q334" s="23">
        <v>42154</v>
      </c>
      <c r="R334" s="106">
        <v>6747.9</v>
      </c>
      <c r="S334" s="31">
        <f t="shared" si="11"/>
        <v>0</v>
      </c>
      <c r="T334" s="39" t="s">
        <v>9</v>
      </c>
    </row>
    <row r="335" spans="1:20" x14ac:dyDescent="0.25">
      <c r="A335" s="20">
        <v>42128</v>
      </c>
      <c r="B335" s="183">
        <v>19909</v>
      </c>
      <c r="C335" s="14" t="s">
        <v>23</v>
      </c>
      <c r="D335" s="105">
        <v>2355.8000000000002</v>
      </c>
      <c r="E335" s="23">
        <v>42128</v>
      </c>
      <c r="F335" s="106">
        <v>2355.8000000000002</v>
      </c>
      <c r="G335" s="31">
        <f t="shared" si="10"/>
        <v>0</v>
      </c>
      <c r="H335" s="19" t="s">
        <v>9</v>
      </c>
      <c r="I335" s="3"/>
      <c r="J335" s="42"/>
      <c r="K335" s="3"/>
      <c r="M335" s="20">
        <v>42155</v>
      </c>
      <c r="N335" s="183">
        <v>22797</v>
      </c>
      <c r="O335" s="14" t="s">
        <v>21</v>
      </c>
      <c r="P335" s="105">
        <v>2597</v>
      </c>
      <c r="Q335" s="23">
        <v>42155</v>
      </c>
      <c r="R335" s="106">
        <v>2597</v>
      </c>
      <c r="S335" s="31">
        <f t="shared" si="11"/>
        <v>0</v>
      </c>
      <c r="T335" s="39" t="s">
        <v>9</v>
      </c>
    </row>
    <row r="336" spans="1:20" x14ac:dyDescent="0.25">
      <c r="A336" s="20">
        <v>42128</v>
      </c>
      <c r="B336" s="183">
        <v>19910</v>
      </c>
      <c r="C336" s="14" t="s">
        <v>125</v>
      </c>
      <c r="D336" s="105">
        <v>39990.65</v>
      </c>
      <c r="E336" s="23" t="s">
        <v>1296</v>
      </c>
      <c r="F336" s="106">
        <f>25000+12438.7+2551.95</f>
        <v>39990.649999999994</v>
      </c>
      <c r="G336" s="31">
        <f t="shared" si="10"/>
        <v>0</v>
      </c>
      <c r="H336" s="19" t="s">
        <v>9</v>
      </c>
      <c r="I336" s="3"/>
      <c r="J336" s="42"/>
      <c r="K336" s="3"/>
      <c r="M336" s="20">
        <v>42135</v>
      </c>
      <c r="N336" s="183">
        <v>20686</v>
      </c>
      <c r="O336" s="14" t="s">
        <v>1297</v>
      </c>
      <c r="P336" s="105">
        <v>4483.3999999999996</v>
      </c>
      <c r="Q336" s="23">
        <v>42135</v>
      </c>
      <c r="R336" s="106">
        <v>4483.3999999999996</v>
      </c>
      <c r="S336" s="31">
        <f t="shared" si="11"/>
        <v>0</v>
      </c>
      <c r="T336" s="39" t="s">
        <v>46</v>
      </c>
    </row>
    <row r="337" spans="1:20" x14ac:dyDescent="0.25">
      <c r="A337" s="20">
        <v>42128</v>
      </c>
      <c r="B337" s="183">
        <v>19911</v>
      </c>
      <c r="C337" s="14" t="s">
        <v>1142</v>
      </c>
      <c r="D337" s="105">
        <v>5500.7</v>
      </c>
      <c r="E337" s="23">
        <v>42128</v>
      </c>
      <c r="F337" s="106">
        <v>5500.7</v>
      </c>
      <c r="G337" s="31">
        <f t="shared" si="10"/>
        <v>0</v>
      </c>
      <c r="H337" s="19" t="s">
        <v>9</v>
      </c>
      <c r="K337" s="3"/>
      <c r="M337" s="20">
        <v>42136</v>
      </c>
      <c r="N337" s="183">
        <v>20792</v>
      </c>
      <c r="O337" s="14" t="s">
        <v>1297</v>
      </c>
      <c r="P337" s="105">
        <v>7038.3</v>
      </c>
      <c r="Q337" s="23">
        <v>42136</v>
      </c>
      <c r="R337" s="106">
        <v>7038.3</v>
      </c>
      <c r="S337" s="31">
        <f t="shared" si="11"/>
        <v>0</v>
      </c>
      <c r="T337" s="19" t="s">
        <v>9</v>
      </c>
    </row>
    <row r="338" spans="1:20" x14ac:dyDescent="0.25">
      <c r="A338" s="20">
        <v>42128</v>
      </c>
      <c r="B338" s="183">
        <v>19912</v>
      </c>
      <c r="C338" s="14" t="s">
        <v>375</v>
      </c>
      <c r="D338" s="105">
        <v>3898.8</v>
      </c>
      <c r="E338" s="23">
        <v>42128</v>
      </c>
      <c r="F338" s="106">
        <v>3898.8</v>
      </c>
      <c r="G338" s="31">
        <f t="shared" si="10"/>
        <v>0</v>
      </c>
      <c r="H338" s="19" t="s">
        <v>9</v>
      </c>
      <c r="K338" s="3"/>
      <c r="M338" s="20">
        <v>42136</v>
      </c>
      <c r="N338" s="183">
        <v>20831</v>
      </c>
      <c r="O338" s="14" t="s">
        <v>1297</v>
      </c>
      <c r="P338" s="105">
        <v>2710.4</v>
      </c>
      <c r="Q338" s="23">
        <v>42136</v>
      </c>
      <c r="R338" s="106">
        <v>2710.4</v>
      </c>
      <c r="S338" s="31">
        <f t="shared" si="11"/>
        <v>0</v>
      </c>
      <c r="T338" s="39" t="s">
        <v>9</v>
      </c>
    </row>
    <row r="339" spans="1:20" x14ac:dyDescent="0.25">
      <c r="A339" s="20">
        <v>42128</v>
      </c>
      <c r="B339" s="183">
        <v>19913</v>
      </c>
      <c r="C339" s="14" t="s">
        <v>375</v>
      </c>
      <c r="D339" s="105">
        <v>1846.8</v>
      </c>
      <c r="E339" s="23" t="s">
        <v>1298</v>
      </c>
      <c r="F339" s="106">
        <f>1500+346.8</f>
        <v>1846.8</v>
      </c>
      <c r="G339" s="31">
        <f t="shared" si="10"/>
        <v>0</v>
      </c>
      <c r="H339" s="19" t="s">
        <v>9</v>
      </c>
      <c r="K339" s="3"/>
      <c r="M339" s="20">
        <v>42137</v>
      </c>
      <c r="N339" s="183">
        <v>20870</v>
      </c>
      <c r="O339" s="14" t="s">
        <v>1297</v>
      </c>
      <c r="P339" s="105">
        <v>4686</v>
      </c>
      <c r="Q339" s="23">
        <v>42137</v>
      </c>
      <c r="R339" s="106">
        <v>4686</v>
      </c>
      <c r="S339" s="31">
        <f t="shared" si="11"/>
        <v>0</v>
      </c>
      <c r="T339" s="39" t="s">
        <v>9</v>
      </c>
    </row>
    <row r="340" spans="1:20" x14ac:dyDescent="0.25">
      <c r="A340" s="20">
        <v>42128</v>
      </c>
      <c r="B340" s="183">
        <v>19914</v>
      </c>
      <c r="C340" s="14" t="s">
        <v>135</v>
      </c>
      <c r="D340" s="105">
        <v>4637.6000000000004</v>
      </c>
      <c r="E340" s="23">
        <v>42128</v>
      </c>
      <c r="F340" s="106">
        <v>4637.6000000000004</v>
      </c>
      <c r="G340" s="31">
        <f t="shared" si="10"/>
        <v>0</v>
      </c>
      <c r="H340" s="19" t="s">
        <v>9</v>
      </c>
      <c r="K340" s="3"/>
      <c r="M340" s="20">
        <v>42138</v>
      </c>
      <c r="N340" s="183">
        <v>20981</v>
      </c>
      <c r="O340" s="14" t="s">
        <v>1297</v>
      </c>
      <c r="P340" s="105">
        <v>4563</v>
      </c>
      <c r="Q340" s="23">
        <v>42138</v>
      </c>
      <c r="R340" s="106">
        <v>4563</v>
      </c>
      <c r="S340" s="31">
        <f t="shared" si="11"/>
        <v>0</v>
      </c>
      <c r="T340" s="19" t="s">
        <v>9</v>
      </c>
    </row>
    <row r="341" spans="1:20" x14ac:dyDescent="0.25">
      <c r="A341" s="20">
        <v>42128</v>
      </c>
      <c r="B341" s="183">
        <v>19915</v>
      </c>
      <c r="C341" s="14" t="s">
        <v>55</v>
      </c>
      <c r="D341" s="105">
        <v>24592</v>
      </c>
      <c r="E341" s="23">
        <v>42128</v>
      </c>
      <c r="F341" s="106">
        <v>24592</v>
      </c>
      <c r="G341" s="31">
        <f t="shared" si="10"/>
        <v>0</v>
      </c>
      <c r="H341" s="19" t="s">
        <v>773</v>
      </c>
      <c r="K341" s="3"/>
      <c r="M341" s="20">
        <v>42139</v>
      </c>
      <c r="N341" s="183">
        <v>21114</v>
      </c>
      <c r="O341" s="14" t="s">
        <v>1297</v>
      </c>
      <c r="P341" s="105">
        <v>8778</v>
      </c>
      <c r="Q341" s="23">
        <v>42139</v>
      </c>
      <c r="R341" s="106">
        <v>8778</v>
      </c>
      <c r="S341" s="48">
        <f t="shared" si="11"/>
        <v>0</v>
      </c>
      <c r="T341" s="39" t="s">
        <v>9</v>
      </c>
    </row>
    <row r="342" spans="1:20" x14ac:dyDescent="0.25">
      <c r="A342" s="20">
        <v>42128</v>
      </c>
      <c r="B342" s="183">
        <v>19916</v>
      </c>
      <c r="C342" s="14" t="s">
        <v>35</v>
      </c>
      <c r="D342" s="105">
        <v>24496.6</v>
      </c>
      <c r="E342" s="23">
        <v>42128</v>
      </c>
      <c r="F342" s="106">
        <v>24496.6</v>
      </c>
      <c r="G342" s="31">
        <f t="shared" si="10"/>
        <v>0</v>
      </c>
      <c r="H342" s="19" t="s">
        <v>773</v>
      </c>
      <c r="K342" s="3"/>
      <c r="M342" s="20">
        <v>42140</v>
      </c>
      <c r="N342" s="183">
        <v>21213</v>
      </c>
      <c r="O342" s="14" t="s">
        <v>1297</v>
      </c>
      <c r="P342" s="105">
        <v>9714</v>
      </c>
      <c r="Q342" s="23">
        <v>42140</v>
      </c>
      <c r="R342" s="106">
        <v>9714</v>
      </c>
      <c r="S342" s="48">
        <f t="shared" si="11"/>
        <v>0</v>
      </c>
      <c r="T342" s="39" t="s">
        <v>9</v>
      </c>
    </row>
    <row r="343" spans="1:20" x14ac:dyDescent="0.25">
      <c r="A343" s="20">
        <v>42128</v>
      </c>
      <c r="B343" s="183">
        <v>19917</v>
      </c>
      <c r="C343" s="14" t="s">
        <v>233</v>
      </c>
      <c r="D343" s="105">
        <v>11962.4</v>
      </c>
      <c r="E343" s="23">
        <v>42128</v>
      </c>
      <c r="F343" s="106">
        <v>11962.4</v>
      </c>
      <c r="G343" s="31">
        <f t="shared" si="10"/>
        <v>0</v>
      </c>
      <c r="H343" s="19" t="s">
        <v>773</v>
      </c>
      <c r="K343" s="3"/>
      <c r="M343" s="20">
        <v>42141</v>
      </c>
      <c r="N343" s="183">
        <v>21331</v>
      </c>
      <c r="O343" s="14" t="s">
        <v>1297</v>
      </c>
      <c r="P343" s="105">
        <v>5064</v>
      </c>
      <c r="Q343" s="51">
        <v>42141</v>
      </c>
      <c r="R343" s="118">
        <v>5064</v>
      </c>
      <c r="S343" s="31">
        <f t="shared" si="11"/>
        <v>0</v>
      </c>
      <c r="T343" s="62" t="s">
        <v>9</v>
      </c>
    </row>
    <row r="344" spans="1:20" x14ac:dyDescent="0.25">
      <c r="A344" s="20">
        <v>42128</v>
      </c>
      <c r="B344" s="183">
        <v>19918</v>
      </c>
      <c r="C344" s="14" t="s">
        <v>91</v>
      </c>
      <c r="D344" s="105">
        <v>24713.1</v>
      </c>
      <c r="E344" s="23">
        <v>42128</v>
      </c>
      <c r="F344" s="106">
        <v>24713.1</v>
      </c>
      <c r="G344" s="31">
        <f t="shared" si="10"/>
        <v>0</v>
      </c>
      <c r="H344" s="19" t="s">
        <v>59</v>
      </c>
      <c r="J344" s="107"/>
      <c r="K344" s="3"/>
      <c r="M344" s="20">
        <v>42142</v>
      </c>
      <c r="N344" s="183">
        <v>21398</v>
      </c>
      <c r="O344" s="14" t="s">
        <v>1297</v>
      </c>
      <c r="P344" s="105">
        <v>5050.8</v>
      </c>
      <c r="Q344" s="23">
        <v>42142</v>
      </c>
      <c r="R344" s="118">
        <v>5050.8</v>
      </c>
      <c r="S344" s="31">
        <f t="shared" si="11"/>
        <v>0</v>
      </c>
      <c r="T344" s="56" t="s">
        <v>9</v>
      </c>
    </row>
    <row r="345" spans="1:20" x14ac:dyDescent="0.25">
      <c r="A345" s="20">
        <v>42128</v>
      </c>
      <c r="B345" s="183">
        <v>19919</v>
      </c>
      <c r="C345" s="14" t="s">
        <v>256</v>
      </c>
      <c r="D345" s="105">
        <v>5427.58</v>
      </c>
      <c r="E345" s="23">
        <v>42128</v>
      </c>
      <c r="F345" s="106">
        <v>5427.58</v>
      </c>
      <c r="G345" s="31">
        <f t="shared" si="10"/>
        <v>0</v>
      </c>
      <c r="H345" s="19" t="s">
        <v>773</v>
      </c>
      <c r="J345" s="107"/>
      <c r="K345" s="3"/>
      <c r="M345" s="20">
        <v>42143</v>
      </c>
      <c r="N345" s="183">
        <v>21545</v>
      </c>
      <c r="O345" s="14" t="s">
        <v>1297</v>
      </c>
      <c r="P345" s="105">
        <v>5718</v>
      </c>
      <c r="Q345" s="23">
        <v>42143</v>
      </c>
      <c r="R345" s="118">
        <v>5718</v>
      </c>
      <c r="S345" s="31">
        <f t="shared" si="11"/>
        <v>0</v>
      </c>
      <c r="T345" s="56" t="s">
        <v>9</v>
      </c>
    </row>
    <row r="346" spans="1:20" x14ac:dyDescent="0.25">
      <c r="A346" s="20">
        <v>42128</v>
      </c>
      <c r="B346" s="183">
        <v>19920</v>
      </c>
      <c r="C346" s="26" t="s">
        <v>218</v>
      </c>
      <c r="D346" s="105">
        <v>0</v>
      </c>
      <c r="E346" s="23"/>
      <c r="F346" s="106"/>
      <c r="G346" s="31">
        <f t="shared" si="10"/>
        <v>0</v>
      </c>
      <c r="H346" s="19" t="s">
        <v>13</v>
      </c>
      <c r="J346" s="107"/>
      <c r="K346" s="3"/>
      <c r="M346" s="20">
        <v>42144</v>
      </c>
      <c r="N346" s="183">
        <v>21628</v>
      </c>
      <c r="O346" s="14" t="s">
        <v>1297</v>
      </c>
      <c r="P346" s="105">
        <v>5276.2</v>
      </c>
      <c r="Q346" s="23">
        <v>42144</v>
      </c>
      <c r="R346" s="118">
        <v>5276.2</v>
      </c>
      <c r="S346" s="31">
        <f t="shared" si="11"/>
        <v>0</v>
      </c>
      <c r="T346" s="62" t="s">
        <v>9</v>
      </c>
    </row>
    <row r="347" spans="1:20" x14ac:dyDescent="0.25">
      <c r="A347" s="20">
        <v>42128</v>
      </c>
      <c r="B347" s="183">
        <v>19921</v>
      </c>
      <c r="C347" s="14" t="s">
        <v>37</v>
      </c>
      <c r="D347" s="105">
        <v>14378.2</v>
      </c>
      <c r="E347" s="23">
        <v>42136</v>
      </c>
      <c r="F347" s="106">
        <v>14378.2</v>
      </c>
      <c r="G347" s="31">
        <f t="shared" si="10"/>
        <v>0</v>
      </c>
      <c r="H347" s="19" t="s">
        <v>773</v>
      </c>
      <c r="J347" s="107"/>
      <c r="K347" s="3"/>
      <c r="M347" s="20">
        <v>42145</v>
      </c>
      <c r="N347" s="183">
        <v>21726</v>
      </c>
      <c r="O347" s="14" t="s">
        <v>1297</v>
      </c>
      <c r="P347" s="105">
        <v>4947.6000000000004</v>
      </c>
      <c r="Q347" s="23">
        <v>42145</v>
      </c>
      <c r="R347" s="106">
        <v>4947.6000000000004</v>
      </c>
      <c r="S347" s="31">
        <f t="shared" si="11"/>
        <v>0</v>
      </c>
      <c r="T347" s="39" t="s">
        <v>9</v>
      </c>
    </row>
    <row r="348" spans="1:20" x14ac:dyDescent="0.25">
      <c r="A348" s="20">
        <v>42128</v>
      </c>
      <c r="B348" s="183">
        <v>19922</v>
      </c>
      <c r="C348" s="14" t="s">
        <v>103</v>
      </c>
      <c r="D348" s="105">
        <v>24353.5</v>
      </c>
      <c r="E348" s="23">
        <v>42129</v>
      </c>
      <c r="F348" s="106">
        <v>24353.5</v>
      </c>
      <c r="G348" s="31">
        <f t="shared" si="10"/>
        <v>0</v>
      </c>
      <c r="H348" s="19" t="s">
        <v>1013</v>
      </c>
      <c r="J348" s="107"/>
      <c r="K348" s="3"/>
      <c r="M348" s="20">
        <v>42145</v>
      </c>
      <c r="N348" s="183">
        <v>21778</v>
      </c>
      <c r="O348" s="15" t="s">
        <v>1297</v>
      </c>
      <c r="P348" s="122">
        <v>2703.2</v>
      </c>
      <c r="Q348" s="23">
        <v>42145</v>
      </c>
      <c r="R348" s="118">
        <v>2703.2</v>
      </c>
      <c r="S348" s="31">
        <f t="shared" si="11"/>
        <v>0</v>
      </c>
      <c r="T348" s="68" t="s">
        <v>9</v>
      </c>
    </row>
    <row r="349" spans="1:20" x14ac:dyDescent="0.25">
      <c r="A349" s="20">
        <v>42128</v>
      </c>
      <c r="B349" s="183">
        <v>19923</v>
      </c>
      <c r="C349" s="14" t="s">
        <v>1187</v>
      </c>
      <c r="D349" s="105">
        <v>2203.1999999999998</v>
      </c>
      <c r="E349" s="23">
        <v>42129</v>
      </c>
      <c r="F349" s="106">
        <v>2203.1999999999998</v>
      </c>
      <c r="G349" s="31">
        <f t="shared" si="10"/>
        <v>0</v>
      </c>
      <c r="H349" s="19" t="s">
        <v>59</v>
      </c>
      <c r="K349" s="3"/>
      <c r="M349" s="20">
        <v>42147</v>
      </c>
      <c r="N349" s="183">
        <v>21977</v>
      </c>
      <c r="O349" s="14" t="s">
        <v>1297</v>
      </c>
      <c r="P349" s="105">
        <v>6329.6</v>
      </c>
      <c r="Q349" s="152" t="s">
        <v>1299</v>
      </c>
      <c r="R349" s="106">
        <f>6000+329.6</f>
        <v>6329.6</v>
      </c>
      <c r="S349" s="31">
        <f t="shared" si="11"/>
        <v>0</v>
      </c>
      <c r="T349" s="39" t="s">
        <v>9</v>
      </c>
    </row>
    <row r="350" spans="1:20" x14ac:dyDescent="0.25">
      <c r="A350" s="20">
        <v>42128</v>
      </c>
      <c r="B350" s="183">
        <v>19924</v>
      </c>
      <c r="C350" s="14" t="s">
        <v>53</v>
      </c>
      <c r="D350" s="105">
        <v>1445</v>
      </c>
      <c r="E350" s="23">
        <v>42128</v>
      </c>
      <c r="F350" s="106">
        <v>1445</v>
      </c>
      <c r="G350" s="31">
        <f t="shared" si="10"/>
        <v>0</v>
      </c>
      <c r="H350" s="19" t="s">
        <v>59</v>
      </c>
      <c r="K350" s="3"/>
      <c r="M350" s="20">
        <v>42148</v>
      </c>
      <c r="N350" s="183">
        <v>22079</v>
      </c>
      <c r="O350" s="14" t="s">
        <v>1297</v>
      </c>
      <c r="P350" s="105">
        <v>2662.4</v>
      </c>
      <c r="Q350" s="65">
        <v>42148</v>
      </c>
      <c r="R350" s="106">
        <v>2662.4</v>
      </c>
      <c r="S350" s="31">
        <f t="shared" si="11"/>
        <v>0</v>
      </c>
      <c r="T350" s="39" t="s">
        <v>9</v>
      </c>
    </row>
    <row r="351" spans="1:20" x14ac:dyDescent="0.25">
      <c r="A351" s="20">
        <v>42128</v>
      </c>
      <c r="B351" s="183">
        <v>19925</v>
      </c>
      <c r="C351" s="14" t="s">
        <v>82</v>
      </c>
      <c r="D351" s="105">
        <v>2226.9</v>
      </c>
      <c r="E351" s="23">
        <v>42128</v>
      </c>
      <c r="F351" s="106">
        <v>2226.9</v>
      </c>
      <c r="G351" s="31">
        <f t="shared" si="10"/>
        <v>0</v>
      </c>
      <c r="H351" s="19" t="s">
        <v>59</v>
      </c>
      <c r="K351" s="3"/>
      <c r="M351" s="20">
        <v>42128</v>
      </c>
      <c r="N351" s="183">
        <v>19999</v>
      </c>
      <c r="O351" s="14" t="s">
        <v>851</v>
      </c>
      <c r="P351" s="105">
        <v>2526.1999999999998</v>
      </c>
      <c r="Q351" s="23">
        <v>42129</v>
      </c>
      <c r="R351" s="106">
        <v>2526.1999999999998</v>
      </c>
      <c r="S351" s="31">
        <f t="shared" si="11"/>
        <v>0</v>
      </c>
      <c r="T351" s="19" t="s">
        <v>41</v>
      </c>
    </row>
    <row r="352" spans="1:20" x14ac:dyDescent="0.25">
      <c r="A352" s="20">
        <v>42128</v>
      </c>
      <c r="B352" s="183">
        <v>19926</v>
      </c>
      <c r="C352" s="14" t="s">
        <v>292</v>
      </c>
      <c r="D352" s="105">
        <v>2297.1</v>
      </c>
      <c r="E352" s="23">
        <v>42128</v>
      </c>
      <c r="F352" s="106">
        <v>2297.1</v>
      </c>
      <c r="G352" s="31">
        <f t="shared" si="10"/>
        <v>0</v>
      </c>
      <c r="H352" s="19" t="s">
        <v>59</v>
      </c>
      <c r="K352" s="3"/>
      <c r="M352" s="20">
        <v>42132</v>
      </c>
      <c r="N352" s="183">
        <v>20463</v>
      </c>
      <c r="O352" s="14" t="s">
        <v>851</v>
      </c>
      <c r="P352" s="105">
        <v>1145.8</v>
      </c>
      <c r="Q352" s="23">
        <v>42133</v>
      </c>
      <c r="R352" s="106">
        <v>1145.8</v>
      </c>
      <c r="S352" s="31">
        <f t="shared" si="11"/>
        <v>0</v>
      </c>
      <c r="T352" s="19" t="s">
        <v>41</v>
      </c>
    </row>
    <row r="353" spans="1:20" x14ac:dyDescent="0.25">
      <c r="A353" s="20">
        <v>42128</v>
      </c>
      <c r="B353" s="183">
        <v>19927</v>
      </c>
      <c r="C353" s="14" t="s">
        <v>169</v>
      </c>
      <c r="D353" s="105">
        <v>1404</v>
      </c>
      <c r="E353" s="23">
        <v>42129</v>
      </c>
      <c r="F353" s="106">
        <v>1404</v>
      </c>
      <c r="G353" s="31">
        <f t="shared" si="10"/>
        <v>0</v>
      </c>
      <c r="H353" s="19" t="s">
        <v>59</v>
      </c>
      <c r="K353" s="3"/>
      <c r="M353" s="20">
        <v>42135</v>
      </c>
      <c r="N353" s="183">
        <v>20788</v>
      </c>
      <c r="O353" s="14" t="s">
        <v>851</v>
      </c>
      <c r="P353" s="105">
        <v>2033.2</v>
      </c>
      <c r="Q353" s="23">
        <v>42136</v>
      </c>
      <c r="R353" s="106">
        <v>2033.2</v>
      </c>
      <c r="S353" s="31">
        <f t="shared" si="11"/>
        <v>0</v>
      </c>
      <c r="T353" s="19" t="s">
        <v>41</v>
      </c>
    </row>
    <row r="354" spans="1:20" x14ac:dyDescent="0.25">
      <c r="A354" s="20">
        <v>42128</v>
      </c>
      <c r="B354" s="183">
        <v>19928</v>
      </c>
      <c r="C354" s="14" t="s">
        <v>664</v>
      </c>
      <c r="D354" s="105">
        <v>768</v>
      </c>
      <c r="E354" s="23">
        <v>42128</v>
      </c>
      <c r="F354" s="106">
        <v>768</v>
      </c>
      <c r="G354" s="31">
        <f t="shared" si="10"/>
        <v>0</v>
      </c>
      <c r="H354" s="19" t="s">
        <v>59</v>
      </c>
      <c r="K354" s="3"/>
      <c r="M354" s="20">
        <v>42142</v>
      </c>
      <c r="N354" s="183">
        <v>21529</v>
      </c>
      <c r="O354" s="14" t="s">
        <v>851</v>
      </c>
      <c r="P354" s="105">
        <v>2264.4</v>
      </c>
      <c r="Q354" s="23">
        <v>42143</v>
      </c>
      <c r="R354" s="118">
        <v>2264.4</v>
      </c>
      <c r="S354" s="31">
        <f t="shared" si="11"/>
        <v>0</v>
      </c>
      <c r="T354" s="56" t="s">
        <v>9</v>
      </c>
    </row>
    <row r="355" spans="1:20" x14ac:dyDescent="0.25">
      <c r="A355" s="20">
        <v>42128</v>
      </c>
      <c r="B355" s="183">
        <v>19929</v>
      </c>
      <c r="C355" s="14" t="s">
        <v>1300</v>
      </c>
      <c r="D355" s="105">
        <v>631.79999999999995</v>
      </c>
      <c r="E355" s="23">
        <v>42128</v>
      </c>
      <c r="F355" s="106">
        <v>631.79999999999995</v>
      </c>
      <c r="G355" s="31">
        <f t="shared" si="10"/>
        <v>0</v>
      </c>
      <c r="H355" s="19" t="s">
        <v>9</v>
      </c>
      <c r="K355" s="3"/>
      <c r="M355" s="20">
        <v>42145</v>
      </c>
      <c r="N355" s="183">
        <v>21830</v>
      </c>
      <c r="O355" s="15" t="s">
        <v>851</v>
      </c>
      <c r="P355" s="122">
        <v>1209.5999999999999</v>
      </c>
      <c r="Q355" s="23">
        <v>42146</v>
      </c>
      <c r="R355" s="118">
        <v>1209.5999999999999</v>
      </c>
      <c r="S355" s="31">
        <f t="shared" si="11"/>
        <v>0</v>
      </c>
      <c r="T355" s="68" t="s">
        <v>59</v>
      </c>
    </row>
    <row r="356" spans="1:20" x14ac:dyDescent="0.25">
      <c r="A356" s="20">
        <v>42128</v>
      </c>
      <c r="B356" s="183">
        <v>19930</v>
      </c>
      <c r="C356" s="14" t="s">
        <v>120</v>
      </c>
      <c r="D356" s="105">
        <v>1485.9</v>
      </c>
      <c r="E356" s="23">
        <v>42128</v>
      </c>
      <c r="F356" s="106">
        <v>1485.9</v>
      </c>
      <c r="G356" s="31">
        <f t="shared" si="10"/>
        <v>0</v>
      </c>
      <c r="H356" s="19" t="s">
        <v>59</v>
      </c>
      <c r="K356" s="3"/>
      <c r="M356" s="20">
        <v>42149</v>
      </c>
      <c r="N356" s="183">
        <v>22245</v>
      </c>
      <c r="O356" s="14" t="s">
        <v>851</v>
      </c>
      <c r="P356" s="105">
        <v>2527.1999999999998</v>
      </c>
      <c r="Q356" s="65">
        <v>42150</v>
      </c>
      <c r="R356" s="106">
        <v>2527.1999999999998</v>
      </c>
      <c r="S356" s="31">
        <f t="shared" si="11"/>
        <v>0</v>
      </c>
      <c r="T356" s="39" t="s">
        <v>1257</v>
      </c>
    </row>
    <row r="357" spans="1:20" x14ac:dyDescent="0.25">
      <c r="A357" s="20">
        <v>42128</v>
      </c>
      <c r="B357" s="183">
        <v>19931</v>
      </c>
      <c r="C357" s="14" t="s">
        <v>81</v>
      </c>
      <c r="D357" s="105">
        <v>1691.2</v>
      </c>
      <c r="E357" s="23">
        <v>42128</v>
      </c>
      <c r="F357" s="106">
        <v>1691.2</v>
      </c>
      <c r="G357" s="31">
        <f t="shared" si="10"/>
        <v>0</v>
      </c>
      <c r="H357" s="19" t="s">
        <v>59</v>
      </c>
      <c r="K357" s="3"/>
      <c r="M357" s="20">
        <v>42126</v>
      </c>
      <c r="N357" s="183">
        <v>19761</v>
      </c>
      <c r="O357" s="40" t="s">
        <v>91</v>
      </c>
      <c r="P357" s="105">
        <v>12201.04</v>
      </c>
      <c r="Q357" s="23">
        <v>42127</v>
      </c>
      <c r="R357" s="106">
        <v>12201.04</v>
      </c>
      <c r="S357" s="25">
        <f t="shared" si="11"/>
        <v>0</v>
      </c>
      <c r="T357" s="41" t="s">
        <v>9</v>
      </c>
    </row>
    <row r="358" spans="1:20" x14ac:dyDescent="0.25">
      <c r="A358" s="20">
        <v>42128</v>
      </c>
      <c r="B358" s="183">
        <v>19932</v>
      </c>
      <c r="C358" s="14" t="s">
        <v>24</v>
      </c>
      <c r="D358" s="105">
        <v>44511.7</v>
      </c>
      <c r="E358" s="23">
        <v>42151</v>
      </c>
      <c r="F358" s="106">
        <v>44511.7</v>
      </c>
      <c r="G358" s="31">
        <f t="shared" si="10"/>
        <v>0</v>
      </c>
      <c r="H358" s="19" t="s">
        <v>312</v>
      </c>
      <c r="K358" s="3"/>
      <c r="M358" s="20">
        <v>42128</v>
      </c>
      <c r="N358" s="183">
        <v>19918</v>
      </c>
      <c r="O358" s="14" t="s">
        <v>91</v>
      </c>
      <c r="P358" s="105">
        <v>24713.1</v>
      </c>
      <c r="Q358" s="23">
        <v>42128</v>
      </c>
      <c r="R358" s="106">
        <v>24713.1</v>
      </c>
      <c r="S358" s="31">
        <f t="shared" si="11"/>
        <v>0</v>
      </c>
      <c r="T358" s="19" t="s">
        <v>59</v>
      </c>
    </row>
    <row r="359" spans="1:20" x14ac:dyDescent="0.25">
      <c r="A359" s="20">
        <v>42128</v>
      </c>
      <c r="B359" s="183">
        <v>19933</v>
      </c>
      <c r="C359" s="14" t="s">
        <v>26</v>
      </c>
      <c r="D359" s="105">
        <v>1632</v>
      </c>
      <c r="E359" s="23">
        <v>42128</v>
      </c>
      <c r="F359" s="106">
        <v>1632</v>
      </c>
      <c r="G359" s="31">
        <f t="shared" si="10"/>
        <v>0</v>
      </c>
      <c r="H359" s="19" t="s">
        <v>27</v>
      </c>
      <c r="K359" s="3"/>
      <c r="M359" s="20">
        <v>42130</v>
      </c>
      <c r="N359" s="183">
        <v>20155</v>
      </c>
      <c r="O359" s="14" t="s">
        <v>91</v>
      </c>
      <c r="P359" s="105">
        <v>22630.99</v>
      </c>
      <c r="Q359" s="23">
        <v>42131</v>
      </c>
      <c r="R359" s="106">
        <v>22630.99</v>
      </c>
      <c r="S359" s="31">
        <f t="shared" si="11"/>
        <v>0</v>
      </c>
      <c r="T359" s="39" t="s">
        <v>1013</v>
      </c>
    </row>
    <row r="360" spans="1:20" x14ac:dyDescent="0.25">
      <c r="A360" s="20">
        <v>42128</v>
      </c>
      <c r="B360" s="183">
        <v>19934</v>
      </c>
      <c r="C360" s="14" t="s">
        <v>57</v>
      </c>
      <c r="D360" s="105">
        <v>1800</v>
      </c>
      <c r="E360" s="23">
        <v>42128</v>
      </c>
      <c r="F360" s="106">
        <v>1800</v>
      </c>
      <c r="G360" s="31">
        <f t="shared" si="10"/>
        <v>0</v>
      </c>
      <c r="H360" s="19" t="s">
        <v>27</v>
      </c>
      <c r="K360" s="3"/>
      <c r="M360" s="20">
        <v>42132</v>
      </c>
      <c r="N360" s="183">
        <v>20372</v>
      </c>
      <c r="O360" s="14" t="s">
        <v>91</v>
      </c>
      <c r="P360" s="105">
        <v>34419.599999999999</v>
      </c>
      <c r="Q360" s="23">
        <v>42133</v>
      </c>
      <c r="R360" s="106">
        <v>34419.599999999999</v>
      </c>
      <c r="S360" s="31">
        <f t="shared" si="11"/>
        <v>0</v>
      </c>
      <c r="T360" s="19" t="s">
        <v>59</v>
      </c>
    </row>
    <row r="361" spans="1:20" x14ac:dyDescent="0.25">
      <c r="A361" s="20">
        <v>42128</v>
      </c>
      <c r="B361" s="183">
        <v>19935</v>
      </c>
      <c r="C361" s="14" t="s">
        <v>906</v>
      </c>
      <c r="D361" s="105">
        <v>1220.5999999999999</v>
      </c>
      <c r="E361" s="23">
        <v>42128</v>
      </c>
      <c r="F361" s="106">
        <v>1220.5999999999999</v>
      </c>
      <c r="G361" s="31">
        <f t="shared" si="10"/>
        <v>0</v>
      </c>
      <c r="H361" s="19" t="s">
        <v>41</v>
      </c>
      <c r="K361" s="3"/>
      <c r="M361" s="20">
        <v>42133</v>
      </c>
      <c r="N361" s="183">
        <v>20574</v>
      </c>
      <c r="O361" s="14" t="s">
        <v>91</v>
      </c>
      <c r="P361" s="105">
        <v>25180.2</v>
      </c>
      <c r="Q361" s="23">
        <v>42134</v>
      </c>
      <c r="R361" s="106">
        <v>25180.2</v>
      </c>
      <c r="S361" s="31">
        <f t="shared" si="11"/>
        <v>0</v>
      </c>
      <c r="T361" s="19" t="s">
        <v>59</v>
      </c>
    </row>
    <row r="362" spans="1:20" ht="15.75" customHeight="1" x14ac:dyDescent="0.25">
      <c r="A362" s="20">
        <v>42128</v>
      </c>
      <c r="B362" s="183">
        <v>19936</v>
      </c>
      <c r="C362" s="14" t="s">
        <v>136</v>
      </c>
      <c r="D362" s="105">
        <v>34122.400000000001</v>
      </c>
      <c r="E362" s="23">
        <v>42129</v>
      </c>
      <c r="F362" s="106">
        <v>34122.400000000001</v>
      </c>
      <c r="G362" s="31">
        <f t="shared" si="10"/>
        <v>0</v>
      </c>
      <c r="H362" s="19" t="s">
        <v>9</v>
      </c>
      <c r="K362" s="3"/>
      <c r="M362" s="20">
        <v>42142</v>
      </c>
      <c r="N362" s="183">
        <v>21485</v>
      </c>
      <c r="O362" s="14" t="s">
        <v>91</v>
      </c>
      <c r="P362" s="105">
        <v>37714.639999999999</v>
      </c>
      <c r="Q362" s="65">
        <v>42142</v>
      </c>
      <c r="R362" s="106">
        <v>37714.639999999999</v>
      </c>
      <c r="S362" s="31">
        <f t="shared" si="11"/>
        <v>0</v>
      </c>
      <c r="T362" s="19" t="s">
        <v>59</v>
      </c>
    </row>
    <row r="363" spans="1:20" x14ac:dyDescent="0.25">
      <c r="A363" s="20">
        <v>42128</v>
      </c>
      <c r="B363" s="183">
        <v>19937</v>
      </c>
      <c r="C363" s="14" t="s">
        <v>49</v>
      </c>
      <c r="D363" s="105">
        <v>1260</v>
      </c>
      <c r="E363" s="23">
        <v>42128</v>
      </c>
      <c r="F363" s="106">
        <v>1260</v>
      </c>
      <c r="G363" s="31">
        <f t="shared" si="10"/>
        <v>0</v>
      </c>
      <c r="H363" s="19" t="s">
        <v>41</v>
      </c>
      <c r="K363" s="3"/>
      <c r="M363" s="20">
        <v>42145</v>
      </c>
      <c r="N363" s="183">
        <v>21740</v>
      </c>
      <c r="O363" s="15" t="s">
        <v>91</v>
      </c>
      <c r="P363" s="122">
        <v>23593.279999999999</v>
      </c>
      <c r="Q363" s="23">
        <v>42145</v>
      </c>
      <c r="R363" s="106">
        <v>23593.279999999999</v>
      </c>
      <c r="S363" s="31">
        <f t="shared" si="11"/>
        <v>0</v>
      </c>
      <c r="T363" s="68" t="s">
        <v>59</v>
      </c>
    </row>
    <row r="364" spans="1:20" x14ac:dyDescent="0.25">
      <c r="A364" s="20">
        <v>42128</v>
      </c>
      <c r="B364" s="183">
        <v>19938</v>
      </c>
      <c r="C364" s="14" t="s">
        <v>215</v>
      </c>
      <c r="D364" s="105">
        <v>16286.2</v>
      </c>
      <c r="E364" s="23">
        <v>42128</v>
      </c>
      <c r="F364" s="106">
        <v>16286.2</v>
      </c>
      <c r="G364" s="31">
        <f t="shared" si="10"/>
        <v>0</v>
      </c>
      <c r="H364" s="19" t="s">
        <v>1257</v>
      </c>
      <c r="K364" s="3"/>
      <c r="M364" s="20">
        <v>42149</v>
      </c>
      <c r="N364" s="183">
        <v>22139</v>
      </c>
      <c r="O364" s="14" t="s">
        <v>91</v>
      </c>
      <c r="P364" s="105">
        <v>10115</v>
      </c>
      <c r="Q364" s="65">
        <v>42149</v>
      </c>
      <c r="R364" s="106">
        <v>10115</v>
      </c>
      <c r="S364" s="31">
        <f t="shared" si="11"/>
        <v>0</v>
      </c>
      <c r="T364" s="39" t="s">
        <v>59</v>
      </c>
    </row>
    <row r="365" spans="1:20" x14ac:dyDescent="0.25">
      <c r="A365" s="20">
        <v>42128</v>
      </c>
      <c r="B365" s="183">
        <v>19939</v>
      </c>
      <c r="C365" s="14" t="s">
        <v>131</v>
      </c>
      <c r="D365" s="105">
        <v>7477.2</v>
      </c>
      <c r="E365" s="23">
        <v>42128</v>
      </c>
      <c r="F365" s="106">
        <v>7477.2</v>
      </c>
      <c r="G365" s="31">
        <f t="shared" si="10"/>
        <v>0</v>
      </c>
      <c r="H365" s="19" t="s">
        <v>1257</v>
      </c>
      <c r="K365" s="3"/>
      <c r="M365" s="20">
        <v>42153</v>
      </c>
      <c r="N365" s="183">
        <v>22547</v>
      </c>
      <c r="O365" s="14" t="s">
        <v>91</v>
      </c>
      <c r="P365" s="105">
        <v>25794.58</v>
      </c>
      <c r="Q365" s="23">
        <v>42153</v>
      </c>
      <c r="R365" s="106">
        <v>25794.58</v>
      </c>
      <c r="S365" s="31">
        <f t="shared" si="11"/>
        <v>0</v>
      </c>
      <c r="T365" s="39" t="s">
        <v>59</v>
      </c>
    </row>
    <row r="366" spans="1:20" x14ac:dyDescent="0.25">
      <c r="A366" s="20">
        <v>42128</v>
      </c>
      <c r="B366" s="183">
        <v>19940</v>
      </c>
      <c r="C366" s="14" t="s">
        <v>130</v>
      </c>
      <c r="D366" s="105">
        <v>6086.2</v>
      </c>
      <c r="E366" s="23">
        <v>42128</v>
      </c>
      <c r="F366" s="106">
        <v>6086.2</v>
      </c>
      <c r="G366" s="31">
        <f t="shared" si="10"/>
        <v>0</v>
      </c>
      <c r="H366" s="19" t="s">
        <v>1257</v>
      </c>
      <c r="K366" s="3"/>
      <c r="M366" s="20">
        <v>42154</v>
      </c>
      <c r="N366" s="183">
        <v>22695</v>
      </c>
      <c r="O366" s="14" t="s">
        <v>91</v>
      </c>
      <c r="P366" s="105">
        <v>27782</v>
      </c>
      <c r="Q366" s="23">
        <v>42154</v>
      </c>
      <c r="R366" s="106">
        <v>27782</v>
      </c>
      <c r="S366" s="31">
        <f t="shared" si="11"/>
        <v>0</v>
      </c>
      <c r="T366" s="39" t="s">
        <v>59</v>
      </c>
    </row>
    <row r="367" spans="1:20" x14ac:dyDescent="0.25">
      <c r="A367" s="20">
        <v>42128</v>
      </c>
      <c r="B367" s="183">
        <v>19941</v>
      </c>
      <c r="C367" s="14" t="s">
        <v>589</v>
      </c>
      <c r="D367" s="105">
        <v>4713.5</v>
      </c>
      <c r="E367" s="23">
        <v>42128</v>
      </c>
      <c r="F367" s="106">
        <v>4713.5</v>
      </c>
      <c r="G367" s="31">
        <f t="shared" si="10"/>
        <v>0</v>
      </c>
      <c r="H367" s="19" t="s">
        <v>1257</v>
      </c>
      <c r="J367" s="107"/>
      <c r="K367" s="3"/>
      <c r="M367" s="20">
        <v>42155</v>
      </c>
      <c r="N367" s="183">
        <v>22798</v>
      </c>
      <c r="O367" s="14" t="s">
        <v>91</v>
      </c>
      <c r="P367" s="105">
        <v>25960</v>
      </c>
      <c r="Q367" s="23">
        <v>42155</v>
      </c>
      <c r="R367" s="106">
        <v>25960</v>
      </c>
      <c r="S367" s="31">
        <f t="shared" si="11"/>
        <v>0</v>
      </c>
      <c r="T367" s="39" t="s">
        <v>59</v>
      </c>
    </row>
    <row r="368" spans="1:20" x14ac:dyDescent="0.25">
      <c r="A368" s="20">
        <v>42128</v>
      </c>
      <c r="B368" s="183">
        <v>19942</v>
      </c>
      <c r="C368" s="14" t="s">
        <v>299</v>
      </c>
      <c r="D368" s="105">
        <v>2388.4</v>
      </c>
      <c r="E368" s="23">
        <v>42128</v>
      </c>
      <c r="F368" s="106">
        <v>2388.4</v>
      </c>
      <c r="G368" s="31">
        <f t="shared" si="10"/>
        <v>0</v>
      </c>
      <c r="H368" s="19" t="s">
        <v>1257</v>
      </c>
      <c r="K368" s="3"/>
      <c r="M368" s="20">
        <v>42135</v>
      </c>
      <c r="N368" s="183">
        <v>20745</v>
      </c>
      <c r="O368" s="14" t="s">
        <v>328</v>
      </c>
      <c r="P368" s="105">
        <v>60</v>
      </c>
      <c r="Q368" s="23">
        <v>42136</v>
      </c>
      <c r="R368" s="106">
        <v>60</v>
      </c>
      <c r="S368" s="31">
        <f t="shared" si="11"/>
        <v>0</v>
      </c>
      <c r="T368" s="19" t="s">
        <v>9</v>
      </c>
    </row>
    <row r="369" spans="1:20" x14ac:dyDescent="0.25">
      <c r="A369" s="20">
        <v>42128</v>
      </c>
      <c r="B369" s="183">
        <v>19943</v>
      </c>
      <c r="C369" s="14" t="s">
        <v>215</v>
      </c>
      <c r="D369" s="105">
        <v>628.32000000000005</v>
      </c>
      <c r="E369" s="23">
        <v>42128</v>
      </c>
      <c r="F369" s="106">
        <v>628.32000000000005</v>
      </c>
      <c r="G369" s="31">
        <f t="shared" si="10"/>
        <v>0</v>
      </c>
      <c r="H369" s="19" t="s">
        <v>1257</v>
      </c>
      <c r="K369" s="3"/>
      <c r="M369" s="20">
        <v>42141</v>
      </c>
      <c r="N369" s="183">
        <v>21384</v>
      </c>
      <c r="O369" s="14" t="s">
        <v>328</v>
      </c>
      <c r="P369" s="105">
        <v>52.2</v>
      </c>
      <c r="Q369" s="23">
        <v>42142</v>
      </c>
      <c r="R369" s="118">
        <v>52.2</v>
      </c>
      <c r="S369" s="31">
        <f t="shared" si="11"/>
        <v>0</v>
      </c>
      <c r="T369" s="56" t="s">
        <v>9</v>
      </c>
    </row>
    <row r="370" spans="1:20" x14ac:dyDescent="0.25">
      <c r="A370" s="20">
        <v>42128</v>
      </c>
      <c r="B370" s="183">
        <v>19944</v>
      </c>
      <c r="C370" s="14" t="s">
        <v>78</v>
      </c>
      <c r="D370" s="105">
        <v>6933.4</v>
      </c>
      <c r="E370" s="23">
        <v>42129</v>
      </c>
      <c r="F370" s="106">
        <v>6933.4</v>
      </c>
      <c r="G370" s="31">
        <f t="shared" si="10"/>
        <v>0</v>
      </c>
      <c r="H370" s="19" t="s">
        <v>9</v>
      </c>
      <c r="K370" s="3"/>
      <c r="M370" s="20">
        <v>42128</v>
      </c>
      <c r="N370" s="183">
        <v>19950</v>
      </c>
      <c r="O370" s="14" t="s">
        <v>352</v>
      </c>
      <c r="P370" s="105">
        <v>30325.759999999998</v>
      </c>
      <c r="Q370" s="23">
        <v>42129</v>
      </c>
      <c r="R370" s="106">
        <v>30325.759999999998</v>
      </c>
      <c r="S370" s="31">
        <f t="shared" si="11"/>
        <v>0</v>
      </c>
      <c r="T370" s="19" t="s">
        <v>62</v>
      </c>
    </row>
    <row r="371" spans="1:20" x14ac:dyDescent="0.25">
      <c r="A371" s="20">
        <v>42128</v>
      </c>
      <c r="B371" s="183">
        <v>19945</v>
      </c>
      <c r="C371" s="14" t="s">
        <v>67</v>
      </c>
      <c r="D371" s="105">
        <v>3106.2</v>
      </c>
      <c r="E371" s="23">
        <v>42129</v>
      </c>
      <c r="F371" s="106">
        <v>3106.2</v>
      </c>
      <c r="G371" s="31">
        <f t="shared" si="10"/>
        <v>0</v>
      </c>
      <c r="H371" s="19" t="s">
        <v>62</v>
      </c>
      <c r="J371" s="107"/>
      <c r="K371" s="3"/>
      <c r="M371" s="20">
        <v>42137</v>
      </c>
      <c r="N371" s="183">
        <v>20919</v>
      </c>
      <c r="O371" s="14" t="s">
        <v>444</v>
      </c>
      <c r="P371" s="105">
        <v>20091.349999999999</v>
      </c>
      <c r="Q371" s="23">
        <v>42138</v>
      </c>
      <c r="R371" s="106">
        <v>20091.349999999999</v>
      </c>
      <c r="S371" s="31">
        <f t="shared" si="11"/>
        <v>0</v>
      </c>
      <c r="T371" s="19" t="s">
        <v>62</v>
      </c>
    </row>
    <row r="372" spans="1:20" x14ac:dyDescent="0.25">
      <c r="A372" s="20">
        <v>42128</v>
      </c>
      <c r="B372" s="183">
        <v>19946</v>
      </c>
      <c r="C372" s="14" t="s">
        <v>1260</v>
      </c>
      <c r="D372" s="105">
        <v>19281.2</v>
      </c>
      <c r="E372" s="23" t="s">
        <v>1301</v>
      </c>
      <c r="F372" s="106">
        <f>507.4+18773.8</f>
        <v>19281.2</v>
      </c>
      <c r="G372" s="31">
        <f t="shared" si="10"/>
        <v>0</v>
      </c>
      <c r="H372" s="19" t="s">
        <v>46</v>
      </c>
      <c r="K372" s="3"/>
      <c r="M372" s="20">
        <v>42139</v>
      </c>
      <c r="N372" s="183">
        <v>21170</v>
      </c>
      <c r="O372" s="150" t="s">
        <v>444</v>
      </c>
      <c r="P372" s="105">
        <v>23457.71</v>
      </c>
      <c r="Q372" s="23">
        <v>42140</v>
      </c>
      <c r="R372" s="106">
        <v>23457.71</v>
      </c>
      <c r="S372" s="48">
        <f t="shared" si="11"/>
        <v>0</v>
      </c>
      <c r="T372" s="39" t="s">
        <v>62</v>
      </c>
    </row>
    <row r="373" spans="1:20" x14ac:dyDescent="0.25">
      <c r="A373" s="20">
        <v>42128</v>
      </c>
      <c r="B373" s="183">
        <v>19947</v>
      </c>
      <c r="C373" s="14" t="s">
        <v>77</v>
      </c>
      <c r="D373" s="105">
        <v>11186</v>
      </c>
      <c r="E373" s="23">
        <v>42129</v>
      </c>
      <c r="F373" s="106">
        <v>11186</v>
      </c>
      <c r="G373" s="31">
        <f t="shared" si="10"/>
        <v>0</v>
      </c>
      <c r="H373" s="19" t="s">
        <v>62</v>
      </c>
      <c r="K373" s="3"/>
      <c r="M373" s="20">
        <v>42146</v>
      </c>
      <c r="N373" s="183">
        <v>21898</v>
      </c>
      <c r="O373" s="14" t="s">
        <v>444</v>
      </c>
      <c r="P373" s="105">
        <v>1252.1199999999999</v>
      </c>
      <c r="Q373" s="23">
        <v>42148</v>
      </c>
      <c r="R373" s="106">
        <v>1252.1199999999999</v>
      </c>
      <c r="S373" s="31">
        <f t="shared" si="11"/>
        <v>0</v>
      </c>
      <c r="T373" s="39" t="s">
        <v>62</v>
      </c>
    </row>
    <row r="374" spans="1:20" x14ac:dyDescent="0.25">
      <c r="A374" s="20">
        <v>42128</v>
      </c>
      <c r="B374" s="183">
        <v>19948</v>
      </c>
      <c r="C374" s="14" t="s">
        <v>268</v>
      </c>
      <c r="D374" s="105">
        <v>16908.8</v>
      </c>
      <c r="E374" s="23">
        <v>42129</v>
      </c>
      <c r="F374" s="106">
        <v>16908.8</v>
      </c>
      <c r="G374" s="31">
        <f t="shared" si="10"/>
        <v>0</v>
      </c>
      <c r="H374" s="19" t="s">
        <v>62</v>
      </c>
      <c r="K374" s="3"/>
      <c r="M374" s="20">
        <v>42142</v>
      </c>
      <c r="N374" s="183">
        <v>21459</v>
      </c>
      <c r="O374" s="14" t="s">
        <v>1302</v>
      </c>
      <c r="P374" s="105">
        <v>15272.6</v>
      </c>
      <c r="Q374" s="65">
        <v>42144</v>
      </c>
      <c r="R374" s="106">
        <v>15272.6</v>
      </c>
      <c r="S374" s="31">
        <f t="shared" si="11"/>
        <v>0</v>
      </c>
      <c r="T374" s="19" t="s">
        <v>62</v>
      </c>
    </row>
    <row r="375" spans="1:20" x14ac:dyDescent="0.25">
      <c r="A375" s="20">
        <v>42128</v>
      </c>
      <c r="B375" s="183">
        <v>19949</v>
      </c>
      <c r="C375" s="14" t="s">
        <v>225</v>
      </c>
      <c r="D375" s="105">
        <v>2305.1999999999998</v>
      </c>
      <c r="E375" s="23">
        <v>42128</v>
      </c>
      <c r="F375" s="106">
        <v>2305.1999999999998</v>
      </c>
      <c r="G375" s="31">
        <f t="shared" si="10"/>
        <v>0</v>
      </c>
      <c r="H375" s="19" t="s">
        <v>9</v>
      </c>
      <c r="K375" s="3"/>
      <c r="M375" s="20">
        <v>42126</v>
      </c>
      <c r="N375" s="183">
        <v>19786</v>
      </c>
      <c r="O375" s="40" t="s">
        <v>122</v>
      </c>
      <c r="P375" s="105">
        <v>1092</v>
      </c>
      <c r="Q375" s="23">
        <v>42126</v>
      </c>
      <c r="R375" s="106">
        <v>1092</v>
      </c>
      <c r="S375" s="31">
        <f t="shared" si="11"/>
        <v>0</v>
      </c>
      <c r="T375" s="41" t="s">
        <v>9</v>
      </c>
    </row>
    <row r="376" spans="1:20" x14ac:dyDescent="0.25">
      <c r="A376" s="20">
        <v>42128</v>
      </c>
      <c r="B376" s="183">
        <v>19950</v>
      </c>
      <c r="C376" s="14" t="s">
        <v>352</v>
      </c>
      <c r="D376" s="105">
        <v>30325.759999999998</v>
      </c>
      <c r="E376" s="23">
        <v>42129</v>
      </c>
      <c r="F376" s="106">
        <v>30325.759999999998</v>
      </c>
      <c r="G376" s="31">
        <f t="shared" si="10"/>
        <v>0</v>
      </c>
      <c r="H376" s="19" t="s">
        <v>62</v>
      </c>
      <c r="K376" s="3"/>
      <c r="M376" s="20">
        <v>42128</v>
      </c>
      <c r="N376" s="183">
        <v>19899</v>
      </c>
      <c r="O376" s="14" t="s">
        <v>122</v>
      </c>
      <c r="P376" s="105">
        <v>6600</v>
      </c>
      <c r="Q376" s="23">
        <v>42128</v>
      </c>
      <c r="R376" s="106">
        <v>6600</v>
      </c>
      <c r="S376" s="31">
        <f t="shared" si="11"/>
        <v>0</v>
      </c>
      <c r="T376" s="19" t="s">
        <v>9</v>
      </c>
    </row>
    <row r="377" spans="1:20" x14ac:dyDescent="0.25">
      <c r="A377" s="20">
        <v>42128</v>
      </c>
      <c r="B377" s="183">
        <v>19951</v>
      </c>
      <c r="C377" s="14" t="s">
        <v>821</v>
      </c>
      <c r="D377" s="105">
        <v>6525</v>
      </c>
      <c r="E377" s="23">
        <v>42128</v>
      </c>
      <c r="F377" s="106">
        <v>6525</v>
      </c>
      <c r="G377" s="31">
        <f t="shared" si="10"/>
        <v>0</v>
      </c>
      <c r="H377" s="19" t="s">
        <v>9</v>
      </c>
      <c r="K377" s="3"/>
      <c r="M377" s="20">
        <v>42133</v>
      </c>
      <c r="N377" s="183">
        <v>20494</v>
      </c>
      <c r="O377" s="14" t="s">
        <v>122</v>
      </c>
      <c r="P377" s="105">
        <v>3357.2</v>
      </c>
      <c r="Q377" s="23">
        <v>42133</v>
      </c>
      <c r="R377" s="106">
        <v>3357.2</v>
      </c>
      <c r="S377" s="31">
        <f t="shared" si="11"/>
        <v>0</v>
      </c>
      <c r="T377" s="19" t="s">
        <v>9</v>
      </c>
    </row>
    <row r="378" spans="1:20" x14ac:dyDescent="0.25">
      <c r="A378" s="20">
        <v>42128</v>
      </c>
      <c r="B378" s="183">
        <v>19952</v>
      </c>
      <c r="C378" s="14" t="s">
        <v>173</v>
      </c>
      <c r="D378" s="105">
        <v>15864.25</v>
      </c>
      <c r="E378" s="30" t="s">
        <v>1303</v>
      </c>
      <c r="F378" s="106">
        <v>15864.25</v>
      </c>
      <c r="G378" s="31">
        <f t="shared" si="10"/>
        <v>0</v>
      </c>
      <c r="H378" s="19" t="s">
        <v>62</v>
      </c>
      <c r="K378" s="3"/>
      <c r="M378" s="20">
        <v>42134</v>
      </c>
      <c r="N378" s="183">
        <v>20601</v>
      </c>
      <c r="O378" s="14" t="s">
        <v>122</v>
      </c>
      <c r="P378" s="105">
        <v>10489.6</v>
      </c>
      <c r="Q378" s="23">
        <v>42134</v>
      </c>
      <c r="R378" s="118">
        <v>10489.6</v>
      </c>
      <c r="S378" s="31">
        <f t="shared" si="11"/>
        <v>0</v>
      </c>
      <c r="T378" s="56" t="s">
        <v>9</v>
      </c>
    </row>
    <row r="379" spans="1:20" x14ac:dyDescent="0.25">
      <c r="A379" s="20">
        <v>42128</v>
      </c>
      <c r="B379" s="183">
        <v>19953</v>
      </c>
      <c r="C379" s="14" t="s">
        <v>84</v>
      </c>
      <c r="D379" s="105">
        <v>35823.550000000003</v>
      </c>
      <c r="E379" s="30" t="s">
        <v>1304</v>
      </c>
      <c r="F379" s="106">
        <v>35823.550000000003</v>
      </c>
      <c r="G379" s="31">
        <f t="shared" si="10"/>
        <v>0</v>
      </c>
      <c r="H379" s="19" t="s">
        <v>62</v>
      </c>
      <c r="K379" s="3"/>
      <c r="M379" s="20">
        <v>42135</v>
      </c>
      <c r="N379" s="183">
        <v>20675</v>
      </c>
      <c r="O379" s="14" t="s">
        <v>122</v>
      </c>
      <c r="P379" s="105">
        <v>9592</v>
      </c>
      <c r="Q379" s="23">
        <v>42135</v>
      </c>
      <c r="R379" s="106">
        <v>9592</v>
      </c>
      <c r="S379" s="31">
        <f t="shared" si="11"/>
        <v>0</v>
      </c>
      <c r="T379" s="39" t="s">
        <v>9</v>
      </c>
    </row>
    <row r="380" spans="1:20" x14ac:dyDescent="0.25">
      <c r="A380" s="20">
        <v>42128</v>
      </c>
      <c r="B380" s="183">
        <v>19954</v>
      </c>
      <c r="C380" s="14" t="s">
        <v>89</v>
      </c>
      <c r="D380" s="105">
        <v>886.6</v>
      </c>
      <c r="E380" s="23">
        <v>42128</v>
      </c>
      <c r="F380" s="106">
        <v>886.6</v>
      </c>
      <c r="G380" s="31">
        <f t="shared" si="10"/>
        <v>0</v>
      </c>
      <c r="H380" s="19" t="s">
        <v>9</v>
      </c>
      <c r="K380" s="3"/>
      <c r="M380" s="20">
        <v>42135</v>
      </c>
      <c r="N380" s="183">
        <v>20699</v>
      </c>
      <c r="O380" s="14" t="s">
        <v>122</v>
      </c>
      <c r="P380" s="105">
        <v>5702.4</v>
      </c>
      <c r="Q380" s="23">
        <v>42135</v>
      </c>
      <c r="R380" s="106">
        <v>5702.4</v>
      </c>
      <c r="S380" s="31">
        <f t="shared" si="11"/>
        <v>0</v>
      </c>
      <c r="T380" s="39" t="s">
        <v>9</v>
      </c>
    </row>
    <row r="381" spans="1:20" x14ac:dyDescent="0.25">
      <c r="A381" s="20">
        <v>42128</v>
      </c>
      <c r="B381" s="183">
        <v>19955</v>
      </c>
      <c r="C381" s="14" t="s">
        <v>170</v>
      </c>
      <c r="D381" s="105">
        <v>4456.2</v>
      </c>
      <c r="E381" s="23">
        <v>42129</v>
      </c>
      <c r="F381" s="106">
        <v>4456.2</v>
      </c>
      <c r="G381" s="31">
        <f t="shared" si="10"/>
        <v>0</v>
      </c>
      <c r="H381" s="19" t="s">
        <v>62</v>
      </c>
      <c r="K381" s="3"/>
      <c r="M381" s="20">
        <v>42139</v>
      </c>
      <c r="N381" s="183">
        <v>21206</v>
      </c>
      <c r="O381" s="14" t="s">
        <v>122</v>
      </c>
      <c r="P381" s="105">
        <v>3216</v>
      </c>
      <c r="Q381" s="23">
        <v>42139</v>
      </c>
      <c r="R381" s="106">
        <v>3216</v>
      </c>
      <c r="S381" s="48">
        <f t="shared" si="11"/>
        <v>0</v>
      </c>
      <c r="T381" s="39" t="s">
        <v>9</v>
      </c>
    </row>
    <row r="382" spans="1:20" x14ac:dyDescent="0.25">
      <c r="A382" s="20">
        <v>42128</v>
      </c>
      <c r="B382" s="183">
        <v>19956</v>
      </c>
      <c r="C382" s="14" t="s">
        <v>72</v>
      </c>
      <c r="D382" s="105">
        <v>16167.8</v>
      </c>
      <c r="E382" s="30" t="s">
        <v>1305</v>
      </c>
      <c r="F382" s="106">
        <v>16167.8</v>
      </c>
      <c r="G382" s="31">
        <f t="shared" si="10"/>
        <v>0</v>
      </c>
      <c r="H382" s="19" t="s">
        <v>62</v>
      </c>
      <c r="K382" s="3"/>
      <c r="M382" s="20">
        <v>42140</v>
      </c>
      <c r="N382" s="183">
        <v>21226</v>
      </c>
      <c r="O382" s="14" t="s">
        <v>122</v>
      </c>
      <c r="P382" s="105">
        <v>3648</v>
      </c>
      <c r="Q382" s="23">
        <v>42140</v>
      </c>
      <c r="R382" s="106">
        <v>3648</v>
      </c>
      <c r="S382" s="48">
        <f t="shared" si="11"/>
        <v>0</v>
      </c>
      <c r="T382" s="39" t="s">
        <v>9</v>
      </c>
    </row>
    <row r="383" spans="1:20" x14ac:dyDescent="0.25">
      <c r="A383" s="20">
        <v>42128</v>
      </c>
      <c r="B383" s="183">
        <v>19957</v>
      </c>
      <c r="C383" s="150" t="s">
        <v>75</v>
      </c>
      <c r="D383" s="105">
        <v>15998.2</v>
      </c>
      <c r="E383" s="23">
        <v>42129</v>
      </c>
      <c r="F383" s="106">
        <v>15998.2</v>
      </c>
      <c r="G383" s="31">
        <f t="shared" si="10"/>
        <v>0</v>
      </c>
      <c r="H383" s="19" t="s">
        <v>62</v>
      </c>
      <c r="K383" s="3"/>
      <c r="M383" s="20">
        <v>42142</v>
      </c>
      <c r="N383" s="183">
        <v>21391</v>
      </c>
      <c r="O383" s="14" t="s">
        <v>122</v>
      </c>
      <c r="P383" s="105">
        <v>4417.6000000000004</v>
      </c>
      <c r="Q383" s="23">
        <v>42142</v>
      </c>
      <c r="R383" s="118">
        <v>4417.6000000000004</v>
      </c>
      <c r="S383" s="31">
        <f t="shared" si="11"/>
        <v>0</v>
      </c>
      <c r="T383" s="56" t="s">
        <v>9</v>
      </c>
    </row>
    <row r="384" spans="1:20" x14ac:dyDescent="0.25">
      <c r="A384" s="20">
        <v>42128</v>
      </c>
      <c r="B384" s="183">
        <v>19958</v>
      </c>
      <c r="C384" s="14" t="s">
        <v>93</v>
      </c>
      <c r="D384" s="105">
        <v>1455.2</v>
      </c>
      <c r="E384" s="23">
        <v>42128</v>
      </c>
      <c r="F384" s="106">
        <v>1455.2</v>
      </c>
      <c r="G384" s="31">
        <f t="shared" si="10"/>
        <v>0</v>
      </c>
      <c r="H384" s="19" t="s">
        <v>9</v>
      </c>
      <c r="K384" s="3"/>
      <c r="M384" s="20">
        <v>42142</v>
      </c>
      <c r="N384" s="183">
        <v>21481</v>
      </c>
      <c r="O384" s="14" t="s">
        <v>122</v>
      </c>
      <c r="P384" s="105">
        <v>2235.1999999999998</v>
      </c>
      <c r="Q384" s="65"/>
      <c r="R384" s="106"/>
      <c r="S384" s="31">
        <f t="shared" si="11"/>
        <v>2235.1999999999998</v>
      </c>
      <c r="T384" s="19" t="s">
        <v>9</v>
      </c>
    </row>
    <row r="385" spans="1:20" x14ac:dyDescent="0.25">
      <c r="A385" s="20">
        <v>42128</v>
      </c>
      <c r="B385" s="183">
        <v>19959</v>
      </c>
      <c r="C385" s="14" t="s">
        <v>1267</v>
      </c>
      <c r="D385" s="105">
        <v>1000</v>
      </c>
      <c r="E385" s="23">
        <v>42128</v>
      </c>
      <c r="F385" s="106">
        <v>1000</v>
      </c>
      <c r="G385" s="31">
        <f t="shared" si="10"/>
        <v>0</v>
      </c>
      <c r="H385" s="19" t="s">
        <v>9</v>
      </c>
      <c r="K385" s="3"/>
      <c r="M385" s="20">
        <v>42144</v>
      </c>
      <c r="N385" s="183">
        <v>21684</v>
      </c>
      <c r="O385" s="14" t="s">
        <v>122</v>
      </c>
      <c r="P385" s="105">
        <v>7461.2</v>
      </c>
      <c r="Q385" s="23">
        <v>42144</v>
      </c>
      <c r="R385" s="118">
        <v>7461.2</v>
      </c>
      <c r="S385" s="31">
        <f t="shared" si="11"/>
        <v>0</v>
      </c>
      <c r="T385" s="56" t="s">
        <v>9</v>
      </c>
    </row>
    <row r="386" spans="1:20" x14ac:dyDescent="0.25">
      <c r="A386" s="20">
        <v>42128</v>
      </c>
      <c r="B386" s="183">
        <v>19960</v>
      </c>
      <c r="C386" s="150" t="s">
        <v>98</v>
      </c>
      <c r="D386" s="105">
        <v>2398.4</v>
      </c>
      <c r="E386" s="23">
        <v>42128</v>
      </c>
      <c r="F386" s="106">
        <v>2398.4</v>
      </c>
      <c r="G386" s="31">
        <f t="shared" si="10"/>
        <v>0</v>
      </c>
      <c r="H386" s="19" t="s">
        <v>9</v>
      </c>
      <c r="K386" s="3"/>
      <c r="M386" s="20">
        <v>42145</v>
      </c>
      <c r="N386" s="183">
        <v>21727</v>
      </c>
      <c r="O386" s="14" t="s">
        <v>122</v>
      </c>
      <c r="P386" s="105">
        <v>9418.7999999999993</v>
      </c>
      <c r="Q386" s="23">
        <v>42145</v>
      </c>
      <c r="R386" s="106">
        <v>9418.7999999999993</v>
      </c>
      <c r="S386" s="31">
        <f t="shared" si="11"/>
        <v>0</v>
      </c>
      <c r="T386" s="39" t="s">
        <v>9</v>
      </c>
    </row>
    <row r="387" spans="1:20" x14ac:dyDescent="0.25">
      <c r="A387" s="20">
        <v>42128</v>
      </c>
      <c r="B387" s="183">
        <v>19961</v>
      </c>
      <c r="C387" s="14" t="s">
        <v>141</v>
      </c>
      <c r="D387" s="105">
        <v>4236</v>
      </c>
      <c r="E387" s="23">
        <v>42128</v>
      </c>
      <c r="F387" s="106">
        <v>4236</v>
      </c>
      <c r="G387" s="31">
        <f t="shared" ref="G387:G450" si="12">D387-F387</f>
        <v>0</v>
      </c>
      <c r="H387" s="19" t="s">
        <v>9</v>
      </c>
      <c r="K387" s="3"/>
      <c r="M387" s="20">
        <v>42149</v>
      </c>
      <c r="N387" s="183">
        <v>22140</v>
      </c>
      <c r="O387" s="14" t="s">
        <v>122</v>
      </c>
      <c r="P387" s="105">
        <v>10329.6</v>
      </c>
      <c r="Q387" s="65">
        <v>42149</v>
      </c>
      <c r="R387" s="106">
        <v>10329.6</v>
      </c>
      <c r="S387" s="31">
        <f t="shared" ref="S387:S450" si="13">P387-R387</f>
        <v>0</v>
      </c>
      <c r="T387" s="39" t="s">
        <v>9</v>
      </c>
    </row>
    <row r="388" spans="1:20" x14ac:dyDescent="0.25">
      <c r="A388" s="20">
        <v>42128</v>
      </c>
      <c r="B388" s="183">
        <v>19962</v>
      </c>
      <c r="C388" s="14" t="s">
        <v>128</v>
      </c>
      <c r="D388" s="105">
        <v>4075.6</v>
      </c>
      <c r="E388" s="23">
        <v>42128</v>
      </c>
      <c r="F388" s="106">
        <v>4075.6</v>
      </c>
      <c r="G388" s="31">
        <f t="shared" si="12"/>
        <v>0</v>
      </c>
      <c r="H388" s="19" t="s">
        <v>41</v>
      </c>
      <c r="K388" s="3"/>
      <c r="M388" s="20">
        <v>42134</v>
      </c>
      <c r="N388" s="183">
        <v>20638</v>
      </c>
      <c r="O388" s="14" t="s">
        <v>1306</v>
      </c>
      <c r="P388" s="105">
        <v>14592</v>
      </c>
      <c r="Q388" s="23">
        <v>42135</v>
      </c>
      <c r="R388" s="118">
        <v>14592</v>
      </c>
      <c r="S388" s="31">
        <f t="shared" si="13"/>
        <v>0</v>
      </c>
      <c r="T388" s="56" t="s">
        <v>773</v>
      </c>
    </row>
    <row r="389" spans="1:20" x14ac:dyDescent="0.25">
      <c r="A389" s="20">
        <v>42128</v>
      </c>
      <c r="B389" s="183">
        <v>19963</v>
      </c>
      <c r="C389" s="14" t="s">
        <v>335</v>
      </c>
      <c r="D389" s="105">
        <v>399</v>
      </c>
      <c r="E389" s="23">
        <v>42128</v>
      </c>
      <c r="F389" s="106">
        <v>399</v>
      </c>
      <c r="G389" s="31">
        <f t="shared" si="12"/>
        <v>0</v>
      </c>
      <c r="H389" s="19" t="s">
        <v>9</v>
      </c>
      <c r="K389" s="3"/>
      <c r="M389" s="20">
        <v>42129</v>
      </c>
      <c r="N389" s="183">
        <v>20093</v>
      </c>
      <c r="O389" s="14" t="s">
        <v>416</v>
      </c>
      <c r="P389" s="105">
        <v>2800</v>
      </c>
      <c r="Q389" s="23" t="s">
        <v>1307</v>
      </c>
      <c r="R389" s="114">
        <f>400+500</f>
        <v>900</v>
      </c>
      <c r="S389" s="55">
        <f t="shared" si="13"/>
        <v>1900</v>
      </c>
      <c r="T389" s="39" t="s">
        <v>9</v>
      </c>
    </row>
    <row r="390" spans="1:20" x14ac:dyDescent="0.25">
      <c r="A390" s="20">
        <v>42128</v>
      </c>
      <c r="B390" s="183">
        <v>19964</v>
      </c>
      <c r="C390" s="14" t="s">
        <v>106</v>
      </c>
      <c r="D390" s="105">
        <v>25758.400000000001</v>
      </c>
      <c r="E390" s="23">
        <v>42128</v>
      </c>
      <c r="F390" s="106">
        <v>25758.400000000001</v>
      </c>
      <c r="G390" s="31">
        <f t="shared" si="12"/>
        <v>0</v>
      </c>
      <c r="H390" s="19" t="s">
        <v>94</v>
      </c>
      <c r="J390" s="107"/>
      <c r="K390" s="3"/>
      <c r="M390" s="20">
        <v>42129</v>
      </c>
      <c r="N390" s="183">
        <v>20099</v>
      </c>
      <c r="O390" s="14" t="s">
        <v>416</v>
      </c>
      <c r="P390" s="105">
        <v>23.4</v>
      </c>
      <c r="Q390" s="23">
        <v>42129</v>
      </c>
      <c r="R390" s="106">
        <v>23.4</v>
      </c>
      <c r="S390" s="31">
        <f t="shared" si="13"/>
        <v>0</v>
      </c>
      <c r="T390" s="39" t="s">
        <v>9</v>
      </c>
    </row>
    <row r="391" spans="1:20" x14ac:dyDescent="0.25">
      <c r="A391" s="20">
        <v>42128</v>
      </c>
      <c r="B391" s="183">
        <v>19965</v>
      </c>
      <c r="C391" s="14" t="s">
        <v>176</v>
      </c>
      <c r="D391" s="105">
        <v>10485.33</v>
      </c>
      <c r="E391" s="30" t="s">
        <v>1308</v>
      </c>
      <c r="F391" s="106">
        <v>10485.33</v>
      </c>
      <c r="G391" s="31">
        <f t="shared" si="12"/>
        <v>0</v>
      </c>
      <c r="H391" s="19" t="s">
        <v>62</v>
      </c>
      <c r="K391" s="3"/>
      <c r="M391" s="20">
        <v>42130</v>
      </c>
      <c r="N391" s="183">
        <v>20205</v>
      </c>
      <c r="O391" s="14" t="s">
        <v>416</v>
      </c>
      <c r="P391" s="105">
        <v>455.6</v>
      </c>
      <c r="Q391" s="23">
        <v>42130</v>
      </c>
      <c r="R391" s="106">
        <v>455.6</v>
      </c>
      <c r="S391" s="31">
        <f t="shared" si="13"/>
        <v>0</v>
      </c>
      <c r="T391" s="39" t="s">
        <v>9</v>
      </c>
    </row>
    <row r="392" spans="1:20" x14ac:dyDescent="0.25">
      <c r="A392" s="20">
        <v>42128</v>
      </c>
      <c r="B392" s="183">
        <v>19966</v>
      </c>
      <c r="C392" s="14" t="s">
        <v>131</v>
      </c>
      <c r="D392" s="105">
        <v>11829.9</v>
      </c>
      <c r="E392" s="23">
        <v>42131</v>
      </c>
      <c r="F392" s="106">
        <v>11829.9</v>
      </c>
      <c r="G392" s="31">
        <f t="shared" si="12"/>
        <v>0</v>
      </c>
      <c r="H392" s="19" t="s">
        <v>94</v>
      </c>
      <c r="K392" s="3"/>
      <c r="M392" s="20">
        <v>42132</v>
      </c>
      <c r="N392" s="183">
        <v>20466</v>
      </c>
      <c r="O392" s="14" t="s">
        <v>416</v>
      </c>
      <c r="P392" s="105">
        <v>128.80000000000001</v>
      </c>
      <c r="Q392" s="23">
        <v>42133</v>
      </c>
      <c r="R392" s="106">
        <v>128.80000000000001</v>
      </c>
      <c r="S392" s="31">
        <f t="shared" si="13"/>
        <v>0</v>
      </c>
      <c r="T392" s="19" t="s">
        <v>9</v>
      </c>
    </row>
    <row r="393" spans="1:20" x14ac:dyDescent="0.25">
      <c r="A393" s="20">
        <v>42128</v>
      </c>
      <c r="B393" s="183">
        <v>19967</v>
      </c>
      <c r="C393" s="14" t="s">
        <v>79</v>
      </c>
      <c r="D393" s="105">
        <v>3506.13</v>
      </c>
      <c r="E393" s="23">
        <v>42129</v>
      </c>
      <c r="F393" s="106">
        <v>3506.13</v>
      </c>
      <c r="G393" s="31">
        <f t="shared" si="12"/>
        <v>0</v>
      </c>
      <c r="H393" s="19" t="s">
        <v>9</v>
      </c>
      <c r="K393" s="3"/>
      <c r="M393" s="20">
        <v>42137</v>
      </c>
      <c r="N393" s="183">
        <v>20950</v>
      </c>
      <c r="O393" s="14" t="s">
        <v>416</v>
      </c>
      <c r="P393" s="105">
        <v>60</v>
      </c>
      <c r="Q393" s="23">
        <v>42137</v>
      </c>
      <c r="R393" s="106">
        <v>60</v>
      </c>
      <c r="S393" s="31">
        <f t="shared" si="13"/>
        <v>0</v>
      </c>
      <c r="T393" s="19" t="s">
        <v>9</v>
      </c>
    </row>
    <row r="394" spans="1:20" x14ac:dyDescent="0.25">
      <c r="A394" s="20">
        <v>42128</v>
      </c>
      <c r="B394" s="183">
        <v>19968</v>
      </c>
      <c r="C394" s="14" t="s">
        <v>172</v>
      </c>
      <c r="D394" s="105">
        <v>3708</v>
      </c>
      <c r="E394" s="23">
        <v>42129</v>
      </c>
      <c r="F394" s="106">
        <v>3708</v>
      </c>
      <c r="G394" s="31">
        <f t="shared" si="12"/>
        <v>0</v>
      </c>
      <c r="H394" s="19" t="s">
        <v>62</v>
      </c>
      <c r="K394" s="3"/>
      <c r="M394" s="20">
        <v>42139</v>
      </c>
      <c r="N394" s="183">
        <v>21175</v>
      </c>
      <c r="O394" s="14" t="s">
        <v>416</v>
      </c>
      <c r="P394" s="105">
        <v>210.4</v>
      </c>
      <c r="Q394" s="23">
        <v>42140</v>
      </c>
      <c r="R394" s="106">
        <v>210.4</v>
      </c>
      <c r="S394" s="48">
        <f t="shared" si="13"/>
        <v>0</v>
      </c>
      <c r="T394" s="39" t="s">
        <v>9</v>
      </c>
    </row>
    <row r="395" spans="1:20" x14ac:dyDescent="0.25">
      <c r="A395" s="20">
        <v>42128</v>
      </c>
      <c r="B395" s="183">
        <v>19969</v>
      </c>
      <c r="C395" s="14" t="s">
        <v>61</v>
      </c>
      <c r="D395" s="105">
        <v>6156.8</v>
      </c>
      <c r="E395" s="23">
        <v>42129</v>
      </c>
      <c r="F395" s="106">
        <v>6156.8</v>
      </c>
      <c r="G395" s="31">
        <f t="shared" si="12"/>
        <v>0</v>
      </c>
      <c r="H395" s="19" t="s">
        <v>62</v>
      </c>
      <c r="J395" s="107"/>
      <c r="K395" s="3"/>
      <c r="M395" s="20">
        <v>42144</v>
      </c>
      <c r="N395" s="183">
        <v>21713</v>
      </c>
      <c r="O395" s="14" t="s">
        <v>416</v>
      </c>
      <c r="P395" s="105">
        <v>374.4</v>
      </c>
      <c r="Q395" s="23">
        <v>42144</v>
      </c>
      <c r="R395" s="106">
        <v>374.4</v>
      </c>
      <c r="S395" s="31">
        <f t="shared" si="13"/>
        <v>0</v>
      </c>
      <c r="T395" s="39" t="s">
        <v>9</v>
      </c>
    </row>
    <row r="396" spans="1:20" x14ac:dyDescent="0.25">
      <c r="A396" s="20">
        <v>42128</v>
      </c>
      <c r="B396" s="183">
        <v>19970</v>
      </c>
      <c r="C396" s="14" t="s">
        <v>411</v>
      </c>
      <c r="D396" s="105">
        <v>1478.4</v>
      </c>
      <c r="E396" s="23">
        <v>42128</v>
      </c>
      <c r="F396" s="106">
        <v>1478.4</v>
      </c>
      <c r="G396" s="31">
        <f t="shared" si="12"/>
        <v>0</v>
      </c>
      <c r="H396" s="19" t="s">
        <v>9</v>
      </c>
      <c r="K396" s="3"/>
      <c r="M396" s="20">
        <v>42128</v>
      </c>
      <c r="N396" s="183">
        <v>19988</v>
      </c>
      <c r="O396" s="14" t="s">
        <v>204</v>
      </c>
      <c r="P396" s="105">
        <v>4074.4</v>
      </c>
      <c r="Q396" s="23">
        <v>42130</v>
      </c>
      <c r="R396" s="106">
        <v>4074.4</v>
      </c>
      <c r="S396" s="31">
        <f t="shared" si="13"/>
        <v>0</v>
      </c>
      <c r="T396" s="19" t="s">
        <v>149</v>
      </c>
    </row>
    <row r="397" spans="1:20" x14ac:dyDescent="0.25">
      <c r="A397" s="20">
        <v>42128</v>
      </c>
      <c r="B397" s="183">
        <v>19971</v>
      </c>
      <c r="C397" s="14" t="s">
        <v>65</v>
      </c>
      <c r="D397" s="105">
        <v>18772</v>
      </c>
      <c r="E397" s="23">
        <v>42129</v>
      </c>
      <c r="F397" s="106">
        <v>18772</v>
      </c>
      <c r="G397" s="31">
        <f t="shared" si="12"/>
        <v>0</v>
      </c>
      <c r="H397" s="19" t="s">
        <v>62</v>
      </c>
      <c r="K397" s="3"/>
      <c r="M397" s="20">
        <v>42131</v>
      </c>
      <c r="N397" s="183">
        <v>20309</v>
      </c>
      <c r="O397" s="14" t="s">
        <v>204</v>
      </c>
      <c r="P397" s="105">
        <v>7117</v>
      </c>
      <c r="Q397" s="23">
        <v>42133</v>
      </c>
      <c r="R397" s="106">
        <v>7117</v>
      </c>
      <c r="S397" s="31">
        <f t="shared" si="13"/>
        <v>0</v>
      </c>
      <c r="T397" s="39" t="s">
        <v>149</v>
      </c>
    </row>
    <row r="398" spans="1:20" x14ac:dyDescent="0.25">
      <c r="A398" s="20">
        <v>42128</v>
      </c>
      <c r="B398" s="183">
        <v>19972</v>
      </c>
      <c r="C398" s="14" t="s">
        <v>332</v>
      </c>
      <c r="D398" s="105">
        <v>646.95000000000005</v>
      </c>
      <c r="E398" s="23">
        <v>42128</v>
      </c>
      <c r="F398" s="106">
        <v>646.95000000000005</v>
      </c>
      <c r="G398" s="31">
        <f t="shared" si="12"/>
        <v>0</v>
      </c>
      <c r="H398" s="19" t="s">
        <v>9</v>
      </c>
      <c r="K398" s="3"/>
      <c r="M398" s="20">
        <v>42135</v>
      </c>
      <c r="N398" s="183">
        <v>20763</v>
      </c>
      <c r="O398" s="14" t="s">
        <v>204</v>
      </c>
      <c r="P398" s="105">
        <v>6348.2</v>
      </c>
      <c r="Q398" s="23">
        <v>42137</v>
      </c>
      <c r="R398" s="106">
        <v>6348.2</v>
      </c>
      <c r="S398" s="31">
        <f t="shared" si="13"/>
        <v>0</v>
      </c>
      <c r="T398" s="19" t="s">
        <v>149</v>
      </c>
    </row>
    <row r="399" spans="1:20" x14ac:dyDescent="0.25">
      <c r="A399" s="20">
        <v>42128</v>
      </c>
      <c r="B399" s="183">
        <v>19973</v>
      </c>
      <c r="C399" s="14" t="s">
        <v>1262</v>
      </c>
      <c r="D399" s="105">
        <v>43274.22</v>
      </c>
      <c r="E399" s="23">
        <v>42142</v>
      </c>
      <c r="F399" s="106">
        <v>43274.22</v>
      </c>
      <c r="G399" s="31">
        <f t="shared" si="12"/>
        <v>0</v>
      </c>
      <c r="H399" s="19" t="s">
        <v>46</v>
      </c>
      <c r="K399" s="3"/>
      <c r="M399" s="20">
        <v>42138</v>
      </c>
      <c r="N399" s="183">
        <v>21056</v>
      </c>
      <c r="O399" s="14" t="s">
        <v>204</v>
      </c>
      <c r="P399" s="105">
        <v>2488</v>
      </c>
      <c r="Q399" s="23">
        <v>42140</v>
      </c>
      <c r="R399" s="106">
        <v>2488</v>
      </c>
      <c r="S399" s="48">
        <f t="shared" si="13"/>
        <v>0</v>
      </c>
      <c r="T399" s="39" t="s">
        <v>149</v>
      </c>
    </row>
    <row r="400" spans="1:20" x14ac:dyDescent="0.25">
      <c r="A400" s="20">
        <v>42128</v>
      </c>
      <c r="B400" s="183">
        <v>19974</v>
      </c>
      <c r="C400" s="14" t="s">
        <v>252</v>
      </c>
      <c r="D400" s="105">
        <v>4344.3999999999996</v>
      </c>
      <c r="E400" s="23">
        <v>42128</v>
      </c>
      <c r="F400" s="106">
        <v>4344.3999999999996</v>
      </c>
      <c r="G400" s="31">
        <f t="shared" si="12"/>
        <v>0</v>
      </c>
      <c r="H400" s="19" t="s">
        <v>9</v>
      </c>
      <c r="K400" s="3"/>
      <c r="M400" s="20">
        <v>42142</v>
      </c>
      <c r="N400" s="183">
        <v>21495</v>
      </c>
      <c r="O400" s="14" t="s">
        <v>204</v>
      </c>
      <c r="P400" s="105">
        <v>3407.4</v>
      </c>
      <c r="Q400" s="65">
        <v>42145</v>
      </c>
      <c r="R400" s="106">
        <v>3407.4</v>
      </c>
      <c r="S400" s="31">
        <f t="shared" si="13"/>
        <v>0</v>
      </c>
      <c r="T400" s="19" t="s">
        <v>149</v>
      </c>
    </row>
    <row r="401" spans="1:20" x14ac:dyDescent="0.25">
      <c r="A401" s="20">
        <v>42128</v>
      </c>
      <c r="B401" s="183">
        <v>19975</v>
      </c>
      <c r="C401" s="14" t="s">
        <v>1101</v>
      </c>
      <c r="D401" s="105">
        <v>421.6</v>
      </c>
      <c r="E401" s="23">
        <v>42128</v>
      </c>
      <c r="F401" s="106">
        <v>421.6</v>
      </c>
      <c r="G401" s="31">
        <f t="shared" si="12"/>
        <v>0</v>
      </c>
      <c r="H401" s="19" t="s">
        <v>9</v>
      </c>
      <c r="I401" s="3"/>
      <c r="J401" s="42"/>
      <c r="K401" s="3"/>
      <c r="M401" s="20">
        <v>42145</v>
      </c>
      <c r="N401" s="183">
        <v>21801</v>
      </c>
      <c r="O401" s="15" t="s">
        <v>204</v>
      </c>
      <c r="P401" s="122">
        <v>5083.7</v>
      </c>
      <c r="Q401" s="23">
        <v>42149</v>
      </c>
      <c r="R401" s="118">
        <v>5083.7</v>
      </c>
      <c r="S401" s="31">
        <f t="shared" si="13"/>
        <v>0</v>
      </c>
      <c r="T401" s="68" t="s">
        <v>149</v>
      </c>
    </row>
    <row r="402" spans="1:20" x14ac:dyDescent="0.25">
      <c r="A402" s="20">
        <v>42128</v>
      </c>
      <c r="B402" s="183">
        <v>19976</v>
      </c>
      <c r="C402" s="14" t="s">
        <v>45</v>
      </c>
      <c r="D402" s="105">
        <v>79723.31</v>
      </c>
      <c r="E402" s="23">
        <v>42140</v>
      </c>
      <c r="F402" s="106">
        <v>79723.31</v>
      </c>
      <c r="G402" s="31">
        <f t="shared" si="12"/>
        <v>0</v>
      </c>
      <c r="H402" s="19" t="s">
        <v>1013</v>
      </c>
      <c r="I402" s="3"/>
      <c r="J402" s="42"/>
      <c r="K402" s="3"/>
      <c r="M402" s="20">
        <v>42149</v>
      </c>
      <c r="N402" s="183">
        <v>22228</v>
      </c>
      <c r="O402" s="14" t="s">
        <v>204</v>
      </c>
      <c r="P402" s="105">
        <v>4358.2</v>
      </c>
      <c r="Q402" s="65">
        <v>42151</v>
      </c>
      <c r="R402" s="106">
        <v>4358.2</v>
      </c>
      <c r="S402" s="31">
        <f t="shared" si="13"/>
        <v>0</v>
      </c>
      <c r="T402" s="39" t="s">
        <v>149</v>
      </c>
    </row>
    <row r="403" spans="1:20" x14ac:dyDescent="0.25">
      <c r="A403" s="20">
        <v>42128</v>
      </c>
      <c r="B403" s="183">
        <v>19977</v>
      </c>
      <c r="C403" s="14" t="s">
        <v>71</v>
      </c>
      <c r="D403" s="105">
        <v>1512.4</v>
      </c>
      <c r="E403" s="23">
        <v>42128</v>
      </c>
      <c r="F403" s="106">
        <v>1512.4</v>
      </c>
      <c r="G403" s="31">
        <f t="shared" si="12"/>
        <v>0</v>
      </c>
      <c r="H403" s="19" t="s">
        <v>9</v>
      </c>
      <c r="I403" s="3"/>
      <c r="J403" s="42"/>
      <c r="K403" s="3"/>
      <c r="M403" s="20">
        <v>42152</v>
      </c>
      <c r="N403" s="183">
        <v>22519</v>
      </c>
      <c r="O403" s="14" t="s">
        <v>204</v>
      </c>
      <c r="P403" s="105">
        <v>3894</v>
      </c>
      <c r="Q403" s="23">
        <v>42154</v>
      </c>
      <c r="R403" s="106">
        <v>3894</v>
      </c>
      <c r="S403" s="31">
        <f t="shared" si="13"/>
        <v>0</v>
      </c>
      <c r="T403" s="39" t="s">
        <v>149</v>
      </c>
    </row>
    <row r="404" spans="1:20" x14ac:dyDescent="0.25">
      <c r="A404" s="20">
        <v>42128</v>
      </c>
      <c r="B404" s="183">
        <v>19978</v>
      </c>
      <c r="C404" s="14" t="s">
        <v>143</v>
      </c>
      <c r="D404" s="105">
        <v>22832.5</v>
      </c>
      <c r="E404" s="23">
        <v>42128</v>
      </c>
      <c r="F404" s="106">
        <v>22832.5</v>
      </c>
      <c r="G404" s="31">
        <f t="shared" si="12"/>
        <v>0</v>
      </c>
      <c r="H404" s="19" t="s">
        <v>1257</v>
      </c>
      <c r="I404" s="3"/>
      <c r="J404" s="42"/>
      <c r="K404" s="3"/>
      <c r="M404" s="20">
        <v>42136</v>
      </c>
      <c r="N404" s="183">
        <v>20815</v>
      </c>
      <c r="O404" s="14" t="s">
        <v>123</v>
      </c>
      <c r="P404" s="105">
        <v>6768</v>
      </c>
      <c r="Q404" s="23">
        <v>42136</v>
      </c>
      <c r="R404" s="106">
        <v>6768</v>
      </c>
      <c r="S404" s="31">
        <f t="shared" si="13"/>
        <v>0</v>
      </c>
      <c r="T404" s="39" t="s">
        <v>94</v>
      </c>
    </row>
    <row r="405" spans="1:20" x14ac:dyDescent="0.25">
      <c r="A405" s="20">
        <v>42128</v>
      </c>
      <c r="B405" s="183">
        <v>19979</v>
      </c>
      <c r="C405" s="14" t="s">
        <v>24</v>
      </c>
      <c r="D405" s="105">
        <v>1332</v>
      </c>
      <c r="E405" s="23">
        <v>42151</v>
      </c>
      <c r="F405" s="106">
        <v>1332</v>
      </c>
      <c r="G405" s="31">
        <f t="shared" si="12"/>
        <v>0</v>
      </c>
      <c r="H405" s="19" t="s">
        <v>1257</v>
      </c>
      <c r="I405" s="3"/>
      <c r="J405" s="42"/>
      <c r="K405" s="3"/>
      <c r="M405" s="20">
        <v>42142</v>
      </c>
      <c r="N405" s="183">
        <v>21500</v>
      </c>
      <c r="O405" s="14" t="s">
        <v>123</v>
      </c>
      <c r="P405" s="105">
        <v>14678</v>
      </c>
      <c r="Q405" s="23">
        <v>42143</v>
      </c>
      <c r="R405" s="106">
        <v>14678</v>
      </c>
      <c r="S405" s="31">
        <f t="shared" si="13"/>
        <v>0</v>
      </c>
      <c r="T405" s="19" t="s">
        <v>773</v>
      </c>
    </row>
    <row r="406" spans="1:20" x14ac:dyDescent="0.25">
      <c r="A406" s="20">
        <v>42128</v>
      </c>
      <c r="B406" s="183">
        <v>19980</v>
      </c>
      <c r="C406" s="14" t="s">
        <v>1286</v>
      </c>
      <c r="D406" s="105">
        <v>99152.1</v>
      </c>
      <c r="E406" s="23">
        <v>42130</v>
      </c>
      <c r="F406" s="106">
        <v>99152.1</v>
      </c>
      <c r="G406" s="31">
        <f t="shared" si="12"/>
        <v>0</v>
      </c>
      <c r="H406" s="19" t="s">
        <v>9</v>
      </c>
      <c r="I406" s="3"/>
      <c r="J406" s="42"/>
      <c r="K406" s="3"/>
      <c r="M406" s="20">
        <v>42143</v>
      </c>
      <c r="N406" s="183">
        <v>21597</v>
      </c>
      <c r="O406" s="14" t="s">
        <v>123</v>
      </c>
      <c r="P406" s="105">
        <v>8923.2000000000007</v>
      </c>
      <c r="Q406" s="23">
        <v>42145</v>
      </c>
      <c r="R406" s="118">
        <v>8923.2000000000007</v>
      </c>
      <c r="S406" s="31">
        <f t="shared" si="13"/>
        <v>0</v>
      </c>
      <c r="T406" s="56" t="s">
        <v>1257</v>
      </c>
    </row>
    <row r="407" spans="1:20" x14ac:dyDescent="0.25">
      <c r="A407" s="20">
        <v>42128</v>
      </c>
      <c r="B407" s="183">
        <v>19981</v>
      </c>
      <c r="C407" s="14" t="s">
        <v>1271</v>
      </c>
      <c r="D407" s="105">
        <v>6379.2</v>
      </c>
      <c r="E407" s="23">
        <v>42130</v>
      </c>
      <c r="F407" s="106">
        <v>6379.2</v>
      </c>
      <c r="G407" s="31">
        <f t="shared" si="12"/>
        <v>0</v>
      </c>
      <c r="H407" s="19" t="s">
        <v>9</v>
      </c>
      <c r="I407" s="3"/>
      <c r="J407" s="42"/>
      <c r="K407" s="3"/>
      <c r="M407" s="20">
        <v>42151</v>
      </c>
      <c r="N407" s="183">
        <v>22395</v>
      </c>
      <c r="O407" s="14" t="s">
        <v>123</v>
      </c>
      <c r="P407" s="105">
        <v>17234.400000000001</v>
      </c>
      <c r="Q407" s="23">
        <v>42152</v>
      </c>
      <c r="R407" s="106">
        <v>17234.400000000001</v>
      </c>
      <c r="S407" s="31">
        <f t="shared" si="13"/>
        <v>0</v>
      </c>
      <c r="T407" s="39" t="s">
        <v>773</v>
      </c>
    </row>
    <row r="408" spans="1:20" x14ac:dyDescent="0.25">
      <c r="A408" s="20">
        <v>42128</v>
      </c>
      <c r="B408" s="183">
        <v>19982</v>
      </c>
      <c r="C408" s="14" t="s">
        <v>1050</v>
      </c>
      <c r="D408" s="105">
        <v>9881.52</v>
      </c>
      <c r="E408" s="30" t="s">
        <v>1309</v>
      </c>
      <c r="F408" s="106">
        <v>9881.52</v>
      </c>
      <c r="G408" s="31">
        <f t="shared" si="12"/>
        <v>0</v>
      </c>
      <c r="H408" s="19" t="s">
        <v>9</v>
      </c>
      <c r="I408" s="3"/>
      <c r="J408" s="42"/>
      <c r="K408" s="3"/>
      <c r="M408" s="20">
        <v>42125</v>
      </c>
      <c r="N408" s="183">
        <v>19615</v>
      </c>
      <c r="O408" s="14" t="s">
        <v>53</v>
      </c>
      <c r="P408" s="105">
        <v>1683</v>
      </c>
      <c r="Q408" s="23">
        <v>42125</v>
      </c>
      <c r="R408" s="106">
        <v>1683</v>
      </c>
      <c r="S408" s="25">
        <f t="shared" si="13"/>
        <v>0</v>
      </c>
      <c r="T408" s="19" t="s">
        <v>59</v>
      </c>
    </row>
    <row r="409" spans="1:20" x14ac:dyDescent="0.25">
      <c r="A409" s="20">
        <v>42128</v>
      </c>
      <c r="B409" s="183">
        <v>19983</v>
      </c>
      <c r="C409" s="14" t="s">
        <v>200</v>
      </c>
      <c r="D409" s="105">
        <v>1792</v>
      </c>
      <c r="E409" s="23">
        <v>42130</v>
      </c>
      <c r="F409" s="106">
        <v>1792</v>
      </c>
      <c r="G409" s="31">
        <f t="shared" si="12"/>
        <v>0</v>
      </c>
      <c r="H409" s="19" t="s">
        <v>149</v>
      </c>
      <c r="I409" s="3"/>
      <c r="J409" s="42"/>
      <c r="K409" s="3"/>
      <c r="M409" s="20">
        <v>42126</v>
      </c>
      <c r="N409" s="183">
        <v>19767</v>
      </c>
      <c r="O409" s="40" t="s">
        <v>53</v>
      </c>
      <c r="P409" s="105">
        <v>2216.8000000000002</v>
      </c>
      <c r="Q409" s="23">
        <v>42127</v>
      </c>
      <c r="R409" s="106">
        <v>2216.8000000000002</v>
      </c>
      <c r="S409" s="25">
        <f t="shared" si="13"/>
        <v>0</v>
      </c>
      <c r="T409" s="41" t="s">
        <v>59</v>
      </c>
    </row>
    <row r="410" spans="1:20" x14ac:dyDescent="0.25">
      <c r="A410" s="20">
        <v>42128</v>
      </c>
      <c r="B410" s="183">
        <v>19984</v>
      </c>
      <c r="C410" s="26" t="s">
        <v>218</v>
      </c>
      <c r="D410" s="105">
        <v>0</v>
      </c>
      <c r="E410" s="23"/>
      <c r="F410" s="106"/>
      <c r="G410" s="31">
        <f t="shared" si="12"/>
        <v>0</v>
      </c>
      <c r="H410" s="19" t="s">
        <v>149</v>
      </c>
      <c r="I410" s="3"/>
      <c r="J410" s="42"/>
      <c r="K410" s="3"/>
      <c r="M410" s="20">
        <v>42127</v>
      </c>
      <c r="N410" s="183">
        <v>19845</v>
      </c>
      <c r="O410" s="40" t="s">
        <v>53</v>
      </c>
      <c r="P410" s="105">
        <v>1812.2</v>
      </c>
      <c r="Q410" s="23">
        <v>42127</v>
      </c>
      <c r="R410" s="106">
        <v>1812.2</v>
      </c>
      <c r="S410" s="31">
        <f t="shared" si="13"/>
        <v>0</v>
      </c>
      <c r="T410" s="41" t="s">
        <v>59</v>
      </c>
    </row>
    <row r="411" spans="1:20" x14ac:dyDescent="0.25">
      <c r="A411" s="20">
        <v>42128</v>
      </c>
      <c r="B411" s="183">
        <v>19985</v>
      </c>
      <c r="C411" s="14" t="s">
        <v>202</v>
      </c>
      <c r="D411" s="105">
        <v>3569.6</v>
      </c>
      <c r="E411" s="23">
        <v>42130</v>
      </c>
      <c r="F411" s="106">
        <v>3569.6</v>
      </c>
      <c r="G411" s="31">
        <f t="shared" si="12"/>
        <v>0</v>
      </c>
      <c r="H411" s="19" t="s">
        <v>149</v>
      </c>
      <c r="I411" s="3"/>
      <c r="J411" s="42"/>
      <c r="K411" s="3"/>
      <c r="M411" s="20">
        <v>42128</v>
      </c>
      <c r="N411" s="183">
        <v>19924</v>
      </c>
      <c r="O411" s="14" t="s">
        <v>53</v>
      </c>
      <c r="P411" s="105">
        <v>1445</v>
      </c>
      <c r="Q411" s="23">
        <v>42128</v>
      </c>
      <c r="R411" s="106">
        <v>1445</v>
      </c>
      <c r="S411" s="31">
        <f t="shared" si="13"/>
        <v>0</v>
      </c>
      <c r="T411" s="19" t="s">
        <v>59</v>
      </c>
    </row>
    <row r="412" spans="1:20" x14ac:dyDescent="0.25">
      <c r="A412" s="20">
        <v>42128</v>
      </c>
      <c r="B412" s="183">
        <v>19986</v>
      </c>
      <c r="C412" s="14" t="s">
        <v>206</v>
      </c>
      <c r="D412" s="105">
        <v>56294.36</v>
      </c>
      <c r="E412" s="23">
        <v>42140</v>
      </c>
      <c r="F412" s="106">
        <v>56294.36</v>
      </c>
      <c r="G412" s="31">
        <f t="shared" si="12"/>
        <v>0</v>
      </c>
      <c r="H412" s="19" t="s">
        <v>149</v>
      </c>
      <c r="I412" s="3"/>
      <c r="J412" s="42"/>
      <c r="K412" s="3"/>
      <c r="M412" s="20">
        <v>42130</v>
      </c>
      <c r="N412" s="183">
        <v>20148</v>
      </c>
      <c r="O412" s="14" t="s">
        <v>53</v>
      </c>
      <c r="P412" s="105">
        <v>652.79999999999995</v>
      </c>
      <c r="Q412" s="23">
        <v>42131</v>
      </c>
      <c r="R412" s="106">
        <v>652.79999999999995</v>
      </c>
      <c r="S412" s="31">
        <f t="shared" si="13"/>
        <v>0</v>
      </c>
      <c r="T412" s="39" t="s">
        <v>1013</v>
      </c>
    </row>
    <row r="413" spans="1:20" x14ac:dyDescent="0.25">
      <c r="A413" s="20">
        <v>42128</v>
      </c>
      <c r="B413" s="183">
        <v>19987</v>
      </c>
      <c r="C413" s="14" t="s">
        <v>205</v>
      </c>
      <c r="D413" s="105">
        <v>6726.6</v>
      </c>
      <c r="E413" s="23">
        <v>42133</v>
      </c>
      <c r="F413" s="106">
        <v>6726.6</v>
      </c>
      <c r="G413" s="31">
        <f t="shared" si="12"/>
        <v>0</v>
      </c>
      <c r="H413" s="19" t="s">
        <v>149</v>
      </c>
      <c r="I413" s="3"/>
      <c r="J413" s="42"/>
      <c r="K413" s="3"/>
      <c r="M413" s="20">
        <v>42131</v>
      </c>
      <c r="N413" s="183">
        <v>20256</v>
      </c>
      <c r="O413" s="14" t="s">
        <v>53</v>
      </c>
      <c r="P413" s="105">
        <v>996.2</v>
      </c>
      <c r="Q413" s="23">
        <v>42131</v>
      </c>
      <c r="R413" s="106">
        <v>996.2</v>
      </c>
      <c r="S413" s="31">
        <f t="shared" si="13"/>
        <v>0</v>
      </c>
      <c r="T413" s="19" t="s">
        <v>59</v>
      </c>
    </row>
    <row r="414" spans="1:20" x14ac:dyDescent="0.25">
      <c r="A414" s="20">
        <v>42128</v>
      </c>
      <c r="B414" s="183">
        <v>19988</v>
      </c>
      <c r="C414" s="14" t="s">
        <v>204</v>
      </c>
      <c r="D414" s="105">
        <v>4074.4</v>
      </c>
      <c r="E414" s="23">
        <v>42130</v>
      </c>
      <c r="F414" s="106">
        <v>4074.4</v>
      </c>
      <c r="G414" s="31">
        <f t="shared" si="12"/>
        <v>0</v>
      </c>
      <c r="H414" s="19" t="s">
        <v>149</v>
      </c>
      <c r="I414" s="3"/>
      <c r="J414" s="42"/>
      <c r="K414" s="3"/>
      <c r="M414" s="20">
        <v>42132</v>
      </c>
      <c r="N414" s="183">
        <v>20375</v>
      </c>
      <c r="O414" s="14" t="s">
        <v>53</v>
      </c>
      <c r="P414" s="105">
        <v>1349.8</v>
      </c>
      <c r="Q414" s="23">
        <v>42133</v>
      </c>
      <c r="R414" s="106">
        <v>1349.8</v>
      </c>
      <c r="S414" s="31">
        <f t="shared" si="13"/>
        <v>0</v>
      </c>
      <c r="T414" s="19" t="s">
        <v>59</v>
      </c>
    </row>
    <row r="415" spans="1:20" x14ac:dyDescent="0.25">
      <c r="A415" s="20">
        <v>42128</v>
      </c>
      <c r="B415" s="183">
        <v>19989</v>
      </c>
      <c r="C415" s="14" t="s">
        <v>199</v>
      </c>
      <c r="D415" s="105">
        <v>6929.6</v>
      </c>
      <c r="E415" s="23">
        <v>42130</v>
      </c>
      <c r="F415" s="106">
        <v>6929.6</v>
      </c>
      <c r="G415" s="31">
        <f t="shared" si="12"/>
        <v>0</v>
      </c>
      <c r="H415" s="19" t="s">
        <v>149</v>
      </c>
      <c r="I415" s="3"/>
      <c r="J415" s="42"/>
      <c r="K415" s="3"/>
      <c r="M415" s="20">
        <v>42133</v>
      </c>
      <c r="N415" s="183">
        <v>20524</v>
      </c>
      <c r="O415" s="14" t="s">
        <v>53</v>
      </c>
      <c r="P415" s="105">
        <v>2502.4</v>
      </c>
      <c r="Q415" s="23">
        <v>42138</v>
      </c>
      <c r="R415" s="106">
        <v>2502.4</v>
      </c>
      <c r="S415" s="31">
        <f t="shared" si="13"/>
        <v>0</v>
      </c>
      <c r="T415" s="19" t="s">
        <v>59</v>
      </c>
    </row>
    <row r="416" spans="1:20" x14ac:dyDescent="0.25">
      <c r="A416" s="20">
        <v>42128</v>
      </c>
      <c r="B416" s="183">
        <v>19990</v>
      </c>
      <c r="C416" s="14" t="s">
        <v>203</v>
      </c>
      <c r="D416" s="105">
        <v>1194</v>
      </c>
      <c r="E416" s="23">
        <v>42130</v>
      </c>
      <c r="F416" s="106">
        <v>1194</v>
      </c>
      <c r="G416" s="31">
        <f t="shared" si="12"/>
        <v>0</v>
      </c>
      <c r="H416" s="19" t="s">
        <v>149</v>
      </c>
      <c r="I416" s="3"/>
      <c r="J416" s="42"/>
      <c r="K416" s="3"/>
      <c r="M416" s="20">
        <v>42135</v>
      </c>
      <c r="N416" s="183">
        <v>20700</v>
      </c>
      <c r="O416" s="14" t="s">
        <v>53</v>
      </c>
      <c r="P416" s="105">
        <v>1020</v>
      </c>
      <c r="Q416" s="23">
        <v>42135</v>
      </c>
      <c r="R416" s="106">
        <v>1020</v>
      </c>
      <c r="S416" s="31">
        <f t="shared" si="13"/>
        <v>0</v>
      </c>
      <c r="T416" s="39" t="s">
        <v>59</v>
      </c>
    </row>
    <row r="417" spans="1:20" x14ac:dyDescent="0.25">
      <c r="A417" s="20">
        <v>42128</v>
      </c>
      <c r="B417" s="183">
        <v>19991</v>
      </c>
      <c r="C417" s="26" t="s">
        <v>218</v>
      </c>
      <c r="D417" s="105">
        <v>0</v>
      </c>
      <c r="E417" s="23"/>
      <c r="F417" s="106"/>
      <c r="G417" s="31">
        <f t="shared" si="12"/>
        <v>0</v>
      </c>
      <c r="H417" s="19" t="s">
        <v>13</v>
      </c>
      <c r="I417" s="3"/>
      <c r="J417" s="42"/>
      <c r="K417" s="3"/>
      <c r="M417" s="20">
        <v>42137</v>
      </c>
      <c r="N417" s="183">
        <v>20895</v>
      </c>
      <c r="O417" s="14" t="s">
        <v>53</v>
      </c>
      <c r="P417" s="105">
        <v>724.2</v>
      </c>
      <c r="Q417" s="23">
        <v>42137</v>
      </c>
      <c r="R417" s="106">
        <v>724.2</v>
      </c>
      <c r="S417" s="31">
        <f t="shared" si="13"/>
        <v>0</v>
      </c>
      <c r="T417" s="19" t="s">
        <v>1257</v>
      </c>
    </row>
    <row r="418" spans="1:20" x14ac:dyDescent="0.25">
      <c r="A418" s="20">
        <v>42128</v>
      </c>
      <c r="B418" s="183">
        <v>19992</v>
      </c>
      <c r="C418" s="14" t="s">
        <v>1103</v>
      </c>
      <c r="D418" s="105">
        <v>21251.599999999999</v>
      </c>
      <c r="E418" s="23">
        <v>42129</v>
      </c>
      <c r="F418" s="106">
        <v>21251.599999999999</v>
      </c>
      <c r="G418" s="31">
        <f t="shared" si="12"/>
        <v>0</v>
      </c>
      <c r="H418" s="19" t="s">
        <v>149</v>
      </c>
      <c r="I418" s="3"/>
      <c r="J418" s="42"/>
      <c r="K418" s="3"/>
      <c r="M418" s="20">
        <v>42138</v>
      </c>
      <c r="N418" s="183">
        <v>20993</v>
      </c>
      <c r="O418" s="14" t="s">
        <v>53</v>
      </c>
      <c r="P418" s="105">
        <v>669.8</v>
      </c>
      <c r="Q418" s="23">
        <v>42138</v>
      </c>
      <c r="R418" s="106">
        <v>669.8</v>
      </c>
      <c r="S418" s="31">
        <f t="shared" si="13"/>
        <v>0</v>
      </c>
      <c r="T418" s="19" t="s">
        <v>59</v>
      </c>
    </row>
    <row r="419" spans="1:20" x14ac:dyDescent="0.25">
      <c r="A419" s="20">
        <v>42128</v>
      </c>
      <c r="B419" s="183">
        <v>19993</v>
      </c>
      <c r="C419" s="14" t="s">
        <v>420</v>
      </c>
      <c r="D419" s="105">
        <v>7033</v>
      </c>
      <c r="E419" s="23">
        <v>42130</v>
      </c>
      <c r="F419" s="106">
        <v>7033</v>
      </c>
      <c r="G419" s="31">
        <f t="shared" si="12"/>
        <v>0</v>
      </c>
      <c r="H419" s="19" t="s">
        <v>149</v>
      </c>
      <c r="I419" s="3"/>
      <c r="J419" s="42"/>
      <c r="K419" s="3"/>
      <c r="M419" s="20">
        <v>42140</v>
      </c>
      <c r="N419" s="183">
        <v>21305</v>
      </c>
      <c r="O419" s="14" t="s">
        <v>53</v>
      </c>
      <c r="P419" s="105">
        <v>2880</v>
      </c>
      <c r="Q419" s="23">
        <v>42140</v>
      </c>
      <c r="R419" s="118">
        <v>2880</v>
      </c>
      <c r="S419" s="31">
        <f t="shared" si="13"/>
        <v>0</v>
      </c>
      <c r="T419" s="62" t="s">
        <v>59</v>
      </c>
    </row>
    <row r="420" spans="1:20" x14ac:dyDescent="0.25">
      <c r="A420" s="20">
        <v>42128</v>
      </c>
      <c r="B420" s="183">
        <v>19994</v>
      </c>
      <c r="C420" s="14" t="s">
        <v>24</v>
      </c>
      <c r="D420" s="105">
        <v>117230.26</v>
      </c>
      <c r="E420" s="23">
        <v>42151</v>
      </c>
      <c r="F420" s="106">
        <v>117230.26</v>
      </c>
      <c r="G420" s="31">
        <f t="shared" si="12"/>
        <v>0</v>
      </c>
      <c r="H420" s="19" t="s">
        <v>46</v>
      </c>
      <c r="I420" s="3"/>
      <c r="J420" s="42"/>
      <c r="K420" s="3"/>
      <c r="M420" s="20">
        <v>42141</v>
      </c>
      <c r="N420" s="183">
        <v>21336</v>
      </c>
      <c r="O420" s="14" t="s">
        <v>53</v>
      </c>
      <c r="P420" s="105">
        <v>2160</v>
      </c>
      <c r="Q420" s="23">
        <v>42143</v>
      </c>
      <c r="R420" s="118">
        <v>2160</v>
      </c>
      <c r="S420" s="31">
        <f t="shared" si="13"/>
        <v>0</v>
      </c>
      <c r="T420" s="62" t="s">
        <v>59</v>
      </c>
    </row>
    <row r="421" spans="1:20" x14ac:dyDescent="0.25">
      <c r="A421" s="20">
        <v>42128</v>
      </c>
      <c r="B421" s="183">
        <v>19995</v>
      </c>
      <c r="C421" s="14" t="s">
        <v>262</v>
      </c>
      <c r="D421" s="105">
        <v>31969.200000000001</v>
      </c>
      <c r="E421" s="23">
        <v>42140</v>
      </c>
      <c r="F421" s="106">
        <v>31969.200000000001</v>
      </c>
      <c r="G421" s="31">
        <f t="shared" si="12"/>
        <v>0</v>
      </c>
      <c r="H421" s="19" t="s">
        <v>149</v>
      </c>
      <c r="I421" s="3"/>
      <c r="J421" s="42"/>
      <c r="K421" s="3"/>
      <c r="M421" s="20">
        <v>42142</v>
      </c>
      <c r="N421" s="183">
        <v>21437</v>
      </c>
      <c r="O421" s="14" t="s">
        <v>53</v>
      </c>
      <c r="P421" s="105">
        <v>1227.5999999999999</v>
      </c>
      <c r="Q421" s="23">
        <v>42142</v>
      </c>
      <c r="R421" s="106">
        <v>1227.5999999999999</v>
      </c>
      <c r="S421" s="31">
        <f t="shared" si="13"/>
        <v>0</v>
      </c>
      <c r="T421" s="39" t="s">
        <v>59</v>
      </c>
    </row>
    <row r="422" spans="1:20" x14ac:dyDescent="0.25">
      <c r="A422" s="20">
        <v>42128</v>
      </c>
      <c r="B422" s="183">
        <v>19996</v>
      </c>
      <c r="C422" s="14" t="s">
        <v>106</v>
      </c>
      <c r="D422" s="105">
        <v>3822</v>
      </c>
      <c r="E422" s="23">
        <v>42131</v>
      </c>
      <c r="F422" s="106">
        <v>3822</v>
      </c>
      <c r="G422" s="31">
        <f t="shared" si="12"/>
        <v>0</v>
      </c>
      <c r="H422" s="19" t="s">
        <v>9</v>
      </c>
      <c r="I422" s="3"/>
      <c r="J422" s="42"/>
      <c r="K422" s="3"/>
      <c r="M422" s="20">
        <v>42143</v>
      </c>
      <c r="N422" s="183">
        <v>21561</v>
      </c>
      <c r="O422" s="14" t="s">
        <v>53</v>
      </c>
      <c r="P422" s="105">
        <v>680.4</v>
      </c>
      <c r="Q422" s="23">
        <v>42143</v>
      </c>
      <c r="R422" s="118">
        <v>680.4</v>
      </c>
      <c r="S422" s="31">
        <f t="shared" si="13"/>
        <v>0</v>
      </c>
      <c r="T422" s="56" t="s">
        <v>59</v>
      </c>
    </row>
    <row r="423" spans="1:20" x14ac:dyDescent="0.25">
      <c r="A423" s="20">
        <v>42128</v>
      </c>
      <c r="B423" s="183">
        <v>19997</v>
      </c>
      <c r="C423" s="14" t="s">
        <v>80</v>
      </c>
      <c r="D423" s="105">
        <v>6813.6</v>
      </c>
      <c r="E423" s="23"/>
      <c r="F423" s="106"/>
      <c r="G423" s="31">
        <f t="shared" si="12"/>
        <v>6813.6</v>
      </c>
      <c r="H423" s="19" t="s">
        <v>9</v>
      </c>
      <c r="I423" s="3"/>
      <c r="J423" s="42"/>
      <c r="K423" s="3"/>
      <c r="M423" s="20">
        <v>42144</v>
      </c>
      <c r="N423" s="183">
        <v>21665</v>
      </c>
      <c r="O423" s="14" t="s">
        <v>53</v>
      </c>
      <c r="P423" s="105">
        <v>1134</v>
      </c>
      <c r="Q423" s="23">
        <v>42145</v>
      </c>
      <c r="R423" s="118">
        <v>1134</v>
      </c>
      <c r="S423" s="31">
        <f t="shared" si="13"/>
        <v>0</v>
      </c>
      <c r="T423" s="62" t="s">
        <v>1257</v>
      </c>
    </row>
    <row r="424" spans="1:20" x14ac:dyDescent="0.25">
      <c r="A424" s="20">
        <v>42128</v>
      </c>
      <c r="B424" s="183">
        <v>19998</v>
      </c>
      <c r="C424" s="14" t="s">
        <v>1060</v>
      </c>
      <c r="D424" s="105">
        <v>90795.87</v>
      </c>
      <c r="E424" s="23">
        <v>42132</v>
      </c>
      <c r="F424" s="106">
        <f>1681.41+89114.46</f>
        <v>90795.87000000001</v>
      </c>
      <c r="G424" s="31">
        <f t="shared" si="12"/>
        <v>0</v>
      </c>
      <c r="H424" s="19" t="s">
        <v>1013</v>
      </c>
      <c r="I424" s="3"/>
      <c r="J424" s="42"/>
      <c r="K424" s="3"/>
      <c r="M424" s="20">
        <v>42145</v>
      </c>
      <c r="N424" s="183">
        <v>21748</v>
      </c>
      <c r="O424" s="15" t="s">
        <v>53</v>
      </c>
      <c r="P424" s="122">
        <v>673.4</v>
      </c>
      <c r="Q424" s="23">
        <v>42145</v>
      </c>
      <c r="R424" s="106">
        <v>673.4</v>
      </c>
      <c r="S424" s="31">
        <f t="shared" si="13"/>
        <v>0</v>
      </c>
      <c r="T424" s="68" t="s">
        <v>59</v>
      </c>
    </row>
    <row r="425" spans="1:20" x14ac:dyDescent="0.25">
      <c r="A425" s="20">
        <v>42128</v>
      </c>
      <c r="B425" s="183">
        <v>19999</v>
      </c>
      <c r="C425" s="14" t="s">
        <v>851</v>
      </c>
      <c r="D425" s="105">
        <v>2526.1999999999998</v>
      </c>
      <c r="E425" s="23">
        <v>42129</v>
      </c>
      <c r="F425" s="106">
        <v>2526.1999999999998</v>
      </c>
      <c r="G425" s="31">
        <f t="shared" si="12"/>
        <v>0</v>
      </c>
      <c r="H425" s="19" t="s">
        <v>41</v>
      </c>
      <c r="I425" s="3"/>
      <c r="J425" s="42"/>
      <c r="K425" s="3"/>
      <c r="M425" s="20">
        <v>42146</v>
      </c>
      <c r="N425" s="183">
        <v>21874</v>
      </c>
      <c r="O425" s="14" t="s">
        <v>53</v>
      </c>
      <c r="P425" s="105">
        <v>1361.6</v>
      </c>
      <c r="Q425" s="23">
        <v>42146</v>
      </c>
      <c r="R425" s="106">
        <v>1361.6</v>
      </c>
      <c r="S425" s="31">
        <f t="shared" si="13"/>
        <v>0</v>
      </c>
      <c r="T425" s="39" t="s">
        <v>59</v>
      </c>
    </row>
    <row r="426" spans="1:20" x14ac:dyDescent="0.25">
      <c r="A426" s="20">
        <v>42128</v>
      </c>
      <c r="B426" s="183">
        <v>20000</v>
      </c>
      <c r="C426" s="14" t="s">
        <v>454</v>
      </c>
      <c r="D426" s="105">
        <v>1693.2</v>
      </c>
      <c r="E426" s="23">
        <v>42129</v>
      </c>
      <c r="F426" s="106">
        <v>1693.2</v>
      </c>
      <c r="G426" s="31">
        <f t="shared" si="12"/>
        <v>0</v>
      </c>
      <c r="H426" s="19" t="s">
        <v>41</v>
      </c>
      <c r="I426" s="3"/>
      <c r="J426" s="42"/>
      <c r="K426" s="3"/>
      <c r="M426" s="20">
        <v>42147</v>
      </c>
      <c r="N426" s="183">
        <v>22002</v>
      </c>
      <c r="O426" s="14" t="s">
        <v>53</v>
      </c>
      <c r="P426" s="105">
        <v>2671.4</v>
      </c>
      <c r="Q426" s="65">
        <v>42147</v>
      </c>
      <c r="R426" s="106">
        <v>2671.4</v>
      </c>
      <c r="S426" s="31">
        <f t="shared" si="13"/>
        <v>0</v>
      </c>
      <c r="T426" s="39" t="s">
        <v>1257</v>
      </c>
    </row>
    <row r="427" spans="1:20" x14ac:dyDescent="0.25">
      <c r="A427" s="20">
        <v>42128</v>
      </c>
      <c r="B427" s="183">
        <v>20001</v>
      </c>
      <c r="C427" s="14" t="s">
        <v>454</v>
      </c>
      <c r="D427" s="105">
        <v>93.6</v>
      </c>
      <c r="E427" s="23">
        <v>42129</v>
      </c>
      <c r="F427" s="106">
        <v>93.6</v>
      </c>
      <c r="G427" s="31">
        <f t="shared" si="12"/>
        <v>0</v>
      </c>
      <c r="H427" s="19" t="s">
        <v>41</v>
      </c>
      <c r="I427" s="3"/>
      <c r="J427" s="42"/>
      <c r="K427" s="3"/>
      <c r="M427" s="20">
        <v>42148</v>
      </c>
      <c r="N427" s="183">
        <v>22101</v>
      </c>
      <c r="O427" s="14" t="s">
        <v>53</v>
      </c>
      <c r="P427" s="105">
        <v>2302.8000000000002</v>
      </c>
      <c r="Q427" s="65">
        <v>42148</v>
      </c>
      <c r="R427" s="106">
        <v>2302.8000000000002</v>
      </c>
      <c r="S427" s="31">
        <f t="shared" si="13"/>
        <v>0</v>
      </c>
      <c r="T427" s="39" t="s">
        <v>59</v>
      </c>
    </row>
    <row r="428" spans="1:20" x14ac:dyDescent="0.25">
      <c r="A428" s="20">
        <v>42128</v>
      </c>
      <c r="B428" s="183">
        <v>20002</v>
      </c>
      <c r="C428" s="14" t="s">
        <v>1020</v>
      </c>
      <c r="D428" s="105">
        <v>1669.52</v>
      </c>
      <c r="E428" s="23">
        <v>42128</v>
      </c>
      <c r="F428" s="106">
        <v>1669.52</v>
      </c>
      <c r="G428" s="31">
        <f t="shared" si="12"/>
        <v>0</v>
      </c>
      <c r="H428" s="19" t="s">
        <v>9</v>
      </c>
      <c r="I428" s="3"/>
      <c r="J428" s="42"/>
      <c r="K428" s="3"/>
      <c r="M428" s="20">
        <v>42151</v>
      </c>
      <c r="N428" s="183">
        <v>22372</v>
      </c>
      <c r="O428" s="150" t="s">
        <v>53</v>
      </c>
      <c r="P428" s="105">
        <v>1238.8</v>
      </c>
      <c r="Q428" s="65">
        <v>42151</v>
      </c>
      <c r="R428" s="106">
        <v>1238.8</v>
      </c>
      <c r="S428" s="31">
        <f t="shared" si="13"/>
        <v>0</v>
      </c>
      <c r="T428" s="39" t="s">
        <v>1257</v>
      </c>
    </row>
    <row r="429" spans="1:20" x14ac:dyDescent="0.25">
      <c r="A429" s="20">
        <v>42128</v>
      </c>
      <c r="B429" s="183">
        <v>20003</v>
      </c>
      <c r="C429" s="14" t="s">
        <v>834</v>
      </c>
      <c r="D429" s="105">
        <v>3864.6</v>
      </c>
      <c r="E429" s="23">
        <v>42128</v>
      </c>
      <c r="F429" s="106">
        <v>3864.6</v>
      </c>
      <c r="G429" s="31">
        <f t="shared" si="12"/>
        <v>0</v>
      </c>
      <c r="H429" s="19" t="s">
        <v>9</v>
      </c>
      <c r="I429" s="3"/>
      <c r="J429" s="42"/>
      <c r="K429" s="3"/>
      <c r="M429" s="20">
        <v>42152</v>
      </c>
      <c r="N429" s="183">
        <v>22464</v>
      </c>
      <c r="O429" s="14" t="s">
        <v>53</v>
      </c>
      <c r="P429" s="105">
        <v>1254</v>
      </c>
      <c r="Q429" s="23">
        <v>42152</v>
      </c>
      <c r="R429" s="106">
        <v>1254</v>
      </c>
      <c r="S429" s="31">
        <f t="shared" si="13"/>
        <v>0</v>
      </c>
      <c r="T429" s="39" t="s">
        <v>59</v>
      </c>
    </row>
    <row r="430" spans="1:20" x14ac:dyDescent="0.25">
      <c r="A430" s="20">
        <v>42128</v>
      </c>
      <c r="B430" s="183">
        <v>20004</v>
      </c>
      <c r="C430" s="26" t="s">
        <v>218</v>
      </c>
      <c r="D430" s="105">
        <v>0</v>
      </c>
      <c r="E430" s="23"/>
      <c r="F430" s="106"/>
      <c r="G430" s="48">
        <f t="shared" si="12"/>
        <v>0</v>
      </c>
      <c r="H430" s="19" t="s">
        <v>13</v>
      </c>
      <c r="I430" s="3"/>
      <c r="J430" s="42"/>
      <c r="K430" s="3"/>
      <c r="M430" s="20">
        <v>42153</v>
      </c>
      <c r="N430" s="183">
        <v>22549</v>
      </c>
      <c r="O430" s="14" t="s">
        <v>53</v>
      </c>
      <c r="P430" s="105">
        <v>1497.2</v>
      </c>
      <c r="Q430" s="23">
        <v>42153</v>
      </c>
      <c r="R430" s="106">
        <v>1497.2</v>
      </c>
      <c r="S430" s="31">
        <f t="shared" si="13"/>
        <v>0</v>
      </c>
      <c r="T430" s="39" t="s">
        <v>59</v>
      </c>
    </row>
    <row r="431" spans="1:20" x14ac:dyDescent="0.25">
      <c r="A431" s="20">
        <v>42128</v>
      </c>
      <c r="B431" s="183">
        <v>20005</v>
      </c>
      <c r="C431" s="14" t="s">
        <v>90</v>
      </c>
      <c r="D431" s="105">
        <v>1132.3</v>
      </c>
      <c r="E431" s="23">
        <v>42128</v>
      </c>
      <c r="F431" s="106">
        <v>1132.3</v>
      </c>
      <c r="G431" s="31">
        <f t="shared" si="12"/>
        <v>0</v>
      </c>
      <c r="H431" s="19" t="s">
        <v>9</v>
      </c>
      <c r="I431" s="3"/>
      <c r="J431" s="42"/>
      <c r="K431" s="3"/>
      <c r="M431" s="20">
        <v>42154</v>
      </c>
      <c r="N431" s="183">
        <v>22705</v>
      </c>
      <c r="O431" s="14" t="s">
        <v>53</v>
      </c>
      <c r="P431" s="105">
        <v>2964</v>
      </c>
      <c r="Q431" s="23">
        <v>42154</v>
      </c>
      <c r="R431" s="106">
        <v>2964</v>
      </c>
      <c r="S431" s="31">
        <f t="shared" si="13"/>
        <v>0</v>
      </c>
      <c r="T431" s="39" t="s">
        <v>59</v>
      </c>
    </row>
    <row r="432" spans="1:20" x14ac:dyDescent="0.25">
      <c r="A432" s="20">
        <v>42128</v>
      </c>
      <c r="B432" s="183">
        <v>20006</v>
      </c>
      <c r="C432" s="14" t="s">
        <v>24</v>
      </c>
      <c r="D432" s="105">
        <v>33728.9</v>
      </c>
      <c r="E432" s="23">
        <v>42151</v>
      </c>
      <c r="F432" s="106">
        <v>33728.9</v>
      </c>
      <c r="G432" s="31">
        <f t="shared" si="12"/>
        <v>0</v>
      </c>
      <c r="H432" s="19" t="s">
        <v>46</v>
      </c>
      <c r="I432" s="3"/>
      <c r="J432" s="42"/>
      <c r="K432" s="3"/>
      <c r="M432" s="20">
        <v>42154</v>
      </c>
      <c r="N432" s="183">
        <v>22721</v>
      </c>
      <c r="O432" s="14" t="s">
        <v>53</v>
      </c>
      <c r="P432" s="105">
        <v>93.75</v>
      </c>
      <c r="Q432" s="23">
        <v>42154</v>
      </c>
      <c r="R432" s="106">
        <v>93.75</v>
      </c>
      <c r="S432" s="31">
        <f t="shared" si="13"/>
        <v>0</v>
      </c>
      <c r="T432" s="39" t="s">
        <v>59</v>
      </c>
    </row>
    <row r="433" spans="1:20" x14ac:dyDescent="0.25">
      <c r="A433" s="20">
        <v>42128</v>
      </c>
      <c r="B433" s="183">
        <v>20007</v>
      </c>
      <c r="C433" s="14" t="s">
        <v>235</v>
      </c>
      <c r="D433" s="105">
        <v>1840.8</v>
      </c>
      <c r="E433" s="23">
        <v>42129</v>
      </c>
      <c r="F433" s="106">
        <v>1840.8</v>
      </c>
      <c r="G433" s="31">
        <f t="shared" si="12"/>
        <v>0</v>
      </c>
      <c r="H433" s="19" t="s">
        <v>1257</v>
      </c>
      <c r="K433" s="3"/>
      <c r="M433" s="20">
        <v>42155</v>
      </c>
      <c r="N433" s="183">
        <v>22818</v>
      </c>
      <c r="O433" s="14" t="s">
        <v>53</v>
      </c>
      <c r="P433" s="105">
        <v>2093.8000000000002</v>
      </c>
      <c r="Q433" s="23">
        <v>42155</v>
      </c>
      <c r="R433" s="106">
        <v>2093.8000000000002</v>
      </c>
      <c r="S433" s="31">
        <f t="shared" si="13"/>
        <v>0</v>
      </c>
      <c r="T433" s="39" t="s">
        <v>1257</v>
      </c>
    </row>
    <row r="434" spans="1:20" x14ac:dyDescent="0.25">
      <c r="A434" s="20">
        <v>42128</v>
      </c>
      <c r="B434" s="183">
        <v>20008</v>
      </c>
      <c r="C434" s="14" t="s">
        <v>59</v>
      </c>
      <c r="D434" s="105">
        <v>80</v>
      </c>
      <c r="E434" s="23">
        <v>42128</v>
      </c>
      <c r="F434" s="106">
        <v>80</v>
      </c>
      <c r="G434" s="31">
        <f t="shared" si="12"/>
        <v>0</v>
      </c>
      <c r="H434" s="19" t="s">
        <v>9</v>
      </c>
      <c r="J434" s="107"/>
      <c r="K434" s="3"/>
      <c r="M434" s="20">
        <v>42125</v>
      </c>
      <c r="N434" s="183">
        <v>19588</v>
      </c>
      <c r="O434" s="14" t="s">
        <v>57</v>
      </c>
      <c r="P434" s="105">
        <v>2700</v>
      </c>
      <c r="Q434" s="23">
        <v>42125</v>
      </c>
      <c r="R434" s="106">
        <v>2700</v>
      </c>
      <c r="S434" s="25">
        <f t="shared" si="13"/>
        <v>0</v>
      </c>
      <c r="T434" s="19" t="s">
        <v>9</v>
      </c>
    </row>
    <row r="435" spans="1:20" x14ac:dyDescent="0.25">
      <c r="A435" s="20">
        <v>42128</v>
      </c>
      <c r="B435" s="183">
        <v>20009</v>
      </c>
      <c r="C435" s="14" t="s">
        <v>111</v>
      </c>
      <c r="D435" s="105">
        <v>183472</v>
      </c>
      <c r="E435" s="23">
        <v>42130</v>
      </c>
      <c r="F435" s="106">
        <v>183472</v>
      </c>
      <c r="G435" s="31">
        <f t="shared" si="12"/>
        <v>0</v>
      </c>
      <c r="H435" s="19" t="s">
        <v>9</v>
      </c>
      <c r="K435" s="3"/>
      <c r="M435" s="20">
        <v>42126</v>
      </c>
      <c r="N435" s="183">
        <v>19771</v>
      </c>
      <c r="O435" s="40" t="s">
        <v>57</v>
      </c>
      <c r="P435" s="105">
        <v>1260</v>
      </c>
      <c r="Q435" s="23">
        <v>42127</v>
      </c>
      <c r="R435" s="106">
        <v>1260</v>
      </c>
      <c r="S435" s="25">
        <f t="shared" si="13"/>
        <v>0</v>
      </c>
      <c r="T435" s="41" t="s">
        <v>59</v>
      </c>
    </row>
    <row r="436" spans="1:20" x14ac:dyDescent="0.25">
      <c r="A436" s="20">
        <v>42128</v>
      </c>
      <c r="B436" s="183">
        <v>20010</v>
      </c>
      <c r="C436" s="14" t="s">
        <v>1140</v>
      </c>
      <c r="D436" s="105">
        <v>4217.3999999999996</v>
      </c>
      <c r="E436" s="23">
        <v>42130</v>
      </c>
      <c r="F436" s="106">
        <v>4217.3999999999996</v>
      </c>
      <c r="G436" s="31">
        <f t="shared" si="12"/>
        <v>0</v>
      </c>
      <c r="H436" s="19" t="s">
        <v>149</v>
      </c>
      <c r="K436" s="3"/>
      <c r="M436" s="20">
        <v>42127</v>
      </c>
      <c r="N436" s="183">
        <v>19856</v>
      </c>
      <c r="O436" s="40" t="s">
        <v>57</v>
      </c>
      <c r="P436" s="105">
        <v>432</v>
      </c>
      <c r="Q436" s="23">
        <v>42127</v>
      </c>
      <c r="R436" s="106">
        <v>432</v>
      </c>
      <c r="S436" s="31">
        <f t="shared" si="13"/>
        <v>0</v>
      </c>
      <c r="T436" s="41" t="s">
        <v>59</v>
      </c>
    </row>
    <row r="437" spans="1:20" x14ac:dyDescent="0.25">
      <c r="A437" s="20">
        <v>42128</v>
      </c>
      <c r="B437" s="183">
        <v>20011</v>
      </c>
      <c r="C437" s="26" t="s">
        <v>218</v>
      </c>
      <c r="D437" s="105">
        <v>0</v>
      </c>
      <c r="E437" s="23"/>
      <c r="F437" s="106"/>
      <c r="G437" s="31">
        <f t="shared" si="12"/>
        <v>0</v>
      </c>
      <c r="H437" s="19" t="s">
        <v>13</v>
      </c>
      <c r="K437" s="3"/>
      <c r="M437" s="20">
        <v>42128</v>
      </c>
      <c r="N437" s="183">
        <v>19934</v>
      </c>
      <c r="O437" s="14" t="s">
        <v>57</v>
      </c>
      <c r="P437" s="105">
        <v>1800</v>
      </c>
      <c r="Q437" s="23">
        <v>42128</v>
      </c>
      <c r="R437" s="106">
        <v>1800</v>
      </c>
      <c r="S437" s="31">
        <f t="shared" si="13"/>
        <v>0</v>
      </c>
      <c r="T437" s="19" t="s">
        <v>27</v>
      </c>
    </row>
    <row r="438" spans="1:20" x14ac:dyDescent="0.25">
      <c r="A438" s="20">
        <v>42128</v>
      </c>
      <c r="B438" s="183">
        <v>20012</v>
      </c>
      <c r="C438" s="14" t="s">
        <v>350</v>
      </c>
      <c r="D438" s="105">
        <v>2222</v>
      </c>
      <c r="E438" s="23">
        <v>42130</v>
      </c>
      <c r="F438" s="106">
        <v>2222</v>
      </c>
      <c r="G438" s="31">
        <f t="shared" si="12"/>
        <v>0</v>
      </c>
      <c r="H438" s="19" t="s">
        <v>149</v>
      </c>
      <c r="K438" s="3"/>
      <c r="M438" s="20">
        <v>42129</v>
      </c>
      <c r="N438" s="183">
        <v>20068</v>
      </c>
      <c r="O438" s="14" t="s">
        <v>57</v>
      </c>
      <c r="P438" s="105">
        <v>1800</v>
      </c>
      <c r="Q438" s="23">
        <v>42129</v>
      </c>
      <c r="R438" s="106">
        <v>1800</v>
      </c>
      <c r="S438" s="31">
        <f t="shared" si="13"/>
        <v>0</v>
      </c>
      <c r="T438" s="39" t="s">
        <v>59</v>
      </c>
    </row>
    <row r="439" spans="1:20" x14ac:dyDescent="0.25">
      <c r="A439" s="20">
        <v>42128</v>
      </c>
      <c r="B439" s="183">
        <v>20013</v>
      </c>
      <c r="C439" s="14" t="s">
        <v>1140</v>
      </c>
      <c r="D439" s="105">
        <v>6582.4</v>
      </c>
      <c r="E439" s="23">
        <v>42130</v>
      </c>
      <c r="F439" s="106">
        <v>6582.4</v>
      </c>
      <c r="G439" s="31">
        <f t="shared" si="12"/>
        <v>0</v>
      </c>
      <c r="H439" s="19" t="s">
        <v>149</v>
      </c>
      <c r="K439" s="3"/>
      <c r="M439" s="20">
        <v>42130</v>
      </c>
      <c r="N439" s="183">
        <v>20151</v>
      </c>
      <c r="O439" s="14" t="s">
        <v>57</v>
      </c>
      <c r="P439" s="105">
        <v>720</v>
      </c>
      <c r="Q439" s="23">
        <v>42131</v>
      </c>
      <c r="R439" s="106">
        <v>720</v>
      </c>
      <c r="S439" s="31">
        <f t="shared" si="13"/>
        <v>0</v>
      </c>
      <c r="T439" s="39" t="s">
        <v>1013</v>
      </c>
    </row>
    <row r="440" spans="1:20" x14ac:dyDescent="0.25">
      <c r="A440" s="20">
        <v>42128</v>
      </c>
      <c r="B440" s="183">
        <v>20014</v>
      </c>
      <c r="C440" s="14" t="s">
        <v>733</v>
      </c>
      <c r="D440" s="105">
        <v>11075.9</v>
      </c>
      <c r="E440" s="23">
        <v>42130</v>
      </c>
      <c r="F440" s="106">
        <v>11075.9</v>
      </c>
      <c r="G440" s="31">
        <f t="shared" si="12"/>
        <v>0</v>
      </c>
      <c r="H440" s="19" t="s">
        <v>149</v>
      </c>
      <c r="K440" s="3"/>
      <c r="M440" s="20">
        <v>42131</v>
      </c>
      <c r="N440" s="183">
        <v>20260</v>
      </c>
      <c r="O440" s="14" t="s">
        <v>57</v>
      </c>
      <c r="P440" s="105">
        <v>540</v>
      </c>
      <c r="Q440" s="23">
        <v>42131</v>
      </c>
      <c r="R440" s="106">
        <v>540</v>
      </c>
      <c r="S440" s="31">
        <f t="shared" si="13"/>
        <v>0</v>
      </c>
      <c r="T440" s="19" t="s">
        <v>9</v>
      </c>
    </row>
    <row r="441" spans="1:20" x14ac:dyDescent="0.25">
      <c r="A441" s="20">
        <v>42128</v>
      </c>
      <c r="B441" s="183">
        <v>20015</v>
      </c>
      <c r="C441" s="14" t="s">
        <v>732</v>
      </c>
      <c r="D441" s="105">
        <v>24126.1</v>
      </c>
      <c r="E441" s="23">
        <v>42130</v>
      </c>
      <c r="F441" s="106">
        <v>24126.1</v>
      </c>
      <c r="G441" s="31">
        <f t="shared" si="12"/>
        <v>0</v>
      </c>
      <c r="H441" s="19" t="s">
        <v>149</v>
      </c>
      <c r="K441" s="3"/>
      <c r="M441" s="20">
        <v>42139</v>
      </c>
      <c r="N441" s="183">
        <v>21134</v>
      </c>
      <c r="O441" s="14" t="s">
        <v>57</v>
      </c>
      <c r="P441" s="105">
        <v>1980</v>
      </c>
      <c r="Q441" s="23">
        <v>42139</v>
      </c>
      <c r="R441" s="106">
        <v>1980</v>
      </c>
      <c r="S441" s="48">
        <f t="shared" si="13"/>
        <v>0</v>
      </c>
      <c r="T441" s="39" t="s">
        <v>1257</v>
      </c>
    </row>
    <row r="442" spans="1:20" x14ac:dyDescent="0.25">
      <c r="A442" s="20">
        <v>42128</v>
      </c>
      <c r="B442" s="183">
        <v>20016</v>
      </c>
      <c r="C442" s="14" t="s">
        <v>1275</v>
      </c>
      <c r="D442" s="105">
        <v>8568.5</v>
      </c>
      <c r="E442" s="23">
        <v>42130</v>
      </c>
      <c r="F442" s="106">
        <v>8568.5</v>
      </c>
      <c r="G442" s="31">
        <f t="shared" si="12"/>
        <v>0</v>
      </c>
      <c r="H442" s="19" t="s">
        <v>149</v>
      </c>
      <c r="K442" s="3"/>
      <c r="M442" s="20">
        <v>42140</v>
      </c>
      <c r="N442" s="183">
        <v>21252</v>
      </c>
      <c r="O442" s="14" t="s">
        <v>57</v>
      </c>
      <c r="P442" s="105">
        <v>1080</v>
      </c>
      <c r="Q442" s="23">
        <v>42140</v>
      </c>
      <c r="R442" s="106">
        <v>1080</v>
      </c>
      <c r="S442" s="31">
        <f t="shared" si="13"/>
        <v>0</v>
      </c>
      <c r="T442" s="19" t="s">
        <v>59</v>
      </c>
    </row>
    <row r="443" spans="1:20" x14ac:dyDescent="0.25">
      <c r="A443" s="20">
        <v>42128</v>
      </c>
      <c r="B443" s="183">
        <v>20017</v>
      </c>
      <c r="C443" s="14" t="s">
        <v>195</v>
      </c>
      <c r="D443" s="105">
        <v>142071.06</v>
      </c>
      <c r="E443" s="30" t="s">
        <v>1310</v>
      </c>
      <c r="F443" s="106">
        <v>142071.06</v>
      </c>
      <c r="G443" s="31">
        <f t="shared" si="12"/>
        <v>0</v>
      </c>
      <c r="H443" s="19" t="s">
        <v>149</v>
      </c>
      <c r="K443" s="3"/>
      <c r="M443" s="20">
        <v>42141</v>
      </c>
      <c r="N443" s="183">
        <v>21338</v>
      </c>
      <c r="O443" s="14" t="s">
        <v>57</v>
      </c>
      <c r="P443" s="105">
        <v>1080</v>
      </c>
      <c r="Q443" s="23">
        <v>42142</v>
      </c>
      <c r="R443" s="118">
        <v>1080</v>
      </c>
      <c r="S443" s="31">
        <f t="shared" si="13"/>
        <v>0</v>
      </c>
      <c r="T443" s="62" t="s">
        <v>59</v>
      </c>
    </row>
    <row r="444" spans="1:20" x14ac:dyDescent="0.25">
      <c r="A444" s="20">
        <v>42128</v>
      </c>
      <c r="B444" s="183">
        <v>20018</v>
      </c>
      <c r="C444" s="26" t="s">
        <v>218</v>
      </c>
      <c r="D444" s="105">
        <v>0</v>
      </c>
      <c r="E444" s="23"/>
      <c r="F444" s="106"/>
      <c r="G444" s="31">
        <f t="shared" si="12"/>
        <v>0</v>
      </c>
      <c r="H444" s="19" t="s">
        <v>13</v>
      </c>
      <c r="K444" s="3"/>
      <c r="M444" s="20">
        <v>42143</v>
      </c>
      <c r="N444" s="183">
        <v>21552</v>
      </c>
      <c r="O444" s="14" t="s">
        <v>57</v>
      </c>
      <c r="P444" s="105">
        <v>1330</v>
      </c>
      <c r="Q444" s="23">
        <v>42143</v>
      </c>
      <c r="R444" s="118">
        <v>1330</v>
      </c>
      <c r="S444" s="31">
        <f t="shared" si="13"/>
        <v>0</v>
      </c>
      <c r="T444" s="56" t="s">
        <v>59</v>
      </c>
    </row>
    <row r="445" spans="1:20" x14ac:dyDescent="0.25">
      <c r="A445" s="20">
        <v>42128</v>
      </c>
      <c r="B445" s="183">
        <v>20019</v>
      </c>
      <c r="C445" s="14" t="s">
        <v>198</v>
      </c>
      <c r="D445" s="105">
        <v>8937.06</v>
      </c>
      <c r="E445" s="23">
        <v>42130</v>
      </c>
      <c r="F445" s="106">
        <v>8937.06</v>
      </c>
      <c r="G445" s="31">
        <f t="shared" si="12"/>
        <v>0</v>
      </c>
      <c r="H445" s="19" t="s">
        <v>149</v>
      </c>
      <c r="K445" s="3"/>
      <c r="M445" s="20">
        <v>42144</v>
      </c>
      <c r="N445" s="183">
        <v>21654</v>
      </c>
      <c r="O445" s="14" t="s">
        <v>57</v>
      </c>
      <c r="P445" s="105">
        <v>950</v>
      </c>
      <c r="Q445" s="23">
        <v>42145</v>
      </c>
      <c r="R445" s="118">
        <v>950</v>
      </c>
      <c r="S445" s="31">
        <f t="shared" si="13"/>
        <v>0</v>
      </c>
      <c r="T445" s="62" t="s">
        <v>1257</v>
      </c>
    </row>
    <row r="446" spans="1:20" x14ac:dyDescent="0.25">
      <c r="A446" s="20">
        <v>42129</v>
      </c>
      <c r="B446" s="183">
        <v>20020</v>
      </c>
      <c r="C446" s="14" t="s">
        <v>21</v>
      </c>
      <c r="D446" s="105">
        <v>6680.8</v>
      </c>
      <c r="E446" s="23">
        <v>42129</v>
      </c>
      <c r="F446" s="106">
        <v>6680.8</v>
      </c>
      <c r="G446" s="31">
        <f t="shared" si="12"/>
        <v>0</v>
      </c>
      <c r="H446" s="19" t="s">
        <v>9</v>
      </c>
      <c r="K446" s="3"/>
      <c r="M446" s="20">
        <v>42145</v>
      </c>
      <c r="N446" s="183">
        <v>21750</v>
      </c>
      <c r="O446" s="15" t="s">
        <v>57</v>
      </c>
      <c r="P446" s="122">
        <v>1634</v>
      </c>
      <c r="Q446" s="23">
        <v>42145</v>
      </c>
      <c r="R446" s="118">
        <v>1634</v>
      </c>
      <c r="S446" s="31">
        <f t="shared" si="13"/>
        <v>0</v>
      </c>
      <c r="T446" s="68" t="s">
        <v>59</v>
      </c>
    </row>
    <row r="447" spans="1:20" x14ac:dyDescent="0.25">
      <c r="A447" s="20">
        <v>42129</v>
      </c>
      <c r="B447" s="183">
        <v>20021</v>
      </c>
      <c r="C447" s="150" t="s">
        <v>383</v>
      </c>
      <c r="D447" s="105">
        <v>2557.1999999999998</v>
      </c>
      <c r="E447" s="23">
        <v>42129</v>
      </c>
      <c r="F447" s="106">
        <v>2557.1999999999998</v>
      </c>
      <c r="G447" s="31">
        <f t="shared" si="12"/>
        <v>0</v>
      </c>
      <c r="H447" s="19" t="s">
        <v>9</v>
      </c>
      <c r="K447" s="3"/>
      <c r="M447" s="20">
        <v>42146</v>
      </c>
      <c r="N447" s="183">
        <v>21879</v>
      </c>
      <c r="O447" s="14" t="s">
        <v>57</v>
      </c>
      <c r="P447" s="105">
        <v>2014</v>
      </c>
      <c r="Q447" s="23">
        <v>42146</v>
      </c>
      <c r="R447" s="106">
        <v>2014</v>
      </c>
      <c r="S447" s="31">
        <f t="shared" si="13"/>
        <v>0</v>
      </c>
      <c r="T447" s="39" t="s">
        <v>59</v>
      </c>
    </row>
    <row r="448" spans="1:20" x14ac:dyDescent="0.25">
      <c r="A448" s="20">
        <v>42129</v>
      </c>
      <c r="B448" s="183">
        <v>20022</v>
      </c>
      <c r="C448" s="14" t="s">
        <v>14</v>
      </c>
      <c r="D448" s="105">
        <v>19359.400000000001</v>
      </c>
      <c r="E448" s="23">
        <v>42149</v>
      </c>
      <c r="F448" s="106">
        <v>19359.400000000001</v>
      </c>
      <c r="G448" s="31">
        <f t="shared" si="12"/>
        <v>0</v>
      </c>
      <c r="H448" s="19" t="s">
        <v>15</v>
      </c>
      <c r="K448" s="3"/>
      <c r="M448" s="20">
        <v>42148</v>
      </c>
      <c r="N448" s="183">
        <v>22088</v>
      </c>
      <c r="O448" s="14" t="s">
        <v>57</v>
      </c>
      <c r="P448" s="105">
        <v>760</v>
      </c>
      <c r="Q448" s="65">
        <v>42148</v>
      </c>
      <c r="R448" s="106">
        <v>760</v>
      </c>
      <c r="S448" s="31">
        <f t="shared" si="13"/>
        <v>0</v>
      </c>
      <c r="T448" s="39" t="s">
        <v>59</v>
      </c>
    </row>
    <row r="449" spans="1:20" x14ac:dyDescent="0.25">
      <c r="A449" s="20">
        <v>42129</v>
      </c>
      <c r="B449" s="183">
        <v>20023</v>
      </c>
      <c r="C449" s="14" t="s">
        <v>1279</v>
      </c>
      <c r="D449" s="105">
        <v>91951.5</v>
      </c>
      <c r="E449" s="23">
        <v>42133</v>
      </c>
      <c r="F449" s="106">
        <v>91951.5</v>
      </c>
      <c r="G449" s="31">
        <f t="shared" si="12"/>
        <v>0</v>
      </c>
      <c r="H449" s="19" t="s">
        <v>9</v>
      </c>
      <c r="K449" s="3"/>
      <c r="M449" s="20">
        <v>42150</v>
      </c>
      <c r="N449" s="183">
        <v>22277</v>
      </c>
      <c r="O449" s="14" t="s">
        <v>57</v>
      </c>
      <c r="P449" s="105">
        <v>800</v>
      </c>
      <c r="Q449" s="65">
        <v>42150</v>
      </c>
      <c r="R449" s="106">
        <v>800</v>
      </c>
      <c r="S449" s="31">
        <f t="shared" si="13"/>
        <v>0</v>
      </c>
      <c r="T449" s="39" t="s">
        <v>59</v>
      </c>
    </row>
    <row r="450" spans="1:20" x14ac:dyDescent="0.25">
      <c r="A450" s="20">
        <v>42129</v>
      </c>
      <c r="B450" s="183">
        <v>20024</v>
      </c>
      <c r="C450" s="14" t="s">
        <v>720</v>
      </c>
      <c r="D450" s="105">
        <v>4891.6000000000004</v>
      </c>
      <c r="E450" s="23">
        <v>42129</v>
      </c>
      <c r="F450" s="106">
        <v>4891.6000000000004</v>
      </c>
      <c r="G450" s="31">
        <f t="shared" si="12"/>
        <v>0</v>
      </c>
      <c r="H450" s="19" t="s">
        <v>9</v>
      </c>
      <c r="K450" s="3"/>
      <c r="M450" s="20">
        <v>42151</v>
      </c>
      <c r="N450" s="183">
        <v>22371</v>
      </c>
      <c r="O450" s="14" t="s">
        <v>57</v>
      </c>
      <c r="P450" s="105">
        <v>1200</v>
      </c>
      <c r="Q450" s="65">
        <v>42151</v>
      </c>
      <c r="R450" s="106">
        <v>1200</v>
      </c>
      <c r="S450" s="31">
        <f t="shared" si="13"/>
        <v>0</v>
      </c>
      <c r="T450" s="39" t="s">
        <v>1257</v>
      </c>
    </row>
    <row r="451" spans="1:20" x14ac:dyDescent="0.25">
      <c r="A451" s="20">
        <v>42129</v>
      </c>
      <c r="B451" s="183">
        <v>20025</v>
      </c>
      <c r="C451" s="14" t="s">
        <v>151</v>
      </c>
      <c r="D451" s="105">
        <v>5825.7</v>
      </c>
      <c r="E451" s="23">
        <v>42130</v>
      </c>
      <c r="F451" s="106">
        <v>5825.7</v>
      </c>
      <c r="G451" s="31">
        <f t="shared" ref="G451:G514" si="14">D451-F451</f>
        <v>0</v>
      </c>
      <c r="H451" s="19" t="s">
        <v>9</v>
      </c>
      <c r="K451" s="3"/>
      <c r="M451" s="20">
        <v>42152</v>
      </c>
      <c r="N451" s="183">
        <v>22466</v>
      </c>
      <c r="O451" s="14" t="s">
        <v>57</v>
      </c>
      <c r="P451" s="105">
        <v>1400</v>
      </c>
      <c r="Q451" s="23">
        <v>42153</v>
      </c>
      <c r="R451" s="106">
        <v>1400</v>
      </c>
      <c r="S451" s="31">
        <f t="shared" ref="S451:S514" si="15">P451-R451</f>
        <v>0</v>
      </c>
      <c r="T451" s="39" t="s">
        <v>59</v>
      </c>
    </row>
    <row r="452" spans="1:20" x14ac:dyDescent="0.25">
      <c r="A452" s="20">
        <v>42129</v>
      </c>
      <c r="B452" s="183">
        <v>20026</v>
      </c>
      <c r="C452" s="14" t="s">
        <v>940</v>
      </c>
      <c r="D452" s="105">
        <v>3774.9</v>
      </c>
      <c r="E452" s="23">
        <v>42129</v>
      </c>
      <c r="F452" s="106">
        <v>3774.9</v>
      </c>
      <c r="G452" s="31">
        <f t="shared" si="14"/>
        <v>0</v>
      </c>
      <c r="H452" s="19" t="s">
        <v>9</v>
      </c>
      <c r="K452" s="3"/>
      <c r="M452" s="20">
        <v>42153</v>
      </c>
      <c r="N452" s="183">
        <v>22557</v>
      </c>
      <c r="O452" s="14" t="s">
        <v>57</v>
      </c>
      <c r="P452" s="105">
        <v>3000</v>
      </c>
      <c r="Q452" s="23">
        <v>42153</v>
      </c>
      <c r="R452" s="106">
        <v>3000</v>
      </c>
      <c r="S452" s="31">
        <f t="shared" si="15"/>
        <v>0</v>
      </c>
      <c r="T452" s="39" t="s">
        <v>59</v>
      </c>
    </row>
    <row r="453" spans="1:20" x14ac:dyDescent="0.25">
      <c r="A453" s="20">
        <v>42129</v>
      </c>
      <c r="B453" s="183">
        <v>20027</v>
      </c>
      <c r="C453" s="14" t="s">
        <v>400</v>
      </c>
      <c r="D453" s="105">
        <v>689.6</v>
      </c>
      <c r="E453" s="23">
        <v>42129</v>
      </c>
      <c r="F453" s="106">
        <v>689.6</v>
      </c>
      <c r="G453" s="31">
        <f t="shared" si="14"/>
        <v>0</v>
      </c>
      <c r="H453" s="19" t="s">
        <v>9</v>
      </c>
      <c r="K453" s="3"/>
      <c r="M453" s="20">
        <v>42154</v>
      </c>
      <c r="N453" s="183">
        <v>22727</v>
      </c>
      <c r="O453" s="14" t="s">
        <v>57</v>
      </c>
      <c r="P453" s="105">
        <v>1600</v>
      </c>
      <c r="Q453" s="23">
        <v>42154</v>
      </c>
      <c r="R453" s="106">
        <v>1600</v>
      </c>
      <c r="S453" s="31">
        <f t="shared" si="15"/>
        <v>0</v>
      </c>
      <c r="T453" s="39" t="s">
        <v>59</v>
      </c>
    </row>
    <row r="454" spans="1:20" x14ac:dyDescent="0.25">
      <c r="A454" s="20">
        <v>42129</v>
      </c>
      <c r="B454" s="183">
        <v>20028</v>
      </c>
      <c r="C454" s="14" t="s">
        <v>1191</v>
      </c>
      <c r="D454" s="105">
        <v>4843.8</v>
      </c>
      <c r="E454" s="23">
        <v>42129</v>
      </c>
      <c r="F454" s="106">
        <v>4843.8</v>
      </c>
      <c r="G454" s="31">
        <f t="shared" si="14"/>
        <v>0</v>
      </c>
      <c r="H454" s="39" t="s">
        <v>9</v>
      </c>
      <c r="K454" s="3"/>
      <c r="M454" s="20">
        <v>42147</v>
      </c>
      <c r="N454" s="183">
        <v>22013</v>
      </c>
      <c r="O454" s="14" t="s">
        <v>1311</v>
      </c>
      <c r="P454" s="105">
        <v>2470</v>
      </c>
      <c r="Q454" s="65">
        <v>42147</v>
      </c>
      <c r="R454" s="106">
        <v>2470</v>
      </c>
      <c r="S454" s="31">
        <f t="shared" si="15"/>
        <v>0</v>
      </c>
      <c r="T454" s="39" t="s">
        <v>59</v>
      </c>
    </row>
    <row r="455" spans="1:20" x14ac:dyDescent="0.25">
      <c r="A455" s="20">
        <v>42129</v>
      </c>
      <c r="B455" s="183">
        <v>20029</v>
      </c>
      <c r="C455" s="14" t="s">
        <v>1261</v>
      </c>
      <c r="D455" s="105">
        <v>9224.7999999999993</v>
      </c>
      <c r="E455" s="23">
        <v>42129</v>
      </c>
      <c r="F455" s="106">
        <v>9224.7999999999993</v>
      </c>
      <c r="G455" s="31">
        <f t="shared" si="14"/>
        <v>0</v>
      </c>
      <c r="H455" s="39" t="s">
        <v>9</v>
      </c>
      <c r="K455" s="3"/>
      <c r="M455" s="20">
        <v>42128</v>
      </c>
      <c r="N455" s="183">
        <v>19986</v>
      </c>
      <c r="O455" s="14" t="s">
        <v>206</v>
      </c>
      <c r="P455" s="105">
        <v>56294.36</v>
      </c>
      <c r="Q455" s="23">
        <v>42140</v>
      </c>
      <c r="R455" s="106">
        <v>56294.36</v>
      </c>
      <c r="S455" s="31">
        <f t="shared" si="15"/>
        <v>0</v>
      </c>
      <c r="T455" s="19" t="s">
        <v>149</v>
      </c>
    </row>
    <row r="456" spans="1:20" x14ac:dyDescent="0.25">
      <c r="A456" s="20">
        <v>42129</v>
      </c>
      <c r="B456" s="183">
        <v>20030</v>
      </c>
      <c r="C456" s="14" t="s">
        <v>1190</v>
      </c>
      <c r="D456" s="105">
        <v>1999.8</v>
      </c>
      <c r="E456" s="23">
        <v>42129</v>
      </c>
      <c r="F456" s="106">
        <v>1999.8</v>
      </c>
      <c r="G456" s="31">
        <f t="shared" si="14"/>
        <v>0</v>
      </c>
      <c r="H456" s="39" t="s">
        <v>9</v>
      </c>
      <c r="K456" s="3"/>
      <c r="M456" s="20">
        <v>42135</v>
      </c>
      <c r="N456" s="183">
        <v>20772</v>
      </c>
      <c r="O456" s="14" t="s">
        <v>206</v>
      </c>
      <c r="P456" s="105">
        <v>24645.15</v>
      </c>
      <c r="Q456" s="23">
        <v>42145</v>
      </c>
      <c r="R456" s="106">
        <v>24645.15</v>
      </c>
      <c r="S456" s="31">
        <f t="shared" si="15"/>
        <v>0</v>
      </c>
      <c r="T456" s="19" t="s">
        <v>149</v>
      </c>
    </row>
    <row r="457" spans="1:20" x14ac:dyDescent="0.25">
      <c r="A457" s="20">
        <v>42129</v>
      </c>
      <c r="B457" s="183">
        <v>20031</v>
      </c>
      <c r="C457" s="14" t="s">
        <v>1194</v>
      </c>
      <c r="D457" s="105">
        <v>2227.8000000000002</v>
      </c>
      <c r="E457" s="23">
        <v>42129</v>
      </c>
      <c r="F457" s="106">
        <v>2227.8000000000002</v>
      </c>
      <c r="G457" s="31">
        <f t="shared" si="14"/>
        <v>0</v>
      </c>
      <c r="H457" s="39" t="s">
        <v>9</v>
      </c>
      <c r="K457" s="3"/>
      <c r="M457" s="20">
        <v>42139</v>
      </c>
      <c r="N457" s="183">
        <v>21080</v>
      </c>
      <c r="O457" s="14" t="s">
        <v>206</v>
      </c>
      <c r="P457" s="105">
        <v>8152</v>
      </c>
      <c r="Q457" s="23">
        <v>42145</v>
      </c>
      <c r="R457" s="106">
        <v>8152</v>
      </c>
      <c r="S457" s="48">
        <f t="shared" si="15"/>
        <v>0</v>
      </c>
      <c r="T457" s="39" t="s">
        <v>149</v>
      </c>
    </row>
    <row r="458" spans="1:20" x14ac:dyDescent="0.25">
      <c r="A458" s="20">
        <v>42129</v>
      </c>
      <c r="B458" s="183">
        <v>20032</v>
      </c>
      <c r="C458" s="14" t="s">
        <v>1290</v>
      </c>
      <c r="D458" s="105">
        <v>868.8</v>
      </c>
      <c r="E458" s="23">
        <v>42129</v>
      </c>
      <c r="F458" s="106">
        <v>868.8</v>
      </c>
      <c r="G458" s="31">
        <f t="shared" si="14"/>
        <v>0</v>
      </c>
      <c r="H458" s="39" t="s">
        <v>9</v>
      </c>
      <c r="K458" s="3"/>
      <c r="M458" s="20">
        <v>42142</v>
      </c>
      <c r="N458" s="183">
        <v>21505</v>
      </c>
      <c r="O458" s="14" t="s">
        <v>206</v>
      </c>
      <c r="P458" s="105">
        <v>37666.050000000003</v>
      </c>
      <c r="Q458" s="23">
        <v>42151</v>
      </c>
      <c r="R458" s="106">
        <v>37666.050000000003</v>
      </c>
      <c r="S458" s="31">
        <f t="shared" si="15"/>
        <v>0</v>
      </c>
      <c r="T458" s="39" t="s">
        <v>149</v>
      </c>
    </row>
    <row r="459" spans="1:20" x14ac:dyDescent="0.25">
      <c r="A459" s="20">
        <v>42129</v>
      </c>
      <c r="B459" s="183">
        <v>20033</v>
      </c>
      <c r="C459" s="14" t="s">
        <v>24</v>
      </c>
      <c r="D459" s="105">
        <v>36495.4</v>
      </c>
      <c r="E459" s="23">
        <v>42151</v>
      </c>
      <c r="F459" s="106">
        <v>36495.4</v>
      </c>
      <c r="G459" s="31">
        <f t="shared" si="14"/>
        <v>0</v>
      </c>
      <c r="H459" s="39" t="s">
        <v>1257</v>
      </c>
      <c r="J459" s="107"/>
      <c r="K459" s="3"/>
      <c r="M459" s="20">
        <v>42145</v>
      </c>
      <c r="N459" s="183">
        <v>21799</v>
      </c>
      <c r="O459" s="15" t="s">
        <v>206</v>
      </c>
      <c r="P459" s="122">
        <v>29192.87</v>
      </c>
      <c r="Q459" s="23">
        <v>42151</v>
      </c>
      <c r="R459" s="118">
        <v>29192.87</v>
      </c>
      <c r="S459" s="31">
        <f t="shared" si="15"/>
        <v>0</v>
      </c>
      <c r="T459" s="68" t="s">
        <v>149</v>
      </c>
    </row>
    <row r="460" spans="1:20" x14ac:dyDescent="0.25">
      <c r="A460" s="20">
        <v>42129</v>
      </c>
      <c r="B460" s="183">
        <v>20034</v>
      </c>
      <c r="C460" s="14" t="s">
        <v>121</v>
      </c>
      <c r="D460" s="105">
        <v>2725.6</v>
      </c>
      <c r="E460" s="23">
        <v>42129</v>
      </c>
      <c r="F460" s="106">
        <v>2725.6</v>
      </c>
      <c r="G460" s="31">
        <f t="shared" si="14"/>
        <v>0</v>
      </c>
      <c r="H460" s="39" t="s">
        <v>9</v>
      </c>
      <c r="K460" s="3"/>
      <c r="M460" s="20">
        <v>42149</v>
      </c>
      <c r="N460" s="183">
        <v>22225</v>
      </c>
      <c r="O460" s="14" t="s">
        <v>206</v>
      </c>
      <c r="P460" s="105">
        <v>67951.649999999994</v>
      </c>
      <c r="Q460" s="65"/>
      <c r="R460" s="106"/>
      <c r="S460" s="31">
        <f t="shared" si="15"/>
        <v>67951.649999999994</v>
      </c>
      <c r="T460" s="39" t="s">
        <v>149</v>
      </c>
    </row>
    <row r="461" spans="1:20" x14ac:dyDescent="0.25">
      <c r="A461" s="20">
        <v>42129</v>
      </c>
      <c r="B461" s="183">
        <v>20035</v>
      </c>
      <c r="C461" s="14" t="s">
        <v>1182</v>
      </c>
      <c r="D461" s="105">
        <v>685.8</v>
      </c>
      <c r="E461" s="23">
        <v>42129</v>
      </c>
      <c r="F461" s="106">
        <v>685.8</v>
      </c>
      <c r="G461" s="31">
        <f t="shared" si="14"/>
        <v>0</v>
      </c>
      <c r="H461" s="39" t="s">
        <v>9</v>
      </c>
      <c r="K461" s="3"/>
      <c r="M461" s="20">
        <v>42152</v>
      </c>
      <c r="N461" s="183">
        <v>22541</v>
      </c>
      <c r="O461" s="110" t="s">
        <v>206</v>
      </c>
      <c r="P461" s="105">
        <v>1332.8</v>
      </c>
      <c r="Q461" s="23"/>
      <c r="R461" s="106"/>
      <c r="S461" s="31">
        <f t="shared" si="15"/>
        <v>1332.8</v>
      </c>
      <c r="T461" s="39" t="s">
        <v>149</v>
      </c>
    </row>
    <row r="462" spans="1:20" x14ac:dyDescent="0.25">
      <c r="A462" s="20">
        <v>42129</v>
      </c>
      <c r="B462" s="183">
        <v>20036</v>
      </c>
      <c r="C462" s="14" t="s">
        <v>1060</v>
      </c>
      <c r="D462" s="105">
        <v>1859</v>
      </c>
      <c r="E462" s="23">
        <v>42129</v>
      </c>
      <c r="F462" s="106">
        <v>1859</v>
      </c>
      <c r="G462" s="31">
        <f t="shared" si="14"/>
        <v>0</v>
      </c>
      <c r="H462" s="39" t="s">
        <v>9</v>
      </c>
      <c r="K462" s="3"/>
      <c r="M462" s="20">
        <v>42127</v>
      </c>
      <c r="N462" s="183">
        <v>19850</v>
      </c>
      <c r="O462" s="40" t="s">
        <v>238</v>
      </c>
      <c r="P462" s="105">
        <v>390</v>
      </c>
      <c r="Q462" s="23">
        <v>42128</v>
      </c>
      <c r="R462" s="106">
        <v>390</v>
      </c>
      <c r="S462" s="31">
        <f t="shared" si="15"/>
        <v>0</v>
      </c>
      <c r="T462" s="41" t="s">
        <v>59</v>
      </c>
    </row>
    <row r="463" spans="1:20" x14ac:dyDescent="0.25">
      <c r="A463" s="20">
        <v>42129</v>
      </c>
      <c r="B463" s="183">
        <v>20037</v>
      </c>
      <c r="C463" s="14" t="s">
        <v>791</v>
      </c>
      <c r="D463" s="105">
        <v>2461</v>
      </c>
      <c r="E463" s="23">
        <v>42129</v>
      </c>
      <c r="F463" s="106">
        <v>2461</v>
      </c>
      <c r="G463" s="31">
        <f t="shared" si="14"/>
        <v>0</v>
      </c>
      <c r="H463" s="39" t="s">
        <v>9</v>
      </c>
      <c r="K463" s="3"/>
      <c r="M463" s="20">
        <v>42133</v>
      </c>
      <c r="N463" s="183">
        <v>20510</v>
      </c>
      <c r="O463" s="14" t="s">
        <v>238</v>
      </c>
      <c r="P463" s="105">
        <v>390</v>
      </c>
      <c r="Q463" s="23">
        <v>42134</v>
      </c>
      <c r="R463" s="106">
        <v>390</v>
      </c>
      <c r="S463" s="31">
        <f t="shared" si="15"/>
        <v>0</v>
      </c>
      <c r="T463" s="19" t="s">
        <v>59</v>
      </c>
    </row>
    <row r="464" spans="1:20" x14ac:dyDescent="0.25">
      <c r="A464" s="20">
        <v>42129</v>
      </c>
      <c r="B464" s="183">
        <v>20038</v>
      </c>
      <c r="C464" s="14" t="s">
        <v>1260</v>
      </c>
      <c r="D464" s="105">
        <v>73604.7</v>
      </c>
      <c r="E464" s="23">
        <v>42140</v>
      </c>
      <c r="F464" s="106">
        <v>73604.7</v>
      </c>
      <c r="G464" s="31">
        <f t="shared" si="14"/>
        <v>0</v>
      </c>
      <c r="H464" s="39" t="s">
        <v>1273</v>
      </c>
      <c r="K464" s="3"/>
      <c r="M464" s="20">
        <v>42141</v>
      </c>
      <c r="N464" s="183">
        <v>21333</v>
      </c>
      <c r="O464" s="14" t="s">
        <v>238</v>
      </c>
      <c r="P464" s="105">
        <v>390</v>
      </c>
      <c r="Q464" s="23">
        <v>42142</v>
      </c>
      <c r="R464" s="118">
        <v>390</v>
      </c>
      <c r="S464" s="31">
        <f t="shared" si="15"/>
        <v>0</v>
      </c>
      <c r="T464" s="62" t="s">
        <v>59</v>
      </c>
    </row>
    <row r="465" spans="1:20" x14ac:dyDescent="0.25">
      <c r="A465" s="20">
        <v>42129</v>
      </c>
      <c r="B465" s="183">
        <v>20039</v>
      </c>
      <c r="C465" s="14" t="s">
        <v>114</v>
      </c>
      <c r="D465" s="105">
        <v>996</v>
      </c>
      <c r="E465" s="23">
        <v>42129</v>
      </c>
      <c r="F465" s="106">
        <v>996</v>
      </c>
      <c r="G465" s="31">
        <f t="shared" si="14"/>
        <v>0</v>
      </c>
      <c r="H465" s="39" t="s">
        <v>9</v>
      </c>
      <c r="K465" s="3"/>
      <c r="M465" s="20">
        <v>42146</v>
      </c>
      <c r="N465" s="183">
        <v>21869</v>
      </c>
      <c r="O465" s="14" t="s">
        <v>238</v>
      </c>
      <c r="P465" s="105">
        <v>758.8</v>
      </c>
      <c r="Q465" s="23">
        <v>42146</v>
      </c>
      <c r="R465" s="106">
        <v>758.8</v>
      </c>
      <c r="S465" s="31">
        <f t="shared" si="15"/>
        <v>0</v>
      </c>
      <c r="T465" s="39" t="s">
        <v>59</v>
      </c>
    </row>
    <row r="466" spans="1:20" x14ac:dyDescent="0.25">
      <c r="A466" s="20">
        <v>42129</v>
      </c>
      <c r="B466" s="183">
        <v>20040</v>
      </c>
      <c r="C466" s="14" t="s">
        <v>125</v>
      </c>
      <c r="D466" s="105">
        <v>2160</v>
      </c>
      <c r="E466" s="23">
        <v>42129</v>
      </c>
      <c r="F466" s="106">
        <v>2160</v>
      </c>
      <c r="G466" s="31">
        <f t="shared" si="14"/>
        <v>0</v>
      </c>
      <c r="H466" s="39" t="s">
        <v>94</v>
      </c>
      <c r="I466" s="3"/>
      <c r="J466" s="42"/>
      <c r="K466" s="3"/>
      <c r="M466" s="20">
        <v>42153</v>
      </c>
      <c r="N466" s="183">
        <v>22560</v>
      </c>
      <c r="O466" s="14" t="s">
        <v>238</v>
      </c>
      <c r="P466" s="105">
        <v>370</v>
      </c>
      <c r="Q466" s="23">
        <v>42153</v>
      </c>
      <c r="R466" s="106">
        <v>370</v>
      </c>
      <c r="S466" s="31">
        <f t="shared" si="15"/>
        <v>0</v>
      </c>
      <c r="T466" s="39" t="s">
        <v>59</v>
      </c>
    </row>
    <row r="467" spans="1:20" x14ac:dyDescent="0.25">
      <c r="A467" s="20">
        <v>42129</v>
      </c>
      <c r="B467" s="183">
        <v>20041</v>
      </c>
      <c r="C467" s="14" t="s">
        <v>148</v>
      </c>
      <c r="D467" s="105">
        <v>4017.6</v>
      </c>
      <c r="E467" s="23">
        <v>42129</v>
      </c>
      <c r="F467" s="106">
        <v>4017.6</v>
      </c>
      <c r="G467" s="31">
        <f t="shared" si="14"/>
        <v>0</v>
      </c>
      <c r="H467" s="39" t="s">
        <v>9</v>
      </c>
      <c r="I467" s="3"/>
      <c r="J467" s="42"/>
      <c r="K467" s="3"/>
      <c r="M467" s="20">
        <v>42154</v>
      </c>
      <c r="N467" s="183">
        <v>22718</v>
      </c>
      <c r="O467" s="14" t="s">
        <v>238</v>
      </c>
      <c r="P467" s="105">
        <v>270.39999999999998</v>
      </c>
      <c r="Q467" s="23">
        <v>42154</v>
      </c>
      <c r="R467" s="106">
        <v>270.39999999999998</v>
      </c>
      <c r="S467" s="31">
        <f t="shared" si="15"/>
        <v>0</v>
      </c>
      <c r="T467" s="39" t="s">
        <v>59</v>
      </c>
    </row>
    <row r="468" spans="1:20" x14ac:dyDescent="0.25">
      <c r="A468" s="20">
        <v>42129</v>
      </c>
      <c r="B468" s="183">
        <v>20042</v>
      </c>
      <c r="C468" s="14" t="s">
        <v>383</v>
      </c>
      <c r="D468" s="105">
        <v>2233</v>
      </c>
      <c r="E468" s="23">
        <v>42129</v>
      </c>
      <c r="F468" s="106">
        <v>2233</v>
      </c>
      <c r="G468" s="31">
        <f t="shared" si="14"/>
        <v>0</v>
      </c>
      <c r="H468" s="39" t="s">
        <v>9</v>
      </c>
      <c r="I468" s="3"/>
      <c r="J468" s="42"/>
      <c r="K468" s="3"/>
      <c r="M468" s="20">
        <v>42128</v>
      </c>
      <c r="N468" s="183">
        <v>19995</v>
      </c>
      <c r="O468" s="14" t="s">
        <v>262</v>
      </c>
      <c r="P468" s="105">
        <v>31969.200000000001</v>
      </c>
      <c r="Q468" s="23">
        <v>42140</v>
      </c>
      <c r="R468" s="106">
        <v>31969.200000000001</v>
      </c>
      <c r="S468" s="31">
        <f t="shared" si="15"/>
        <v>0</v>
      </c>
      <c r="T468" s="19" t="s">
        <v>149</v>
      </c>
    </row>
    <row r="469" spans="1:20" x14ac:dyDescent="0.25">
      <c r="A469" s="20">
        <v>42129</v>
      </c>
      <c r="B469" s="183">
        <v>20043</v>
      </c>
      <c r="C469" s="14" t="s">
        <v>135</v>
      </c>
      <c r="D469" s="105">
        <v>176</v>
      </c>
      <c r="E469" s="23">
        <v>42129</v>
      </c>
      <c r="F469" s="106">
        <v>176</v>
      </c>
      <c r="G469" s="31">
        <f t="shared" si="14"/>
        <v>0</v>
      </c>
      <c r="H469" s="39" t="s">
        <v>9</v>
      </c>
      <c r="I469" s="3"/>
      <c r="J469" s="42"/>
      <c r="K469" s="3"/>
      <c r="M469" s="20">
        <v>42131</v>
      </c>
      <c r="N469" s="183">
        <v>20328</v>
      </c>
      <c r="O469" s="14" t="s">
        <v>262</v>
      </c>
      <c r="P469" s="105">
        <v>22632.6</v>
      </c>
      <c r="Q469" s="23">
        <v>42137</v>
      </c>
      <c r="R469" s="106">
        <v>22632.6</v>
      </c>
      <c r="S469" s="31">
        <f t="shared" si="15"/>
        <v>0</v>
      </c>
      <c r="T469" s="39" t="s">
        <v>149</v>
      </c>
    </row>
    <row r="470" spans="1:20" x14ac:dyDescent="0.25">
      <c r="A470" s="20">
        <v>42129</v>
      </c>
      <c r="B470" s="183">
        <v>20044</v>
      </c>
      <c r="C470" s="14" t="s">
        <v>1172</v>
      </c>
      <c r="D470" s="105">
        <v>9200</v>
      </c>
      <c r="E470" s="23">
        <v>42129</v>
      </c>
      <c r="F470" s="106">
        <v>9200</v>
      </c>
      <c r="G470" s="31">
        <f t="shared" si="14"/>
        <v>0</v>
      </c>
      <c r="H470" s="39" t="s">
        <v>9</v>
      </c>
      <c r="I470" s="3"/>
      <c r="J470" s="42"/>
      <c r="K470" s="3"/>
      <c r="M470" s="20">
        <v>42135</v>
      </c>
      <c r="N470" s="183">
        <v>20767</v>
      </c>
      <c r="O470" s="14" t="s">
        <v>262</v>
      </c>
      <c r="P470" s="105">
        <v>31887.200000000001</v>
      </c>
      <c r="Q470" s="23">
        <v>42145</v>
      </c>
      <c r="R470" s="106">
        <v>31887.200000000001</v>
      </c>
      <c r="S470" s="31">
        <f t="shared" si="15"/>
        <v>0</v>
      </c>
      <c r="T470" s="19" t="s">
        <v>149</v>
      </c>
    </row>
    <row r="471" spans="1:20" x14ac:dyDescent="0.25">
      <c r="A471" s="20">
        <v>42129</v>
      </c>
      <c r="B471" s="183">
        <v>20045</v>
      </c>
      <c r="C471" s="14" t="s">
        <v>863</v>
      </c>
      <c r="D471" s="105">
        <v>8203</v>
      </c>
      <c r="E471" s="23">
        <v>42129</v>
      </c>
      <c r="F471" s="106">
        <v>8203</v>
      </c>
      <c r="G471" s="31">
        <f t="shared" si="14"/>
        <v>0</v>
      </c>
      <c r="H471" s="39" t="s">
        <v>9</v>
      </c>
      <c r="I471" s="3"/>
      <c r="J471" s="42"/>
      <c r="K471" s="3"/>
      <c r="M471" s="20">
        <v>42138</v>
      </c>
      <c r="N471" s="183">
        <v>21057</v>
      </c>
      <c r="O471" s="14" t="s">
        <v>262</v>
      </c>
      <c r="P471" s="105">
        <v>30379.7</v>
      </c>
      <c r="Q471" s="23">
        <v>42149</v>
      </c>
      <c r="R471" s="106">
        <v>30379.7</v>
      </c>
      <c r="S471" s="48">
        <f t="shared" si="15"/>
        <v>0</v>
      </c>
      <c r="T471" s="39" t="s">
        <v>149</v>
      </c>
    </row>
    <row r="472" spans="1:20" x14ac:dyDescent="0.25">
      <c r="A472" s="20">
        <v>42129</v>
      </c>
      <c r="B472" s="183">
        <v>20046</v>
      </c>
      <c r="C472" s="14" t="s">
        <v>63</v>
      </c>
      <c r="D472" s="105">
        <v>2889.6</v>
      </c>
      <c r="E472" s="23">
        <v>42129</v>
      </c>
      <c r="F472" s="106">
        <v>2889.6</v>
      </c>
      <c r="G472" s="31">
        <f t="shared" si="14"/>
        <v>0</v>
      </c>
      <c r="H472" s="39" t="s">
        <v>9</v>
      </c>
      <c r="I472" s="3"/>
      <c r="J472" s="42"/>
      <c r="K472" s="3"/>
      <c r="M472" s="20">
        <v>42142</v>
      </c>
      <c r="N472" s="183">
        <v>21523</v>
      </c>
      <c r="O472" s="14" t="s">
        <v>262</v>
      </c>
      <c r="P472" s="105">
        <v>38553.5</v>
      </c>
      <c r="Q472" s="12" t="s">
        <v>1312</v>
      </c>
      <c r="R472" s="118">
        <f>23553.5+8000+7000</f>
        <v>38553.5</v>
      </c>
      <c r="S472" s="31">
        <f t="shared" si="15"/>
        <v>0</v>
      </c>
      <c r="T472" s="56" t="s">
        <v>149</v>
      </c>
    </row>
    <row r="473" spans="1:20" x14ac:dyDescent="0.25">
      <c r="A473" s="20">
        <v>42129</v>
      </c>
      <c r="B473" s="183">
        <v>20047</v>
      </c>
      <c r="C473" s="14" t="s">
        <v>256</v>
      </c>
      <c r="D473" s="105">
        <v>4285.6000000000004</v>
      </c>
      <c r="E473" s="23">
        <v>42129</v>
      </c>
      <c r="F473" s="106">
        <v>4285.6000000000004</v>
      </c>
      <c r="G473" s="31">
        <f t="shared" si="14"/>
        <v>0</v>
      </c>
      <c r="H473" s="39" t="s">
        <v>773</v>
      </c>
      <c r="I473" s="3"/>
      <c r="J473" s="42"/>
      <c r="K473" s="3"/>
      <c r="M473" s="20">
        <v>42145</v>
      </c>
      <c r="N473" s="183">
        <v>21802</v>
      </c>
      <c r="O473" s="15" t="s">
        <v>262</v>
      </c>
      <c r="P473" s="122">
        <v>37684.9</v>
      </c>
      <c r="Q473" s="23">
        <v>42154</v>
      </c>
      <c r="R473" s="118">
        <v>22000</v>
      </c>
      <c r="S473" s="31">
        <f t="shared" si="15"/>
        <v>15684.900000000001</v>
      </c>
      <c r="T473" s="68" t="s">
        <v>149</v>
      </c>
    </row>
    <row r="474" spans="1:20" x14ac:dyDescent="0.25">
      <c r="A474" s="20">
        <v>42129</v>
      </c>
      <c r="B474" s="183">
        <v>20048</v>
      </c>
      <c r="C474" s="14" t="s">
        <v>158</v>
      </c>
      <c r="D474" s="105">
        <v>4268</v>
      </c>
      <c r="E474" s="23">
        <v>42129</v>
      </c>
      <c r="F474" s="106">
        <v>4268</v>
      </c>
      <c r="G474" s="31">
        <f t="shared" si="14"/>
        <v>0</v>
      </c>
      <c r="H474" s="39" t="s">
        <v>9</v>
      </c>
      <c r="I474" s="3"/>
      <c r="J474" s="42"/>
      <c r="K474" s="3"/>
      <c r="M474" s="20">
        <v>42149</v>
      </c>
      <c r="N474" s="183">
        <v>22224</v>
      </c>
      <c r="O474" s="14" t="s">
        <v>262</v>
      </c>
      <c r="P474" s="105">
        <v>3186.6</v>
      </c>
      <c r="Q474" s="65">
        <v>42151</v>
      </c>
      <c r="R474" s="106">
        <v>3186.6</v>
      </c>
      <c r="S474" s="31">
        <f t="shared" si="15"/>
        <v>0</v>
      </c>
      <c r="T474" s="39" t="s">
        <v>149</v>
      </c>
    </row>
    <row r="475" spans="1:20" x14ac:dyDescent="0.25">
      <c r="A475" s="20">
        <v>42129</v>
      </c>
      <c r="B475" s="183">
        <v>20049</v>
      </c>
      <c r="C475" s="14" t="s">
        <v>829</v>
      </c>
      <c r="D475" s="105">
        <v>5482.8</v>
      </c>
      <c r="E475" s="23">
        <v>42129</v>
      </c>
      <c r="F475" s="106">
        <v>5482.8</v>
      </c>
      <c r="G475" s="31">
        <f t="shared" si="14"/>
        <v>0</v>
      </c>
      <c r="H475" s="39" t="s">
        <v>9</v>
      </c>
      <c r="I475" s="3"/>
      <c r="J475" s="42"/>
      <c r="K475" s="3"/>
      <c r="M475" s="20">
        <v>42152</v>
      </c>
      <c r="N475" s="183">
        <v>22527</v>
      </c>
      <c r="O475" s="14" t="s">
        <v>262</v>
      </c>
      <c r="P475" s="105">
        <v>31399.4</v>
      </c>
      <c r="Q475" s="23"/>
      <c r="R475" s="106"/>
      <c r="S475" s="31">
        <f t="shared" si="15"/>
        <v>31399.4</v>
      </c>
      <c r="T475" s="39" t="s">
        <v>149</v>
      </c>
    </row>
    <row r="476" spans="1:20" x14ac:dyDescent="0.25">
      <c r="A476" s="20">
        <v>42129</v>
      </c>
      <c r="B476" s="183">
        <v>20050</v>
      </c>
      <c r="C476" s="150" t="s">
        <v>56</v>
      </c>
      <c r="D476" s="105">
        <v>10200.200000000001</v>
      </c>
      <c r="E476" s="23">
        <v>42129</v>
      </c>
      <c r="F476" s="106">
        <v>10200.200000000001</v>
      </c>
      <c r="G476" s="31">
        <f t="shared" si="14"/>
        <v>0</v>
      </c>
      <c r="H476" s="39" t="s">
        <v>9</v>
      </c>
      <c r="I476" s="3"/>
      <c r="J476" s="42"/>
      <c r="K476" s="3"/>
      <c r="M476" s="20">
        <v>42126</v>
      </c>
      <c r="N476" s="183">
        <v>19806</v>
      </c>
      <c r="O476" s="40" t="s">
        <v>108</v>
      </c>
      <c r="P476" s="105">
        <v>8475.6</v>
      </c>
      <c r="Q476" s="23">
        <v>42137</v>
      </c>
      <c r="R476" s="106">
        <v>8475.6</v>
      </c>
      <c r="S476" s="31">
        <f t="shared" si="15"/>
        <v>0</v>
      </c>
      <c r="T476" s="41" t="s">
        <v>1257</v>
      </c>
    </row>
    <row r="477" spans="1:20" x14ac:dyDescent="0.25">
      <c r="A477" s="20">
        <v>42129</v>
      </c>
      <c r="B477" s="183">
        <v>20051</v>
      </c>
      <c r="C477" s="14" t="s">
        <v>226</v>
      </c>
      <c r="D477" s="105">
        <v>2162.4</v>
      </c>
      <c r="E477" s="23">
        <v>42129</v>
      </c>
      <c r="F477" s="106">
        <v>2162.4</v>
      </c>
      <c r="G477" s="31">
        <f t="shared" si="14"/>
        <v>0</v>
      </c>
      <c r="H477" s="39" t="s">
        <v>9</v>
      </c>
      <c r="I477" s="3"/>
      <c r="J477" s="42"/>
      <c r="K477" s="3"/>
      <c r="M477" s="20">
        <v>42130</v>
      </c>
      <c r="N477" s="183">
        <v>20189</v>
      </c>
      <c r="O477" s="14" t="s">
        <v>108</v>
      </c>
      <c r="P477" s="105">
        <v>21369.599999999999</v>
      </c>
      <c r="Q477" s="23" t="s">
        <v>1313</v>
      </c>
      <c r="R477" s="106">
        <f>1932+19437.6</f>
        <v>21369.599999999999</v>
      </c>
      <c r="S477" s="31">
        <f t="shared" si="15"/>
        <v>0</v>
      </c>
      <c r="T477" s="39" t="s">
        <v>46</v>
      </c>
    </row>
    <row r="478" spans="1:20" x14ac:dyDescent="0.25">
      <c r="A478" s="20">
        <v>42129</v>
      </c>
      <c r="B478" s="183">
        <v>20052</v>
      </c>
      <c r="C478" s="14" t="s">
        <v>56</v>
      </c>
      <c r="D478" s="105">
        <v>1057.4000000000001</v>
      </c>
      <c r="E478" s="23">
        <v>42129</v>
      </c>
      <c r="F478" s="106">
        <v>1057.4000000000001</v>
      </c>
      <c r="G478" s="31">
        <f t="shared" si="14"/>
        <v>0</v>
      </c>
      <c r="H478" s="39" t="s">
        <v>9</v>
      </c>
      <c r="I478" s="3"/>
      <c r="J478" s="42"/>
      <c r="K478" s="3"/>
      <c r="M478" s="20">
        <v>42133</v>
      </c>
      <c r="N478" s="183">
        <v>20586</v>
      </c>
      <c r="O478" s="14" t="s">
        <v>108</v>
      </c>
      <c r="P478" s="105">
        <v>13843.2</v>
      </c>
      <c r="Q478" s="23" t="s">
        <v>1314</v>
      </c>
      <c r="R478" s="106">
        <f>478.8+13364.4</f>
        <v>13843.199999999999</v>
      </c>
      <c r="S478" s="31">
        <f t="shared" si="15"/>
        <v>0</v>
      </c>
      <c r="T478" s="39" t="s">
        <v>41</v>
      </c>
    </row>
    <row r="479" spans="1:20" x14ac:dyDescent="0.25">
      <c r="A479" s="20">
        <v>42129</v>
      </c>
      <c r="B479" s="183">
        <v>20053</v>
      </c>
      <c r="C479" s="14" t="s">
        <v>213</v>
      </c>
      <c r="D479" s="105">
        <v>7524</v>
      </c>
      <c r="E479" s="23">
        <v>42129</v>
      </c>
      <c r="F479" s="106">
        <v>7524</v>
      </c>
      <c r="G479" s="31">
        <f t="shared" si="14"/>
        <v>0</v>
      </c>
      <c r="H479" s="39" t="s">
        <v>773</v>
      </c>
      <c r="I479" s="3"/>
      <c r="J479" s="42"/>
      <c r="K479" s="3"/>
      <c r="M479" s="20">
        <v>42136</v>
      </c>
      <c r="N479" s="183">
        <v>20839</v>
      </c>
      <c r="O479" s="14" t="s">
        <v>108</v>
      </c>
      <c r="P479" s="105">
        <v>7173.6</v>
      </c>
      <c r="Q479" s="23">
        <v>42151</v>
      </c>
      <c r="R479" s="106">
        <v>7173.6</v>
      </c>
      <c r="S479" s="31">
        <f t="shared" si="15"/>
        <v>0</v>
      </c>
      <c r="T479" s="39" t="s">
        <v>1257</v>
      </c>
    </row>
    <row r="480" spans="1:20" x14ac:dyDescent="0.25">
      <c r="A480" s="20">
        <v>42129</v>
      </c>
      <c r="B480" s="183">
        <v>20054</v>
      </c>
      <c r="C480" s="14" t="s">
        <v>169</v>
      </c>
      <c r="D480" s="105">
        <v>2182.8000000000002</v>
      </c>
      <c r="E480" s="23">
        <v>42129</v>
      </c>
      <c r="F480" s="106">
        <v>2182.8000000000002</v>
      </c>
      <c r="G480" s="31">
        <f t="shared" si="14"/>
        <v>0</v>
      </c>
      <c r="H480" s="39" t="s">
        <v>59</v>
      </c>
      <c r="I480" s="3"/>
      <c r="J480" s="42"/>
      <c r="K480" s="3"/>
      <c r="M480" s="20">
        <v>42140</v>
      </c>
      <c r="N480" s="183">
        <v>21303</v>
      </c>
      <c r="O480" s="14" t="s">
        <v>108</v>
      </c>
      <c r="P480" s="105">
        <v>18841.2</v>
      </c>
      <c r="Q480" s="23" t="s">
        <v>1315</v>
      </c>
      <c r="R480" s="118">
        <f>915.6+17925.6</f>
        <v>18841.199999999997</v>
      </c>
      <c r="S480" s="31">
        <f t="shared" si="15"/>
        <v>0</v>
      </c>
      <c r="T480" s="62" t="s">
        <v>1257</v>
      </c>
    </row>
    <row r="481" spans="1:20" x14ac:dyDescent="0.25">
      <c r="A481" s="20">
        <v>42129</v>
      </c>
      <c r="B481" s="183">
        <v>20055</v>
      </c>
      <c r="C481" s="14" t="s">
        <v>604</v>
      </c>
      <c r="D481" s="105">
        <v>2304.5</v>
      </c>
      <c r="E481" s="23">
        <v>42129</v>
      </c>
      <c r="F481" s="106">
        <v>2304.5</v>
      </c>
      <c r="G481" s="31">
        <f t="shared" si="14"/>
        <v>0</v>
      </c>
      <c r="H481" s="39" t="s">
        <v>9</v>
      </c>
      <c r="I481" s="3"/>
      <c r="J481" s="42"/>
      <c r="K481" s="3"/>
      <c r="M481" s="20">
        <v>42142</v>
      </c>
      <c r="N481" s="183">
        <v>21473</v>
      </c>
      <c r="O481" s="14" t="s">
        <v>108</v>
      </c>
      <c r="P481" s="105">
        <v>19622.400000000001</v>
      </c>
      <c r="Q481" s="65" t="s">
        <v>1315</v>
      </c>
      <c r="R481" s="106">
        <f>2856+16766.4</f>
        <v>19622.400000000001</v>
      </c>
      <c r="S481" s="31">
        <f t="shared" si="15"/>
        <v>0</v>
      </c>
      <c r="T481" s="19" t="s">
        <v>773</v>
      </c>
    </row>
    <row r="482" spans="1:20" x14ac:dyDescent="0.25">
      <c r="A482" s="20">
        <v>42129</v>
      </c>
      <c r="B482" s="183">
        <v>20056</v>
      </c>
      <c r="C482" s="14" t="s">
        <v>213</v>
      </c>
      <c r="D482" s="105">
        <v>14787.88</v>
      </c>
      <c r="E482" s="23">
        <v>42129</v>
      </c>
      <c r="F482" s="106">
        <v>14787.88</v>
      </c>
      <c r="G482" s="31">
        <f t="shared" si="14"/>
        <v>0</v>
      </c>
      <c r="H482" s="39" t="s">
        <v>9</v>
      </c>
      <c r="K482" s="3"/>
      <c r="M482" s="20">
        <v>42150</v>
      </c>
      <c r="N482" s="183">
        <v>22320</v>
      </c>
      <c r="O482" s="14" t="s">
        <v>108</v>
      </c>
      <c r="P482" s="105">
        <v>13455.2</v>
      </c>
      <c r="Q482" s="65"/>
      <c r="R482" s="106"/>
      <c r="S482" s="31">
        <f t="shared" si="15"/>
        <v>13455.2</v>
      </c>
      <c r="T482" s="39" t="s">
        <v>94</v>
      </c>
    </row>
    <row r="483" spans="1:20" x14ac:dyDescent="0.25">
      <c r="A483" s="20">
        <v>42129</v>
      </c>
      <c r="B483" s="183">
        <v>20057</v>
      </c>
      <c r="C483" s="14" t="s">
        <v>50</v>
      </c>
      <c r="D483" s="105">
        <v>2008.8</v>
      </c>
      <c r="E483" s="23">
        <v>42129</v>
      </c>
      <c r="F483" s="106">
        <v>2008.8</v>
      </c>
      <c r="G483" s="31">
        <f t="shared" si="14"/>
        <v>0</v>
      </c>
      <c r="H483" s="39" t="s">
        <v>94</v>
      </c>
      <c r="K483" s="3"/>
      <c r="M483" s="20">
        <v>42151</v>
      </c>
      <c r="N483" s="183">
        <v>22382</v>
      </c>
      <c r="O483" s="14" t="s">
        <v>108</v>
      </c>
      <c r="P483" s="105">
        <v>48778.54</v>
      </c>
      <c r="Q483" s="23"/>
      <c r="R483" s="106"/>
      <c r="S483" s="31">
        <f t="shared" si="15"/>
        <v>48778.54</v>
      </c>
      <c r="T483" s="39" t="s">
        <v>46</v>
      </c>
    </row>
    <row r="484" spans="1:20" x14ac:dyDescent="0.25">
      <c r="A484" s="20">
        <v>42129</v>
      </c>
      <c r="B484" s="183">
        <v>20058</v>
      </c>
      <c r="C484" s="14" t="s">
        <v>155</v>
      </c>
      <c r="D484" s="105">
        <v>8826</v>
      </c>
      <c r="E484" s="23">
        <v>42129</v>
      </c>
      <c r="F484" s="106">
        <v>8826</v>
      </c>
      <c r="G484" s="31">
        <f t="shared" si="14"/>
        <v>0</v>
      </c>
      <c r="H484" s="39" t="s">
        <v>59</v>
      </c>
      <c r="K484" s="3"/>
      <c r="M484" s="20">
        <v>42125</v>
      </c>
      <c r="N484" s="183">
        <v>19578</v>
      </c>
      <c r="O484" s="26" t="s">
        <v>218</v>
      </c>
      <c r="P484" s="105">
        <v>0</v>
      </c>
      <c r="Q484" s="23"/>
      <c r="R484" s="106"/>
      <c r="S484" s="25">
        <f t="shared" si="15"/>
        <v>0</v>
      </c>
      <c r="T484" s="19" t="s">
        <v>13</v>
      </c>
    </row>
    <row r="485" spans="1:20" x14ac:dyDescent="0.25">
      <c r="A485" s="20">
        <v>42129</v>
      </c>
      <c r="B485" s="183">
        <v>20059</v>
      </c>
      <c r="C485" s="14" t="s">
        <v>83</v>
      </c>
      <c r="D485" s="105">
        <v>3753.6</v>
      </c>
      <c r="E485" s="23">
        <v>42129</v>
      </c>
      <c r="F485" s="106">
        <v>3753.6</v>
      </c>
      <c r="G485" s="31">
        <f t="shared" si="14"/>
        <v>0</v>
      </c>
      <c r="H485" s="39" t="s">
        <v>59</v>
      </c>
      <c r="K485" s="3"/>
      <c r="M485" s="20">
        <v>42125</v>
      </c>
      <c r="N485" s="183">
        <v>19600</v>
      </c>
      <c r="O485" s="26" t="s">
        <v>218</v>
      </c>
      <c r="P485" s="108">
        <v>0</v>
      </c>
      <c r="Q485" s="23"/>
      <c r="R485" s="106"/>
      <c r="S485" s="25">
        <f t="shared" si="15"/>
        <v>0</v>
      </c>
      <c r="T485" s="19" t="s">
        <v>13</v>
      </c>
    </row>
    <row r="486" spans="1:20" x14ac:dyDescent="0.25">
      <c r="A486" s="20">
        <v>42129</v>
      </c>
      <c r="B486" s="183">
        <v>20060</v>
      </c>
      <c r="C486" s="14" t="s">
        <v>167</v>
      </c>
      <c r="D486" s="105">
        <v>356.4</v>
      </c>
      <c r="E486" s="23">
        <v>42129</v>
      </c>
      <c r="F486" s="106">
        <v>356.4</v>
      </c>
      <c r="G486" s="31">
        <f t="shared" si="14"/>
        <v>0</v>
      </c>
      <c r="H486" s="39" t="s">
        <v>59</v>
      </c>
      <c r="K486" s="3"/>
      <c r="M486" s="20">
        <v>42125</v>
      </c>
      <c r="N486" s="183">
        <v>19641</v>
      </c>
      <c r="O486" s="26" t="s">
        <v>218</v>
      </c>
      <c r="P486" s="105">
        <v>0</v>
      </c>
      <c r="Q486" s="23"/>
      <c r="R486" s="106"/>
      <c r="S486" s="31">
        <f t="shared" si="15"/>
        <v>0</v>
      </c>
      <c r="T486" s="19" t="s">
        <v>13</v>
      </c>
    </row>
    <row r="487" spans="1:20" x14ac:dyDescent="0.25">
      <c r="A487" s="20">
        <v>42129</v>
      </c>
      <c r="B487" s="183">
        <v>20061</v>
      </c>
      <c r="C487" s="14" t="s">
        <v>81</v>
      </c>
      <c r="D487" s="105">
        <v>1966.2</v>
      </c>
      <c r="E487" s="23">
        <v>42129</v>
      </c>
      <c r="F487" s="106">
        <v>1966.2</v>
      </c>
      <c r="G487" s="31">
        <f t="shared" si="14"/>
        <v>0</v>
      </c>
      <c r="H487" s="39" t="s">
        <v>59</v>
      </c>
      <c r="K487" s="3"/>
      <c r="M487" s="20">
        <v>42125</v>
      </c>
      <c r="N487" s="183">
        <v>19647</v>
      </c>
      <c r="O487" s="26" t="s">
        <v>218</v>
      </c>
      <c r="P487" s="105">
        <v>0</v>
      </c>
      <c r="Q487" s="23"/>
      <c r="R487" s="106"/>
      <c r="S487" s="25">
        <f t="shared" si="15"/>
        <v>0</v>
      </c>
      <c r="T487" s="19" t="s">
        <v>13</v>
      </c>
    </row>
    <row r="488" spans="1:20" x14ac:dyDescent="0.25">
      <c r="A488" s="20">
        <v>42129</v>
      </c>
      <c r="B488" s="183">
        <v>20062</v>
      </c>
      <c r="C488" s="14" t="s">
        <v>915</v>
      </c>
      <c r="D488" s="105">
        <v>331.2</v>
      </c>
      <c r="E488" s="23">
        <v>42129</v>
      </c>
      <c r="F488" s="106">
        <v>331.2</v>
      </c>
      <c r="G488" s="31">
        <f t="shared" si="14"/>
        <v>0</v>
      </c>
      <c r="H488" s="39" t="s">
        <v>59</v>
      </c>
      <c r="K488" s="3"/>
      <c r="M488" s="20">
        <v>42125</v>
      </c>
      <c r="N488" s="183">
        <v>19657</v>
      </c>
      <c r="O488" s="204" t="s">
        <v>218</v>
      </c>
      <c r="P488" s="37">
        <v>0</v>
      </c>
      <c r="Q488" s="23"/>
      <c r="R488" s="109"/>
      <c r="S488" s="25">
        <f t="shared" si="15"/>
        <v>0</v>
      </c>
      <c r="T488" s="19" t="s">
        <v>13</v>
      </c>
    </row>
    <row r="489" spans="1:20" x14ac:dyDescent="0.25">
      <c r="A489" s="20">
        <v>42129</v>
      </c>
      <c r="B489" s="183">
        <v>20063</v>
      </c>
      <c r="C489" s="14" t="s">
        <v>664</v>
      </c>
      <c r="D489" s="105">
        <v>1556</v>
      </c>
      <c r="E489" s="23">
        <v>42129</v>
      </c>
      <c r="F489" s="106">
        <v>1556</v>
      </c>
      <c r="G489" s="31">
        <f t="shared" si="14"/>
        <v>0</v>
      </c>
      <c r="H489" s="39" t="s">
        <v>59</v>
      </c>
      <c r="K489" s="3"/>
      <c r="M489" s="20">
        <v>42125</v>
      </c>
      <c r="N489" s="183">
        <v>19688</v>
      </c>
      <c r="O489" s="26" t="s">
        <v>218</v>
      </c>
      <c r="P489" s="105">
        <v>0</v>
      </c>
      <c r="Q489" s="23"/>
      <c r="R489" s="106"/>
      <c r="S489" s="25">
        <f t="shared" si="15"/>
        <v>0</v>
      </c>
      <c r="T489" s="39" t="s">
        <v>13</v>
      </c>
    </row>
    <row r="490" spans="1:20" x14ac:dyDescent="0.25">
      <c r="A490" s="20">
        <v>42129</v>
      </c>
      <c r="B490" s="183">
        <v>20064</v>
      </c>
      <c r="C490" s="14" t="s">
        <v>375</v>
      </c>
      <c r="D490" s="105">
        <v>3598</v>
      </c>
      <c r="E490" s="23">
        <v>42130</v>
      </c>
      <c r="F490" s="106">
        <v>3598</v>
      </c>
      <c r="G490" s="31">
        <f t="shared" si="14"/>
        <v>0</v>
      </c>
      <c r="H490" s="39" t="s">
        <v>9</v>
      </c>
      <c r="K490" s="3"/>
      <c r="M490" s="20">
        <v>42126</v>
      </c>
      <c r="N490" s="183">
        <v>19712</v>
      </c>
      <c r="O490" s="44" t="s">
        <v>218</v>
      </c>
      <c r="P490" s="105">
        <v>0</v>
      </c>
      <c r="Q490" s="23"/>
      <c r="R490" s="106"/>
      <c r="S490" s="25">
        <f t="shared" si="15"/>
        <v>0</v>
      </c>
      <c r="T490" s="41" t="s">
        <v>13</v>
      </c>
    </row>
    <row r="491" spans="1:20" x14ac:dyDescent="0.25">
      <c r="A491" s="20">
        <v>42129</v>
      </c>
      <c r="B491" s="183">
        <v>20065</v>
      </c>
      <c r="C491" s="14" t="s">
        <v>82</v>
      </c>
      <c r="D491" s="105">
        <v>3994.8</v>
      </c>
      <c r="E491" s="23">
        <v>42129</v>
      </c>
      <c r="F491" s="106">
        <v>3994.8</v>
      </c>
      <c r="G491" s="31">
        <f t="shared" si="14"/>
        <v>0</v>
      </c>
      <c r="H491" s="39" t="s">
        <v>59</v>
      </c>
      <c r="K491" s="3"/>
      <c r="M491" s="20">
        <v>42126</v>
      </c>
      <c r="N491" s="183">
        <v>19722</v>
      </c>
      <c r="O491" s="44" t="s">
        <v>218</v>
      </c>
      <c r="P491" s="105">
        <v>0</v>
      </c>
      <c r="Q491" s="23"/>
      <c r="R491" s="106"/>
      <c r="S491" s="25">
        <f t="shared" si="15"/>
        <v>0</v>
      </c>
      <c r="T491" s="41" t="s">
        <v>13</v>
      </c>
    </row>
    <row r="492" spans="1:20" x14ac:dyDescent="0.25">
      <c r="A492" s="20">
        <v>42129</v>
      </c>
      <c r="B492" s="183">
        <v>20066</v>
      </c>
      <c r="C492" s="110">
        <v>105</v>
      </c>
      <c r="D492" s="105">
        <v>1620</v>
      </c>
      <c r="E492" s="23">
        <v>42131</v>
      </c>
      <c r="F492" s="106">
        <v>1620</v>
      </c>
      <c r="G492" s="31">
        <f t="shared" si="14"/>
        <v>0</v>
      </c>
      <c r="H492" s="39" t="s">
        <v>59</v>
      </c>
      <c r="K492" s="3"/>
      <c r="M492" s="20">
        <v>42126</v>
      </c>
      <c r="N492" s="183">
        <v>19756</v>
      </c>
      <c r="O492" s="44" t="s">
        <v>218</v>
      </c>
      <c r="P492" s="105">
        <v>0</v>
      </c>
      <c r="Q492" s="23"/>
      <c r="R492" s="106"/>
      <c r="S492" s="25">
        <f t="shared" si="15"/>
        <v>0</v>
      </c>
      <c r="T492" s="41" t="s">
        <v>13</v>
      </c>
    </row>
    <row r="493" spans="1:20" x14ac:dyDescent="0.25">
      <c r="A493" s="20">
        <v>42129</v>
      </c>
      <c r="B493" s="183">
        <v>20067</v>
      </c>
      <c r="C493" s="14" t="s">
        <v>26</v>
      </c>
      <c r="D493" s="105">
        <v>1632</v>
      </c>
      <c r="E493" s="23">
        <v>42129</v>
      </c>
      <c r="F493" s="106">
        <v>1632</v>
      </c>
      <c r="G493" s="31">
        <f t="shared" si="14"/>
        <v>0</v>
      </c>
      <c r="H493" s="39" t="s">
        <v>27</v>
      </c>
      <c r="K493" s="3"/>
      <c r="M493" s="20">
        <v>42127</v>
      </c>
      <c r="N493" s="183">
        <v>19825</v>
      </c>
      <c r="O493" s="44" t="s">
        <v>218</v>
      </c>
      <c r="P493" s="105">
        <v>0</v>
      </c>
      <c r="Q493" s="23"/>
      <c r="R493" s="106"/>
      <c r="S493" s="31">
        <f t="shared" si="15"/>
        <v>0</v>
      </c>
      <c r="T493" s="41" t="s">
        <v>13</v>
      </c>
    </row>
    <row r="494" spans="1:20" x14ac:dyDescent="0.25">
      <c r="A494" s="20">
        <v>42129</v>
      </c>
      <c r="B494" s="183">
        <v>20068</v>
      </c>
      <c r="C494" s="14" t="s">
        <v>57</v>
      </c>
      <c r="D494" s="105">
        <v>1800</v>
      </c>
      <c r="E494" s="23">
        <v>42129</v>
      </c>
      <c r="F494" s="106">
        <v>1800</v>
      </c>
      <c r="G494" s="31">
        <f t="shared" si="14"/>
        <v>0</v>
      </c>
      <c r="H494" s="39" t="s">
        <v>59</v>
      </c>
      <c r="K494" s="3"/>
      <c r="M494" s="20">
        <v>42127</v>
      </c>
      <c r="N494" s="183">
        <v>19827</v>
      </c>
      <c r="O494" s="206" t="s">
        <v>218</v>
      </c>
      <c r="P494" s="105">
        <v>0</v>
      </c>
      <c r="Q494" s="23"/>
      <c r="R494" s="106"/>
      <c r="S494" s="31">
        <f t="shared" si="15"/>
        <v>0</v>
      </c>
      <c r="T494" s="41" t="s">
        <v>13</v>
      </c>
    </row>
    <row r="495" spans="1:20" x14ac:dyDescent="0.25">
      <c r="A495" s="20">
        <v>42129</v>
      </c>
      <c r="B495" s="183">
        <v>20069</v>
      </c>
      <c r="C495" s="14" t="s">
        <v>45</v>
      </c>
      <c r="D495" s="105">
        <v>7230.48</v>
      </c>
      <c r="E495" s="23">
        <v>42140</v>
      </c>
      <c r="F495" s="106">
        <v>7230.48</v>
      </c>
      <c r="G495" s="31">
        <f t="shared" si="14"/>
        <v>0</v>
      </c>
      <c r="H495" s="39" t="s">
        <v>59</v>
      </c>
      <c r="J495" s="107"/>
      <c r="K495" s="3"/>
      <c r="M495" s="20">
        <v>42127</v>
      </c>
      <c r="N495" s="183">
        <v>19854</v>
      </c>
      <c r="O495" s="44" t="s">
        <v>218</v>
      </c>
      <c r="P495" s="105">
        <v>0</v>
      </c>
      <c r="Q495" s="23"/>
      <c r="R495" s="106"/>
      <c r="S495" s="31">
        <f t="shared" si="15"/>
        <v>0</v>
      </c>
      <c r="T495" s="41" t="s">
        <v>13</v>
      </c>
    </row>
    <row r="496" spans="1:20" x14ac:dyDescent="0.25">
      <c r="A496" s="20">
        <v>42129</v>
      </c>
      <c r="B496" s="183">
        <v>20070</v>
      </c>
      <c r="C496" s="14" t="s">
        <v>1058</v>
      </c>
      <c r="D496" s="105">
        <v>3189.2</v>
      </c>
      <c r="E496" s="23">
        <v>42129</v>
      </c>
      <c r="F496" s="106">
        <v>3189.2</v>
      </c>
      <c r="G496" s="31">
        <f t="shared" si="14"/>
        <v>0</v>
      </c>
      <c r="H496" s="39" t="s">
        <v>9</v>
      </c>
      <c r="J496" s="107"/>
      <c r="K496" s="3"/>
      <c r="M496" s="20">
        <v>42127</v>
      </c>
      <c r="N496" s="183">
        <v>19872</v>
      </c>
      <c r="O496" s="26" t="s">
        <v>218</v>
      </c>
      <c r="P496" s="105">
        <v>0</v>
      </c>
      <c r="Q496" s="23"/>
      <c r="R496" s="106"/>
      <c r="S496" s="31">
        <f t="shared" si="15"/>
        <v>0</v>
      </c>
      <c r="T496" s="19" t="s">
        <v>13</v>
      </c>
    </row>
    <row r="497" spans="1:20" x14ac:dyDescent="0.25">
      <c r="A497" s="20">
        <v>42129</v>
      </c>
      <c r="B497" s="183">
        <v>20071</v>
      </c>
      <c r="C497" s="14" t="s">
        <v>99</v>
      </c>
      <c r="D497" s="105">
        <v>516</v>
      </c>
      <c r="E497" s="23">
        <v>42130</v>
      </c>
      <c r="F497" s="106">
        <v>516</v>
      </c>
      <c r="G497" s="31">
        <f t="shared" si="14"/>
        <v>0</v>
      </c>
      <c r="H497" s="39" t="s">
        <v>9</v>
      </c>
      <c r="K497" s="3"/>
      <c r="M497" s="20">
        <v>42128</v>
      </c>
      <c r="N497" s="183">
        <v>19920</v>
      </c>
      <c r="O497" s="26" t="s">
        <v>218</v>
      </c>
      <c r="P497" s="105">
        <v>0</v>
      </c>
      <c r="Q497" s="23"/>
      <c r="R497" s="106"/>
      <c r="S497" s="31">
        <f t="shared" si="15"/>
        <v>0</v>
      </c>
      <c r="T497" s="19" t="s">
        <v>13</v>
      </c>
    </row>
    <row r="498" spans="1:20" x14ac:dyDescent="0.25">
      <c r="A498" s="20">
        <v>42129</v>
      </c>
      <c r="B498" s="183">
        <v>20072</v>
      </c>
      <c r="C498" s="14" t="s">
        <v>1262</v>
      </c>
      <c r="D498" s="105">
        <v>10504.8</v>
      </c>
      <c r="E498" s="23">
        <v>42142</v>
      </c>
      <c r="F498" s="106">
        <v>10504.8</v>
      </c>
      <c r="G498" s="31">
        <f t="shared" si="14"/>
        <v>0</v>
      </c>
      <c r="H498" s="39" t="s">
        <v>41</v>
      </c>
      <c r="K498" s="3"/>
      <c r="M498" s="20">
        <v>42128</v>
      </c>
      <c r="N498" s="183">
        <v>19984</v>
      </c>
      <c r="O498" s="26" t="s">
        <v>218</v>
      </c>
      <c r="P498" s="105">
        <v>0</v>
      </c>
      <c r="Q498" s="23"/>
      <c r="R498" s="106"/>
      <c r="S498" s="31">
        <f t="shared" si="15"/>
        <v>0</v>
      </c>
      <c r="T498" s="19" t="s">
        <v>149</v>
      </c>
    </row>
    <row r="499" spans="1:20" x14ac:dyDescent="0.25">
      <c r="A499" s="20">
        <v>42129</v>
      </c>
      <c r="B499" s="183">
        <v>20073</v>
      </c>
      <c r="C499" s="14" t="s">
        <v>165</v>
      </c>
      <c r="D499" s="105">
        <v>2077.6</v>
      </c>
      <c r="E499" s="23">
        <v>42129</v>
      </c>
      <c r="F499" s="106">
        <v>2077.6</v>
      </c>
      <c r="G499" s="31">
        <f t="shared" si="14"/>
        <v>0</v>
      </c>
      <c r="H499" s="39" t="s">
        <v>1257</v>
      </c>
      <c r="K499" s="3"/>
      <c r="M499" s="20">
        <v>42128</v>
      </c>
      <c r="N499" s="183">
        <v>19991</v>
      </c>
      <c r="O499" s="26" t="s">
        <v>218</v>
      </c>
      <c r="P499" s="105">
        <v>0</v>
      </c>
      <c r="Q499" s="23"/>
      <c r="R499" s="106"/>
      <c r="S499" s="31">
        <f t="shared" si="15"/>
        <v>0</v>
      </c>
      <c r="T499" s="19" t="s">
        <v>13</v>
      </c>
    </row>
    <row r="500" spans="1:20" x14ac:dyDescent="0.25">
      <c r="A500" s="20">
        <v>42129</v>
      </c>
      <c r="B500" s="183">
        <v>20074</v>
      </c>
      <c r="C500" s="14" t="s">
        <v>131</v>
      </c>
      <c r="D500" s="105">
        <v>4670.3999999999996</v>
      </c>
      <c r="E500" s="23">
        <v>42129</v>
      </c>
      <c r="F500" s="106">
        <v>4670.3999999999996</v>
      </c>
      <c r="G500" s="31">
        <f t="shared" si="14"/>
        <v>0</v>
      </c>
      <c r="H500" s="39" t="s">
        <v>1257</v>
      </c>
      <c r="K500" s="3"/>
      <c r="M500" s="20">
        <v>42128</v>
      </c>
      <c r="N500" s="183">
        <v>20004</v>
      </c>
      <c r="O500" s="26" t="s">
        <v>218</v>
      </c>
      <c r="P500" s="105">
        <v>0</v>
      </c>
      <c r="Q500" s="23"/>
      <c r="R500" s="106"/>
      <c r="S500" s="48">
        <f t="shared" si="15"/>
        <v>0</v>
      </c>
      <c r="T500" s="19" t="s">
        <v>13</v>
      </c>
    </row>
    <row r="501" spans="1:20" x14ac:dyDescent="0.25">
      <c r="A501" s="20">
        <v>42129</v>
      </c>
      <c r="B501" s="183">
        <v>20075</v>
      </c>
      <c r="C501" s="14" t="s">
        <v>130</v>
      </c>
      <c r="D501" s="105">
        <v>2762.8</v>
      </c>
      <c r="E501" s="23">
        <v>42132</v>
      </c>
      <c r="F501" s="106">
        <v>2762.8</v>
      </c>
      <c r="G501" s="31">
        <f t="shared" si="14"/>
        <v>0</v>
      </c>
      <c r="H501" s="39" t="s">
        <v>1257</v>
      </c>
      <c r="K501" s="3"/>
      <c r="M501" s="20">
        <v>42128</v>
      </c>
      <c r="N501" s="183">
        <v>20011</v>
      </c>
      <c r="O501" s="26" t="s">
        <v>218</v>
      </c>
      <c r="P501" s="105">
        <v>0</v>
      </c>
      <c r="Q501" s="23"/>
      <c r="R501" s="106"/>
      <c r="S501" s="31">
        <f t="shared" si="15"/>
        <v>0</v>
      </c>
      <c r="T501" s="19" t="s">
        <v>13</v>
      </c>
    </row>
    <row r="502" spans="1:20" x14ac:dyDescent="0.25">
      <c r="A502" s="20">
        <v>42129</v>
      </c>
      <c r="B502" s="183">
        <v>20076</v>
      </c>
      <c r="C502" s="14" t="s">
        <v>229</v>
      </c>
      <c r="D502" s="105">
        <v>4303.26</v>
      </c>
      <c r="E502" s="23">
        <v>42129</v>
      </c>
      <c r="F502" s="106">
        <v>4303.26</v>
      </c>
      <c r="G502" s="31">
        <f t="shared" si="14"/>
        <v>0</v>
      </c>
      <c r="H502" s="39" t="s">
        <v>9</v>
      </c>
      <c r="K502" s="3"/>
      <c r="M502" s="20">
        <v>42128</v>
      </c>
      <c r="N502" s="183">
        <v>20018</v>
      </c>
      <c r="O502" s="26" t="s">
        <v>218</v>
      </c>
      <c r="P502" s="105">
        <v>0</v>
      </c>
      <c r="Q502" s="23"/>
      <c r="R502" s="106"/>
      <c r="S502" s="31">
        <f t="shared" si="15"/>
        <v>0</v>
      </c>
      <c r="T502" s="19" t="s">
        <v>13</v>
      </c>
    </row>
    <row r="503" spans="1:20" x14ac:dyDescent="0.25">
      <c r="A503" s="20">
        <v>42129</v>
      </c>
      <c r="B503" s="183">
        <v>20077</v>
      </c>
      <c r="C503" s="14" t="s">
        <v>332</v>
      </c>
      <c r="D503" s="105">
        <v>2223</v>
      </c>
      <c r="E503" s="23">
        <v>42129</v>
      </c>
      <c r="F503" s="106">
        <v>2223</v>
      </c>
      <c r="G503" s="31">
        <f t="shared" si="14"/>
        <v>0</v>
      </c>
      <c r="H503" s="39" t="s">
        <v>9</v>
      </c>
      <c r="K503" s="3"/>
      <c r="M503" s="20">
        <v>42130</v>
      </c>
      <c r="N503" s="183">
        <v>20122</v>
      </c>
      <c r="O503" s="26" t="s">
        <v>218</v>
      </c>
      <c r="P503" s="108">
        <v>0</v>
      </c>
      <c r="Q503" s="23"/>
      <c r="R503" s="106"/>
      <c r="S503" s="31">
        <f t="shared" si="15"/>
        <v>0</v>
      </c>
      <c r="T503" s="39" t="s">
        <v>13</v>
      </c>
    </row>
    <row r="504" spans="1:20" x14ac:dyDescent="0.25">
      <c r="A504" s="20">
        <v>42129</v>
      </c>
      <c r="B504" s="183">
        <v>20078</v>
      </c>
      <c r="C504" s="14" t="s">
        <v>136</v>
      </c>
      <c r="D504" s="105">
        <v>4127.6000000000004</v>
      </c>
      <c r="E504" s="23">
        <v>42129</v>
      </c>
      <c r="F504" s="106">
        <v>4127.6000000000004</v>
      </c>
      <c r="G504" s="31">
        <f t="shared" si="14"/>
        <v>0</v>
      </c>
      <c r="H504" s="39" t="s">
        <v>9</v>
      </c>
      <c r="J504" s="107"/>
      <c r="K504" s="3"/>
      <c r="M504" s="20">
        <v>42130</v>
      </c>
      <c r="N504" s="183">
        <v>20127</v>
      </c>
      <c r="O504" s="26" t="s">
        <v>218</v>
      </c>
      <c r="P504" s="108">
        <v>0</v>
      </c>
      <c r="Q504" s="23"/>
      <c r="R504" s="106"/>
      <c r="S504" s="31">
        <f t="shared" si="15"/>
        <v>0</v>
      </c>
      <c r="T504" s="39" t="s">
        <v>13</v>
      </c>
    </row>
    <row r="505" spans="1:20" x14ac:dyDescent="0.25">
      <c r="A505" s="20">
        <v>42129</v>
      </c>
      <c r="B505" s="183">
        <v>20079</v>
      </c>
      <c r="C505" s="14" t="s">
        <v>106</v>
      </c>
      <c r="D505" s="105">
        <v>14637.6</v>
      </c>
      <c r="E505" s="23">
        <v>42129</v>
      </c>
      <c r="F505" s="106">
        <v>14637.6</v>
      </c>
      <c r="G505" s="31">
        <f t="shared" si="14"/>
        <v>0</v>
      </c>
      <c r="H505" s="39" t="s">
        <v>1273</v>
      </c>
      <c r="K505" s="3"/>
      <c r="M505" s="20">
        <v>42130</v>
      </c>
      <c r="N505" s="183">
        <v>20161</v>
      </c>
      <c r="O505" s="26" t="s">
        <v>218</v>
      </c>
      <c r="P505" s="108">
        <v>0</v>
      </c>
      <c r="Q505" s="23"/>
      <c r="R505" s="106"/>
      <c r="S505" s="31">
        <f t="shared" si="15"/>
        <v>0</v>
      </c>
      <c r="T505" s="39" t="s">
        <v>13</v>
      </c>
    </row>
    <row r="506" spans="1:20" x14ac:dyDescent="0.25">
      <c r="A506" s="20">
        <v>42129</v>
      </c>
      <c r="B506" s="183">
        <v>20080</v>
      </c>
      <c r="C506" s="14" t="s">
        <v>66</v>
      </c>
      <c r="D506" s="105">
        <v>1310.2</v>
      </c>
      <c r="E506" s="23">
        <v>42129</v>
      </c>
      <c r="F506" s="106">
        <v>1310.2</v>
      </c>
      <c r="G506" s="31">
        <f t="shared" si="14"/>
        <v>0</v>
      </c>
      <c r="H506" s="39" t="s">
        <v>9</v>
      </c>
      <c r="K506" s="3"/>
      <c r="M506" s="20">
        <v>42130</v>
      </c>
      <c r="N506" s="183">
        <v>20185</v>
      </c>
      <c r="O506" s="26" t="s">
        <v>218</v>
      </c>
      <c r="P506" s="108">
        <v>0</v>
      </c>
      <c r="Q506" s="23"/>
      <c r="R506" s="106"/>
      <c r="S506" s="31">
        <f t="shared" si="15"/>
        <v>0</v>
      </c>
      <c r="T506" s="39" t="s">
        <v>13</v>
      </c>
    </row>
    <row r="507" spans="1:20" x14ac:dyDescent="0.25">
      <c r="A507" s="20">
        <v>42129</v>
      </c>
      <c r="B507" s="183">
        <v>20081</v>
      </c>
      <c r="C507" s="14" t="s">
        <v>190</v>
      </c>
      <c r="D507" s="105">
        <v>6937.2</v>
      </c>
      <c r="E507" s="23">
        <v>42129</v>
      </c>
      <c r="F507" s="106">
        <v>6937.2</v>
      </c>
      <c r="G507" s="31">
        <f t="shared" si="14"/>
        <v>0</v>
      </c>
      <c r="H507" s="39" t="s">
        <v>1273</v>
      </c>
      <c r="K507" s="3"/>
      <c r="M507" s="20">
        <v>42130</v>
      </c>
      <c r="N507" s="183">
        <v>20193</v>
      </c>
      <c r="O507" s="26" t="s">
        <v>218</v>
      </c>
      <c r="P507" s="108">
        <v>0</v>
      </c>
      <c r="Q507" s="23"/>
      <c r="R507" s="106"/>
      <c r="S507" s="31">
        <f t="shared" si="15"/>
        <v>0</v>
      </c>
      <c r="T507" s="39" t="s">
        <v>13</v>
      </c>
    </row>
    <row r="508" spans="1:20" x14ac:dyDescent="0.25">
      <c r="A508" s="20">
        <v>42129</v>
      </c>
      <c r="B508" s="183">
        <v>20082</v>
      </c>
      <c r="C508" s="14" t="s">
        <v>1267</v>
      </c>
      <c r="D508" s="105">
        <v>600</v>
      </c>
      <c r="E508" s="23">
        <v>42129</v>
      </c>
      <c r="F508" s="106">
        <v>600</v>
      </c>
      <c r="G508" s="31">
        <f t="shared" si="14"/>
        <v>0</v>
      </c>
      <c r="H508" s="39" t="s">
        <v>1273</v>
      </c>
      <c r="K508" s="3"/>
      <c r="M508" s="20">
        <v>42131</v>
      </c>
      <c r="N508" s="183">
        <v>20302</v>
      </c>
      <c r="O508" s="26" t="s">
        <v>218</v>
      </c>
      <c r="P508" s="108">
        <v>0</v>
      </c>
      <c r="Q508" s="23"/>
      <c r="R508" s="106"/>
      <c r="S508" s="31">
        <f t="shared" si="15"/>
        <v>0</v>
      </c>
      <c r="T508" s="19" t="s">
        <v>13</v>
      </c>
    </row>
    <row r="509" spans="1:20" x14ac:dyDescent="0.25">
      <c r="A509" s="20">
        <v>42129</v>
      </c>
      <c r="B509" s="183">
        <v>20083</v>
      </c>
      <c r="C509" s="14" t="s">
        <v>95</v>
      </c>
      <c r="D509" s="105">
        <v>1798.6</v>
      </c>
      <c r="E509" s="23">
        <v>42129</v>
      </c>
      <c r="F509" s="106">
        <v>1798.6</v>
      </c>
      <c r="G509" s="31">
        <f t="shared" si="14"/>
        <v>0</v>
      </c>
      <c r="H509" s="39" t="s">
        <v>9</v>
      </c>
      <c r="K509" s="3"/>
      <c r="M509" s="20">
        <v>42132</v>
      </c>
      <c r="N509" s="183">
        <v>20353</v>
      </c>
      <c r="O509" s="26" t="s">
        <v>218</v>
      </c>
      <c r="P509" s="108">
        <v>0</v>
      </c>
      <c r="Q509" s="23"/>
      <c r="R509" s="106"/>
      <c r="S509" s="31">
        <f t="shared" si="15"/>
        <v>0</v>
      </c>
      <c r="T509" s="19" t="s">
        <v>13</v>
      </c>
    </row>
    <row r="510" spans="1:20" x14ac:dyDescent="0.25">
      <c r="A510" s="20">
        <v>42129</v>
      </c>
      <c r="B510" s="183">
        <v>20084</v>
      </c>
      <c r="C510" s="14" t="s">
        <v>136</v>
      </c>
      <c r="D510" s="105">
        <v>33952.400000000001</v>
      </c>
      <c r="E510" s="23">
        <v>42131</v>
      </c>
      <c r="F510" s="106">
        <v>33952.400000000001</v>
      </c>
      <c r="G510" s="31">
        <f t="shared" si="14"/>
        <v>0</v>
      </c>
      <c r="H510" s="39" t="s">
        <v>9</v>
      </c>
      <c r="K510" s="3"/>
      <c r="M510" s="20">
        <v>42132</v>
      </c>
      <c r="N510" s="183">
        <v>20394</v>
      </c>
      <c r="O510" s="26" t="s">
        <v>218</v>
      </c>
      <c r="P510" s="108">
        <v>0</v>
      </c>
      <c r="Q510" s="23"/>
      <c r="R510" s="106"/>
      <c r="S510" s="31">
        <f t="shared" si="15"/>
        <v>0</v>
      </c>
      <c r="T510" s="19" t="s">
        <v>13</v>
      </c>
    </row>
    <row r="511" spans="1:20" x14ac:dyDescent="0.25">
      <c r="A511" s="20">
        <v>42129</v>
      </c>
      <c r="B511" s="183">
        <v>20085</v>
      </c>
      <c r="C511" s="14" t="s">
        <v>236</v>
      </c>
      <c r="D511" s="105">
        <v>4556</v>
      </c>
      <c r="E511" s="23">
        <v>42136</v>
      </c>
      <c r="F511" s="106">
        <v>4556</v>
      </c>
      <c r="G511" s="31">
        <f t="shared" si="14"/>
        <v>0</v>
      </c>
      <c r="H511" s="39" t="s">
        <v>94</v>
      </c>
      <c r="K511" s="3"/>
      <c r="M511" s="20">
        <v>42133</v>
      </c>
      <c r="N511" s="183">
        <v>20486</v>
      </c>
      <c r="O511" s="26" t="s">
        <v>218</v>
      </c>
      <c r="P511" s="108">
        <v>0</v>
      </c>
      <c r="Q511" s="23"/>
      <c r="R511" s="106"/>
      <c r="S511" s="31">
        <f t="shared" si="15"/>
        <v>0</v>
      </c>
      <c r="T511" s="19" t="s">
        <v>13</v>
      </c>
    </row>
    <row r="512" spans="1:20" x14ac:dyDescent="0.25">
      <c r="A512" s="20">
        <v>42129</v>
      </c>
      <c r="B512" s="183">
        <v>20086</v>
      </c>
      <c r="C512" s="14" t="s">
        <v>1316</v>
      </c>
      <c r="D512" s="105">
        <v>5085.6000000000004</v>
      </c>
      <c r="E512" s="23">
        <v>42129</v>
      </c>
      <c r="F512" s="106">
        <v>5085.6000000000004</v>
      </c>
      <c r="G512" s="31">
        <f t="shared" si="14"/>
        <v>0</v>
      </c>
      <c r="H512" s="39" t="s">
        <v>9</v>
      </c>
      <c r="K512" s="3"/>
      <c r="M512" s="20">
        <v>42133</v>
      </c>
      <c r="N512" s="183">
        <v>20561</v>
      </c>
      <c r="O512" s="26" t="s">
        <v>218</v>
      </c>
      <c r="P512" s="108">
        <v>0</v>
      </c>
      <c r="Q512" s="23"/>
      <c r="R512" s="106"/>
      <c r="S512" s="31">
        <f t="shared" si="15"/>
        <v>0</v>
      </c>
      <c r="T512" s="19" t="s">
        <v>13</v>
      </c>
    </row>
    <row r="513" spans="1:20" x14ac:dyDescent="0.25">
      <c r="A513" s="20">
        <v>42129</v>
      </c>
      <c r="B513" s="183">
        <v>20087</v>
      </c>
      <c r="C513" s="14" t="s">
        <v>1316</v>
      </c>
      <c r="D513" s="105">
        <v>319.2</v>
      </c>
      <c r="E513" s="23">
        <v>42129</v>
      </c>
      <c r="F513" s="106">
        <v>319.2</v>
      </c>
      <c r="G513" s="31">
        <f t="shared" si="14"/>
        <v>0</v>
      </c>
      <c r="H513" s="39" t="s">
        <v>9</v>
      </c>
      <c r="J513" s="107"/>
      <c r="K513" s="3"/>
      <c r="M513" s="20">
        <v>42133</v>
      </c>
      <c r="N513" s="183">
        <v>20562</v>
      </c>
      <c r="O513" s="185" t="s">
        <v>218</v>
      </c>
      <c r="P513" s="108">
        <v>0</v>
      </c>
      <c r="Q513" s="23"/>
      <c r="R513" s="106"/>
      <c r="S513" s="31">
        <f t="shared" si="15"/>
        <v>0</v>
      </c>
      <c r="T513" s="19" t="s">
        <v>13</v>
      </c>
    </row>
    <row r="514" spans="1:20" x14ac:dyDescent="0.25">
      <c r="A514" s="20">
        <v>42129</v>
      </c>
      <c r="B514" s="183">
        <v>20088</v>
      </c>
      <c r="C514" s="14" t="s">
        <v>335</v>
      </c>
      <c r="D514" s="105">
        <v>338.8</v>
      </c>
      <c r="E514" s="23">
        <v>42129</v>
      </c>
      <c r="F514" s="106">
        <v>338.8</v>
      </c>
      <c r="G514" s="31">
        <f t="shared" si="14"/>
        <v>0</v>
      </c>
      <c r="H514" s="39" t="s">
        <v>9</v>
      </c>
      <c r="K514" s="3"/>
      <c r="M514" s="20">
        <v>42134</v>
      </c>
      <c r="N514" s="183">
        <v>20611</v>
      </c>
      <c r="O514" s="26" t="s">
        <v>218</v>
      </c>
      <c r="P514" s="108">
        <v>0</v>
      </c>
      <c r="Q514" s="23"/>
      <c r="R514" s="118"/>
      <c r="S514" s="31">
        <f t="shared" si="15"/>
        <v>0</v>
      </c>
      <c r="T514" s="56" t="s">
        <v>13</v>
      </c>
    </row>
    <row r="515" spans="1:20" x14ac:dyDescent="0.25">
      <c r="A515" s="20">
        <v>42129</v>
      </c>
      <c r="B515" s="183">
        <v>20089</v>
      </c>
      <c r="C515" s="14" t="s">
        <v>111</v>
      </c>
      <c r="D515" s="105">
        <v>144695</v>
      </c>
      <c r="E515" s="23">
        <v>42133</v>
      </c>
      <c r="F515" s="106">
        <v>144695</v>
      </c>
      <c r="G515" s="31">
        <f t="shared" ref="G515:G578" si="16">D515-F515</f>
        <v>0</v>
      </c>
      <c r="H515" s="39" t="s">
        <v>9</v>
      </c>
      <c r="K515" s="3"/>
      <c r="M515" s="20">
        <v>42134</v>
      </c>
      <c r="N515" s="183">
        <v>20643</v>
      </c>
      <c r="O515" s="26" t="s">
        <v>218</v>
      </c>
      <c r="P515" s="108">
        <v>0</v>
      </c>
      <c r="Q515" s="23"/>
      <c r="R515" s="106"/>
      <c r="S515" s="31">
        <f t="shared" ref="S515:S578" si="17">P515-R515</f>
        <v>0</v>
      </c>
      <c r="T515" s="39" t="s">
        <v>13</v>
      </c>
    </row>
    <row r="516" spans="1:20" x14ac:dyDescent="0.25">
      <c r="A516" s="20">
        <v>42129</v>
      </c>
      <c r="B516" s="183">
        <v>20090</v>
      </c>
      <c r="C516" s="150" t="s">
        <v>624</v>
      </c>
      <c r="D516" s="105">
        <v>3918.2</v>
      </c>
      <c r="E516" s="23">
        <v>42129</v>
      </c>
      <c r="F516" s="106">
        <v>3918.2</v>
      </c>
      <c r="G516" s="31">
        <f t="shared" si="16"/>
        <v>0</v>
      </c>
      <c r="H516" s="39" t="s">
        <v>41</v>
      </c>
      <c r="K516" s="3"/>
      <c r="M516" s="20">
        <v>42135</v>
      </c>
      <c r="N516" s="183">
        <v>20684</v>
      </c>
      <c r="O516" s="26" t="s">
        <v>218</v>
      </c>
      <c r="P516" s="108">
        <v>0</v>
      </c>
      <c r="Q516" s="23"/>
      <c r="R516" s="106"/>
      <c r="S516" s="31">
        <f t="shared" si="17"/>
        <v>0</v>
      </c>
      <c r="T516" s="39" t="s">
        <v>13</v>
      </c>
    </row>
    <row r="517" spans="1:20" x14ac:dyDescent="0.25">
      <c r="A517" s="20">
        <v>42129</v>
      </c>
      <c r="B517" s="183">
        <v>20091</v>
      </c>
      <c r="C517" s="14" t="s">
        <v>791</v>
      </c>
      <c r="D517" s="105">
        <v>1097.25</v>
      </c>
      <c r="E517" s="23">
        <v>42129</v>
      </c>
      <c r="F517" s="106">
        <v>1097.25</v>
      </c>
      <c r="G517" s="31">
        <f t="shared" si="16"/>
        <v>0</v>
      </c>
      <c r="H517" s="39" t="s">
        <v>9</v>
      </c>
      <c r="K517" s="3"/>
      <c r="M517" s="20">
        <v>42135</v>
      </c>
      <c r="N517" s="183">
        <v>20783</v>
      </c>
      <c r="O517" s="185" t="s">
        <v>218</v>
      </c>
      <c r="P517" s="108">
        <v>0</v>
      </c>
      <c r="Q517" s="23"/>
      <c r="R517" s="106"/>
      <c r="S517" s="31">
        <f t="shared" si="17"/>
        <v>0</v>
      </c>
      <c r="T517" s="19" t="s">
        <v>13</v>
      </c>
    </row>
    <row r="518" spans="1:20" x14ac:dyDescent="0.25">
      <c r="A518" s="20">
        <v>42129</v>
      </c>
      <c r="B518" s="183">
        <v>20092</v>
      </c>
      <c r="C518" s="14" t="s">
        <v>791</v>
      </c>
      <c r="D518" s="105">
        <v>183</v>
      </c>
      <c r="E518" s="23">
        <v>42129</v>
      </c>
      <c r="F518" s="106">
        <v>183</v>
      </c>
      <c r="G518" s="31">
        <f t="shared" si="16"/>
        <v>0</v>
      </c>
      <c r="H518" s="39" t="s">
        <v>9</v>
      </c>
      <c r="K518" s="3"/>
      <c r="M518" s="20">
        <v>42136</v>
      </c>
      <c r="N518" s="183">
        <v>20795</v>
      </c>
      <c r="O518" s="26" t="s">
        <v>218</v>
      </c>
      <c r="P518" s="108">
        <v>0</v>
      </c>
      <c r="Q518" s="23"/>
      <c r="R518" s="106"/>
      <c r="S518" s="31">
        <f t="shared" si="17"/>
        <v>0</v>
      </c>
      <c r="T518" s="19" t="s">
        <v>13</v>
      </c>
    </row>
    <row r="519" spans="1:20" x14ac:dyDescent="0.25">
      <c r="A519" s="20">
        <v>42129</v>
      </c>
      <c r="B519" s="183">
        <v>20093</v>
      </c>
      <c r="C519" s="14" t="s">
        <v>416</v>
      </c>
      <c r="D519" s="105">
        <v>2800</v>
      </c>
      <c r="E519" s="97" t="s">
        <v>1479</v>
      </c>
      <c r="F519" s="189">
        <f>400+500+400+400+800</f>
        <v>2500</v>
      </c>
      <c r="G519" s="55">
        <f t="shared" si="16"/>
        <v>300</v>
      </c>
      <c r="H519" s="39" t="s">
        <v>9</v>
      </c>
      <c r="K519" s="3"/>
      <c r="M519" s="20">
        <v>42137</v>
      </c>
      <c r="N519" s="183">
        <v>20873</v>
      </c>
      <c r="O519" s="26" t="s">
        <v>218</v>
      </c>
      <c r="P519" s="108">
        <v>0</v>
      </c>
      <c r="Q519" s="51"/>
      <c r="R519" s="106"/>
      <c r="S519" s="31">
        <f t="shared" si="17"/>
        <v>0</v>
      </c>
      <c r="T519" s="39" t="s">
        <v>13</v>
      </c>
    </row>
    <row r="520" spans="1:20" x14ac:dyDescent="0.25">
      <c r="A520" s="20">
        <v>42129</v>
      </c>
      <c r="B520" s="183">
        <v>20094</v>
      </c>
      <c r="C520" s="14" t="s">
        <v>24</v>
      </c>
      <c r="D520" s="105">
        <v>112914.8</v>
      </c>
      <c r="E520" s="23">
        <v>42151</v>
      </c>
      <c r="F520" s="106">
        <v>112914.8</v>
      </c>
      <c r="G520" s="31">
        <f t="shared" si="16"/>
        <v>0</v>
      </c>
      <c r="H520" s="39" t="s">
        <v>773</v>
      </c>
      <c r="K520" s="3"/>
      <c r="M520" s="20">
        <v>42137</v>
      </c>
      <c r="N520" s="183">
        <v>20941</v>
      </c>
      <c r="O520" s="26" t="s">
        <v>218</v>
      </c>
      <c r="P520" s="108">
        <v>0</v>
      </c>
      <c r="Q520" s="23"/>
      <c r="R520" s="106"/>
      <c r="S520" s="31">
        <f t="shared" si="17"/>
        <v>0</v>
      </c>
      <c r="T520" s="19" t="s">
        <v>13</v>
      </c>
    </row>
    <row r="521" spans="1:20" x14ac:dyDescent="0.25">
      <c r="A521" s="20">
        <v>42129</v>
      </c>
      <c r="B521" s="183">
        <v>20095</v>
      </c>
      <c r="C521" s="14" t="s">
        <v>38</v>
      </c>
      <c r="D521" s="105">
        <v>17815.3</v>
      </c>
      <c r="E521" s="23" t="s">
        <v>1317</v>
      </c>
      <c r="F521" s="106">
        <f>30.15+17785.15</f>
        <v>17815.300000000003</v>
      </c>
      <c r="G521" s="31">
        <f t="shared" si="16"/>
        <v>0</v>
      </c>
      <c r="H521" s="39" t="s">
        <v>9</v>
      </c>
      <c r="K521" s="3"/>
      <c r="M521" s="20">
        <v>42138</v>
      </c>
      <c r="N521" s="183">
        <v>21068</v>
      </c>
      <c r="O521" s="26" t="s">
        <v>218</v>
      </c>
      <c r="P521" s="108">
        <v>0</v>
      </c>
      <c r="Q521" s="23"/>
      <c r="R521" s="106"/>
      <c r="S521" s="48">
        <f t="shared" si="17"/>
        <v>0</v>
      </c>
      <c r="T521" s="39" t="s">
        <v>13</v>
      </c>
    </row>
    <row r="522" spans="1:20" x14ac:dyDescent="0.25">
      <c r="A522" s="20">
        <v>42129</v>
      </c>
      <c r="B522" s="183">
        <v>20096</v>
      </c>
      <c r="C522" s="14" t="s">
        <v>118</v>
      </c>
      <c r="D522" s="105">
        <v>3645.6</v>
      </c>
      <c r="E522" s="23">
        <v>42136</v>
      </c>
      <c r="F522" s="106">
        <v>3645.6</v>
      </c>
      <c r="G522" s="31">
        <f t="shared" si="16"/>
        <v>0</v>
      </c>
      <c r="H522" s="39" t="s">
        <v>62</v>
      </c>
      <c r="K522" s="3"/>
      <c r="M522" s="20">
        <v>42139</v>
      </c>
      <c r="N522" s="183">
        <v>21094</v>
      </c>
      <c r="O522" s="26" t="s">
        <v>218</v>
      </c>
      <c r="P522" s="108">
        <v>0</v>
      </c>
      <c r="Q522" s="23"/>
      <c r="R522" s="106"/>
      <c r="S522" s="48">
        <f t="shared" si="17"/>
        <v>0</v>
      </c>
      <c r="T522" s="39" t="s">
        <v>13</v>
      </c>
    </row>
    <row r="523" spans="1:20" x14ac:dyDescent="0.25">
      <c r="A523" s="20">
        <v>42129</v>
      </c>
      <c r="B523" s="183">
        <v>20097</v>
      </c>
      <c r="C523" s="14" t="s">
        <v>24</v>
      </c>
      <c r="D523" s="105">
        <v>3660.8</v>
      </c>
      <c r="E523" s="23">
        <v>42151</v>
      </c>
      <c r="F523" s="106">
        <v>3660.8</v>
      </c>
      <c r="G523" s="31">
        <f t="shared" si="16"/>
        <v>0</v>
      </c>
      <c r="H523" s="39" t="s">
        <v>773</v>
      </c>
      <c r="K523" s="3"/>
      <c r="M523" s="20">
        <v>42139</v>
      </c>
      <c r="N523" s="183">
        <v>21159</v>
      </c>
      <c r="O523" s="26" t="s">
        <v>218</v>
      </c>
      <c r="P523" s="108">
        <v>0</v>
      </c>
      <c r="Q523" s="23"/>
      <c r="R523" s="106"/>
      <c r="S523" s="48">
        <f t="shared" si="17"/>
        <v>0</v>
      </c>
      <c r="T523" s="39" t="s">
        <v>13</v>
      </c>
    </row>
    <row r="524" spans="1:20" x14ac:dyDescent="0.25">
      <c r="A524" s="20">
        <v>42129</v>
      </c>
      <c r="B524" s="183">
        <v>20098</v>
      </c>
      <c r="C524" s="14" t="s">
        <v>252</v>
      </c>
      <c r="D524" s="105">
        <v>8404.2000000000007</v>
      </c>
      <c r="E524" s="23">
        <v>42129</v>
      </c>
      <c r="F524" s="106">
        <v>8404.2000000000007</v>
      </c>
      <c r="G524" s="31">
        <f t="shared" si="16"/>
        <v>0</v>
      </c>
      <c r="H524" s="39" t="s">
        <v>9</v>
      </c>
      <c r="K524" s="3"/>
      <c r="M524" s="20">
        <v>42139</v>
      </c>
      <c r="N524" s="183">
        <v>21204</v>
      </c>
      <c r="O524" s="26" t="s">
        <v>218</v>
      </c>
      <c r="P524" s="108">
        <v>0</v>
      </c>
      <c r="Q524" s="23"/>
      <c r="R524" s="106"/>
      <c r="S524" s="48">
        <f t="shared" si="17"/>
        <v>0</v>
      </c>
      <c r="T524" s="39" t="s">
        <v>13</v>
      </c>
    </row>
    <row r="525" spans="1:20" x14ac:dyDescent="0.25">
      <c r="A525" s="20">
        <v>42129</v>
      </c>
      <c r="B525" s="183">
        <v>20099</v>
      </c>
      <c r="C525" s="14" t="s">
        <v>416</v>
      </c>
      <c r="D525" s="105">
        <v>23.4</v>
      </c>
      <c r="E525" s="23">
        <v>42129</v>
      </c>
      <c r="F525" s="106">
        <v>23.4</v>
      </c>
      <c r="G525" s="31">
        <f t="shared" si="16"/>
        <v>0</v>
      </c>
      <c r="H525" s="39" t="s">
        <v>9</v>
      </c>
      <c r="K525" s="3"/>
      <c r="M525" s="20">
        <v>42140</v>
      </c>
      <c r="N525" s="183">
        <v>21251</v>
      </c>
      <c r="O525" s="26" t="s">
        <v>218</v>
      </c>
      <c r="P525" s="108">
        <v>0</v>
      </c>
      <c r="Q525" s="23"/>
      <c r="R525" s="106"/>
      <c r="S525" s="31">
        <f t="shared" si="17"/>
        <v>0</v>
      </c>
      <c r="T525" s="19" t="s">
        <v>13</v>
      </c>
    </row>
    <row r="526" spans="1:20" x14ac:dyDescent="0.25">
      <c r="A526" s="20">
        <v>42129</v>
      </c>
      <c r="B526" s="183">
        <v>20100</v>
      </c>
      <c r="C526" s="14" t="s">
        <v>24</v>
      </c>
      <c r="D526" s="105">
        <v>80764.12</v>
      </c>
      <c r="E526" s="23">
        <v>42151</v>
      </c>
      <c r="F526" s="106">
        <v>80764.12</v>
      </c>
      <c r="G526" s="31">
        <f t="shared" si="16"/>
        <v>0</v>
      </c>
      <c r="H526" s="39" t="s">
        <v>46</v>
      </c>
      <c r="K526" s="3"/>
      <c r="M526" s="20">
        <v>42140</v>
      </c>
      <c r="N526" s="183">
        <v>21256</v>
      </c>
      <c r="O526" s="26" t="s">
        <v>218</v>
      </c>
      <c r="P526" s="108">
        <v>0</v>
      </c>
      <c r="Q526" s="23"/>
      <c r="R526" s="106"/>
      <c r="S526" s="31">
        <f t="shared" si="17"/>
        <v>0</v>
      </c>
      <c r="T526" s="19" t="s">
        <v>13</v>
      </c>
    </row>
    <row r="527" spans="1:20" x14ac:dyDescent="0.25">
      <c r="A527" s="20">
        <v>42129</v>
      </c>
      <c r="B527" s="183">
        <v>20101</v>
      </c>
      <c r="C527" s="14" t="s">
        <v>14</v>
      </c>
      <c r="D527" s="105">
        <v>249869.07</v>
      </c>
      <c r="E527" s="23">
        <v>42149</v>
      </c>
      <c r="F527" s="106">
        <v>249869.07</v>
      </c>
      <c r="G527" s="31">
        <f t="shared" si="16"/>
        <v>0</v>
      </c>
      <c r="H527" s="39" t="s">
        <v>1013</v>
      </c>
      <c r="K527" s="3"/>
      <c r="M527" s="20">
        <v>42140</v>
      </c>
      <c r="N527" s="183">
        <v>21302</v>
      </c>
      <c r="O527" s="26" t="s">
        <v>218</v>
      </c>
      <c r="P527" s="108">
        <v>0</v>
      </c>
      <c r="Q527" s="23"/>
      <c r="R527" s="118"/>
      <c r="S527" s="31">
        <f t="shared" si="17"/>
        <v>0</v>
      </c>
      <c r="T527" s="62" t="s">
        <v>13</v>
      </c>
    </row>
    <row r="528" spans="1:20" x14ac:dyDescent="0.25">
      <c r="A528" s="20">
        <v>42129</v>
      </c>
      <c r="B528" s="183">
        <v>20102</v>
      </c>
      <c r="C528" s="14" t="s">
        <v>14</v>
      </c>
      <c r="D528" s="105">
        <v>244910.52</v>
      </c>
      <c r="E528" s="23">
        <v>42149</v>
      </c>
      <c r="F528" s="106">
        <v>244910.52</v>
      </c>
      <c r="G528" s="31">
        <f t="shared" si="16"/>
        <v>0</v>
      </c>
      <c r="H528" s="39" t="s">
        <v>1013</v>
      </c>
      <c r="K528" s="3"/>
      <c r="M528" s="20">
        <v>42141</v>
      </c>
      <c r="N528" s="183">
        <v>21352</v>
      </c>
      <c r="O528" s="26" t="s">
        <v>218</v>
      </c>
      <c r="P528" s="108">
        <v>0</v>
      </c>
      <c r="Q528" s="23"/>
      <c r="R528" s="118"/>
      <c r="S528" s="31">
        <f t="shared" si="17"/>
        <v>0</v>
      </c>
      <c r="T528" s="62" t="s">
        <v>13</v>
      </c>
    </row>
    <row r="529" spans="1:20" x14ac:dyDescent="0.25">
      <c r="A529" s="20">
        <v>42129</v>
      </c>
      <c r="B529" s="183">
        <v>20103</v>
      </c>
      <c r="C529" s="14" t="s">
        <v>454</v>
      </c>
      <c r="D529" s="105">
        <v>2040</v>
      </c>
      <c r="E529" s="23">
        <v>42131</v>
      </c>
      <c r="F529" s="106">
        <v>2040</v>
      </c>
      <c r="G529" s="31">
        <f t="shared" si="16"/>
        <v>0</v>
      </c>
      <c r="H529" s="39" t="s">
        <v>59</v>
      </c>
      <c r="K529" s="3"/>
      <c r="M529" s="20">
        <v>42142</v>
      </c>
      <c r="N529" s="183">
        <v>21393</v>
      </c>
      <c r="O529" s="26" t="s">
        <v>218</v>
      </c>
      <c r="P529" s="108">
        <v>0</v>
      </c>
      <c r="Q529" s="23"/>
      <c r="R529" s="118"/>
      <c r="S529" s="31">
        <f t="shared" si="17"/>
        <v>0</v>
      </c>
      <c r="T529" s="56" t="s">
        <v>13</v>
      </c>
    </row>
    <row r="530" spans="1:20" x14ac:dyDescent="0.25">
      <c r="A530" s="20">
        <v>42129</v>
      </c>
      <c r="B530" s="183">
        <v>20104</v>
      </c>
      <c r="C530" s="14" t="s">
        <v>26</v>
      </c>
      <c r="D530" s="105">
        <v>816</v>
      </c>
      <c r="E530" s="23">
        <v>42131</v>
      </c>
      <c r="F530" s="106">
        <v>816</v>
      </c>
      <c r="G530" s="31">
        <f t="shared" si="16"/>
        <v>0</v>
      </c>
      <c r="H530" s="39" t="s">
        <v>59</v>
      </c>
      <c r="I530" s="3"/>
      <c r="J530" s="42"/>
      <c r="K530" s="3"/>
      <c r="M530" s="20">
        <v>42142</v>
      </c>
      <c r="N530" s="183">
        <v>21408</v>
      </c>
      <c r="O530" s="26" t="s">
        <v>218</v>
      </c>
      <c r="P530" s="108">
        <v>0</v>
      </c>
      <c r="Q530" s="23"/>
      <c r="R530" s="118"/>
      <c r="S530" s="31">
        <f t="shared" si="17"/>
        <v>0</v>
      </c>
      <c r="T530" s="56" t="s">
        <v>13</v>
      </c>
    </row>
    <row r="531" spans="1:20" x14ac:dyDescent="0.25">
      <c r="A531" s="20">
        <v>42129</v>
      </c>
      <c r="B531" s="183">
        <v>20105</v>
      </c>
      <c r="C531" s="14" t="s">
        <v>80</v>
      </c>
      <c r="D531" s="105">
        <v>6786.4</v>
      </c>
      <c r="E531" s="23">
        <v>42129</v>
      </c>
      <c r="F531" s="106">
        <v>6786.4</v>
      </c>
      <c r="G531" s="31">
        <f t="shared" si="16"/>
        <v>0</v>
      </c>
      <c r="H531" s="39" t="s">
        <v>9</v>
      </c>
      <c r="I531" s="3"/>
      <c r="J531" s="42"/>
      <c r="K531" s="3"/>
      <c r="M531" s="20">
        <v>42142</v>
      </c>
      <c r="N531" s="183">
        <v>21420</v>
      </c>
      <c r="O531" s="26" t="s">
        <v>218</v>
      </c>
      <c r="P531" s="108">
        <v>0</v>
      </c>
      <c r="Q531" s="23"/>
      <c r="R531" s="118"/>
      <c r="S531" s="31">
        <f t="shared" si="17"/>
        <v>0</v>
      </c>
      <c r="T531" s="56" t="s">
        <v>13</v>
      </c>
    </row>
    <row r="532" spans="1:20" x14ac:dyDescent="0.25">
      <c r="A532" s="20">
        <v>42129</v>
      </c>
      <c r="B532" s="183">
        <v>20106</v>
      </c>
      <c r="C532" s="14" t="s">
        <v>1318</v>
      </c>
      <c r="D532" s="105">
        <v>4641</v>
      </c>
      <c r="E532" s="23">
        <v>42129</v>
      </c>
      <c r="F532" s="106">
        <v>4641</v>
      </c>
      <c r="G532" s="31">
        <f t="shared" si="16"/>
        <v>0</v>
      </c>
      <c r="H532" s="39" t="s">
        <v>9</v>
      </c>
      <c r="I532" s="3"/>
      <c r="J532" s="42"/>
      <c r="K532" s="3"/>
      <c r="M532" s="20">
        <v>42142</v>
      </c>
      <c r="N532" s="183">
        <v>21447</v>
      </c>
      <c r="O532" s="26" t="s">
        <v>218</v>
      </c>
      <c r="P532" s="108">
        <v>0</v>
      </c>
      <c r="Q532" s="65"/>
      <c r="R532" s="106"/>
      <c r="S532" s="31">
        <f t="shared" si="17"/>
        <v>0</v>
      </c>
      <c r="T532" s="19" t="s">
        <v>13</v>
      </c>
    </row>
    <row r="533" spans="1:20" x14ac:dyDescent="0.25">
      <c r="A533" s="20">
        <v>42130</v>
      </c>
      <c r="B533" s="183">
        <v>20107</v>
      </c>
      <c r="C533" s="50" t="s">
        <v>383</v>
      </c>
      <c r="D533" s="105">
        <v>2998.6</v>
      </c>
      <c r="E533" s="23">
        <v>42130</v>
      </c>
      <c r="F533" s="106">
        <v>2998.6</v>
      </c>
      <c r="G533" s="31">
        <f t="shared" si="16"/>
        <v>0</v>
      </c>
      <c r="H533" s="39" t="s">
        <v>9</v>
      </c>
      <c r="I533" s="3"/>
      <c r="J533" s="42"/>
      <c r="K533" s="3"/>
      <c r="M533" s="20">
        <v>42142</v>
      </c>
      <c r="N533" s="183">
        <v>21449</v>
      </c>
      <c r="O533" s="26" t="s">
        <v>218</v>
      </c>
      <c r="P533" s="108">
        <v>0</v>
      </c>
      <c r="Q533" s="65"/>
      <c r="R533" s="106"/>
      <c r="S533" s="31">
        <f t="shared" si="17"/>
        <v>0</v>
      </c>
      <c r="T533" s="19" t="s">
        <v>13</v>
      </c>
    </row>
    <row r="534" spans="1:20" x14ac:dyDescent="0.25">
      <c r="A534" s="20">
        <v>42130</v>
      </c>
      <c r="B534" s="183">
        <v>20108</v>
      </c>
      <c r="C534" s="14" t="s">
        <v>14</v>
      </c>
      <c r="D534" s="105">
        <v>14492.8</v>
      </c>
      <c r="E534" s="23">
        <v>42149</v>
      </c>
      <c r="F534" s="106">
        <v>14492.8</v>
      </c>
      <c r="G534" s="31">
        <f t="shared" si="16"/>
        <v>0</v>
      </c>
      <c r="H534" s="39" t="s">
        <v>15</v>
      </c>
      <c r="I534" s="3"/>
      <c r="J534" s="42"/>
      <c r="K534" s="3"/>
      <c r="M534" s="20">
        <v>42142</v>
      </c>
      <c r="N534" s="183">
        <v>21461</v>
      </c>
      <c r="O534" s="26" t="s">
        <v>218</v>
      </c>
      <c r="P534" s="108">
        <v>0</v>
      </c>
      <c r="Q534" s="65"/>
      <c r="R534" s="106"/>
      <c r="S534" s="31">
        <f t="shared" si="17"/>
        <v>0</v>
      </c>
      <c r="T534" s="19" t="s">
        <v>13</v>
      </c>
    </row>
    <row r="535" spans="1:20" x14ac:dyDescent="0.25">
      <c r="A535" s="20">
        <v>42130</v>
      </c>
      <c r="B535" s="183">
        <v>20109</v>
      </c>
      <c r="C535" s="14" t="s">
        <v>440</v>
      </c>
      <c r="D535" s="105">
        <v>6795.7</v>
      </c>
      <c r="E535" s="23">
        <v>42130</v>
      </c>
      <c r="F535" s="106">
        <v>6795.7</v>
      </c>
      <c r="G535" s="31">
        <f t="shared" si="16"/>
        <v>0</v>
      </c>
      <c r="H535" s="39" t="s">
        <v>9</v>
      </c>
      <c r="I535" s="3"/>
      <c r="J535" s="42"/>
      <c r="K535" s="3"/>
      <c r="M535" s="20">
        <v>42142</v>
      </c>
      <c r="N535" s="183">
        <v>21464</v>
      </c>
      <c r="O535" s="26" t="s">
        <v>218</v>
      </c>
      <c r="P535" s="108">
        <v>0</v>
      </c>
      <c r="Q535" s="65"/>
      <c r="R535" s="106"/>
      <c r="S535" s="31">
        <f t="shared" si="17"/>
        <v>0</v>
      </c>
      <c r="T535" s="19" t="s">
        <v>13</v>
      </c>
    </row>
    <row r="536" spans="1:20" x14ac:dyDescent="0.25">
      <c r="A536" s="20">
        <v>42130</v>
      </c>
      <c r="B536" s="183">
        <v>20110</v>
      </c>
      <c r="C536" s="14" t="s">
        <v>1190</v>
      </c>
      <c r="D536" s="105">
        <v>2145</v>
      </c>
      <c r="E536" s="23">
        <v>42130</v>
      </c>
      <c r="F536" s="106">
        <v>2145</v>
      </c>
      <c r="G536" s="31">
        <f t="shared" si="16"/>
        <v>0</v>
      </c>
      <c r="H536" s="39" t="s">
        <v>9</v>
      </c>
      <c r="I536" s="3"/>
      <c r="J536" s="42"/>
      <c r="K536" s="3"/>
      <c r="M536" s="20">
        <v>42142</v>
      </c>
      <c r="N536" s="183">
        <v>21467</v>
      </c>
      <c r="O536" s="26" t="s">
        <v>218</v>
      </c>
      <c r="P536" s="108">
        <v>0</v>
      </c>
      <c r="Q536" s="65"/>
      <c r="R536" s="106"/>
      <c r="S536" s="48">
        <f t="shared" si="17"/>
        <v>0</v>
      </c>
      <c r="T536" s="19" t="s">
        <v>13</v>
      </c>
    </row>
    <row r="537" spans="1:20" x14ac:dyDescent="0.25">
      <c r="A537" s="20">
        <v>42130</v>
      </c>
      <c r="B537" s="183">
        <v>20111</v>
      </c>
      <c r="C537" s="14" t="s">
        <v>1290</v>
      </c>
      <c r="D537" s="105">
        <v>3514.8</v>
      </c>
      <c r="E537" s="23">
        <v>42130</v>
      </c>
      <c r="F537" s="106">
        <v>3514.8</v>
      </c>
      <c r="G537" s="31">
        <f t="shared" si="16"/>
        <v>0</v>
      </c>
      <c r="H537" s="39" t="s">
        <v>9</v>
      </c>
      <c r="I537" s="3"/>
      <c r="J537" s="42"/>
      <c r="K537" s="3"/>
      <c r="M537" s="20">
        <v>42142</v>
      </c>
      <c r="N537" s="183">
        <v>21507</v>
      </c>
      <c r="O537" s="26" t="s">
        <v>218</v>
      </c>
      <c r="P537" s="108">
        <v>0</v>
      </c>
      <c r="Q537" s="23"/>
      <c r="R537" s="106"/>
      <c r="S537" s="31">
        <f t="shared" si="17"/>
        <v>0</v>
      </c>
      <c r="T537" s="39" t="s">
        <v>13</v>
      </c>
    </row>
    <row r="538" spans="1:20" x14ac:dyDescent="0.25">
      <c r="A538" s="20">
        <v>42130</v>
      </c>
      <c r="B538" s="183">
        <v>20112</v>
      </c>
      <c r="C538" s="14" t="s">
        <v>1175</v>
      </c>
      <c r="D538" s="105">
        <v>26109</v>
      </c>
      <c r="E538" s="23">
        <v>42130</v>
      </c>
      <c r="F538" s="106">
        <v>26109</v>
      </c>
      <c r="G538" s="31">
        <f t="shared" si="16"/>
        <v>0</v>
      </c>
      <c r="H538" s="39" t="s">
        <v>9</v>
      </c>
      <c r="I538" s="3"/>
      <c r="J538" s="42"/>
      <c r="K538" s="3"/>
      <c r="M538" s="20">
        <v>42144</v>
      </c>
      <c r="N538" s="183">
        <v>21614</v>
      </c>
      <c r="O538" s="26" t="s">
        <v>218</v>
      </c>
      <c r="P538" s="108">
        <v>0</v>
      </c>
      <c r="Q538" s="23"/>
      <c r="R538" s="118"/>
      <c r="S538" s="31">
        <f t="shared" si="17"/>
        <v>0</v>
      </c>
      <c r="T538" s="56" t="s">
        <v>13</v>
      </c>
    </row>
    <row r="539" spans="1:20" x14ac:dyDescent="0.25">
      <c r="A539" s="20">
        <v>42130</v>
      </c>
      <c r="B539" s="183">
        <v>20113</v>
      </c>
      <c r="C539" s="14" t="s">
        <v>940</v>
      </c>
      <c r="D539" s="105">
        <v>1895.4</v>
      </c>
      <c r="E539" s="23">
        <v>42130</v>
      </c>
      <c r="F539" s="106">
        <v>1895.4</v>
      </c>
      <c r="G539" s="31">
        <f t="shared" si="16"/>
        <v>0</v>
      </c>
      <c r="H539" s="39" t="s">
        <v>9</v>
      </c>
      <c r="I539" s="3"/>
      <c r="J539" s="42"/>
      <c r="K539" s="3"/>
      <c r="M539" s="20">
        <v>42144</v>
      </c>
      <c r="N539" s="183">
        <v>21623</v>
      </c>
      <c r="O539" s="26" t="s">
        <v>218</v>
      </c>
      <c r="P539" s="108">
        <v>0</v>
      </c>
      <c r="Q539" s="23"/>
      <c r="R539" s="118"/>
      <c r="S539" s="31">
        <f t="shared" si="17"/>
        <v>0</v>
      </c>
      <c r="T539" s="62" t="s">
        <v>13</v>
      </c>
    </row>
    <row r="540" spans="1:20" x14ac:dyDescent="0.25">
      <c r="A540" s="20">
        <v>42130</v>
      </c>
      <c r="B540" s="183">
        <v>20114</v>
      </c>
      <c r="C540" s="14" t="s">
        <v>1260</v>
      </c>
      <c r="D540" s="105">
        <v>163285.20000000001</v>
      </c>
      <c r="E540" s="23">
        <v>42140</v>
      </c>
      <c r="F540" s="106">
        <v>163285.20000000001</v>
      </c>
      <c r="G540" s="31">
        <f t="shared" si="16"/>
        <v>0</v>
      </c>
      <c r="H540" s="39" t="s">
        <v>9</v>
      </c>
      <c r="I540" s="3"/>
      <c r="J540" s="42"/>
      <c r="K540" s="3"/>
      <c r="M540" s="20">
        <v>42144</v>
      </c>
      <c r="N540" s="183">
        <v>21652</v>
      </c>
      <c r="O540" s="26" t="s">
        <v>218</v>
      </c>
      <c r="P540" s="108">
        <v>0</v>
      </c>
      <c r="Q540" s="23"/>
      <c r="R540" s="118"/>
      <c r="S540" s="31">
        <f t="shared" si="17"/>
        <v>0</v>
      </c>
      <c r="T540" s="62" t="s">
        <v>13</v>
      </c>
    </row>
    <row r="541" spans="1:20" x14ac:dyDescent="0.25">
      <c r="A541" s="20">
        <v>42130</v>
      </c>
      <c r="B541" s="183">
        <v>20115</v>
      </c>
      <c r="C541" s="14" t="s">
        <v>720</v>
      </c>
      <c r="D541" s="105">
        <v>3150.7</v>
      </c>
      <c r="E541" s="23">
        <v>42130</v>
      </c>
      <c r="F541" s="106">
        <v>3150.7</v>
      </c>
      <c r="G541" s="31">
        <f t="shared" si="16"/>
        <v>0</v>
      </c>
      <c r="H541" s="39" t="s">
        <v>9</v>
      </c>
      <c r="I541" s="3"/>
      <c r="J541" s="42"/>
      <c r="K541" s="3"/>
      <c r="M541" s="20">
        <v>42145</v>
      </c>
      <c r="N541" s="183">
        <v>21751</v>
      </c>
      <c r="O541" s="70" t="s">
        <v>218</v>
      </c>
      <c r="P541" s="128">
        <v>0</v>
      </c>
      <c r="Q541" s="23"/>
      <c r="R541" s="118"/>
      <c r="S541" s="31">
        <f t="shared" si="17"/>
        <v>0</v>
      </c>
      <c r="T541" s="68" t="s">
        <v>13</v>
      </c>
    </row>
    <row r="542" spans="1:20" x14ac:dyDescent="0.25">
      <c r="A542" s="20">
        <v>42130</v>
      </c>
      <c r="B542" s="183">
        <v>20116</v>
      </c>
      <c r="C542" s="14" t="s">
        <v>1256</v>
      </c>
      <c r="D542" s="105">
        <v>6949</v>
      </c>
      <c r="E542" s="23">
        <v>42130</v>
      </c>
      <c r="F542" s="106">
        <v>6949</v>
      </c>
      <c r="G542" s="31">
        <f t="shared" si="16"/>
        <v>0</v>
      </c>
      <c r="H542" s="39" t="s">
        <v>9</v>
      </c>
      <c r="I542" s="3"/>
      <c r="J542" s="42"/>
      <c r="K542" s="3"/>
      <c r="M542" s="20">
        <v>42145</v>
      </c>
      <c r="N542" s="183">
        <v>21757</v>
      </c>
      <c r="O542" s="26" t="s">
        <v>218</v>
      </c>
      <c r="P542" s="108">
        <v>0</v>
      </c>
      <c r="Q542" s="23"/>
      <c r="R542" s="106"/>
      <c r="S542" s="31">
        <f t="shared" si="17"/>
        <v>0</v>
      </c>
      <c r="T542" s="39" t="s">
        <v>13</v>
      </c>
    </row>
    <row r="543" spans="1:20" x14ac:dyDescent="0.25">
      <c r="A543" s="20">
        <v>42130</v>
      </c>
      <c r="B543" s="183">
        <v>20117</v>
      </c>
      <c r="C543" s="14" t="s">
        <v>114</v>
      </c>
      <c r="D543" s="105">
        <v>837.6</v>
      </c>
      <c r="E543" s="23">
        <v>42130</v>
      </c>
      <c r="F543" s="106">
        <v>837.6</v>
      </c>
      <c r="G543" s="31">
        <f t="shared" si="16"/>
        <v>0</v>
      </c>
      <c r="H543" s="39" t="s">
        <v>9</v>
      </c>
      <c r="I543" s="3"/>
      <c r="J543" s="42"/>
      <c r="K543" s="3"/>
      <c r="M543" s="20">
        <v>42145</v>
      </c>
      <c r="N543" s="183">
        <v>21793</v>
      </c>
      <c r="O543" s="70" t="s">
        <v>218</v>
      </c>
      <c r="P543" s="128">
        <v>0</v>
      </c>
      <c r="Q543" s="23"/>
      <c r="R543" s="118"/>
      <c r="S543" s="31">
        <f t="shared" si="17"/>
        <v>0</v>
      </c>
      <c r="T543" s="68" t="s">
        <v>13</v>
      </c>
    </row>
    <row r="544" spans="1:20" x14ac:dyDescent="0.25">
      <c r="A544" s="20">
        <v>42130</v>
      </c>
      <c r="B544" s="183">
        <v>20118</v>
      </c>
      <c r="C544" s="14" t="s">
        <v>24</v>
      </c>
      <c r="D544" s="105">
        <v>26531.4</v>
      </c>
      <c r="E544" s="51">
        <v>42151</v>
      </c>
      <c r="F544" s="106">
        <v>26531.4</v>
      </c>
      <c r="G544" s="31">
        <f t="shared" si="16"/>
        <v>0</v>
      </c>
      <c r="H544" s="39" t="s">
        <v>9</v>
      </c>
      <c r="I544" s="3"/>
      <c r="J544" s="42"/>
      <c r="K544" s="3"/>
      <c r="M544" s="20">
        <v>42146</v>
      </c>
      <c r="N544" s="183">
        <v>21852</v>
      </c>
      <c r="O544" s="26" t="s">
        <v>218</v>
      </c>
      <c r="P544" s="108">
        <v>0</v>
      </c>
      <c r="Q544" s="23"/>
      <c r="R544" s="106"/>
      <c r="S544" s="31">
        <f t="shared" si="17"/>
        <v>0</v>
      </c>
      <c r="T544" s="39" t="s">
        <v>13</v>
      </c>
    </row>
    <row r="545" spans="1:20" x14ac:dyDescent="0.25">
      <c r="A545" s="20">
        <v>42130</v>
      </c>
      <c r="B545" s="183">
        <v>20119</v>
      </c>
      <c r="C545" s="14" t="s">
        <v>1319</v>
      </c>
      <c r="D545" s="105">
        <v>2173.4</v>
      </c>
      <c r="E545" s="23">
        <v>42131</v>
      </c>
      <c r="F545" s="106">
        <v>2173.4</v>
      </c>
      <c r="G545" s="31">
        <f t="shared" si="16"/>
        <v>0</v>
      </c>
      <c r="H545" s="39" t="s">
        <v>9</v>
      </c>
      <c r="I545" s="3"/>
      <c r="J545" s="42"/>
      <c r="K545" s="3"/>
      <c r="M545" s="20">
        <v>42146</v>
      </c>
      <c r="N545" s="183">
        <v>21923</v>
      </c>
      <c r="O545" s="26" t="s">
        <v>218</v>
      </c>
      <c r="P545" s="108">
        <v>0</v>
      </c>
      <c r="Q545" s="23"/>
      <c r="R545" s="106"/>
      <c r="S545" s="31">
        <f t="shared" si="17"/>
        <v>0</v>
      </c>
      <c r="T545" s="39" t="s">
        <v>13</v>
      </c>
    </row>
    <row r="546" spans="1:20" x14ac:dyDescent="0.25">
      <c r="A546" s="20">
        <v>42130</v>
      </c>
      <c r="B546" s="183">
        <v>20120</v>
      </c>
      <c r="C546" s="14" t="s">
        <v>20</v>
      </c>
      <c r="D546" s="105">
        <v>7465.5</v>
      </c>
      <c r="E546" s="23">
        <v>42130</v>
      </c>
      <c r="F546" s="106">
        <v>7465.5</v>
      </c>
      <c r="G546" s="31">
        <f t="shared" si="16"/>
        <v>0</v>
      </c>
      <c r="H546" s="39" t="s">
        <v>94</v>
      </c>
      <c r="I546" s="3"/>
      <c r="J546" s="42"/>
      <c r="K546" s="3"/>
      <c r="M546" s="20">
        <v>42147</v>
      </c>
      <c r="N546" s="183">
        <v>21968</v>
      </c>
      <c r="O546" s="26" t="s">
        <v>218</v>
      </c>
      <c r="P546" s="108">
        <v>0</v>
      </c>
      <c r="Q546" s="65"/>
      <c r="R546" s="106"/>
      <c r="S546" s="31">
        <f t="shared" si="17"/>
        <v>0</v>
      </c>
      <c r="T546" s="39" t="s">
        <v>13</v>
      </c>
    </row>
    <row r="547" spans="1:20" x14ac:dyDescent="0.25">
      <c r="A547" s="20">
        <v>42130</v>
      </c>
      <c r="B547" s="183">
        <v>20121</v>
      </c>
      <c r="C547" s="14" t="s">
        <v>125</v>
      </c>
      <c r="D547" s="105">
        <v>11923.2</v>
      </c>
      <c r="E547" s="23">
        <v>42136</v>
      </c>
      <c r="F547" s="106">
        <v>11923.2</v>
      </c>
      <c r="G547" s="31">
        <f t="shared" si="16"/>
        <v>0</v>
      </c>
      <c r="H547" s="39" t="s">
        <v>94</v>
      </c>
      <c r="I547" s="3"/>
      <c r="J547" s="42"/>
      <c r="K547" s="3"/>
      <c r="M547" s="20">
        <v>42147</v>
      </c>
      <c r="N547" s="183">
        <v>21973</v>
      </c>
      <c r="O547" s="26" t="s">
        <v>218</v>
      </c>
      <c r="P547" s="108">
        <v>0</v>
      </c>
      <c r="Q547" s="186"/>
      <c r="R547" s="106"/>
      <c r="S547" s="31">
        <f t="shared" si="17"/>
        <v>0</v>
      </c>
      <c r="T547" s="39" t="s">
        <v>13</v>
      </c>
    </row>
    <row r="548" spans="1:20" x14ac:dyDescent="0.25">
      <c r="A548" s="20">
        <v>42130</v>
      </c>
      <c r="B548" s="183">
        <v>20122</v>
      </c>
      <c r="C548" s="26" t="s">
        <v>218</v>
      </c>
      <c r="D548" s="108">
        <v>0</v>
      </c>
      <c r="E548" s="23"/>
      <c r="F548" s="106"/>
      <c r="G548" s="31">
        <f t="shared" si="16"/>
        <v>0</v>
      </c>
      <c r="H548" s="39" t="s">
        <v>13</v>
      </c>
      <c r="I548" s="3"/>
      <c r="J548" s="42"/>
      <c r="K548" s="3"/>
      <c r="M548" s="20">
        <v>42147</v>
      </c>
      <c r="N548" s="183">
        <v>21987</v>
      </c>
      <c r="O548" s="26" t="s">
        <v>218</v>
      </c>
      <c r="P548" s="108">
        <v>0</v>
      </c>
      <c r="Q548" s="66"/>
      <c r="R548" s="106"/>
      <c r="S548" s="31">
        <f t="shared" si="17"/>
        <v>0</v>
      </c>
      <c r="T548" s="39" t="s">
        <v>13</v>
      </c>
    </row>
    <row r="549" spans="1:20" x14ac:dyDescent="0.25">
      <c r="A549" s="20">
        <v>42130</v>
      </c>
      <c r="B549" s="183">
        <v>20123</v>
      </c>
      <c r="C549" s="14" t="s">
        <v>99</v>
      </c>
      <c r="D549" s="105">
        <v>2720</v>
      </c>
      <c r="E549" s="23">
        <v>42130</v>
      </c>
      <c r="F549" s="106">
        <v>2720</v>
      </c>
      <c r="G549" s="31">
        <f t="shared" si="16"/>
        <v>0</v>
      </c>
      <c r="H549" s="39" t="s">
        <v>94</v>
      </c>
      <c r="I549" s="3"/>
      <c r="J549" s="42"/>
      <c r="K549" s="3"/>
      <c r="M549" s="20">
        <v>42147</v>
      </c>
      <c r="N549" s="183">
        <v>21999</v>
      </c>
      <c r="O549" s="26" t="s">
        <v>218</v>
      </c>
      <c r="P549" s="108">
        <v>0</v>
      </c>
      <c r="Q549" s="65"/>
      <c r="R549" s="106"/>
      <c r="S549" s="31">
        <f t="shared" si="17"/>
        <v>0</v>
      </c>
      <c r="T549" s="39" t="s">
        <v>13</v>
      </c>
    </row>
    <row r="550" spans="1:20" x14ac:dyDescent="0.25">
      <c r="A550" s="20">
        <v>42130</v>
      </c>
      <c r="B550" s="183">
        <v>20124</v>
      </c>
      <c r="C550" s="14" t="s">
        <v>135</v>
      </c>
      <c r="D550" s="105">
        <v>6308.5</v>
      </c>
      <c r="E550" s="23">
        <v>42130</v>
      </c>
      <c r="F550" s="106">
        <v>6308.5</v>
      </c>
      <c r="G550" s="31">
        <f t="shared" si="16"/>
        <v>0</v>
      </c>
      <c r="H550" s="39" t="s">
        <v>9</v>
      </c>
      <c r="I550" s="3"/>
      <c r="J550" s="42"/>
      <c r="K550" s="3"/>
      <c r="M550" s="20">
        <v>42147</v>
      </c>
      <c r="N550" s="183">
        <v>22021</v>
      </c>
      <c r="O550" s="26" t="s">
        <v>218</v>
      </c>
      <c r="P550" s="108">
        <v>0</v>
      </c>
      <c r="Q550" s="65"/>
      <c r="R550" s="106"/>
      <c r="S550" s="31">
        <f t="shared" si="17"/>
        <v>0</v>
      </c>
      <c r="T550" s="39" t="s">
        <v>13</v>
      </c>
    </row>
    <row r="551" spans="1:20" x14ac:dyDescent="0.25">
      <c r="A551" s="20">
        <v>42130</v>
      </c>
      <c r="B551" s="183">
        <v>20125</v>
      </c>
      <c r="C551" s="14" t="s">
        <v>213</v>
      </c>
      <c r="D551" s="105">
        <v>7943</v>
      </c>
      <c r="E551" s="23">
        <v>42130</v>
      </c>
      <c r="F551" s="106">
        <v>7943</v>
      </c>
      <c r="G551" s="31">
        <f t="shared" si="16"/>
        <v>0</v>
      </c>
      <c r="H551" s="39" t="s">
        <v>9</v>
      </c>
      <c r="I551" s="3"/>
      <c r="J551" s="42"/>
      <c r="K551" s="3"/>
      <c r="M551" s="20">
        <v>42147</v>
      </c>
      <c r="N551" s="183">
        <v>22032</v>
      </c>
      <c r="O551" s="26" t="s">
        <v>218</v>
      </c>
      <c r="P551" s="108">
        <v>0</v>
      </c>
      <c r="Q551" s="65"/>
      <c r="R551" s="106"/>
      <c r="S551" s="31">
        <f t="shared" si="17"/>
        <v>0</v>
      </c>
      <c r="T551" s="39" t="s">
        <v>13</v>
      </c>
    </row>
    <row r="552" spans="1:20" x14ac:dyDescent="0.25">
      <c r="A552" s="20">
        <v>42130</v>
      </c>
      <c r="B552" s="183">
        <v>20126</v>
      </c>
      <c r="C552" s="14" t="s">
        <v>23</v>
      </c>
      <c r="D552" s="105">
        <v>4871.84</v>
      </c>
      <c r="E552" s="23">
        <v>42130</v>
      </c>
      <c r="F552" s="106">
        <v>4871.84</v>
      </c>
      <c r="G552" s="31">
        <f t="shared" si="16"/>
        <v>0</v>
      </c>
      <c r="H552" s="39" t="s">
        <v>9</v>
      </c>
      <c r="I552" s="3"/>
      <c r="J552" s="42"/>
      <c r="K552" s="3"/>
      <c r="M552" s="20">
        <v>42147</v>
      </c>
      <c r="N552" s="183">
        <v>22057</v>
      </c>
      <c r="O552" s="26" t="s">
        <v>218</v>
      </c>
      <c r="P552" s="108">
        <v>0</v>
      </c>
      <c r="Q552" s="65"/>
      <c r="R552" s="106"/>
      <c r="S552" s="31">
        <f t="shared" si="17"/>
        <v>0</v>
      </c>
      <c r="T552" s="39" t="s">
        <v>13</v>
      </c>
    </row>
    <row r="553" spans="1:20" x14ac:dyDescent="0.25">
      <c r="A553" s="20">
        <v>42130</v>
      </c>
      <c r="B553" s="183">
        <v>20127</v>
      </c>
      <c r="C553" s="26" t="s">
        <v>218</v>
      </c>
      <c r="D553" s="108">
        <v>0</v>
      </c>
      <c r="E553" s="23"/>
      <c r="F553" s="106"/>
      <c r="G553" s="31">
        <f t="shared" si="16"/>
        <v>0</v>
      </c>
      <c r="H553" s="39" t="s">
        <v>13</v>
      </c>
      <c r="I553" s="3"/>
      <c r="J553" s="42"/>
      <c r="K553" s="3"/>
      <c r="M553" s="20">
        <v>42147</v>
      </c>
      <c r="N553" s="183">
        <v>22058</v>
      </c>
      <c r="O553" s="26" t="s">
        <v>218</v>
      </c>
      <c r="P553" s="108">
        <v>0</v>
      </c>
      <c r="Q553" s="65"/>
      <c r="R553" s="106"/>
      <c r="S553" s="31">
        <f t="shared" si="17"/>
        <v>0</v>
      </c>
      <c r="T553" s="39" t="s">
        <v>13</v>
      </c>
    </row>
    <row r="554" spans="1:20" x14ac:dyDescent="0.25">
      <c r="A554" s="20">
        <v>42130</v>
      </c>
      <c r="B554" s="183">
        <v>20128</v>
      </c>
      <c r="C554" s="14" t="s">
        <v>159</v>
      </c>
      <c r="D554" s="105">
        <v>6473.6</v>
      </c>
      <c r="E554" s="23">
        <v>42130</v>
      </c>
      <c r="F554" s="106">
        <v>6473.6</v>
      </c>
      <c r="G554" s="31">
        <f t="shared" si="16"/>
        <v>0</v>
      </c>
      <c r="H554" s="39" t="s">
        <v>9</v>
      </c>
      <c r="I554" s="3"/>
      <c r="J554" s="42"/>
      <c r="K554" s="3"/>
      <c r="M554" s="20">
        <v>42149</v>
      </c>
      <c r="N554" s="183">
        <v>22136</v>
      </c>
      <c r="O554" s="26" t="s">
        <v>218</v>
      </c>
      <c r="P554" s="108">
        <v>0</v>
      </c>
      <c r="Q554" s="65"/>
      <c r="R554" s="106"/>
      <c r="S554" s="31">
        <f t="shared" si="17"/>
        <v>0</v>
      </c>
      <c r="T554" s="39" t="s">
        <v>13</v>
      </c>
    </row>
    <row r="555" spans="1:20" x14ac:dyDescent="0.25">
      <c r="A555" s="20">
        <v>42130</v>
      </c>
      <c r="B555" s="183">
        <v>20129</v>
      </c>
      <c r="C555" s="14" t="s">
        <v>383</v>
      </c>
      <c r="D555" s="105">
        <v>2758.25</v>
      </c>
      <c r="E555" s="23">
        <v>42130</v>
      </c>
      <c r="F555" s="106">
        <v>2758.25</v>
      </c>
      <c r="G555" s="31">
        <f t="shared" si="16"/>
        <v>0</v>
      </c>
      <c r="H555" s="39" t="s">
        <v>41</v>
      </c>
      <c r="I555" s="3"/>
      <c r="J555" s="42"/>
      <c r="K555" s="3"/>
      <c r="M555" s="20">
        <v>42149</v>
      </c>
      <c r="N555" s="183">
        <v>22154</v>
      </c>
      <c r="O555" s="26" t="s">
        <v>218</v>
      </c>
      <c r="P555" s="108">
        <v>0</v>
      </c>
      <c r="Q555" s="65"/>
      <c r="R555" s="106"/>
      <c r="S555" s="31">
        <f t="shared" si="17"/>
        <v>0</v>
      </c>
      <c r="T555" s="39" t="s">
        <v>13</v>
      </c>
    </row>
    <row r="556" spans="1:20" x14ac:dyDescent="0.25">
      <c r="A556" s="20">
        <v>42130</v>
      </c>
      <c r="B556" s="183">
        <v>20130</v>
      </c>
      <c r="C556" s="14" t="s">
        <v>112</v>
      </c>
      <c r="D556" s="105">
        <v>3015.6</v>
      </c>
      <c r="E556" s="23">
        <v>42130</v>
      </c>
      <c r="F556" s="106">
        <v>3015.6</v>
      </c>
      <c r="G556" s="31">
        <f t="shared" si="16"/>
        <v>0</v>
      </c>
      <c r="H556" s="39" t="s">
        <v>41</v>
      </c>
      <c r="I556" s="3"/>
      <c r="J556" s="42"/>
      <c r="K556" s="3"/>
      <c r="M556" s="20">
        <v>42149</v>
      </c>
      <c r="N556" s="183">
        <v>22185</v>
      </c>
      <c r="O556" s="26" t="s">
        <v>218</v>
      </c>
      <c r="P556" s="108">
        <v>0</v>
      </c>
      <c r="Q556" s="65"/>
      <c r="R556" s="106"/>
      <c r="S556" s="31">
        <f t="shared" si="17"/>
        <v>0</v>
      </c>
      <c r="T556" s="39" t="s">
        <v>13</v>
      </c>
    </row>
    <row r="557" spans="1:20" x14ac:dyDescent="0.25">
      <c r="A557" s="20">
        <v>42130</v>
      </c>
      <c r="B557" s="183">
        <v>20131</v>
      </c>
      <c r="C557" s="14" t="s">
        <v>66</v>
      </c>
      <c r="D557" s="105">
        <v>1366.9</v>
      </c>
      <c r="E557" s="23">
        <v>42130</v>
      </c>
      <c r="F557" s="106">
        <v>1366.9</v>
      </c>
      <c r="G557" s="31">
        <f t="shared" si="16"/>
        <v>0</v>
      </c>
      <c r="H557" s="39" t="s">
        <v>9</v>
      </c>
      <c r="I557" s="3"/>
      <c r="J557" s="42"/>
      <c r="K557" s="3"/>
      <c r="M557" s="20">
        <v>42150</v>
      </c>
      <c r="N557" s="183">
        <v>22256</v>
      </c>
      <c r="O557" s="26" t="s">
        <v>218</v>
      </c>
      <c r="P557" s="108">
        <v>0</v>
      </c>
      <c r="Q557" s="65"/>
      <c r="R557" s="106"/>
      <c r="S557" s="31">
        <f t="shared" si="17"/>
        <v>0</v>
      </c>
      <c r="T557" s="39" t="s">
        <v>13</v>
      </c>
    </row>
    <row r="558" spans="1:20" x14ac:dyDescent="0.25">
      <c r="A558" s="20">
        <v>42130</v>
      </c>
      <c r="B558" s="183">
        <v>20132</v>
      </c>
      <c r="C558" s="14" t="s">
        <v>215</v>
      </c>
      <c r="D558" s="105">
        <v>58340</v>
      </c>
      <c r="E558" s="23">
        <v>42130</v>
      </c>
      <c r="F558" s="106">
        <v>58340</v>
      </c>
      <c r="G558" s="31">
        <f t="shared" si="16"/>
        <v>0</v>
      </c>
      <c r="H558" s="39" t="s">
        <v>773</v>
      </c>
      <c r="I558" s="3"/>
      <c r="J558" s="42"/>
      <c r="K558" s="3"/>
      <c r="M558" s="20">
        <v>42151</v>
      </c>
      <c r="N558" s="183">
        <v>22343</v>
      </c>
      <c r="O558" s="26" t="s">
        <v>218</v>
      </c>
      <c r="P558" s="108">
        <v>0</v>
      </c>
      <c r="Q558" s="65"/>
      <c r="R558" s="106"/>
      <c r="S558" s="31">
        <f t="shared" si="17"/>
        <v>0</v>
      </c>
      <c r="T558" s="39" t="s">
        <v>9</v>
      </c>
    </row>
    <row r="559" spans="1:20" x14ac:dyDescent="0.25">
      <c r="A559" s="20">
        <v>42130</v>
      </c>
      <c r="B559" s="183">
        <v>20133</v>
      </c>
      <c r="C559" s="14" t="s">
        <v>151</v>
      </c>
      <c r="D559" s="105">
        <v>2737</v>
      </c>
      <c r="E559" s="23">
        <v>42131</v>
      </c>
      <c r="F559" s="106">
        <v>2737</v>
      </c>
      <c r="G559" s="31">
        <f t="shared" si="16"/>
        <v>0</v>
      </c>
      <c r="H559" s="39" t="s">
        <v>9</v>
      </c>
      <c r="I559" s="3"/>
      <c r="J559" s="42"/>
      <c r="K559" s="3"/>
      <c r="M559" s="20">
        <v>42151</v>
      </c>
      <c r="N559" s="183">
        <v>22402</v>
      </c>
      <c r="O559" s="26" t="s">
        <v>218</v>
      </c>
      <c r="P559" s="108">
        <v>0</v>
      </c>
      <c r="Q559" s="23"/>
      <c r="R559" s="106"/>
      <c r="S559" s="31">
        <f t="shared" si="17"/>
        <v>0</v>
      </c>
      <c r="T559" s="39" t="s">
        <v>13</v>
      </c>
    </row>
    <row r="560" spans="1:20" x14ac:dyDescent="0.25">
      <c r="A560" s="20">
        <v>42130</v>
      </c>
      <c r="B560" s="183">
        <v>20134</v>
      </c>
      <c r="C560" s="14" t="s">
        <v>881</v>
      </c>
      <c r="D560" s="105">
        <v>277.39999999999998</v>
      </c>
      <c r="E560" s="23">
        <v>42130</v>
      </c>
      <c r="F560" s="106">
        <v>277.39999999999998</v>
      </c>
      <c r="G560" s="31">
        <f t="shared" si="16"/>
        <v>0</v>
      </c>
      <c r="H560" s="39" t="s">
        <v>9</v>
      </c>
      <c r="I560" s="3"/>
      <c r="J560" s="42"/>
      <c r="K560" s="3"/>
      <c r="M560" s="20">
        <v>42153</v>
      </c>
      <c r="N560" s="183">
        <v>22620</v>
      </c>
      <c r="O560" s="26" t="s">
        <v>218</v>
      </c>
      <c r="P560" s="108">
        <v>0</v>
      </c>
      <c r="Q560" s="23"/>
      <c r="R560" s="106"/>
      <c r="S560" s="31">
        <f t="shared" si="17"/>
        <v>0</v>
      </c>
      <c r="T560" s="39" t="s">
        <v>13</v>
      </c>
    </row>
    <row r="561" spans="1:20" x14ac:dyDescent="0.25">
      <c r="A561" s="20">
        <v>42130</v>
      </c>
      <c r="B561" s="183">
        <v>20135</v>
      </c>
      <c r="C561" s="14" t="s">
        <v>102</v>
      </c>
      <c r="D561" s="105">
        <v>1328.2</v>
      </c>
      <c r="E561" s="23">
        <v>42130</v>
      </c>
      <c r="F561" s="106">
        <v>1328.2</v>
      </c>
      <c r="G561" s="31">
        <f t="shared" si="16"/>
        <v>0</v>
      </c>
      <c r="H561" s="39" t="s">
        <v>9</v>
      </c>
      <c r="I561" s="3"/>
      <c r="J561" s="42"/>
      <c r="K561" s="3"/>
      <c r="M561" s="20">
        <v>42154</v>
      </c>
      <c r="N561" s="183">
        <v>22704</v>
      </c>
      <c r="O561" s="26" t="s">
        <v>218</v>
      </c>
      <c r="P561" s="108">
        <v>0</v>
      </c>
      <c r="Q561" s="23"/>
      <c r="R561" s="106"/>
      <c r="S561" s="31">
        <f t="shared" si="17"/>
        <v>0</v>
      </c>
      <c r="T561" s="39" t="s">
        <v>13</v>
      </c>
    </row>
    <row r="562" spans="1:20" x14ac:dyDescent="0.25">
      <c r="A562" s="20">
        <v>42130</v>
      </c>
      <c r="B562" s="183">
        <v>20136</v>
      </c>
      <c r="C562" s="14" t="s">
        <v>78</v>
      </c>
      <c r="D562" s="105">
        <v>6427</v>
      </c>
      <c r="E562" s="23">
        <v>42132</v>
      </c>
      <c r="F562" s="106">
        <v>6427</v>
      </c>
      <c r="G562" s="31">
        <f t="shared" si="16"/>
        <v>0</v>
      </c>
      <c r="H562" s="39" t="s">
        <v>62</v>
      </c>
      <c r="K562" s="3"/>
      <c r="M562" s="20">
        <v>42154</v>
      </c>
      <c r="N562" s="183">
        <v>22722</v>
      </c>
      <c r="O562" s="26" t="s">
        <v>218</v>
      </c>
      <c r="P562" s="108">
        <v>0</v>
      </c>
      <c r="Q562" s="23"/>
      <c r="R562" s="106"/>
      <c r="S562" s="31">
        <f t="shared" si="17"/>
        <v>0</v>
      </c>
      <c r="T562" s="39" t="s">
        <v>13</v>
      </c>
    </row>
    <row r="563" spans="1:20" x14ac:dyDescent="0.25">
      <c r="A563" s="20">
        <v>42130</v>
      </c>
      <c r="B563" s="183">
        <v>20137</v>
      </c>
      <c r="C563" s="14" t="s">
        <v>67</v>
      </c>
      <c r="D563" s="105">
        <v>2700.4</v>
      </c>
      <c r="E563" s="23">
        <v>42132</v>
      </c>
      <c r="F563" s="106">
        <v>2700.4</v>
      </c>
      <c r="G563" s="31">
        <f t="shared" si="16"/>
        <v>0</v>
      </c>
      <c r="H563" s="39" t="s">
        <v>62</v>
      </c>
      <c r="K563" s="3"/>
      <c r="M563" s="20">
        <v>42154</v>
      </c>
      <c r="N563" s="183">
        <v>22726</v>
      </c>
      <c r="O563" s="26" t="s">
        <v>218</v>
      </c>
      <c r="P563" s="108">
        <v>0</v>
      </c>
      <c r="Q563" s="23"/>
      <c r="R563" s="106"/>
      <c r="S563" s="31">
        <f t="shared" si="17"/>
        <v>0</v>
      </c>
      <c r="T563" s="39" t="s">
        <v>13</v>
      </c>
    </row>
    <row r="564" spans="1:20" x14ac:dyDescent="0.25">
      <c r="A564" s="20">
        <v>42130</v>
      </c>
      <c r="B564" s="183">
        <v>20138</v>
      </c>
      <c r="C564" s="14" t="s">
        <v>170</v>
      </c>
      <c r="D564" s="105">
        <v>3647</v>
      </c>
      <c r="E564" s="23">
        <v>42132</v>
      </c>
      <c r="F564" s="106">
        <v>3647</v>
      </c>
      <c r="G564" s="31">
        <f t="shared" si="16"/>
        <v>0</v>
      </c>
      <c r="H564" s="39" t="s">
        <v>62</v>
      </c>
      <c r="K564" s="3"/>
      <c r="M564" s="20">
        <v>42154</v>
      </c>
      <c r="N564" s="183">
        <v>22766</v>
      </c>
      <c r="O564" s="26" t="s">
        <v>218</v>
      </c>
      <c r="P564" s="108">
        <v>0</v>
      </c>
      <c r="Q564" s="23"/>
      <c r="R564" s="106"/>
      <c r="S564" s="31">
        <f t="shared" si="17"/>
        <v>0</v>
      </c>
      <c r="T564" s="39" t="s">
        <v>13</v>
      </c>
    </row>
    <row r="565" spans="1:20" x14ac:dyDescent="0.25">
      <c r="A565" s="20">
        <v>42130</v>
      </c>
      <c r="B565" s="183">
        <v>20139</v>
      </c>
      <c r="C565" s="14" t="s">
        <v>173</v>
      </c>
      <c r="D565" s="105">
        <v>25837.65</v>
      </c>
      <c r="E565" s="30" t="s">
        <v>1320</v>
      </c>
      <c r="F565" s="106">
        <v>25837.65</v>
      </c>
      <c r="G565" s="31">
        <f t="shared" si="16"/>
        <v>0</v>
      </c>
      <c r="H565" s="39" t="s">
        <v>62</v>
      </c>
      <c r="K565" s="3"/>
      <c r="M565" s="20">
        <v>42155</v>
      </c>
      <c r="N565" s="183">
        <v>22845</v>
      </c>
      <c r="O565" s="26" t="s">
        <v>218</v>
      </c>
      <c r="P565" s="108">
        <v>0</v>
      </c>
      <c r="Q565" s="23"/>
      <c r="R565" s="106"/>
      <c r="S565" s="31">
        <f t="shared" si="17"/>
        <v>0</v>
      </c>
      <c r="T565" s="39" t="s">
        <v>13</v>
      </c>
    </row>
    <row r="566" spans="1:20" x14ac:dyDescent="0.25">
      <c r="A566" s="20">
        <v>42130</v>
      </c>
      <c r="B566" s="183">
        <v>20140</v>
      </c>
      <c r="C566" s="14" t="s">
        <v>225</v>
      </c>
      <c r="D566" s="105">
        <v>2713.2</v>
      </c>
      <c r="E566" s="23">
        <v>42130</v>
      </c>
      <c r="F566" s="106">
        <v>2713.2</v>
      </c>
      <c r="G566" s="31">
        <f t="shared" si="16"/>
        <v>0</v>
      </c>
      <c r="H566" s="39" t="s">
        <v>9</v>
      </c>
      <c r="K566" s="3"/>
      <c r="M566" s="20">
        <v>42146</v>
      </c>
      <c r="N566" s="183">
        <v>21927</v>
      </c>
      <c r="O566" s="127" t="s">
        <v>1321</v>
      </c>
      <c r="P566" s="105">
        <v>0</v>
      </c>
      <c r="Q566" s="23"/>
      <c r="R566" s="106"/>
      <c r="S566" s="31">
        <f t="shared" si="17"/>
        <v>0</v>
      </c>
      <c r="T566" s="39" t="s">
        <v>13</v>
      </c>
    </row>
    <row r="567" spans="1:20" x14ac:dyDescent="0.25">
      <c r="A567" s="20">
        <v>42130</v>
      </c>
      <c r="B567" s="183">
        <v>20141</v>
      </c>
      <c r="C567" s="14" t="s">
        <v>164</v>
      </c>
      <c r="D567" s="105">
        <v>2158.6</v>
      </c>
      <c r="E567" s="23">
        <v>42130</v>
      </c>
      <c r="F567" s="106">
        <v>2158.6</v>
      </c>
      <c r="G567" s="31">
        <f t="shared" si="16"/>
        <v>0</v>
      </c>
      <c r="H567" s="39" t="s">
        <v>9</v>
      </c>
      <c r="K567" s="3"/>
      <c r="M567" s="20">
        <v>42137</v>
      </c>
      <c r="N567" s="183">
        <v>20933</v>
      </c>
      <c r="O567" s="14" t="s">
        <v>64</v>
      </c>
      <c r="P567" s="105">
        <v>1054.5999999999999</v>
      </c>
      <c r="Q567" s="23">
        <v>42137</v>
      </c>
      <c r="R567" s="106">
        <v>1054.5999999999999</v>
      </c>
      <c r="S567" s="31">
        <f t="shared" si="17"/>
        <v>0</v>
      </c>
      <c r="T567" s="19" t="s">
        <v>9</v>
      </c>
    </row>
    <row r="568" spans="1:20" x14ac:dyDescent="0.25">
      <c r="A568" s="20">
        <v>42130</v>
      </c>
      <c r="B568" s="183">
        <v>20142</v>
      </c>
      <c r="C568" s="14" t="s">
        <v>1058</v>
      </c>
      <c r="D568" s="105">
        <v>3680</v>
      </c>
      <c r="E568" s="23">
        <v>42130</v>
      </c>
      <c r="F568" s="106">
        <v>3680</v>
      </c>
      <c r="G568" s="31">
        <f t="shared" si="16"/>
        <v>0</v>
      </c>
      <c r="H568" s="39" t="s">
        <v>9</v>
      </c>
      <c r="K568" s="3"/>
      <c r="M568" s="20">
        <v>42137</v>
      </c>
      <c r="N568" s="183">
        <v>20934</v>
      </c>
      <c r="O568" s="14" t="s">
        <v>64</v>
      </c>
      <c r="P568" s="105">
        <v>80</v>
      </c>
      <c r="Q568" s="23">
        <v>42137</v>
      </c>
      <c r="R568" s="106">
        <v>80</v>
      </c>
      <c r="S568" s="31">
        <f t="shared" si="17"/>
        <v>0</v>
      </c>
      <c r="T568" s="19" t="s">
        <v>9</v>
      </c>
    </row>
    <row r="569" spans="1:20" x14ac:dyDescent="0.25">
      <c r="A569" s="20">
        <v>42130</v>
      </c>
      <c r="B569" s="183">
        <v>20143</v>
      </c>
      <c r="C569" s="14" t="s">
        <v>1058</v>
      </c>
      <c r="D569" s="105">
        <v>934.8</v>
      </c>
      <c r="E569" s="23">
        <v>42130</v>
      </c>
      <c r="F569" s="106">
        <v>934.8</v>
      </c>
      <c r="G569" s="31">
        <f t="shared" si="16"/>
        <v>0</v>
      </c>
      <c r="H569" s="39" t="s">
        <v>9</v>
      </c>
      <c r="K569" s="3"/>
      <c r="M569" s="20">
        <v>42134</v>
      </c>
      <c r="N569" s="183">
        <v>20610</v>
      </c>
      <c r="O569" s="14" t="s">
        <v>482</v>
      </c>
      <c r="P569" s="105">
        <v>1404.2</v>
      </c>
      <c r="Q569" s="23">
        <v>42134</v>
      </c>
      <c r="R569" s="118">
        <v>1404.2</v>
      </c>
      <c r="S569" s="31">
        <f t="shared" si="17"/>
        <v>0</v>
      </c>
      <c r="T569" s="56" t="s">
        <v>9</v>
      </c>
    </row>
    <row r="570" spans="1:20" x14ac:dyDescent="0.25">
      <c r="A570" s="20">
        <v>42130</v>
      </c>
      <c r="B570" s="183">
        <v>20144</v>
      </c>
      <c r="C570" s="14" t="s">
        <v>75</v>
      </c>
      <c r="D570" s="105">
        <v>20721.2</v>
      </c>
      <c r="E570" s="23">
        <v>42132</v>
      </c>
      <c r="F570" s="106">
        <v>20721.2</v>
      </c>
      <c r="G570" s="31">
        <f t="shared" si="16"/>
        <v>0</v>
      </c>
      <c r="H570" s="39" t="s">
        <v>62</v>
      </c>
      <c r="K570" s="3"/>
      <c r="M570" s="20">
        <v>42140</v>
      </c>
      <c r="N570" s="183">
        <v>21288</v>
      </c>
      <c r="O570" s="14" t="s">
        <v>482</v>
      </c>
      <c r="P570" s="105">
        <v>1734</v>
      </c>
      <c r="Q570" s="23">
        <v>42140</v>
      </c>
      <c r="R570" s="124">
        <v>1650</v>
      </c>
      <c r="S570" s="55">
        <f t="shared" si="17"/>
        <v>84</v>
      </c>
      <c r="T570" s="62" t="s">
        <v>9</v>
      </c>
    </row>
    <row r="571" spans="1:20" x14ac:dyDescent="0.25">
      <c r="A571" s="20">
        <v>42130</v>
      </c>
      <c r="B571" s="183">
        <v>20145</v>
      </c>
      <c r="C571" s="14" t="s">
        <v>422</v>
      </c>
      <c r="D571" s="105">
        <v>316</v>
      </c>
      <c r="E571" s="23">
        <v>42130</v>
      </c>
      <c r="F571" s="106">
        <v>316</v>
      </c>
      <c r="G571" s="31">
        <f t="shared" si="16"/>
        <v>0</v>
      </c>
      <c r="H571" s="39" t="s">
        <v>9</v>
      </c>
      <c r="K571" s="3"/>
      <c r="M571" s="20">
        <v>42126</v>
      </c>
      <c r="N571" s="183">
        <v>19787</v>
      </c>
      <c r="O571" s="40" t="s">
        <v>228</v>
      </c>
      <c r="P571" s="105">
        <v>2664.9</v>
      </c>
      <c r="Q571" s="23">
        <v>42126</v>
      </c>
      <c r="R571" s="106">
        <v>2664.9</v>
      </c>
      <c r="S571" s="31">
        <f t="shared" si="17"/>
        <v>0</v>
      </c>
      <c r="T571" s="41" t="s">
        <v>9</v>
      </c>
    </row>
    <row r="572" spans="1:20" x14ac:dyDescent="0.25">
      <c r="A572" s="20">
        <v>42130</v>
      </c>
      <c r="B572" s="183">
        <v>20146</v>
      </c>
      <c r="C572" s="14" t="s">
        <v>61</v>
      </c>
      <c r="D572" s="105">
        <v>3713.6</v>
      </c>
      <c r="E572" s="23">
        <v>42132</v>
      </c>
      <c r="F572" s="106">
        <v>3713.6</v>
      </c>
      <c r="G572" s="31">
        <f t="shared" si="16"/>
        <v>0</v>
      </c>
      <c r="H572" s="39" t="s">
        <v>62</v>
      </c>
      <c r="K572" s="3"/>
      <c r="M572" s="20">
        <v>42140</v>
      </c>
      <c r="N572" s="183">
        <v>21272</v>
      </c>
      <c r="O572" s="14" t="s">
        <v>228</v>
      </c>
      <c r="P572" s="105">
        <v>2218.5</v>
      </c>
      <c r="Q572" s="23">
        <v>42140</v>
      </c>
      <c r="R572" s="118">
        <v>2218.5</v>
      </c>
      <c r="S572" s="31">
        <f t="shared" si="17"/>
        <v>0</v>
      </c>
      <c r="T572" s="62" t="s">
        <v>9</v>
      </c>
    </row>
    <row r="573" spans="1:20" x14ac:dyDescent="0.25">
      <c r="A573" s="20">
        <v>42130</v>
      </c>
      <c r="B573" s="183">
        <v>20147</v>
      </c>
      <c r="C573" s="14" t="s">
        <v>375</v>
      </c>
      <c r="D573" s="105">
        <v>2775.9</v>
      </c>
      <c r="E573" s="23" t="s">
        <v>1322</v>
      </c>
      <c r="F573" s="106">
        <f>1000+1775.9</f>
        <v>2775.9</v>
      </c>
      <c r="G573" s="31">
        <f t="shared" si="16"/>
        <v>0</v>
      </c>
      <c r="H573" s="39" t="s">
        <v>9</v>
      </c>
      <c r="J573" s="107"/>
      <c r="K573" s="3"/>
      <c r="M573" s="20">
        <v>42128</v>
      </c>
      <c r="N573" s="183">
        <v>19990</v>
      </c>
      <c r="O573" s="14" t="s">
        <v>203</v>
      </c>
      <c r="P573" s="105">
        <v>1194</v>
      </c>
      <c r="Q573" s="23">
        <v>42130</v>
      </c>
      <c r="R573" s="106">
        <v>1194</v>
      </c>
      <c r="S573" s="31">
        <f t="shared" si="17"/>
        <v>0</v>
      </c>
      <c r="T573" s="19" t="s">
        <v>149</v>
      </c>
    </row>
    <row r="574" spans="1:20" x14ac:dyDescent="0.25">
      <c r="A574" s="20">
        <v>42130</v>
      </c>
      <c r="B574" s="183">
        <v>20148</v>
      </c>
      <c r="C574" s="14" t="s">
        <v>53</v>
      </c>
      <c r="D574" s="105">
        <v>652.79999999999995</v>
      </c>
      <c r="E574" s="23">
        <v>42131</v>
      </c>
      <c r="F574" s="106">
        <v>652.79999999999995</v>
      </c>
      <c r="G574" s="31">
        <f t="shared" si="16"/>
        <v>0</v>
      </c>
      <c r="H574" s="39" t="s">
        <v>1013</v>
      </c>
      <c r="K574" s="3"/>
      <c r="M574" s="20">
        <v>42131</v>
      </c>
      <c r="N574" s="183">
        <v>20304</v>
      </c>
      <c r="O574" s="14" t="s">
        <v>203</v>
      </c>
      <c r="P574" s="105">
        <v>2059.1999999999998</v>
      </c>
      <c r="Q574" s="23">
        <v>42133</v>
      </c>
      <c r="R574" s="106">
        <v>2059.1999999999998</v>
      </c>
      <c r="S574" s="31">
        <f t="shared" si="17"/>
        <v>0</v>
      </c>
      <c r="T574" s="19" t="s">
        <v>149</v>
      </c>
    </row>
    <row r="575" spans="1:20" x14ac:dyDescent="0.25">
      <c r="A575" s="20">
        <v>42130</v>
      </c>
      <c r="B575" s="183">
        <v>20149</v>
      </c>
      <c r="C575" s="14" t="s">
        <v>81</v>
      </c>
      <c r="D575" s="105">
        <v>1530.6</v>
      </c>
      <c r="E575" s="23">
        <v>42131</v>
      </c>
      <c r="F575" s="106">
        <v>1530.6</v>
      </c>
      <c r="G575" s="31">
        <f t="shared" si="16"/>
        <v>0</v>
      </c>
      <c r="H575" s="39" t="s">
        <v>1013</v>
      </c>
      <c r="K575" s="3"/>
      <c r="M575" s="20">
        <v>42135</v>
      </c>
      <c r="N575" s="183">
        <v>20770</v>
      </c>
      <c r="O575" s="14" t="s">
        <v>203</v>
      </c>
      <c r="P575" s="105">
        <v>1292</v>
      </c>
      <c r="Q575" s="23">
        <v>42137</v>
      </c>
      <c r="R575" s="106">
        <v>1292</v>
      </c>
      <c r="S575" s="31">
        <f t="shared" si="17"/>
        <v>0</v>
      </c>
      <c r="T575" s="19" t="s">
        <v>149</v>
      </c>
    </row>
    <row r="576" spans="1:20" x14ac:dyDescent="0.25">
      <c r="A576" s="20">
        <v>42130</v>
      </c>
      <c r="B576" s="183">
        <v>20150</v>
      </c>
      <c r="C576" s="14" t="s">
        <v>82</v>
      </c>
      <c r="D576" s="105">
        <v>2082.6</v>
      </c>
      <c r="E576" s="23">
        <v>42131</v>
      </c>
      <c r="F576" s="106">
        <v>2082.6</v>
      </c>
      <c r="G576" s="31">
        <f t="shared" si="16"/>
        <v>0</v>
      </c>
      <c r="H576" s="39" t="s">
        <v>1013</v>
      </c>
      <c r="K576" s="3"/>
      <c r="M576" s="20">
        <v>42138</v>
      </c>
      <c r="N576" s="183">
        <v>21059</v>
      </c>
      <c r="O576" s="14" t="s">
        <v>203</v>
      </c>
      <c r="P576" s="105">
        <v>1800</v>
      </c>
      <c r="Q576" s="51">
        <v>42140</v>
      </c>
      <c r="R576" s="106">
        <v>1800</v>
      </c>
      <c r="S576" s="48">
        <f t="shared" si="17"/>
        <v>0</v>
      </c>
      <c r="T576" s="39" t="s">
        <v>149</v>
      </c>
    </row>
    <row r="577" spans="1:20" x14ac:dyDescent="0.25">
      <c r="A577" s="20">
        <v>42130</v>
      </c>
      <c r="B577" s="183">
        <v>20151</v>
      </c>
      <c r="C577" s="14" t="s">
        <v>57</v>
      </c>
      <c r="D577" s="105">
        <v>720</v>
      </c>
      <c r="E577" s="23">
        <v>42131</v>
      </c>
      <c r="F577" s="106">
        <v>720</v>
      </c>
      <c r="G577" s="31">
        <f t="shared" si="16"/>
        <v>0</v>
      </c>
      <c r="H577" s="39" t="s">
        <v>1013</v>
      </c>
      <c r="K577" s="3"/>
      <c r="M577" s="20">
        <v>42142</v>
      </c>
      <c r="N577" s="183">
        <v>21494</v>
      </c>
      <c r="O577" s="14" t="s">
        <v>203</v>
      </c>
      <c r="P577" s="105">
        <v>3251</v>
      </c>
      <c r="Q577" s="65">
        <v>42145</v>
      </c>
      <c r="R577" s="106">
        <v>3251</v>
      </c>
      <c r="S577" s="31">
        <f t="shared" si="17"/>
        <v>0</v>
      </c>
      <c r="T577" s="19" t="s">
        <v>149</v>
      </c>
    </row>
    <row r="578" spans="1:20" x14ac:dyDescent="0.25">
      <c r="A578" s="20">
        <v>42130</v>
      </c>
      <c r="B578" s="183">
        <v>20152</v>
      </c>
      <c r="C578" s="110">
        <v>105</v>
      </c>
      <c r="D578" s="105">
        <v>1620</v>
      </c>
      <c r="E578" s="23">
        <v>42131</v>
      </c>
      <c r="F578" s="106">
        <v>1620</v>
      </c>
      <c r="G578" s="31">
        <f t="shared" si="16"/>
        <v>0</v>
      </c>
      <c r="H578" s="39" t="s">
        <v>9</v>
      </c>
      <c r="I578" s="3"/>
      <c r="J578" s="42"/>
      <c r="K578" s="3"/>
      <c r="M578" s="20">
        <v>42145</v>
      </c>
      <c r="N578" s="183">
        <v>21823</v>
      </c>
      <c r="O578" s="15" t="s">
        <v>203</v>
      </c>
      <c r="P578" s="122">
        <v>3805</v>
      </c>
      <c r="Q578" s="23">
        <v>42154</v>
      </c>
      <c r="R578" s="118">
        <v>3805</v>
      </c>
      <c r="S578" s="31">
        <f t="shared" si="17"/>
        <v>0</v>
      </c>
      <c r="T578" s="68" t="s">
        <v>149</v>
      </c>
    </row>
    <row r="579" spans="1:20" x14ac:dyDescent="0.25">
      <c r="A579" s="20">
        <v>42130</v>
      </c>
      <c r="B579" s="183">
        <v>20153</v>
      </c>
      <c r="C579" s="14" t="s">
        <v>26</v>
      </c>
      <c r="D579" s="105">
        <v>2176</v>
      </c>
      <c r="E579" s="23">
        <v>42130</v>
      </c>
      <c r="F579" s="106">
        <v>2176</v>
      </c>
      <c r="G579" s="31">
        <f t="shared" ref="G579:G642" si="18">D579-F579</f>
        <v>0</v>
      </c>
      <c r="H579" s="39" t="s">
        <v>27</v>
      </c>
      <c r="I579" s="3"/>
      <c r="J579" s="42"/>
      <c r="K579" s="3"/>
      <c r="M579" s="20">
        <v>42149</v>
      </c>
      <c r="N579" s="183">
        <v>22226</v>
      </c>
      <c r="O579" s="14" t="s">
        <v>203</v>
      </c>
      <c r="P579" s="105">
        <v>3867.6</v>
      </c>
      <c r="Q579" s="65">
        <v>42151</v>
      </c>
      <c r="R579" s="106">
        <v>3867.6</v>
      </c>
      <c r="S579" s="31">
        <f t="shared" ref="S579:S642" si="19">P579-R579</f>
        <v>0</v>
      </c>
      <c r="T579" s="39" t="s">
        <v>149</v>
      </c>
    </row>
    <row r="580" spans="1:20" x14ac:dyDescent="0.25">
      <c r="A580" s="20">
        <v>42130</v>
      </c>
      <c r="B580" s="183">
        <v>20154</v>
      </c>
      <c r="C580" s="14" t="s">
        <v>170</v>
      </c>
      <c r="D580" s="105">
        <v>1020.8</v>
      </c>
      <c r="E580" s="23">
        <v>42132</v>
      </c>
      <c r="F580" s="106">
        <v>1020.8</v>
      </c>
      <c r="G580" s="31">
        <f t="shared" si="18"/>
        <v>0</v>
      </c>
      <c r="H580" s="39" t="s">
        <v>62</v>
      </c>
      <c r="I580" s="3"/>
      <c r="J580" s="42"/>
      <c r="K580" s="3"/>
      <c r="M580" s="20">
        <v>42127</v>
      </c>
      <c r="N580" s="183">
        <v>19878</v>
      </c>
      <c r="O580" s="14" t="s">
        <v>159</v>
      </c>
      <c r="P580" s="105">
        <v>9166.4</v>
      </c>
      <c r="Q580" s="23">
        <v>42127</v>
      </c>
      <c r="R580" s="106">
        <v>9166.4</v>
      </c>
      <c r="S580" s="31">
        <f t="shared" si="19"/>
        <v>0</v>
      </c>
      <c r="T580" s="19" t="s">
        <v>9</v>
      </c>
    </row>
    <row r="581" spans="1:20" x14ac:dyDescent="0.25">
      <c r="A581" s="20">
        <v>42130</v>
      </c>
      <c r="B581" s="183">
        <v>20155</v>
      </c>
      <c r="C581" s="14" t="s">
        <v>91</v>
      </c>
      <c r="D581" s="105">
        <v>22630.99</v>
      </c>
      <c r="E581" s="23">
        <v>42131</v>
      </c>
      <c r="F581" s="106">
        <v>22630.99</v>
      </c>
      <c r="G581" s="31">
        <f t="shared" si="18"/>
        <v>0</v>
      </c>
      <c r="H581" s="39" t="s">
        <v>1013</v>
      </c>
      <c r="I581" s="3"/>
      <c r="J581" s="42"/>
      <c r="K581" s="3"/>
      <c r="M581" s="20">
        <v>42130</v>
      </c>
      <c r="N581" s="183">
        <v>20128</v>
      </c>
      <c r="O581" s="14" t="s">
        <v>159</v>
      </c>
      <c r="P581" s="105">
        <v>6473.6</v>
      </c>
      <c r="Q581" s="23">
        <v>42130</v>
      </c>
      <c r="R581" s="106">
        <v>6473.6</v>
      </c>
      <c r="S581" s="31">
        <f t="shared" si="19"/>
        <v>0</v>
      </c>
      <c r="T581" s="39" t="s">
        <v>9</v>
      </c>
    </row>
    <row r="582" spans="1:20" x14ac:dyDescent="0.25">
      <c r="A582" s="20">
        <v>42130</v>
      </c>
      <c r="B582" s="183">
        <v>20156</v>
      </c>
      <c r="C582" s="14" t="s">
        <v>131</v>
      </c>
      <c r="D582" s="105">
        <v>9296.4</v>
      </c>
      <c r="E582" s="23">
        <v>42130</v>
      </c>
      <c r="F582" s="106">
        <v>9296.4</v>
      </c>
      <c r="G582" s="31">
        <f t="shared" si="18"/>
        <v>0</v>
      </c>
      <c r="H582" s="39" t="s">
        <v>46</v>
      </c>
      <c r="I582" s="3"/>
      <c r="J582" s="42"/>
      <c r="K582" s="3"/>
      <c r="M582" s="20">
        <v>42132</v>
      </c>
      <c r="N582" s="183">
        <v>20459</v>
      </c>
      <c r="O582" s="14" t="s">
        <v>159</v>
      </c>
      <c r="P582" s="105">
        <v>8700.0499999999993</v>
      </c>
      <c r="Q582" s="23">
        <v>42133</v>
      </c>
      <c r="R582" s="106">
        <v>8700.0499999999993</v>
      </c>
      <c r="S582" s="31">
        <f t="shared" si="19"/>
        <v>0</v>
      </c>
      <c r="T582" s="19" t="s">
        <v>9</v>
      </c>
    </row>
    <row r="583" spans="1:20" x14ac:dyDescent="0.25">
      <c r="A583" s="20">
        <v>42130</v>
      </c>
      <c r="B583" s="183">
        <v>20157</v>
      </c>
      <c r="C583" s="14" t="s">
        <v>906</v>
      </c>
      <c r="D583" s="105">
        <v>1315.8</v>
      </c>
      <c r="E583" s="23">
        <v>42131</v>
      </c>
      <c r="F583" s="106">
        <v>1315.8</v>
      </c>
      <c r="G583" s="31">
        <f t="shared" si="18"/>
        <v>0</v>
      </c>
      <c r="H583" s="39" t="s">
        <v>312</v>
      </c>
      <c r="I583" s="3"/>
      <c r="J583" s="42"/>
      <c r="K583" s="3"/>
      <c r="M583" s="20">
        <v>42138</v>
      </c>
      <c r="N583" s="183">
        <v>21051</v>
      </c>
      <c r="O583" s="14" t="s">
        <v>159</v>
      </c>
      <c r="P583" s="105">
        <v>6800</v>
      </c>
      <c r="Q583" s="23">
        <v>42138</v>
      </c>
      <c r="R583" s="106">
        <v>6800</v>
      </c>
      <c r="S583" s="48">
        <f t="shared" si="19"/>
        <v>0</v>
      </c>
      <c r="T583" s="39" t="s">
        <v>9</v>
      </c>
    </row>
    <row r="584" spans="1:20" x14ac:dyDescent="0.25">
      <c r="A584" s="20">
        <v>42130</v>
      </c>
      <c r="B584" s="183">
        <v>20158</v>
      </c>
      <c r="C584" s="14" t="s">
        <v>47</v>
      </c>
      <c r="D584" s="105">
        <v>43209.16</v>
      </c>
      <c r="E584" s="23">
        <v>42130</v>
      </c>
      <c r="F584" s="106">
        <v>43209.16</v>
      </c>
      <c r="G584" s="31">
        <f t="shared" si="18"/>
        <v>0</v>
      </c>
      <c r="H584" s="39" t="s">
        <v>9</v>
      </c>
      <c r="I584" s="3"/>
      <c r="J584" s="42"/>
      <c r="K584" s="3"/>
      <c r="M584" s="20">
        <v>42138</v>
      </c>
      <c r="N584" s="183">
        <v>21053</v>
      </c>
      <c r="O584" s="14" t="s">
        <v>159</v>
      </c>
      <c r="P584" s="105">
        <v>149.6</v>
      </c>
      <c r="Q584" s="23">
        <v>42138</v>
      </c>
      <c r="R584" s="106">
        <v>149.6</v>
      </c>
      <c r="S584" s="48">
        <f t="shared" si="19"/>
        <v>0</v>
      </c>
      <c r="T584" s="39" t="s">
        <v>9</v>
      </c>
    </row>
    <row r="585" spans="1:20" x14ac:dyDescent="0.25">
      <c r="A585" s="20">
        <v>42130</v>
      </c>
      <c r="B585" s="183">
        <v>20159</v>
      </c>
      <c r="C585" s="14" t="s">
        <v>1323</v>
      </c>
      <c r="D585" s="105">
        <v>320</v>
      </c>
      <c r="E585" s="23">
        <v>42132</v>
      </c>
      <c r="F585" s="106">
        <v>320</v>
      </c>
      <c r="G585" s="31">
        <f t="shared" si="18"/>
        <v>0</v>
      </c>
      <c r="H585" s="39" t="s">
        <v>62</v>
      </c>
      <c r="I585" s="3"/>
      <c r="J585" s="42"/>
      <c r="K585" s="3"/>
      <c r="M585" s="20">
        <v>42141</v>
      </c>
      <c r="N585" s="183">
        <v>21369</v>
      </c>
      <c r="O585" s="14" t="s">
        <v>159</v>
      </c>
      <c r="P585" s="105">
        <v>7418</v>
      </c>
      <c r="Q585" s="23">
        <v>42141</v>
      </c>
      <c r="R585" s="118">
        <v>7418</v>
      </c>
      <c r="S585" s="31">
        <f t="shared" si="19"/>
        <v>0</v>
      </c>
      <c r="T585" s="56" t="s">
        <v>9</v>
      </c>
    </row>
    <row r="586" spans="1:20" x14ac:dyDescent="0.25">
      <c r="A586" s="20">
        <v>42130</v>
      </c>
      <c r="B586" s="183">
        <v>20160</v>
      </c>
      <c r="C586" s="14" t="s">
        <v>130</v>
      </c>
      <c r="D586" s="105">
        <v>3748.2</v>
      </c>
      <c r="E586" s="23">
        <v>42130</v>
      </c>
      <c r="F586" s="106">
        <v>3748.2</v>
      </c>
      <c r="G586" s="31">
        <f t="shared" si="18"/>
        <v>0</v>
      </c>
      <c r="H586" s="39" t="s">
        <v>46</v>
      </c>
      <c r="I586" s="3"/>
      <c r="J586" s="42"/>
      <c r="K586" s="3"/>
      <c r="M586" s="20">
        <v>42145</v>
      </c>
      <c r="N586" s="183">
        <v>21776</v>
      </c>
      <c r="O586" s="15" t="s">
        <v>159</v>
      </c>
      <c r="P586" s="122">
        <v>6874</v>
      </c>
      <c r="Q586" s="23">
        <v>42145</v>
      </c>
      <c r="R586" s="118">
        <v>6874</v>
      </c>
      <c r="S586" s="31">
        <f t="shared" si="19"/>
        <v>0</v>
      </c>
      <c r="T586" s="68" t="s">
        <v>9</v>
      </c>
    </row>
    <row r="587" spans="1:20" x14ac:dyDescent="0.25">
      <c r="A587" s="20">
        <v>42130</v>
      </c>
      <c r="B587" s="183">
        <v>20161</v>
      </c>
      <c r="C587" s="26" t="s">
        <v>218</v>
      </c>
      <c r="D587" s="108">
        <v>0</v>
      </c>
      <c r="E587" s="23"/>
      <c r="F587" s="106"/>
      <c r="G587" s="31">
        <f t="shared" si="18"/>
        <v>0</v>
      </c>
      <c r="H587" s="39" t="s">
        <v>13</v>
      </c>
      <c r="I587" s="3"/>
      <c r="J587" s="42"/>
      <c r="K587" s="3"/>
      <c r="M587" s="20">
        <v>42148</v>
      </c>
      <c r="N587" s="183">
        <v>22133</v>
      </c>
      <c r="O587" s="14" t="s">
        <v>159</v>
      </c>
      <c r="P587" s="105">
        <v>5738.4</v>
      </c>
      <c r="Q587" s="65">
        <v>42148</v>
      </c>
      <c r="R587" s="106">
        <v>5738.4</v>
      </c>
      <c r="S587" s="31">
        <f t="shared" si="19"/>
        <v>0</v>
      </c>
      <c r="T587" s="39" t="s">
        <v>9</v>
      </c>
    </row>
    <row r="588" spans="1:20" x14ac:dyDescent="0.25">
      <c r="A588" s="20">
        <v>42130</v>
      </c>
      <c r="B588" s="183">
        <v>20162</v>
      </c>
      <c r="C588" s="14" t="s">
        <v>165</v>
      </c>
      <c r="D588" s="105">
        <v>2704.8</v>
      </c>
      <c r="E588" s="23">
        <v>42130</v>
      </c>
      <c r="F588" s="106">
        <v>2704.8</v>
      </c>
      <c r="G588" s="31">
        <f t="shared" si="18"/>
        <v>0</v>
      </c>
      <c r="H588" s="39" t="s">
        <v>46</v>
      </c>
      <c r="I588" s="3"/>
      <c r="J588" s="42"/>
      <c r="K588" s="3"/>
      <c r="M588" s="20">
        <v>42155</v>
      </c>
      <c r="N588" s="183">
        <v>22834</v>
      </c>
      <c r="O588" s="14" t="s">
        <v>159</v>
      </c>
      <c r="P588" s="105">
        <v>9080</v>
      </c>
      <c r="Q588" s="23">
        <v>42155</v>
      </c>
      <c r="R588" s="106">
        <v>9080</v>
      </c>
      <c r="S588" s="31">
        <f t="shared" si="19"/>
        <v>0</v>
      </c>
      <c r="T588" s="39" t="s">
        <v>9</v>
      </c>
    </row>
    <row r="589" spans="1:20" x14ac:dyDescent="0.25">
      <c r="A589" s="20">
        <v>42130</v>
      </c>
      <c r="B589" s="183">
        <v>20163</v>
      </c>
      <c r="C589" s="14" t="s">
        <v>891</v>
      </c>
      <c r="D589" s="105">
        <v>2342.6999999999998</v>
      </c>
      <c r="E589" s="23">
        <v>42130</v>
      </c>
      <c r="F589" s="106">
        <v>2342.6999999999998</v>
      </c>
      <c r="G589" s="31">
        <f t="shared" si="18"/>
        <v>0</v>
      </c>
      <c r="H589" s="39" t="s">
        <v>9</v>
      </c>
      <c r="I589" s="3"/>
      <c r="J589" s="42"/>
      <c r="K589" s="3"/>
      <c r="M589" s="20">
        <v>42125</v>
      </c>
      <c r="N589" s="183">
        <v>19606</v>
      </c>
      <c r="O589" s="150" t="s">
        <v>1172</v>
      </c>
      <c r="P589" s="105">
        <v>12051.6</v>
      </c>
      <c r="Q589" s="23">
        <v>42125</v>
      </c>
      <c r="R589" s="106">
        <v>12051.6</v>
      </c>
      <c r="S589" s="25">
        <f t="shared" si="19"/>
        <v>0</v>
      </c>
      <c r="T589" s="19" t="s">
        <v>9</v>
      </c>
    </row>
    <row r="590" spans="1:20" x14ac:dyDescent="0.25">
      <c r="A590" s="20">
        <v>42130</v>
      </c>
      <c r="B590" s="183">
        <v>20164</v>
      </c>
      <c r="C590" s="14" t="s">
        <v>1324</v>
      </c>
      <c r="D590" s="105">
        <v>1790.88</v>
      </c>
      <c r="E590" s="30" t="s">
        <v>1325</v>
      </c>
      <c r="F590" s="106">
        <v>1790.88</v>
      </c>
      <c r="G590" s="31">
        <f t="shared" si="18"/>
        <v>0</v>
      </c>
      <c r="H590" s="39" t="s">
        <v>9</v>
      </c>
      <c r="I590" s="3"/>
      <c r="J590" s="42"/>
      <c r="K590" s="3"/>
      <c r="M590" s="20">
        <v>42129</v>
      </c>
      <c r="N590" s="183">
        <v>20044</v>
      </c>
      <c r="O590" s="14" t="s">
        <v>1172</v>
      </c>
      <c r="P590" s="105">
        <v>9200</v>
      </c>
      <c r="Q590" s="23">
        <v>42129</v>
      </c>
      <c r="R590" s="106">
        <v>9200</v>
      </c>
      <c r="S590" s="31">
        <f t="shared" si="19"/>
        <v>0</v>
      </c>
      <c r="T590" s="39" t="s">
        <v>9</v>
      </c>
    </row>
    <row r="591" spans="1:20" x14ac:dyDescent="0.25">
      <c r="A591" s="20">
        <v>42130</v>
      </c>
      <c r="B591" s="183">
        <v>20165</v>
      </c>
      <c r="C591" s="14" t="s">
        <v>45</v>
      </c>
      <c r="D591" s="105">
        <v>33215.519999999997</v>
      </c>
      <c r="E591" s="23">
        <v>42140</v>
      </c>
      <c r="F591" s="106">
        <v>33215.519999999997</v>
      </c>
      <c r="G591" s="31">
        <f t="shared" si="18"/>
        <v>0</v>
      </c>
      <c r="H591" s="39" t="s">
        <v>9</v>
      </c>
      <c r="I591" s="3"/>
      <c r="J591" s="42"/>
      <c r="K591" s="3"/>
      <c r="M591" s="20">
        <v>42131</v>
      </c>
      <c r="N591" s="183">
        <v>20218</v>
      </c>
      <c r="O591" s="14" t="s">
        <v>1172</v>
      </c>
      <c r="P591" s="105">
        <v>30274.02</v>
      </c>
      <c r="Q591" s="23">
        <v>42131</v>
      </c>
      <c r="R591" s="106">
        <v>30274.02</v>
      </c>
      <c r="S591" s="31">
        <f t="shared" si="19"/>
        <v>0</v>
      </c>
      <c r="T591" s="39" t="s">
        <v>9</v>
      </c>
    </row>
    <row r="592" spans="1:20" x14ac:dyDescent="0.25">
      <c r="A592" s="20">
        <v>42130</v>
      </c>
      <c r="B592" s="183">
        <v>20166</v>
      </c>
      <c r="C592" s="14" t="s">
        <v>821</v>
      </c>
      <c r="D592" s="105">
        <v>5856</v>
      </c>
      <c r="E592" s="23">
        <v>42130</v>
      </c>
      <c r="F592" s="106">
        <v>5856</v>
      </c>
      <c r="G592" s="31">
        <f t="shared" si="18"/>
        <v>0</v>
      </c>
      <c r="H592" s="39" t="s">
        <v>9</v>
      </c>
      <c r="I592" s="3"/>
      <c r="J592" s="42"/>
      <c r="K592" s="3"/>
      <c r="M592" s="20">
        <v>42132</v>
      </c>
      <c r="N592" s="183">
        <v>20450</v>
      </c>
      <c r="O592" s="14" t="s">
        <v>1172</v>
      </c>
      <c r="P592" s="105">
        <v>37379.300000000003</v>
      </c>
      <c r="Q592" s="23">
        <v>42133</v>
      </c>
      <c r="R592" s="106">
        <v>37379.300000000003</v>
      </c>
      <c r="S592" s="31">
        <f t="shared" si="19"/>
        <v>0</v>
      </c>
      <c r="T592" s="19" t="s">
        <v>587</v>
      </c>
    </row>
    <row r="593" spans="1:20" x14ac:dyDescent="0.25">
      <c r="A593" s="20">
        <v>42130</v>
      </c>
      <c r="B593" s="183">
        <v>20167</v>
      </c>
      <c r="C593" s="14" t="s">
        <v>87</v>
      </c>
      <c r="D593" s="105">
        <v>2101.1999999999998</v>
      </c>
      <c r="E593" s="23">
        <v>42131</v>
      </c>
      <c r="F593" s="106">
        <v>2101.1999999999998</v>
      </c>
      <c r="G593" s="31">
        <f t="shared" si="18"/>
        <v>0</v>
      </c>
      <c r="H593" s="39" t="s">
        <v>312</v>
      </c>
      <c r="I593" s="3"/>
      <c r="J593" s="42"/>
      <c r="K593" s="3"/>
      <c r="M593" s="20">
        <v>42133</v>
      </c>
      <c r="N593" s="183">
        <v>20482</v>
      </c>
      <c r="O593" s="14" t="s">
        <v>1172</v>
      </c>
      <c r="P593" s="105">
        <v>11791.2</v>
      </c>
      <c r="Q593" s="23">
        <v>42133</v>
      </c>
      <c r="R593" s="106">
        <v>11791.2</v>
      </c>
      <c r="S593" s="31">
        <f t="shared" si="19"/>
        <v>0</v>
      </c>
      <c r="T593" s="39" t="s">
        <v>9</v>
      </c>
    </row>
    <row r="594" spans="1:20" x14ac:dyDescent="0.25">
      <c r="A594" s="20">
        <v>42130</v>
      </c>
      <c r="B594" s="183">
        <v>20168</v>
      </c>
      <c r="C594" s="14" t="s">
        <v>128</v>
      </c>
      <c r="D594" s="105">
        <v>7709.6</v>
      </c>
      <c r="E594" s="23">
        <v>42130</v>
      </c>
      <c r="F594" s="106">
        <v>7709.6</v>
      </c>
      <c r="G594" s="31">
        <f t="shared" si="18"/>
        <v>0</v>
      </c>
      <c r="H594" s="39" t="s">
        <v>41</v>
      </c>
      <c r="K594" s="3"/>
      <c r="M594" s="20">
        <v>42135</v>
      </c>
      <c r="N594" s="183">
        <v>20748</v>
      </c>
      <c r="O594" s="14" t="s">
        <v>1172</v>
      </c>
      <c r="P594" s="105">
        <v>11449.4</v>
      </c>
      <c r="Q594" s="23">
        <v>42135</v>
      </c>
      <c r="R594" s="106">
        <v>11449.4</v>
      </c>
      <c r="S594" s="31">
        <f t="shared" si="19"/>
        <v>0</v>
      </c>
      <c r="T594" s="19" t="s">
        <v>9</v>
      </c>
    </row>
    <row r="595" spans="1:20" x14ac:dyDescent="0.25">
      <c r="A595" s="20">
        <v>42130</v>
      </c>
      <c r="B595" s="183">
        <v>20169</v>
      </c>
      <c r="C595" s="14" t="s">
        <v>1187</v>
      </c>
      <c r="D595" s="105">
        <v>1548</v>
      </c>
      <c r="E595" s="23">
        <v>42131</v>
      </c>
      <c r="F595" s="106">
        <v>1548</v>
      </c>
      <c r="G595" s="31">
        <f t="shared" si="18"/>
        <v>0</v>
      </c>
      <c r="H595" s="39" t="s">
        <v>46</v>
      </c>
      <c r="K595" s="3"/>
      <c r="M595" s="20">
        <v>42137</v>
      </c>
      <c r="N595" s="183">
        <v>20890</v>
      </c>
      <c r="O595" s="14" t="s">
        <v>1172</v>
      </c>
      <c r="P595" s="105">
        <v>8116.8</v>
      </c>
      <c r="Q595" s="23">
        <v>42137</v>
      </c>
      <c r="R595" s="106">
        <v>8116.8</v>
      </c>
      <c r="S595" s="31">
        <f t="shared" si="19"/>
        <v>0</v>
      </c>
      <c r="T595" s="19" t="s">
        <v>9</v>
      </c>
    </row>
    <row r="596" spans="1:20" x14ac:dyDescent="0.25">
      <c r="A596" s="20">
        <v>42130</v>
      </c>
      <c r="B596" s="183">
        <v>20170</v>
      </c>
      <c r="C596" s="14" t="s">
        <v>89</v>
      </c>
      <c r="D596" s="105">
        <v>3964</v>
      </c>
      <c r="E596" s="23">
        <v>42130</v>
      </c>
      <c r="F596" s="106">
        <v>3964</v>
      </c>
      <c r="G596" s="31">
        <f t="shared" si="18"/>
        <v>0</v>
      </c>
      <c r="H596" s="39" t="s">
        <v>9</v>
      </c>
      <c r="K596" s="3"/>
      <c r="M596" s="20">
        <v>42138</v>
      </c>
      <c r="N596" s="183">
        <v>20998</v>
      </c>
      <c r="O596" s="14" t="s">
        <v>1172</v>
      </c>
      <c r="P596" s="105">
        <v>5684.8</v>
      </c>
      <c r="Q596" s="23">
        <v>42138</v>
      </c>
      <c r="R596" s="106">
        <v>5684.8</v>
      </c>
      <c r="S596" s="48">
        <f t="shared" si="19"/>
        <v>0</v>
      </c>
      <c r="T596" s="19" t="s">
        <v>9</v>
      </c>
    </row>
    <row r="597" spans="1:20" x14ac:dyDescent="0.25">
      <c r="A597" s="20">
        <v>42130</v>
      </c>
      <c r="B597" s="183">
        <v>20171</v>
      </c>
      <c r="C597" s="14" t="s">
        <v>335</v>
      </c>
      <c r="D597" s="105">
        <v>576.6</v>
      </c>
      <c r="E597" s="23">
        <v>42130</v>
      </c>
      <c r="F597" s="106">
        <v>576.6</v>
      </c>
      <c r="G597" s="31">
        <f t="shared" si="18"/>
        <v>0</v>
      </c>
      <c r="H597" s="39" t="s">
        <v>9</v>
      </c>
      <c r="K597" s="3"/>
      <c r="M597" s="20">
        <v>42140</v>
      </c>
      <c r="N597" s="183">
        <v>21215</v>
      </c>
      <c r="O597" s="14" t="s">
        <v>1172</v>
      </c>
      <c r="P597" s="105">
        <v>10792.95</v>
      </c>
      <c r="Q597" s="23">
        <v>42140</v>
      </c>
      <c r="R597" s="106">
        <v>10792.95</v>
      </c>
      <c r="S597" s="48">
        <f t="shared" si="19"/>
        <v>0</v>
      </c>
      <c r="T597" s="39" t="s">
        <v>587</v>
      </c>
    </row>
    <row r="598" spans="1:20" x14ac:dyDescent="0.25">
      <c r="A598" s="20">
        <v>42130</v>
      </c>
      <c r="B598" s="183">
        <v>20172</v>
      </c>
      <c r="C598" s="14" t="s">
        <v>89</v>
      </c>
      <c r="D598" s="105">
        <v>780</v>
      </c>
      <c r="E598" s="23">
        <v>42130</v>
      </c>
      <c r="F598" s="106">
        <v>780</v>
      </c>
      <c r="G598" s="31">
        <f t="shared" si="18"/>
        <v>0</v>
      </c>
      <c r="H598" s="39" t="s">
        <v>9</v>
      </c>
      <c r="K598" s="3"/>
      <c r="M598" s="20">
        <v>42142</v>
      </c>
      <c r="N598" s="183">
        <v>21409</v>
      </c>
      <c r="O598" s="14" t="s">
        <v>1172</v>
      </c>
      <c r="P598" s="105">
        <v>8172.3</v>
      </c>
      <c r="Q598" s="23">
        <v>42142</v>
      </c>
      <c r="R598" s="118">
        <v>8172.3</v>
      </c>
      <c r="S598" s="31">
        <f t="shared" si="19"/>
        <v>0</v>
      </c>
      <c r="T598" s="56" t="s">
        <v>587</v>
      </c>
    </row>
    <row r="599" spans="1:20" x14ac:dyDescent="0.25">
      <c r="A599" s="20">
        <v>42130</v>
      </c>
      <c r="B599" s="183">
        <v>20173</v>
      </c>
      <c r="C599" s="14" t="s">
        <v>35</v>
      </c>
      <c r="D599" s="105">
        <v>25223.4</v>
      </c>
      <c r="E599" s="23">
        <v>42131</v>
      </c>
      <c r="F599" s="106">
        <v>25223.4</v>
      </c>
      <c r="G599" s="31">
        <f t="shared" si="18"/>
        <v>0</v>
      </c>
      <c r="H599" s="39" t="s">
        <v>773</v>
      </c>
      <c r="K599" s="3"/>
      <c r="M599" s="20">
        <v>42142</v>
      </c>
      <c r="N599" s="183">
        <v>21415</v>
      </c>
      <c r="O599" s="14" t="s">
        <v>1172</v>
      </c>
      <c r="P599" s="105">
        <v>4809</v>
      </c>
      <c r="Q599" s="23">
        <v>42142</v>
      </c>
      <c r="R599" s="118">
        <v>4809</v>
      </c>
      <c r="S599" s="31">
        <f t="shared" si="19"/>
        <v>0</v>
      </c>
      <c r="T599" s="56" t="s">
        <v>587</v>
      </c>
    </row>
    <row r="600" spans="1:20" x14ac:dyDescent="0.25">
      <c r="A600" s="20">
        <v>42130</v>
      </c>
      <c r="B600" s="183">
        <v>20174</v>
      </c>
      <c r="C600" s="14" t="s">
        <v>233</v>
      </c>
      <c r="D600" s="105">
        <v>5349.45</v>
      </c>
      <c r="E600" s="23">
        <v>42131</v>
      </c>
      <c r="F600" s="106">
        <v>5349.45</v>
      </c>
      <c r="G600" s="31">
        <f t="shared" si="18"/>
        <v>0</v>
      </c>
      <c r="H600" s="39" t="s">
        <v>9</v>
      </c>
      <c r="K600" s="3"/>
      <c r="M600" s="20">
        <v>42146</v>
      </c>
      <c r="N600" s="183">
        <v>21859</v>
      </c>
      <c r="O600" s="14" t="s">
        <v>1172</v>
      </c>
      <c r="P600" s="105">
        <v>14072.6</v>
      </c>
      <c r="Q600" s="23">
        <v>42147</v>
      </c>
      <c r="R600" s="106">
        <v>14072.6</v>
      </c>
      <c r="S600" s="31">
        <f t="shared" si="19"/>
        <v>0</v>
      </c>
      <c r="T600" s="39" t="s">
        <v>587</v>
      </c>
    </row>
    <row r="601" spans="1:20" x14ac:dyDescent="0.25">
      <c r="A601" s="20">
        <v>42130</v>
      </c>
      <c r="B601" s="183">
        <v>20175</v>
      </c>
      <c r="C601" s="14" t="s">
        <v>1262</v>
      </c>
      <c r="D601" s="105">
        <v>54070.51</v>
      </c>
      <c r="E601" s="23">
        <v>42142</v>
      </c>
      <c r="F601" s="106">
        <v>54070.51</v>
      </c>
      <c r="G601" s="31">
        <f t="shared" si="18"/>
        <v>0</v>
      </c>
      <c r="H601" s="39" t="s">
        <v>41</v>
      </c>
      <c r="J601" s="107"/>
      <c r="K601" s="3"/>
      <c r="M601" s="20">
        <v>42149</v>
      </c>
      <c r="N601" s="183">
        <v>22161</v>
      </c>
      <c r="O601" s="14" t="s">
        <v>1172</v>
      </c>
      <c r="P601" s="105">
        <v>34967.800000000003</v>
      </c>
      <c r="Q601" s="65">
        <v>42149</v>
      </c>
      <c r="R601" s="106">
        <v>34967.800000000003</v>
      </c>
      <c r="S601" s="31">
        <f t="shared" si="19"/>
        <v>0</v>
      </c>
      <c r="T601" s="39" t="s">
        <v>587</v>
      </c>
    </row>
    <row r="602" spans="1:20" x14ac:dyDescent="0.25">
      <c r="A602" s="20">
        <v>42130</v>
      </c>
      <c r="B602" s="183">
        <v>20176</v>
      </c>
      <c r="C602" s="14" t="s">
        <v>100</v>
      </c>
      <c r="D602" s="105">
        <v>3083.7</v>
      </c>
      <c r="E602" s="23">
        <v>42130</v>
      </c>
      <c r="F602" s="106">
        <v>3083.7</v>
      </c>
      <c r="G602" s="31">
        <f t="shared" si="18"/>
        <v>0</v>
      </c>
      <c r="H602" s="39" t="s">
        <v>9</v>
      </c>
      <c r="K602" s="3"/>
      <c r="M602" s="20">
        <v>42151</v>
      </c>
      <c r="N602" s="183">
        <v>22338</v>
      </c>
      <c r="O602" s="14" t="s">
        <v>1172</v>
      </c>
      <c r="P602" s="105">
        <v>7872.48</v>
      </c>
      <c r="Q602" s="65">
        <v>42151</v>
      </c>
      <c r="R602" s="106">
        <v>7872.48</v>
      </c>
      <c r="S602" s="31">
        <f t="shared" si="19"/>
        <v>0</v>
      </c>
      <c r="T602" s="39" t="s">
        <v>587</v>
      </c>
    </row>
    <row r="603" spans="1:20" x14ac:dyDescent="0.25">
      <c r="A603" s="20">
        <v>42130</v>
      </c>
      <c r="B603" s="183">
        <v>20177</v>
      </c>
      <c r="C603" s="14" t="s">
        <v>791</v>
      </c>
      <c r="D603" s="105">
        <v>20150.25</v>
      </c>
      <c r="E603" s="23">
        <v>42136</v>
      </c>
      <c r="F603" s="106">
        <v>20150.25</v>
      </c>
      <c r="G603" s="31">
        <f t="shared" si="18"/>
        <v>0</v>
      </c>
      <c r="H603" s="39" t="s">
        <v>773</v>
      </c>
      <c r="K603" s="3"/>
      <c r="M603" s="20">
        <v>42152</v>
      </c>
      <c r="N603" s="183">
        <v>22442</v>
      </c>
      <c r="O603" s="14" t="s">
        <v>1172</v>
      </c>
      <c r="P603" s="105">
        <v>1196.8</v>
      </c>
      <c r="Q603" s="23">
        <v>42153</v>
      </c>
      <c r="R603" s="106">
        <v>1196.8</v>
      </c>
      <c r="S603" s="31">
        <f t="shared" si="19"/>
        <v>0</v>
      </c>
      <c r="T603" s="39" t="s">
        <v>587</v>
      </c>
    </row>
    <row r="604" spans="1:20" x14ac:dyDescent="0.25">
      <c r="A604" s="20">
        <v>42130</v>
      </c>
      <c r="B604" s="183">
        <v>20178</v>
      </c>
      <c r="C604" s="14" t="s">
        <v>256</v>
      </c>
      <c r="D604" s="105">
        <v>3837.52</v>
      </c>
      <c r="E604" s="23">
        <v>42131</v>
      </c>
      <c r="F604" s="106">
        <v>3837.52</v>
      </c>
      <c r="G604" s="31">
        <f t="shared" si="18"/>
        <v>0</v>
      </c>
      <c r="H604" s="39" t="s">
        <v>773</v>
      </c>
      <c r="K604" s="3"/>
      <c r="M604" s="20">
        <v>42152</v>
      </c>
      <c r="N604" s="183">
        <v>22445</v>
      </c>
      <c r="O604" s="14" t="s">
        <v>1172</v>
      </c>
      <c r="P604" s="105">
        <v>3393.6</v>
      </c>
      <c r="Q604" s="23">
        <v>42153</v>
      </c>
      <c r="R604" s="106">
        <v>3393.6</v>
      </c>
      <c r="S604" s="31">
        <f t="shared" si="19"/>
        <v>0</v>
      </c>
      <c r="T604" s="39" t="s">
        <v>587</v>
      </c>
    </row>
    <row r="605" spans="1:20" x14ac:dyDescent="0.25">
      <c r="A605" s="20">
        <v>42130</v>
      </c>
      <c r="B605" s="183">
        <v>20179</v>
      </c>
      <c r="C605" s="14" t="s">
        <v>1069</v>
      </c>
      <c r="D605" s="105">
        <v>2401.6</v>
      </c>
      <c r="E605" s="23">
        <v>42131</v>
      </c>
      <c r="F605" s="106">
        <v>2401.6</v>
      </c>
      <c r="G605" s="31">
        <f t="shared" si="18"/>
        <v>0</v>
      </c>
      <c r="H605" s="39" t="s">
        <v>773</v>
      </c>
      <c r="K605" s="3"/>
      <c r="M605" s="20">
        <v>42126</v>
      </c>
      <c r="N605" s="183">
        <v>19717</v>
      </c>
      <c r="O605" s="40" t="s">
        <v>333</v>
      </c>
      <c r="P605" s="105">
        <v>10417.6</v>
      </c>
      <c r="Q605" s="23">
        <v>42126</v>
      </c>
      <c r="R605" s="106">
        <v>10417.6</v>
      </c>
      <c r="S605" s="25">
        <f t="shared" si="19"/>
        <v>0</v>
      </c>
      <c r="T605" s="41" t="s">
        <v>41</v>
      </c>
    </row>
    <row r="606" spans="1:20" x14ac:dyDescent="0.25">
      <c r="A606" s="20">
        <v>42130</v>
      </c>
      <c r="B606" s="183">
        <v>20180</v>
      </c>
      <c r="C606" s="14" t="s">
        <v>24</v>
      </c>
      <c r="D606" s="105">
        <v>14507.2</v>
      </c>
      <c r="E606" s="23">
        <v>42151</v>
      </c>
      <c r="F606" s="106">
        <v>14507.2</v>
      </c>
      <c r="G606" s="31">
        <f t="shared" si="18"/>
        <v>0</v>
      </c>
      <c r="H606" s="39" t="s">
        <v>9</v>
      </c>
      <c r="K606" s="3"/>
      <c r="M606" s="20">
        <v>42132</v>
      </c>
      <c r="N606" s="183">
        <v>20356</v>
      </c>
      <c r="O606" s="14" t="s">
        <v>333</v>
      </c>
      <c r="P606" s="105">
        <v>10407.4</v>
      </c>
      <c r="Q606" s="23">
        <v>42132</v>
      </c>
      <c r="R606" s="106">
        <v>10407.4</v>
      </c>
      <c r="S606" s="31">
        <f t="shared" si="19"/>
        <v>0</v>
      </c>
      <c r="T606" s="19" t="s">
        <v>41</v>
      </c>
    </row>
    <row r="607" spans="1:20" x14ac:dyDescent="0.25">
      <c r="A607" s="20">
        <v>42130</v>
      </c>
      <c r="B607" s="183">
        <v>20181</v>
      </c>
      <c r="C607" s="14" t="s">
        <v>98</v>
      </c>
      <c r="D607" s="105">
        <v>1320.8</v>
      </c>
      <c r="E607" s="23">
        <v>42131</v>
      </c>
      <c r="F607" s="106">
        <v>1320.8</v>
      </c>
      <c r="G607" s="31">
        <f t="shared" si="18"/>
        <v>0</v>
      </c>
      <c r="H607" s="39" t="s">
        <v>94</v>
      </c>
      <c r="K607" s="3"/>
      <c r="M607" s="20">
        <v>42133</v>
      </c>
      <c r="N607" s="183">
        <v>20497</v>
      </c>
      <c r="O607" s="14" t="s">
        <v>333</v>
      </c>
      <c r="P607" s="105">
        <v>10390.4</v>
      </c>
      <c r="Q607" s="23">
        <v>42133</v>
      </c>
      <c r="R607" s="106">
        <v>10390.4</v>
      </c>
      <c r="S607" s="31">
        <f t="shared" si="19"/>
        <v>0</v>
      </c>
      <c r="T607" s="19" t="s">
        <v>9</v>
      </c>
    </row>
    <row r="608" spans="1:20" x14ac:dyDescent="0.25">
      <c r="A608" s="20">
        <v>42130</v>
      </c>
      <c r="B608" s="183">
        <v>20182</v>
      </c>
      <c r="C608" s="14" t="s">
        <v>251</v>
      </c>
      <c r="D608" s="105">
        <v>24416</v>
      </c>
      <c r="E608" s="23">
        <v>42131</v>
      </c>
      <c r="F608" s="106">
        <v>24416</v>
      </c>
      <c r="G608" s="31">
        <f t="shared" si="18"/>
        <v>0</v>
      </c>
      <c r="H608" s="39" t="s">
        <v>94</v>
      </c>
      <c r="K608" s="3"/>
      <c r="M608" s="20">
        <v>42136</v>
      </c>
      <c r="N608" s="183">
        <v>20827</v>
      </c>
      <c r="O608" s="14" t="s">
        <v>333</v>
      </c>
      <c r="P608" s="105">
        <v>7052.5</v>
      </c>
      <c r="Q608" s="23">
        <v>42136</v>
      </c>
      <c r="R608" s="106">
        <v>7052.5</v>
      </c>
      <c r="S608" s="31">
        <f t="shared" si="19"/>
        <v>0</v>
      </c>
      <c r="T608" s="39" t="s">
        <v>41</v>
      </c>
    </row>
    <row r="609" spans="1:20" x14ac:dyDescent="0.25">
      <c r="A609" s="20">
        <v>42130</v>
      </c>
      <c r="B609" s="183">
        <v>20183</v>
      </c>
      <c r="C609" s="14" t="s">
        <v>95</v>
      </c>
      <c r="D609" s="105">
        <v>1734</v>
      </c>
      <c r="E609" s="23">
        <v>42131</v>
      </c>
      <c r="F609" s="106">
        <v>1734</v>
      </c>
      <c r="G609" s="31">
        <f t="shared" si="18"/>
        <v>0</v>
      </c>
      <c r="H609" s="39" t="s">
        <v>94</v>
      </c>
      <c r="K609" s="3"/>
      <c r="M609" s="20">
        <v>42147</v>
      </c>
      <c r="N609" s="183">
        <v>22030</v>
      </c>
      <c r="O609" s="14" t="s">
        <v>333</v>
      </c>
      <c r="P609" s="105">
        <v>11548.2</v>
      </c>
      <c r="Q609" s="65">
        <v>42147</v>
      </c>
      <c r="R609" s="106">
        <v>11548.2</v>
      </c>
      <c r="S609" s="31">
        <f t="shared" si="19"/>
        <v>0</v>
      </c>
      <c r="T609" s="39" t="s">
        <v>1273</v>
      </c>
    </row>
    <row r="610" spans="1:20" x14ac:dyDescent="0.25">
      <c r="A610" s="20">
        <v>42130</v>
      </c>
      <c r="B610" s="183">
        <v>20184</v>
      </c>
      <c r="C610" s="150" t="s">
        <v>93</v>
      </c>
      <c r="D610" s="105">
        <v>1679.6</v>
      </c>
      <c r="E610" s="23">
        <v>42131</v>
      </c>
      <c r="F610" s="106">
        <v>1679.6</v>
      </c>
      <c r="G610" s="31">
        <f t="shared" si="18"/>
        <v>0</v>
      </c>
      <c r="H610" s="39" t="s">
        <v>94</v>
      </c>
      <c r="K610" s="3"/>
      <c r="M610" s="20">
        <v>42150</v>
      </c>
      <c r="N610" s="183">
        <v>22260</v>
      </c>
      <c r="O610" s="14" t="s">
        <v>333</v>
      </c>
      <c r="P610" s="105">
        <v>8208</v>
      </c>
      <c r="Q610" s="65">
        <v>42150</v>
      </c>
      <c r="R610" s="106">
        <v>8208</v>
      </c>
      <c r="S610" s="31">
        <f t="shared" si="19"/>
        <v>0</v>
      </c>
      <c r="T610" s="39" t="s">
        <v>9</v>
      </c>
    </row>
    <row r="611" spans="1:20" x14ac:dyDescent="0.25">
      <c r="A611" s="20">
        <v>42130</v>
      </c>
      <c r="B611" s="183">
        <v>20185</v>
      </c>
      <c r="C611" s="26" t="s">
        <v>218</v>
      </c>
      <c r="D611" s="108">
        <v>0</v>
      </c>
      <c r="E611" s="23"/>
      <c r="F611" s="106"/>
      <c r="G611" s="31">
        <f t="shared" si="18"/>
        <v>0</v>
      </c>
      <c r="H611" s="39" t="s">
        <v>13</v>
      </c>
      <c r="K611" s="3"/>
      <c r="M611" s="20">
        <v>42132</v>
      </c>
      <c r="N611" s="183">
        <v>20346</v>
      </c>
      <c r="O611" s="14" t="s">
        <v>1186</v>
      </c>
      <c r="P611" s="105">
        <v>27207.599999999999</v>
      </c>
      <c r="Q611" s="23">
        <v>42132</v>
      </c>
      <c r="R611" s="106">
        <v>27207.599999999999</v>
      </c>
      <c r="S611" s="31">
        <f t="shared" si="19"/>
        <v>0</v>
      </c>
      <c r="T611" s="19" t="s">
        <v>9</v>
      </c>
    </row>
    <row r="612" spans="1:20" x14ac:dyDescent="0.25">
      <c r="A612" s="20">
        <v>42130</v>
      </c>
      <c r="B612" s="183">
        <v>20186</v>
      </c>
      <c r="C612" s="14" t="s">
        <v>104</v>
      </c>
      <c r="D612" s="105">
        <v>5459.52</v>
      </c>
      <c r="E612" s="23">
        <v>42131</v>
      </c>
      <c r="F612" s="106">
        <v>5459.52</v>
      </c>
      <c r="G612" s="31">
        <f t="shared" si="18"/>
        <v>0</v>
      </c>
      <c r="H612" s="39" t="s">
        <v>94</v>
      </c>
      <c r="K612" s="3"/>
      <c r="M612" s="20">
        <v>42140</v>
      </c>
      <c r="N612" s="183">
        <v>21230</v>
      </c>
      <c r="O612" s="14" t="s">
        <v>1186</v>
      </c>
      <c r="P612" s="105">
        <v>21365</v>
      </c>
      <c r="Q612" s="23">
        <v>42140</v>
      </c>
      <c r="R612" s="106">
        <v>21365</v>
      </c>
      <c r="S612" s="48">
        <f t="shared" si="19"/>
        <v>0</v>
      </c>
      <c r="T612" s="39" t="s">
        <v>9</v>
      </c>
    </row>
    <row r="613" spans="1:20" x14ac:dyDescent="0.25">
      <c r="A613" s="20">
        <v>42130</v>
      </c>
      <c r="B613" s="183">
        <v>20187</v>
      </c>
      <c r="C613" s="14" t="s">
        <v>106</v>
      </c>
      <c r="D613" s="105">
        <v>2795.6</v>
      </c>
      <c r="E613" s="23">
        <v>42131</v>
      </c>
      <c r="F613" s="106">
        <v>2795.6</v>
      </c>
      <c r="G613" s="31">
        <f t="shared" si="18"/>
        <v>0</v>
      </c>
      <c r="H613" s="39" t="s">
        <v>9</v>
      </c>
      <c r="K613" s="3"/>
      <c r="M613" s="20">
        <v>42146</v>
      </c>
      <c r="N613" s="183">
        <v>21857</v>
      </c>
      <c r="O613" s="14" t="s">
        <v>1186</v>
      </c>
      <c r="P613" s="105">
        <v>27992.799999999999</v>
      </c>
      <c r="Q613" s="23">
        <v>42147</v>
      </c>
      <c r="R613" s="106">
        <v>27992.799999999999</v>
      </c>
      <c r="S613" s="31">
        <f t="shared" si="19"/>
        <v>0</v>
      </c>
      <c r="T613" s="39" t="s">
        <v>587</v>
      </c>
    </row>
    <row r="614" spans="1:20" x14ac:dyDescent="0.25">
      <c r="A614" s="20">
        <v>42130</v>
      </c>
      <c r="B614" s="183">
        <v>20188</v>
      </c>
      <c r="C614" s="14" t="s">
        <v>301</v>
      </c>
      <c r="D614" s="105">
        <v>708.4</v>
      </c>
      <c r="E614" s="23">
        <v>42131</v>
      </c>
      <c r="F614" s="106">
        <v>708.4</v>
      </c>
      <c r="G614" s="31">
        <f t="shared" si="18"/>
        <v>0</v>
      </c>
      <c r="H614" s="39" t="s">
        <v>94</v>
      </c>
      <c r="J614" s="107"/>
      <c r="K614" s="3"/>
      <c r="M614" s="20">
        <v>42151</v>
      </c>
      <c r="N614" s="183">
        <v>22339</v>
      </c>
      <c r="O614" s="14" t="s">
        <v>1186</v>
      </c>
      <c r="P614" s="105">
        <v>13360.2</v>
      </c>
      <c r="Q614" s="65">
        <v>42151</v>
      </c>
      <c r="R614" s="106">
        <v>13360.2</v>
      </c>
      <c r="S614" s="31">
        <f t="shared" si="19"/>
        <v>0</v>
      </c>
      <c r="T614" s="39" t="s">
        <v>587</v>
      </c>
    </row>
    <row r="615" spans="1:20" x14ac:dyDescent="0.25">
      <c r="A615" s="20">
        <v>42130</v>
      </c>
      <c r="B615" s="183">
        <v>20189</v>
      </c>
      <c r="C615" s="14" t="s">
        <v>108</v>
      </c>
      <c r="D615" s="105">
        <v>21369.599999999999</v>
      </c>
      <c r="E615" s="23" t="s">
        <v>1313</v>
      </c>
      <c r="F615" s="106">
        <f>1932+19437.6</f>
        <v>21369.599999999999</v>
      </c>
      <c r="G615" s="31">
        <f t="shared" si="18"/>
        <v>0</v>
      </c>
      <c r="H615" s="39" t="s">
        <v>46</v>
      </c>
      <c r="K615" s="3"/>
      <c r="M615" s="20">
        <v>42154</v>
      </c>
      <c r="N615" s="183">
        <v>22688</v>
      </c>
      <c r="O615" s="14" t="s">
        <v>1186</v>
      </c>
      <c r="P615" s="105">
        <v>11354.2</v>
      </c>
      <c r="Q615" s="23">
        <v>42154</v>
      </c>
      <c r="R615" s="106">
        <v>11354.2</v>
      </c>
      <c r="S615" s="31">
        <f t="shared" si="19"/>
        <v>0</v>
      </c>
      <c r="T615" s="39" t="s">
        <v>587</v>
      </c>
    </row>
    <row r="616" spans="1:20" x14ac:dyDescent="0.25">
      <c r="A616" s="20">
        <v>42130</v>
      </c>
      <c r="B616" s="183">
        <v>20190</v>
      </c>
      <c r="C616" s="14" t="s">
        <v>161</v>
      </c>
      <c r="D616" s="105">
        <v>1201.2</v>
      </c>
      <c r="E616" s="23">
        <v>42130</v>
      </c>
      <c r="F616" s="106">
        <v>1201.2</v>
      </c>
      <c r="G616" s="31">
        <f t="shared" si="18"/>
        <v>0</v>
      </c>
      <c r="H616" s="39" t="s">
        <v>9</v>
      </c>
      <c r="J616" s="107"/>
      <c r="K616" s="3"/>
      <c r="M616" s="20">
        <v>42126</v>
      </c>
      <c r="N616" s="183">
        <v>19709</v>
      </c>
      <c r="O616" s="40" t="s">
        <v>1278</v>
      </c>
      <c r="P616" s="105">
        <v>21676.5</v>
      </c>
      <c r="Q616" s="23">
        <v>42126</v>
      </c>
      <c r="R616" s="106">
        <v>21676.5</v>
      </c>
      <c r="S616" s="31">
        <f t="shared" si="19"/>
        <v>0</v>
      </c>
      <c r="T616" s="41" t="s">
        <v>9</v>
      </c>
    </row>
    <row r="617" spans="1:20" x14ac:dyDescent="0.25">
      <c r="A617" s="20">
        <v>42130</v>
      </c>
      <c r="B617" s="183">
        <v>20191</v>
      </c>
      <c r="C617" s="14" t="s">
        <v>464</v>
      </c>
      <c r="D617" s="105">
        <v>2564.8000000000002</v>
      </c>
      <c r="E617" s="23">
        <v>42130</v>
      </c>
      <c r="F617" s="106">
        <v>2564.8000000000002</v>
      </c>
      <c r="G617" s="31">
        <f t="shared" si="18"/>
        <v>0</v>
      </c>
      <c r="H617" s="39" t="s">
        <v>9</v>
      </c>
      <c r="K617" s="3"/>
      <c r="M617" s="20">
        <v>42128</v>
      </c>
      <c r="N617" s="183">
        <v>19903</v>
      </c>
      <c r="O617" s="14" t="s">
        <v>1278</v>
      </c>
      <c r="P617" s="105">
        <v>11602.8</v>
      </c>
      <c r="Q617" s="23">
        <v>42128</v>
      </c>
      <c r="R617" s="106">
        <v>11602.8</v>
      </c>
      <c r="S617" s="31">
        <f t="shared" si="19"/>
        <v>0</v>
      </c>
      <c r="T617" s="19" t="s">
        <v>9</v>
      </c>
    </row>
    <row r="618" spans="1:20" x14ac:dyDescent="0.25">
      <c r="A618" s="20">
        <v>42130</v>
      </c>
      <c r="B618" s="183">
        <v>20192</v>
      </c>
      <c r="C618" s="14" t="s">
        <v>42</v>
      </c>
      <c r="D618" s="105">
        <v>5535.6</v>
      </c>
      <c r="E618" s="23">
        <v>42130</v>
      </c>
      <c r="F618" s="106">
        <v>5535.6</v>
      </c>
      <c r="G618" s="31">
        <f t="shared" si="18"/>
        <v>0</v>
      </c>
      <c r="H618" s="39" t="s">
        <v>9</v>
      </c>
      <c r="K618" s="3"/>
      <c r="M618" s="20">
        <v>42125</v>
      </c>
      <c r="N618" s="183">
        <v>19608</v>
      </c>
      <c r="O618" s="14" t="s">
        <v>940</v>
      </c>
      <c r="P618" s="105">
        <v>2235.5500000000002</v>
      </c>
      <c r="Q618" s="23">
        <v>42125</v>
      </c>
      <c r="R618" s="106">
        <v>2235.5500000000002</v>
      </c>
      <c r="S618" s="25">
        <f t="shared" si="19"/>
        <v>0</v>
      </c>
      <c r="T618" s="19" t="s">
        <v>9</v>
      </c>
    </row>
    <row r="619" spans="1:20" x14ac:dyDescent="0.25">
      <c r="A619" s="20">
        <v>42130</v>
      </c>
      <c r="B619" s="183">
        <v>20193</v>
      </c>
      <c r="C619" s="26" t="s">
        <v>218</v>
      </c>
      <c r="D619" s="108">
        <v>0</v>
      </c>
      <c r="E619" s="23"/>
      <c r="F619" s="106"/>
      <c r="G619" s="31">
        <f t="shared" si="18"/>
        <v>0</v>
      </c>
      <c r="H619" s="39" t="s">
        <v>13</v>
      </c>
      <c r="K619" s="3"/>
      <c r="M619" s="20">
        <v>42129</v>
      </c>
      <c r="N619" s="183">
        <v>20026</v>
      </c>
      <c r="O619" s="14" t="s">
        <v>940</v>
      </c>
      <c r="P619" s="105">
        <v>3774.9</v>
      </c>
      <c r="Q619" s="23">
        <v>42129</v>
      </c>
      <c r="R619" s="106">
        <v>3774.9</v>
      </c>
      <c r="S619" s="31">
        <f t="shared" si="19"/>
        <v>0</v>
      </c>
      <c r="T619" s="19" t="s">
        <v>9</v>
      </c>
    </row>
    <row r="620" spans="1:20" x14ac:dyDescent="0.25">
      <c r="A620" s="20">
        <v>42130</v>
      </c>
      <c r="B620" s="183">
        <v>20194</v>
      </c>
      <c r="C620" s="14" t="s">
        <v>38</v>
      </c>
      <c r="D620" s="105">
        <v>33881.9</v>
      </c>
      <c r="E620" s="23" t="s">
        <v>1326</v>
      </c>
      <c r="F620" s="106">
        <f>87+33794.9</f>
        <v>33881.9</v>
      </c>
      <c r="G620" s="31">
        <f t="shared" si="18"/>
        <v>0</v>
      </c>
      <c r="H620" s="39" t="s">
        <v>9</v>
      </c>
      <c r="K620" s="3"/>
      <c r="M620" s="20">
        <v>42130</v>
      </c>
      <c r="N620" s="183">
        <v>20113</v>
      </c>
      <c r="O620" s="14" t="s">
        <v>940</v>
      </c>
      <c r="P620" s="105">
        <v>1895.4</v>
      </c>
      <c r="Q620" s="23">
        <v>42130</v>
      </c>
      <c r="R620" s="106">
        <v>1895.4</v>
      </c>
      <c r="S620" s="31">
        <f t="shared" si="19"/>
        <v>0</v>
      </c>
      <c r="T620" s="39" t="s">
        <v>9</v>
      </c>
    </row>
    <row r="621" spans="1:20" x14ac:dyDescent="0.25">
      <c r="A621" s="20">
        <v>42130</v>
      </c>
      <c r="B621" s="183">
        <v>20195</v>
      </c>
      <c r="C621" s="14" t="s">
        <v>571</v>
      </c>
      <c r="D621" s="105">
        <v>31885.01</v>
      </c>
      <c r="E621" s="23">
        <v>42135</v>
      </c>
      <c r="F621" s="106">
        <v>31885.01</v>
      </c>
      <c r="G621" s="31">
        <f t="shared" si="18"/>
        <v>0</v>
      </c>
      <c r="H621" s="39" t="s">
        <v>9</v>
      </c>
      <c r="K621" s="3"/>
      <c r="M621" s="20">
        <v>42131</v>
      </c>
      <c r="N621" s="183">
        <v>20221</v>
      </c>
      <c r="O621" s="14" t="s">
        <v>940</v>
      </c>
      <c r="P621" s="105">
        <v>2046.6</v>
      </c>
      <c r="Q621" s="23">
        <v>42131</v>
      </c>
      <c r="R621" s="106">
        <v>2046.6</v>
      </c>
      <c r="S621" s="31">
        <f t="shared" si="19"/>
        <v>0</v>
      </c>
      <c r="T621" s="39" t="s">
        <v>9</v>
      </c>
    </row>
    <row r="622" spans="1:20" x14ac:dyDescent="0.25">
      <c r="A622" s="20">
        <v>42130</v>
      </c>
      <c r="B622" s="183">
        <v>20196</v>
      </c>
      <c r="C622" s="14" t="s">
        <v>14</v>
      </c>
      <c r="D622" s="105">
        <v>36260.199999999997</v>
      </c>
      <c r="E622" s="23">
        <v>42149</v>
      </c>
      <c r="F622" s="106">
        <v>36260.199999999997</v>
      </c>
      <c r="G622" s="31">
        <f t="shared" si="18"/>
        <v>0</v>
      </c>
      <c r="H622" s="39" t="s">
        <v>9</v>
      </c>
      <c r="K622" s="3"/>
      <c r="M622" s="20">
        <v>42135</v>
      </c>
      <c r="N622" s="183">
        <v>20688</v>
      </c>
      <c r="O622" s="14" t="s">
        <v>940</v>
      </c>
      <c r="P622" s="105">
        <v>2245.6</v>
      </c>
      <c r="Q622" s="23">
        <v>42135</v>
      </c>
      <c r="R622" s="106">
        <v>2245.6</v>
      </c>
      <c r="S622" s="31">
        <f t="shared" si="19"/>
        <v>0</v>
      </c>
      <c r="T622" s="39" t="s">
        <v>9</v>
      </c>
    </row>
    <row r="623" spans="1:20" x14ac:dyDescent="0.25">
      <c r="A623" s="20">
        <v>42130</v>
      </c>
      <c r="B623" s="183">
        <v>20197</v>
      </c>
      <c r="C623" s="14" t="s">
        <v>1020</v>
      </c>
      <c r="D623" s="105">
        <v>3108</v>
      </c>
      <c r="E623" s="23">
        <v>42130</v>
      </c>
      <c r="F623" s="106">
        <v>3108</v>
      </c>
      <c r="G623" s="31">
        <f t="shared" si="18"/>
        <v>0</v>
      </c>
      <c r="H623" s="39" t="s">
        <v>9</v>
      </c>
      <c r="K623" s="3"/>
      <c r="M623" s="20">
        <v>42137</v>
      </c>
      <c r="N623" s="183">
        <v>20891</v>
      </c>
      <c r="O623" s="14" t="s">
        <v>940</v>
      </c>
      <c r="P623" s="105">
        <v>2473.8000000000002</v>
      </c>
      <c r="Q623" s="23">
        <v>42137</v>
      </c>
      <c r="R623" s="106">
        <v>2473.8000000000002</v>
      </c>
      <c r="S623" s="31">
        <f t="shared" si="19"/>
        <v>0</v>
      </c>
      <c r="T623" s="19" t="s">
        <v>9</v>
      </c>
    </row>
    <row r="624" spans="1:20" x14ac:dyDescent="0.25">
      <c r="A624" s="20">
        <v>42130</v>
      </c>
      <c r="B624" s="183">
        <v>20198</v>
      </c>
      <c r="C624" s="14" t="s">
        <v>111</v>
      </c>
      <c r="D624" s="105">
        <v>155717</v>
      </c>
      <c r="E624" s="23">
        <v>42133</v>
      </c>
      <c r="F624" s="106">
        <v>155717</v>
      </c>
      <c r="G624" s="31">
        <f t="shared" si="18"/>
        <v>0</v>
      </c>
      <c r="H624" s="39" t="s">
        <v>9</v>
      </c>
      <c r="K624" s="3"/>
      <c r="M624" s="20">
        <v>42138</v>
      </c>
      <c r="N624" s="183">
        <v>20999</v>
      </c>
      <c r="O624" s="14" t="s">
        <v>940</v>
      </c>
      <c r="P624" s="105">
        <v>3432.65</v>
      </c>
      <c r="Q624" s="23">
        <v>42138</v>
      </c>
      <c r="R624" s="106">
        <v>3432.65</v>
      </c>
      <c r="S624" s="48">
        <f t="shared" si="19"/>
        <v>0</v>
      </c>
      <c r="T624" s="19" t="s">
        <v>9</v>
      </c>
    </row>
    <row r="625" spans="1:20" x14ac:dyDescent="0.25">
      <c r="A625" s="20">
        <v>42130</v>
      </c>
      <c r="B625" s="183">
        <v>20199</v>
      </c>
      <c r="C625" s="14" t="s">
        <v>463</v>
      </c>
      <c r="D625" s="105">
        <v>1783.2</v>
      </c>
      <c r="E625" s="23">
        <v>42131</v>
      </c>
      <c r="F625" s="106">
        <v>1783.2</v>
      </c>
      <c r="G625" s="31">
        <f t="shared" si="18"/>
        <v>0</v>
      </c>
      <c r="H625" s="39" t="s">
        <v>41</v>
      </c>
      <c r="K625" s="3"/>
      <c r="M625" s="20">
        <v>42142</v>
      </c>
      <c r="N625" s="183">
        <v>21403</v>
      </c>
      <c r="O625" s="14" t="s">
        <v>940</v>
      </c>
      <c r="P625" s="105">
        <v>3434.8</v>
      </c>
      <c r="Q625" s="23">
        <v>42142</v>
      </c>
      <c r="R625" s="118">
        <v>3434.8</v>
      </c>
      <c r="S625" s="31">
        <f t="shared" si="19"/>
        <v>0</v>
      </c>
      <c r="T625" s="56" t="s">
        <v>587</v>
      </c>
    </row>
    <row r="626" spans="1:20" x14ac:dyDescent="0.25">
      <c r="A626" s="20">
        <v>42130</v>
      </c>
      <c r="B626" s="183">
        <v>20200</v>
      </c>
      <c r="C626" s="14" t="s">
        <v>24</v>
      </c>
      <c r="D626" s="105">
        <v>50473.1</v>
      </c>
      <c r="E626" s="23">
        <v>42151</v>
      </c>
      <c r="F626" s="106">
        <v>50473.1</v>
      </c>
      <c r="G626" s="31">
        <f t="shared" si="18"/>
        <v>0</v>
      </c>
      <c r="H626" s="39" t="s">
        <v>9</v>
      </c>
      <c r="I626" s="3"/>
      <c r="J626" s="42"/>
      <c r="K626" s="3"/>
      <c r="M626" s="20">
        <v>42144</v>
      </c>
      <c r="N626" s="183">
        <v>21627</v>
      </c>
      <c r="O626" s="14" t="s">
        <v>940</v>
      </c>
      <c r="P626" s="105">
        <v>2401.3000000000002</v>
      </c>
      <c r="Q626" s="23">
        <v>42144</v>
      </c>
      <c r="R626" s="118">
        <v>2401.3000000000002</v>
      </c>
      <c r="S626" s="31">
        <f t="shared" si="19"/>
        <v>0</v>
      </c>
      <c r="T626" s="62" t="s">
        <v>587</v>
      </c>
    </row>
    <row r="627" spans="1:20" x14ac:dyDescent="0.25">
      <c r="A627" s="20">
        <v>42130</v>
      </c>
      <c r="B627" s="183">
        <v>20201</v>
      </c>
      <c r="C627" s="150" t="s">
        <v>675</v>
      </c>
      <c r="D627" s="105">
        <v>638</v>
      </c>
      <c r="E627" s="23">
        <v>42130</v>
      </c>
      <c r="F627" s="106">
        <v>638</v>
      </c>
      <c r="G627" s="31">
        <f t="shared" si="18"/>
        <v>0</v>
      </c>
      <c r="H627" s="39" t="s">
        <v>9</v>
      </c>
      <c r="I627" s="3"/>
      <c r="J627" s="42"/>
      <c r="K627" s="3"/>
      <c r="M627" s="20">
        <v>42146</v>
      </c>
      <c r="N627" s="183">
        <v>21867</v>
      </c>
      <c r="O627" s="14" t="s">
        <v>940</v>
      </c>
      <c r="P627" s="105">
        <v>4338.34</v>
      </c>
      <c r="Q627" s="23">
        <v>42147</v>
      </c>
      <c r="R627" s="106">
        <v>4338.34</v>
      </c>
      <c r="S627" s="31">
        <f t="shared" si="19"/>
        <v>0</v>
      </c>
      <c r="T627" s="39" t="s">
        <v>587</v>
      </c>
    </row>
    <row r="628" spans="1:20" x14ac:dyDescent="0.25">
      <c r="A628" s="20">
        <v>42130</v>
      </c>
      <c r="B628" s="183">
        <v>20202</v>
      </c>
      <c r="C628" s="14" t="s">
        <v>80</v>
      </c>
      <c r="D628" s="105">
        <v>6670.8</v>
      </c>
      <c r="E628" s="23">
        <v>42130</v>
      </c>
      <c r="F628" s="106">
        <v>6670.8</v>
      </c>
      <c r="G628" s="31">
        <f t="shared" si="18"/>
        <v>0</v>
      </c>
      <c r="H628" s="39" t="s">
        <v>312</v>
      </c>
      <c r="I628" s="3"/>
      <c r="J628" s="42"/>
      <c r="K628" s="3"/>
      <c r="M628" s="20">
        <v>42149</v>
      </c>
      <c r="N628" s="183">
        <v>22162</v>
      </c>
      <c r="O628" s="14" t="s">
        <v>940</v>
      </c>
      <c r="P628" s="105">
        <v>2131.1999999999998</v>
      </c>
      <c r="Q628" s="65">
        <v>42149</v>
      </c>
      <c r="R628" s="106">
        <v>2131.1999999999998</v>
      </c>
      <c r="S628" s="31">
        <f t="shared" si="19"/>
        <v>0</v>
      </c>
      <c r="T628" s="39" t="s">
        <v>587</v>
      </c>
    </row>
    <row r="629" spans="1:20" x14ac:dyDescent="0.25">
      <c r="A629" s="20">
        <v>42130</v>
      </c>
      <c r="B629" s="183">
        <v>20203</v>
      </c>
      <c r="C629" s="14" t="s">
        <v>694</v>
      </c>
      <c r="D629" s="105">
        <v>1241.2</v>
      </c>
      <c r="E629" s="23">
        <v>42130</v>
      </c>
      <c r="F629" s="106">
        <v>1241.2</v>
      </c>
      <c r="G629" s="31">
        <f t="shared" si="18"/>
        <v>0</v>
      </c>
      <c r="H629" s="39" t="s">
        <v>9</v>
      </c>
      <c r="I629" s="3"/>
      <c r="J629" s="42"/>
      <c r="K629" s="3"/>
      <c r="M629" s="20">
        <v>42152</v>
      </c>
      <c r="N629" s="183">
        <v>22441</v>
      </c>
      <c r="O629" s="14" t="s">
        <v>940</v>
      </c>
      <c r="P629" s="105">
        <v>2950.4</v>
      </c>
      <c r="Q629" s="23">
        <v>42153</v>
      </c>
      <c r="R629" s="106">
        <v>2950.4</v>
      </c>
      <c r="S629" s="31">
        <f t="shared" si="19"/>
        <v>0</v>
      </c>
      <c r="T629" s="39" t="s">
        <v>587</v>
      </c>
    </row>
    <row r="630" spans="1:20" x14ac:dyDescent="0.25">
      <c r="A630" s="20">
        <v>42130</v>
      </c>
      <c r="B630" s="183">
        <v>20204</v>
      </c>
      <c r="C630" s="14" t="s">
        <v>24</v>
      </c>
      <c r="D630" s="105">
        <v>227402.54</v>
      </c>
      <c r="E630" s="23">
        <v>42151</v>
      </c>
      <c r="F630" s="106">
        <v>227402.54</v>
      </c>
      <c r="G630" s="31">
        <f t="shared" si="18"/>
        <v>0</v>
      </c>
      <c r="H630" s="39" t="s">
        <v>9</v>
      </c>
      <c r="I630" s="3"/>
      <c r="J630" s="42"/>
      <c r="K630" s="3"/>
      <c r="M630" s="20">
        <v>42144</v>
      </c>
      <c r="N630" s="183">
        <v>21625</v>
      </c>
      <c r="O630" s="14" t="s">
        <v>1174</v>
      </c>
      <c r="P630" s="105">
        <v>2938.2</v>
      </c>
      <c r="Q630" s="23">
        <v>42144</v>
      </c>
      <c r="R630" s="118">
        <v>2938.2</v>
      </c>
      <c r="S630" s="31">
        <f t="shared" si="19"/>
        <v>0</v>
      </c>
      <c r="T630" s="62" t="s">
        <v>587</v>
      </c>
    </row>
    <row r="631" spans="1:20" x14ac:dyDescent="0.25">
      <c r="A631" s="20">
        <v>42130</v>
      </c>
      <c r="B631" s="183">
        <v>20205</v>
      </c>
      <c r="C631" s="14" t="s">
        <v>416</v>
      </c>
      <c r="D631" s="105">
        <v>455.6</v>
      </c>
      <c r="E631" s="23">
        <v>42130</v>
      </c>
      <c r="F631" s="106">
        <v>455.6</v>
      </c>
      <c r="G631" s="31">
        <f t="shared" si="18"/>
        <v>0</v>
      </c>
      <c r="H631" s="39" t="s">
        <v>9</v>
      </c>
      <c r="I631" s="3"/>
      <c r="J631" s="42"/>
      <c r="K631" s="3"/>
      <c r="M631" s="20">
        <v>42146</v>
      </c>
      <c r="N631" s="183">
        <v>21945</v>
      </c>
      <c r="O631" s="14" t="s">
        <v>1174</v>
      </c>
      <c r="P631" s="105">
        <v>8101.2</v>
      </c>
      <c r="Q631" s="72">
        <v>42147</v>
      </c>
      <c r="R631" s="106">
        <v>8101.2</v>
      </c>
      <c r="S631" s="31">
        <f t="shared" si="19"/>
        <v>0</v>
      </c>
      <c r="T631" s="39" t="s">
        <v>587</v>
      </c>
    </row>
    <row r="632" spans="1:20" x14ac:dyDescent="0.25">
      <c r="A632" s="20">
        <v>42130</v>
      </c>
      <c r="B632" s="183">
        <v>20206</v>
      </c>
      <c r="C632" s="150" t="s">
        <v>43</v>
      </c>
      <c r="D632" s="105">
        <v>780</v>
      </c>
      <c r="E632" s="23">
        <v>42130</v>
      </c>
      <c r="F632" s="106">
        <v>780</v>
      </c>
      <c r="G632" s="31">
        <f t="shared" si="18"/>
        <v>0</v>
      </c>
      <c r="H632" s="39" t="s">
        <v>9</v>
      </c>
      <c r="I632" s="3"/>
      <c r="J632" s="42"/>
      <c r="K632" s="3"/>
      <c r="M632" s="20">
        <v>42142</v>
      </c>
      <c r="N632" s="183">
        <v>21492</v>
      </c>
      <c r="O632" s="14" t="s">
        <v>223</v>
      </c>
      <c r="P632" s="105">
        <v>160</v>
      </c>
      <c r="Q632" s="65">
        <v>42143</v>
      </c>
      <c r="R632" s="106">
        <v>160</v>
      </c>
      <c r="S632" s="31">
        <f t="shared" si="19"/>
        <v>0</v>
      </c>
      <c r="T632" s="19" t="s">
        <v>1273</v>
      </c>
    </row>
    <row r="633" spans="1:20" x14ac:dyDescent="0.25">
      <c r="A633" s="20">
        <v>42131</v>
      </c>
      <c r="B633" s="183">
        <v>20207</v>
      </c>
      <c r="C633" s="14" t="s">
        <v>720</v>
      </c>
      <c r="D633" s="105">
        <v>12683</v>
      </c>
      <c r="E633" s="23">
        <v>42131</v>
      </c>
      <c r="F633" s="106">
        <v>12683</v>
      </c>
      <c r="G633" s="31">
        <f t="shared" si="18"/>
        <v>0</v>
      </c>
      <c r="H633" s="39" t="s">
        <v>9</v>
      </c>
      <c r="I633" s="3"/>
      <c r="J633" s="42"/>
      <c r="K633" s="3"/>
      <c r="M633" s="20">
        <v>42125</v>
      </c>
      <c r="N633" s="183">
        <v>19609</v>
      </c>
      <c r="O633" s="14" t="s">
        <v>1261</v>
      </c>
      <c r="P633" s="105">
        <v>5992.8</v>
      </c>
      <c r="Q633" s="23">
        <v>42125</v>
      </c>
      <c r="R633" s="106">
        <v>5992.8</v>
      </c>
      <c r="S633" s="25">
        <f t="shared" si="19"/>
        <v>0</v>
      </c>
      <c r="T633" s="19" t="s">
        <v>9</v>
      </c>
    </row>
    <row r="634" spans="1:20" x14ac:dyDescent="0.25">
      <c r="A634" s="20">
        <v>42131</v>
      </c>
      <c r="B634" s="183">
        <v>20208</v>
      </c>
      <c r="C634" s="14" t="s">
        <v>18</v>
      </c>
      <c r="D634" s="105">
        <v>2455.25</v>
      </c>
      <c r="E634" s="23">
        <v>42131</v>
      </c>
      <c r="F634" s="106">
        <v>2455.25</v>
      </c>
      <c r="G634" s="31">
        <f t="shared" si="18"/>
        <v>0</v>
      </c>
      <c r="H634" s="39" t="s">
        <v>9</v>
      </c>
      <c r="I634" s="3"/>
      <c r="J634" s="42"/>
      <c r="K634" s="3"/>
      <c r="M634" s="20">
        <v>42126</v>
      </c>
      <c r="N634" s="183">
        <v>19710</v>
      </c>
      <c r="O634" s="40" t="s">
        <v>1261</v>
      </c>
      <c r="P634" s="105">
        <v>3412.4</v>
      </c>
      <c r="Q634" s="23">
        <v>42126</v>
      </c>
      <c r="R634" s="106">
        <v>3412.4</v>
      </c>
      <c r="S634" s="25">
        <f t="shared" si="19"/>
        <v>0</v>
      </c>
      <c r="T634" s="41" t="s">
        <v>9</v>
      </c>
    </row>
    <row r="635" spans="1:20" x14ac:dyDescent="0.25">
      <c r="A635" s="20">
        <v>42131</v>
      </c>
      <c r="B635" s="183">
        <v>20209</v>
      </c>
      <c r="C635" s="14" t="s">
        <v>14</v>
      </c>
      <c r="D635" s="105">
        <v>16869.599999999999</v>
      </c>
      <c r="E635" s="23">
        <v>42149</v>
      </c>
      <c r="F635" s="106">
        <v>16869.599999999999</v>
      </c>
      <c r="G635" s="31">
        <f t="shared" si="18"/>
        <v>0</v>
      </c>
      <c r="H635" s="39" t="s">
        <v>15</v>
      </c>
      <c r="I635" s="3"/>
      <c r="J635" s="42"/>
      <c r="K635" s="3"/>
      <c r="M635" s="20">
        <v>42126</v>
      </c>
      <c r="N635" s="183">
        <v>19719</v>
      </c>
      <c r="O635" s="40" t="s">
        <v>1261</v>
      </c>
      <c r="P635" s="105">
        <v>3161.6</v>
      </c>
      <c r="Q635" s="23">
        <v>42126</v>
      </c>
      <c r="R635" s="106">
        <v>3161.6</v>
      </c>
      <c r="S635" s="25">
        <f t="shared" si="19"/>
        <v>0</v>
      </c>
      <c r="T635" s="41" t="s">
        <v>9</v>
      </c>
    </row>
    <row r="636" spans="1:20" x14ac:dyDescent="0.25">
      <c r="A636" s="20">
        <v>42131</v>
      </c>
      <c r="B636" s="183">
        <v>20210</v>
      </c>
      <c r="C636" s="14" t="s">
        <v>21</v>
      </c>
      <c r="D636" s="105">
        <v>6624.8</v>
      </c>
      <c r="E636" s="23">
        <v>42131</v>
      </c>
      <c r="F636" s="106">
        <v>6624.8</v>
      </c>
      <c r="G636" s="31">
        <f t="shared" si="18"/>
        <v>0</v>
      </c>
      <c r="H636" s="39" t="s">
        <v>9</v>
      </c>
      <c r="I636" s="3"/>
      <c r="J636" s="42"/>
      <c r="K636" s="3"/>
      <c r="M636" s="20">
        <v>42128</v>
      </c>
      <c r="N636" s="183">
        <v>19904</v>
      </c>
      <c r="O636" s="14" t="s">
        <v>1261</v>
      </c>
      <c r="P636" s="105">
        <v>10621.8</v>
      </c>
      <c r="Q636" s="23">
        <v>42128</v>
      </c>
      <c r="R636" s="106">
        <v>10621.8</v>
      </c>
      <c r="S636" s="31">
        <f t="shared" si="19"/>
        <v>0</v>
      </c>
      <c r="T636" s="19" t="s">
        <v>9</v>
      </c>
    </row>
    <row r="637" spans="1:20" x14ac:dyDescent="0.25">
      <c r="A637" s="20">
        <v>42131</v>
      </c>
      <c r="B637" s="183">
        <v>20211</v>
      </c>
      <c r="C637" s="14" t="s">
        <v>151</v>
      </c>
      <c r="D637" s="105">
        <v>2600.5</v>
      </c>
      <c r="E637" s="23">
        <v>42132</v>
      </c>
      <c r="F637" s="106">
        <v>2600.5</v>
      </c>
      <c r="G637" s="31">
        <f t="shared" si="18"/>
        <v>0</v>
      </c>
      <c r="H637" s="39" t="s">
        <v>9</v>
      </c>
      <c r="I637" s="3"/>
      <c r="J637" s="42"/>
      <c r="K637" s="3"/>
      <c r="M637" s="20">
        <v>42129</v>
      </c>
      <c r="N637" s="183">
        <v>20029</v>
      </c>
      <c r="O637" s="14" t="s">
        <v>1261</v>
      </c>
      <c r="P637" s="105">
        <v>9224.7999999999993</v>
      </c>
      <c r="Q637" s="23">
        <v>42129</v>
      </c>
      <c r="R637" s="106">
        <v>9224.7999999999993</v>
      </c>
      <c r="S637" s="31">
        <f t="shared" si="19"/>
        <v>0</v>
      </c>
      <c r="T637" s="39" t="s">
        <v>9</v>
      </c>
    </row>
    <row r="638" spans="1:20" x14ac:dyDescent="0.25">
      <c r="A638" s="20">
        <v>42131</v>
      </c>
      <c r="B638" s="183">
        <v>20212</v>
      </c>
      <c r="C638" s="14" t="s">
        <v>1256</v>
      </c>
      <c r="D638" s="105">
        <v>7296</v>
      </c>
      <c r="E638" s="23">
        <v>42131</v>
      </c>
      <c r="F638" s="106">
        <v>7296</v>
      </c>
      <c r="G638" s="31">
        <f t="shared" si="18"/>
        <v>0</v>
      </c>
      <c r="H638" s="39" t="s">
        <v>1257</v>
      </c>
      <c r="I638" s="3"/>
      <c r="J638" s="42"/>
      <c r="K638" s="3"/>
      <c r="M638" s="20">
        <v>42131</v>
      </c>
      <c r="N638" s="183">
        <v>20223</v>
      </c>
      <c r="O638" s="14" t="s">
        <v>1261</v>
      </c>
      <c r="P638" s="105">
        <v>6790.4</v>
      </c>
      <c r="Q638" s="23">
        <v>42131</v>
      </c>
      <c r="R638" s="106">
        <v>6790.4</v>
      </c>
      <c r="S638" s="31">
        <f t="shared" si="19"/>
        <v>0</v>
      </c>
      <c r="T638" s="39" t="s">
        <v>9</v>
      </c>
    </row>
    <row r="639" spans="1:20" x14ac:dyDescent="0.25">
      <c r="A639" s="20">
        <v>42131</v>
      </c>
      <c r="B639" s="183">
        <v>20213</v>
      </c>
      <c r="C639" s="14" t="s">
        <v>20</v>
      </c>
      <c r="D639" s="105">
        <v>4598.1000000000004</v>
      </c>
      <c r="E639" s="23">
        <v>42131</v>
      </c>
      <c r="F639" s="106">
        <v>4598.1000000000004</v>
      </c>
      <c r="G639" s="31">
        <f t="shared" si="18"/>
        <v>0</v>
      </c>
      <c r="H639" s="39" t="s">
        <v>94</v>
      </c>
      <c r="I639" s="3"/>
      <c r="J639" s="42"/>
      <c r="K639" s="3"/>
      <c r="M639" s="20">
        <v>42132</v>
      </c>
      <c r="N639" s="183">
        <v>20347</v>
      </c>
      <c r="O639" s="14" t="s">
        <v>1261</v>
      </c>
      <c r="P639" s="105">
        <v>6227.2</v>
      </c>
      <c r="Q639" s="23">
        <v>42132</v>
      </c>
      <c r="R639" s="106">
        <v>6227.2</v>
      </c>
      <c r="S639" s="31">
        <f t="shared" si="19"/>
        <v>0</v>
      </c>
      <c r="T639" s="19" t="s">
        <v>9</v>
      </c>
    </row>
    <row r="640" spans="1:20" x14ac:dyDescent="0.25">
      <c r="A640" s="20">
        <v>42131</v>
      </c>
      <c r="B640" s="183">
        <v>20214</v>
      </c>
      <c r="C640" s="14" t="s">
        <v>20</v>
      </c>
      <c r="D640" s="105">
        <v>1416.8</v>
      </c>
      <c r="E640" s="23">
        <v>42131</v>
      </c>
      <c r="F640" s="106">
        <v>1416.8</v>
      </c>
      <c r="G640" s="31">
        <f t="shared" si="18"/>
        <v>0</v>
      </c>
      <c r="H640" s="39" t="s">
        <v>9</v>
      </c>
      <c r="I640" s="3"/>
      <c r="J640" s="42"/>
      <c r="K640" s="3"/>
      <c r="M640" s="20">
        <v>42133</v>
      </c>
      <c r="N640" s="183">
        <v>20491</v>
      </c>
      <c r="O640" s="14" t="s">
        <v>1261</v>
      </c>
      <c r="P640" s="105">
        <v>8917.6</v>
      </c>
      <c r="Q640" s="23">
        <v>42133</v>
      </c>
      <c r="R640" s="106">
        <v>8917.6</v>
      </c>
      <c r="S640" s="31">
        <f t="shared" si="19"/>
        <v>0</v>
      </c>
      <c r="T640" s="19" t="s">
        <v>9</v>
      </c>
    </row>
    <row r="641" spans="1:20" x14ac:dyDescent="0.25">
      <c r="A641" s="20">
        <v>42131</v>
      </c>
      <c r="B641" s="183">
        <v>20215</v>
      </c>
      <c r="C641" s="14" t="s">
        <v>114</v>
      </c>
      <c r="D641" s="105">
        <v>945.6</v>
      </c>
      <c r="E641" s="23">
        <v>42131</v>
      </c>
      <c r="F641" s="106">
        <v>945.6</v>
      </c>
      <c r="G641" s="31">
        <f t="shared" si="18"/>
        <v>0</v>
      </c>
      <c r="H641" s="39" t="s">
        <v>9</v>
      </c>
      <c r="I641" s="3"/>
      <c r="J641" s="42"/>
      <c r="K641" s="3"/>
      <c r="M641" s="20">
        <v>42135</v>
      </c>
      <c r="N641" s="183">
        <v>20685</v>
      </c>
      <c r="O641" s="14" t="s">
        <v>1261</v>
      </c>
      <c r="P641" s="105">
        <v>18240.400000000001</v>
      </c>
      <c r="Q641" s="23">
        <v>42135</v>
      </c>
      <c r="R641" s="106">
        <v>18240.400000000001</v>
      </c>
      <c r="S641" s="31">
        <f t="shared" si="19"/>
        <v>0</v>
      </c>
      <c r="T641" s="39" t="s">
        <v>9</v>
      </c>
    </row>
    <row r="642" spans="1:20" x14ac:dyDescent="0.25">
      <c r="A642" s="20">
        <v>42131</v>
      </c>
      <c r="B642" s="183">
        <v>20216</v>
      </c>
      <c r="C642" s="14" t="s">
        <v>112</v>
      </c>
      <c r="D642" s="105">
        <v>7194</v>
      </c>
      <c r="E642" s="23">
        <v>42136</v>
      </c>
      <c r="F642" s="106">
        <v>7194</v>
      </c>
      <c r="G642" s="31">
        <f t="shared" si="18"/>
        <v>0</v>
      </c>
      <c r="H642" s="39" t="s">
        <v>9</v>
      </c>
      <c r="K642" s="3"/>
      <c r="M642" s="20">
        <v>42136</v>
      </c>
      <c r="N642" s="183">
        <v>20806</v>
      </c>
      <c r="O642" s="14" t="s">
        <v>1261</v>
      </c>
      <c r="P642" s="105">
        <v>7735.08</v>
      </c>
      <c r="Q642" s="23">
        <v>42136</v>
      </c>
      <c r="R642" s="106">
        <v>7735.08</v>
      </c>
      <c r="S642" s="31">
        <f t="shared" si="19"/>
        <v>0</v>
      </c>
      <c r="T642" s="39" t="s">
        <v>9</v>
      </c>
    </row>
    <row r="643" spans="1:20" x14ac:dyDescent="0.25">
      <c r="A643" s="20">
        <v>42131</v>
      </c>
      <c r="B643" s="183">
        <v>20217</v>
      </c>
      <c r="C643" s="14" t="s">
        <v>22</v>
      </c>
      <c r="D643" s="105">
        <v>3091.2</v>
      </c>
      <c r="E643" s="23">
        <v>42131</v>
      </c>
      <c r="F643" s="106">
        <v>3091.2</v>
      </c>
      <c r="G643" s="31">
        <f t="shared" ref="G643:G706" si="20">D643-F643</f>
        <v>0</v>
      </c>
      <c r="H643" s="39" t="s">
        <v>9</v>
      </c>
      <c r="K643" s="3"/>
      <c r="M643" s="20">
        <v>42139</v>
      </c>
      <c r="N643" s="183">
        <v>21107</v>
      </c>
      <c r="O643" s="14" t="s">
        <v>1261</v>
      </c>
      <c r="P643" s="105">
        <v>3252</v>
      </c>
      <c r="Q643" s="23">
        <v>42139</v>
      </c>
      <c r="R643" s="106">
        <v>3252</v>
      </c>
      <c r="S643" s="48">
        <f t="shared" ref="S643:S706" si="21">P643-R643</f>
        <v>0</v>
      </c>
      <c r="T643" s="39" t="s">
        <v>1327</v>
      </c>
    </row>
    <row r="644" spans="1:20" x14ac:dyDescent="0.25">
      <c r="A644" s="20">
        <v>42131</v>
      </c>
      <c r="B644" s="183">
        <v>20218</v>
      </c>
      <c r="C644" s="14" t="s">
        <v>1172</v>
      </c>
      <c r="D644" s="105">
        <v>30274.02</v>
      </c>
      <c r="E644" s="23">
        <v>42131</v>
      </c>
      <c r="F644" s="106">
        <v>30274.02</v>
      </c>
      <c r="G644" s="31">
        <f t="shared" si="20"/>
        <v>0</v>
      </c>
      <c r="H644" s="39" t="s">
        <v>9</v>
      </c>
      <c r="K644" s="3"/>
      <c r="M644" s="20">
        <v>42140</v>
      </c>
      <c r="N644" s="183">
        <v>21217</v>
      </c>
      <c r="O644" s="14" t="s">
        <v>1261</v>
      </c>
      <c r="P644" s="105">
        <v>27183.8</v>
      </c>
      <c r="Q644" s="23">
        <v>42140</v>
      </c>
      <c r="R644" s="106">
        <v>27183.8</v>
      </c>
      <c r="S644" s="48">
        <f t="shared" si="21"/>
        <v>0</v>
      </c>
      <c r="T644" s="39" t="s">
        <v>587</v>
      </c>
    </row>
    <row r="645" spans="1:20" x14ac:dyDescent="0.25">
      <c r="A645" s="20">
        <v>42131</v>
      </c>
      <c r="B645" s="183">
        <v>20219</v>
      </c>
      <c r="C645" s="14" t="s">
        <v>1193</v>
      </c>
      <c r="D645" s="105">
        <v>233.2</v>
      </c>
      <c r="E645" s="23">
        <v>42131</v>
      </c>
      <c r="F645" s="106">
        <v>233.2</v>
      </c>
      <c r="G645" s="31">
        <f t="shared" si="20"/>
        <v>0</v>
      </c>
      <c r="H645" s="39" t="s">
        <v>9</v>
      </c>
      <c r="K645" s="3"/>
      <c r="M645" s="20">
        <v>42142</v>
      </c>
      <c r="N645" s="183">
        <v>21406</v>
      </c>
      <c r="O645" s="14" t="s">
        <v>1261</v>
      </c>
      <c r="P645" s="105">
        <v>18449.8</v>
      </c>
      <c r="Q645" s="23">
        <v>42142</v>
      </c>
      <c r="R645" s="118">
        <v>18449.8</v>
      </c>
      <c r="S645" s="31">
        <f t="shared" si="21"/>
        <v>0</v>
      </c>
      <c r="T645" s="56" t="s">
        <v>587</v>
      </c>
    </row>
    <row r="646" spans="1:20" x14ac:dyDescent="0.25">
      <c r="A646" s="20">
        <v>42131</v>
      </c>
      <c r="B646" s="183">
        <v>20220</v>
      </c>
      <c r="C646" s="14" t="s">
        <v>1328</v>
      </c>
      <c r="D646" s="105">
        <v>23187.599999999999</v>
      </c>
      <c r="E646" s="23">
        <v>42131</v>
      </c>
      <c r="F646" s="106">
        <v>23187.599999999999</v>
      </c>
      <c r="G646" s="31">
        <f t="shared" si="20"/>
        <v>0</v>
      </c>
      <c r="H646" s="39" t="s">
        <v>9</v>
      </c>
      <c r="K646" s="3"/>
      <c r="M646" s="20">
        <v>42142</v>
      </c>
      <c r="N646" s="183">
        <v>21416</v>
      </c>
      <c r="O646" s="14" t="s">
        <v>1261</v>
      </c>
      <c r="P646" s="105">
        <v>6489</v>
      </c>
      <c r="Q646" s="23">
        <v>42142</v>
      </c>
      <c r="R646" s="118">
        <v>6489</v>
      </c>
      <c r="S646" s="31">
        <f t="shared" si="21"/>
        <v>0</v>
      </c>
      <c r="T646" s="56" t="s">
        <v>587</v>
      </c>
    </row>
    <row r="647" spans="1:20" x14ac:dyDescent="0.25">
      <c r="A647" s="20">
        <v>42131</v>
      </c>
      <c r="B647" s="183">
        <v>20221</v>
      </c>
      <c r="C647" s="14" t="s">
        <v>940</v>
      </c>
      <c r="D647" s="105">
        <v>2046.6</v>
      </c>
      <c r="E647" s="23">
        <v>42131</v>
      </c>
      <c r="F647" s="106">
        <v>2046.6</v>
      </c>
      <c r="G647" s="31">
        <f t="shared" si="20"/>
        <v>0</v>
      </c>
      <c r="H647" s="39" t="s">
        <v>9</v>
      </c>
      <c r="K647" s="3"/>
      <c r="M647" s="20">
        <v>42143</v>
      </c>
      <c r="N647" s="183">
        <v>21569</v>
      </c>
      <c r="O647" s="14" t="s">
        <v>1261</v>
      </c>
      <c r="P647" s="105">
        <v>6260.6</v>
      </c>
      <c r="Q647" s="23">
        <v>42143</v>
      </c>
      <c r="R647" s="118">
        <v>6260.6</v>
      </c>
      <c r="S647" s="31">
        <f t="shared" si="21"/>
        <v>0</v>
      </c>
      <c r="T647" s="56" t="s">
        <v>587</v>
      </c>
    </row>
    <row r="648" spans="1:20" x14ac:dyDescent="0.25">
      <c r="A648" s="20">
        <v>42131</v>
      </c>
      <c r="B648" s="183">
        <v>20222</v>
      </c>
      <c r="C648" s="14" t="s">
        <v>1173</v>
      </c>
      <c r="D648" s="105">
        <v>6448.75</v>
      </c>
      <c r="E648" s="23">
        <v>42131</v>
      </c>
      <c r="F648" s="106">
        <v>6448.75</v>
      </c>
      <c r="G648" s="31">
        <f t="shared" si="20"/>
        <v>0</v>
      </c>
      <c r="H648" s="39" t="s">
        <v>9</v>
      </c>
      <c r="J648" s="107"/>
      <c r="K648" s="3"/>
      <c r="M648" s="20">
        <v>42145</v>
      </c>
      <c r="N648" s="183">
        <v>21731</v>
      </c>
      <c r="O648" s="14" t="s">
        <v>1261</v>
      </c>
      <c r="P648" s="105">
        <v>6800.4</v>
      </c>
      <c r="Q648" s="23">
        <v>42145</v>
      </c>
      <c r="R648" s="106">
        <v>6800.4</v>
      </c>
      <c r="S648" s="31">
        <f t="shared" si="21"/>
        <v>0</v>
      </c>
      <c r="T648" s="39" t="s">
        <v>9</v>
      </c>
    </row>
    <row r="649" spans="1:20" x14ac:dyDescent="0.25">
      <c r="A649" s="20">
        <v>42131</v>
      </c>
      <c r="B649" s="183">
        <v>20223</v>
      </c>
      <c r="C649" s="14" t="s">
        <v>1261</v>
      </c>
      <c r="D649" s="105">
        <v>6790.4</v>
      </c>
      <c r="E649" s="23">
        <v>42131</v>
      </c>
      <c r="F649" s="106">
        <v>6790.4</v>
      </c>
      <c r="G649" s="31">
        <f t="shared" si="20"/>
        <v>0</v>
      </c>
      <c r="H649" s="39" t="s">
        <v>9</v>
      </c>
      <c r="K649" s="3"/>
      <c r="M649" s="20">
        <v>42146</v>
      </c>
      <c r="N649" s="183">
        <v>21860</v>
      </c>
      <c r="O649" s="14" t="s">
        <v>1261</v>
      </c>
      <c r="P649" s="105">
        <v>2932</v>
      </c>
      <c r="Q649" s="23">
        <v>42147</v>
      </c>
      <c r="R649" s="106">
        <v>2932</v>
      </c>
      <c r="S649" s="31">
        <f t="shared" si="21"/>
        <v>0</v>
      </c>
      <c r="T649" s="39" t="s">
        <v>587</v>
      </c>
    </row>
    <row r="650" spans="1:20" x14ac:dyDescent="0.25">
      <c r="A650" s="20">
        <v>42131</v>
      </c>
      <c r="B650" s="183">
        <v>20224</v>
      </c>
      <c r="C650" s="14" t="s">
        <v>854</v>
      </c>
      <c r="D650" s="105">
        <v>2524.1999999999998</v>
      </c>
      <c r="E650" s="23">
        <v>42131</v>
      </c>
      <c r="F650" s="106">
        <f>1650+874.2</f>
        <v>2524.1999999999998</v>
      </c>
      <c r="G650" s="31">
        <f t="shared" si="20"/>
        <v>0</v>
      </c>
      <c r="H650" s="39" t="s">
        <v>9</v>
      </c>
      <c r="K650" s="3"/>
      <c r="M650" s="20">
        <v>42147</v>
      </c>
      <c r="N650" s="183">
        <v>21980</v>
      </c>
      <c r="O650" s="14" t="s">
        <v>1261</v>
      </c>
      <c r="P650" s="105">
        <v>8494.4</v>
      </c>
      <c r="Q650" s="65">
        <v>42147</v>
      </c>
      <c r="R650" s="106">
        <v>8494.4</v>
      </c>
      <c r="S650" s="31">
        <f t="shared" si="21"/>
        <v>0</v>
      </c>
      <c r="T650" s="39" t="s">
        <v>46</v>
      </c>
    </row>
    <row r="651" spans="1:20" x14ac:dyDescent="0.25">
      <c r="A651" s="20">
        <v>42131</v>
      </c>
      <c r="B651" s="183">
        <v>20225</v>
      </c>
      <c r="C651" s="14" t="s">
        <v>1279</v>
      </c>
      <c r="D651" s="105">
        <v>123569.54</v>
      </c>
      <c r="E651" s="23">
        <v>42143</v>
      </c>
      <c r="F651" s="106">
        <v>123569.54</v>
      </c>
      <c r="G651" s="31">
        <f t="shared" si="20"/>
        <v>0</v>
      </c>
      <c r="H651" s="39" t="s">
        <v>9</v>
      </c>
      <c r="K651" s="3"/>
      <c r="M651" s="20">
        <v>42149</v>
      </c>
      <c r="N651" s="183">
        <v>22163</v>
      </c>
      <c r="O651" s="14" t="s">
        <v>1261</v>
      </c>
      <c r="P651" s="105">
        <v>11583</v>
      </c>
      <c r="Q651" s="65">
        <v>42149</v>
      </c>
      <c r="R651" s="106">
        <v>11583</v>
      </c>
      <c r="S651" s="31">
        <f t="shared" si="21"/>
        <v>0</v>
      </c>
      <c r="T651" s="39" t="s">
        <v>587</v>
      </c>
    </row>
    <row r="652" spans="1:20" x14ac:dyDescent="0.25">
      <c r="A652" s="20">
        <v>42131</v>
      </c>
      <c r="B652" s="183">
        <v>20226</v>
      </c>
      <c r="C652" s="14" t="s">
        <v>431</v>
      </c>
      <c r="D652" s="105">
        <v>4587.3999999999996</v>
      </c>
      <c r="E652" s="23">
        <v>42131</v>
      </c>
      <c r="F652" s="106">
        <v>4587.3999999999996</v>
      </c>
      <c r="G652" s="31">
        <f t="shared" si="20"/>
        <v>0</v>
      </c>
      <c r="H652" s="39" t="s">
        <v>9</v>
      </c>
      <c r="K652" s="3"/>
      <c r="M652" s="20">
        <v>42150</v>
      </c>
      <c r="N652" s="183">
        <v>22311</v>
      </c>
      <c r="O652" s="14" t="s">
        <v>1261</v>
      </c>
      <c r="P652" s="105">
        <v>13737.6</v>
      </c>
      <c r="Q652" s="65">
        <v>42150</v>
      </c>
      <c r="R652" s="106">
        <v>13737.6</v>
      </c>
      <c r="S652" s="31">
        <f t="shared" si="21"/>
        <v>0</v>
      </c>
      <c r="T652" s="39" t="s">
        <v>587</v>
      </c>
    </row>
    <row r="653" spans="1:20" x14ac:dyDescent="0.25">
      <c r="A653" s="20">
        <v>42131</v>
      </c>
      <c r="B653" s="183">
        <v>20227</v>
      </c>
      <c r="C653" s="14" t="s">
        <v>66</v>
      </c>
      <c r="D653" s="105">
        <v>364</v>
      </c>
      <c r="E653" s="23">
        <v>42131</v>
      </c>
      <c r="F653" s="106">
        <v>364</v>
      </c>
      <c r="G653" s="31">
        <f t="shared" si="20"/>
        <v>0</v>
      </c>
      <c r="H653" s="39" t="s">
        <v>9</v>
      </c>
      <c r="K653" s="3"/>
      <c r="M653" s="20">
        <v>42151</v>
      </c>
      <c r="N653" s="183">
        <v>22340</v>
      </c>
      <c r="O653" s="14" t="s">
        <v>1261</v>
      </c>
      <c r="P653" s="105">
        <v>7005.2</v>
      </c>
      <c r="Q653" s="65">
        <v>42151</v>
      </c>
      <c r="R653" s="106">
        <v>7005.2</v>
      </c>
      <c r="S653" s="31">
        <f t="shared" si="21"/>
        <v>0</v>
      </c>
      <c r="T653" s="39" t="s">
        <v>587</v>
      </c>
    </row>
    <row r="654" spans="1:20" x14ac:dyDescent="0.25">
      <c r="A654" s="20">
        <v>42131</v>
      </c>
      <c r="B654" s="183">
        <v>20228</v>
      </c>
      <c r="C654" s="14" t="s">
        <v>829</v>
      </c>
      <c r="D654" s="105">
        <v>9542.75</v>
      </c>
      <c r="E654" s="23">
        <v>42131</v>
      </c>
      <c r="F654" s="106">
        <v>9542.75</v>
      </c>
      <c r="G654" s="31">
        <f t="shared" si="20"/>
        <v>0</v>
      </c>
      <c r="H654" s="39" t="s">
        <v>9</v>
      </c>
      <c r="K654" s="3"/>
      <c r="M654" s="20">
        <v>42153</v>
      </c>
      <c r="N654" s="183">
        <v>22582</v>
      </c>
      <c r="O654" s="14" t="s">
        <v>1261</v>
      </c>
      <c r="P654" s="105">
        <v>9424.7999999999993</v>
      </c>
      <c r="Q654" s="23">
        <v>42153</v>
      </c>
      <c r="R654" s="106">
        <v>9424.7999999999993</v>
      </c>
      <c r="S654" s="31">
        <f t="shared" si="21"/>
        <v>0</v>
      </c>
      <c r="T654" s="39" t="s">
        <v>46</v>
      </c>
    </row>
    <row r="655" spans="1:20" x14ac:dyDescent="0.25">
      <c r="A655" s="20">
        <v>42131</v>
      </c>
      <c r="B655" s="183">
        <v>20229</v>
      </c>
      <c r="C655" s="14" t="s">
        <v>135</v>
      </c>
      <c r="D655" s="105">
        <v>12576.8</v>
      </c>
      <c r="E655" s="23">
        <v>42131</v>
      </c>
      <c r="F655" s="106">
        <v>12576.8</v>
      </c>
      <c r="G655" s="31">
        <f t="shared" si="20"/>
        <v>0</v>
      </c>
      <c r="H655" s="39" t="s">
        <v>9</v>
      </c>
      <c r="K655" s="3"/>
      <c r="M655" s="20">
        <v>42154</v>
      </c>
      <c r="N655" s="183">
        <v>22693</v>
      </c>
      <c r="O655" s="14" t="s">
        <v>1261</v>
      </c>
      <c r="P655" s="105">
        <v>3096</v>
      </c>
      <c r="Q655" s="23">
        <v>42154</v>
      </c>
      <c r="R655" s="106">
        <v>3096</v>
      </c>
      <c r="S655" s="31">
        <f t="shared" si="21"/>
        <v>0</v>
      </c>
      <c r="T655" s="39" t="s">
        <v>587</v>
      </c>
    </row>
    <row r="656" spans="1:20" x14ac:dyDescent="0.25">
      <c r="A656" s="20">
        <v>42131</v>
      </c>
      <c r="B656" s="183">
        <v>20230</v>
      </c>
      <c r="C656" s="14" t="s">
        <v>1190</v>
      </c>
      <c r="D656" s="105">
        <v>4501.2</v>
      </c>
      <c r="E656" s="23">
        <v>42131</v>
      </c>
      <c r="F656" s="106">
        <v>4501.2</v>
      </c>
      <c r="G656" s="31">
        <f t="shared" si="20"/>
        <v>0</v>
      </c>
      <c r="H656" s="39" t="s">
        <v>9</v>
      </c>
      <c r="K656" s="3"/>
      <c r="M656" s="20">
        <v>42137</v>
      </c>
      <c r="N656" s="183">
        <v>20944</v>
      </c>
      <c r="O656" s="14" t="s">
        <v>1329</v>
      </c>
      <c r="P656" s="105">
        <v>6784</v>
      </c>
      <c r="Q656" s="23">
        <v>42137</v>
      </c>
      <c r="R656" s="106">
        <v>6784</v>
      </c>
      <c r="S656" s="31">
        <f t="shared" si="21"/>
        <v>0</v>
      </c>
      <c r="T656" s="19" t="s">
        <v>9</v>
      </c>
    </row>
    <row r="657" spans="1:20" x14ac:dyDescent="0.25">
      <c r="A657" s="20">
        <v>42131</v>
      </c>
      <c r="B657" s="183">
        <v>20231</v>
      </c>
      <c r="C657" s="14" t="s">
        <v>1185</v>
      </c>
      <c r="D657" s="105">
        <v>2755.5</v>
      </c>
      <c r="E657" s="23">
        <v>42131</v>
      </c>
      <c r="F657" s="106">
        <v>2755.5</v>
      </c>
      <c r="G657" s="31">
        <f t="shared" si="20"/>
        <v>0</v>
      </c>
      <c r="H657" s="39" t="s">
        <v>9</v>
      </c>
      <c r="K657" s="3"/>
      <c r="M657" s="20">
        <v>42151</v>
      </c>
      <c r="N657" s="183">
        <v>22341</v>
      </c>
      <c r="O657" s="14" t="s">
        <v>1330</v>
      </c>
      <c r="P657" s="105">
        <v>1112.4000000000001</v>
      </c>
      <c r="Q657" s="65">
        <v>42151</v>
      </c>
      <c r="R657" s="106">
        <v>1112.4000000000001</v>
      </c>
      <c r="S657" s="31">
        <f t="shared" si="21"/>
        <v>0</v>
      </c>
      <c r="T657" s="39" t="s">
        <v>9</v>
      </c>
    </row>
    <row r="658" spans="1:20" x14ac:dyDescent="0.25">
      <c r="A658" s="20">
        <v>42131</v>
      </c>
      <c r="B658" s="183">
        <v>20232</v>
      </c>
      <c r="C658" s="14" t="s">
        <v>125</v>
      </c>
      <c r="D658" s="105">
        <v>7263</v>
      </c>
      <c r="E658" s="23">
        <v>42136</v>
      </c>
      <c r="F658" s="106">
        <v>7263</v>
      </c>
      <c r="G658" s="31">
        <f t="shared" si="20"/>
        <v>0</v>
      </c>
      <c r="H658" s="39" t="s">
        <v>1273</v>
      </c>
      <c r="K658" s="3"/>
      <c r="M658" s="20">
        <v>42125</v>
      </c>
      <c r="N658" s="183">
        <v>19593</v>
      </c>
      <c r="O658" s="14" t="s">
        <v>1185</v>
      </c>
      <c r="P658" s="105">
        <v>2473.1999999999998</v>
      </c>
      <c r="Q658" s="23">
        <v>42125</v>
      </c>
      <c r="R658" s="106">
        <v>2473.1999999999998</v>
      </c>
      <c r="S658" s="25">
        <f t="shared" si="21"/>
        <v>0</v>
      </c>
      <c r="T658" s="19" t="s">
        <v>9</v>
      </c>
    </row>
    <row r="659" spans="1:20" x14ac:dyDescent="0.25">
      <c r="A659" s="20">
        <v>42131</v>
      </c>
      <c r="B659" s="183">
        <v>20233</v>
      </c>
      <c r="C659" s="14" t="s">
        <v>125</v>
      </c>
      <c r="D659" s="105">
        <v>10546.8</v>
      </c>
      <c r="E659" s="23">
        <v>42137</v>
      </c>
      <c r="F659" s="106">
        <v>10546.8</v>
      </c>
      <c r="G659" s="31">
        <f t="shared" si="20"/>
        <v>0</v>
      </c>
      <c r="H659" s="39" t="s">
        <v>1273</v>
      </c>
      <c r="J659" s="107"/>
      <c r="K659" s="3"/>
      <c r="M659" s="20">
        <v>42127</v>
      </c>
      <c r="N659" s="183">
        <v>19833</v>
      </c>
      <c r="O659" s="40" t="s">
        <v>1185</v>
      </c>
      <c r="P659" s="105">
        <v>2081.6999999999998</v>
      </c>
      <c r="Q659" s="23">
        <v>42127</v>
      </c>
      <c r="R659" s="106">
        <v>2081.6999999999998</v>
      </c>
      <c r="S659" s="31">
        <f t="shared" si="21"/>
        <v>0</v>
      </c>
      <c r="T659" s="41" t="s">
        <v>9</v>
      </c>
    </row>
    <row r="660" spans="1:20" x14ac:dyDescent="0.25">
      <c r="A660" s="20">
        <v>42131</v>
      </c>
      <c r="B660" s="183">
        <v>20234</v>
      </c>
      <c r="C660" s="14" t="s">
        <v>1142</v>
      </c>
      <c r="D660" s="105">
        <v>2485.1999999999998</v>
      </c>
      <c r="E660" s="23">
        <v>42131</v>
      </c>
      <c r="F660" s="106">
        <v>2485.1999999999998</v>
      </c>
      <c r="G660" s="31">
        <f t="shared" si="20"/>
        <v>0</v>
      </c>
      <c r="H660" s="39" t="s">
        <v>9</v>
      </c>
      <c r="K660" s="3"/>
      <c r="M660" s="20">
        <v>42131</v>
      </c>
      <c r="N660" s="183">
        <v>20231</v>
      </c>
      <c r="O660" s="14" t="s">
        <v>1185</v>
      </c>
      <c r="P660" s="105">
        <v>2755.5</v>
      </c>
      <c r="Q660" s="23">
        <v>42131</v>
      </c>
      <c r="R660" s="106">
        <v>2755.5</v>
      </c>
      <c r="S660" s="31">
        <f t="shared" si="21"/>
        <v>0</v>
      </c>
      <c r="T660" s="39" t="s">
        <v>9</v>
      </c>
    </row>
    <row r="661" spans="1:20" x14ac:dyDescent="0.25">
      <c r="A661" s="20">
        <v>42131</v>
      </c>
      <c r="B661" s="183">
        <v>20235</v>
      </c>
      <c r="C661" s="14" t="s">
        <v>49</v>
      </c>
      <c r="D661" s="105">
        <v>1364</v>
      </c>
      <c r="E661" s="23">
        <v>42131</v>
      </c>
      <c r="F661" s="106">
        <v>1364</v>
      </c>
      <c r="G661" s="31">
        <f t="shared" si="20"/>
        <v>0</v>
      </c>
      <c r="H661" s="39" t="s">
        <v>1273</v>
      </c>
      <c r="K661" s="3"/>
      <c r="M661" s="20">
        <v>42132</v>
      </c>
      <c r="N661" s="183">
        <v>20348</v>
      </c>
      <c r="O661" s="14" t="s">
        <v>1185</v>
      </c>
      <c r="P661" s="105">
        <v>2541</v>
      </c>
      <c r="Q661" s="23">
        <v>42132</v>
      </c>
      <c r="R661" s="106">
        <v>2541</v>
      </c>
      <c r="S661" s="31">
        <f t="shared" si="21"/>
        <v>0</v>
      </c>
      <c r="T661" s="19" t="s">
        <v>9</v>
      </c>
    </row>
    <row r="662" spans="1:20" x14ac:dyDescent="0.25">
      <c r="A662" s="20">
        <v>42131</v>
      </c>
      <c r="B662" s="183">
        <v>20236</v>
      </c>
      <c r="C662" s="14" t="s">
        <v>24</v>
      </c>
      <c r="D662" s="105">
        <v>6906.6</v>
      </c>
      <c r="E662" s="23">
        <v>42151</v>
      </c>
      <c r="F662" s="106">
        <v>6906.6</v>
      </c>
      <c r="G662" s="31">
        <f t="shared" si="20"/>
        <v>0</v>
      </c>
      <c r="H662" s="39" t="s">
        <v>9</v>
      </c>
      <c r="K662" s="3"/>
      <c r="M662" s="20">
        <v>42133</v>
      </c>
      <c r="N662" s="183">
        <v>20474</v>
      </c>
      <c r="O662" s="14" t="s">
        <v>1185</v>
      </c>
      <c r="P662" s="105">
        <v>3007.2</v>
      </c>
      <c r="Q662" s="23">
        <v>42133</v>
      </c>
      <c r="R662" s="106">
        <v>3007.2</v>
      </c>
      <c r="S662" s="31">
        <f t="shared" si="21"/>
        <v>0</v>
      </c>
      <c r="T662" s="39" t="s">
        <v>9</v>
      </c>
    </row>
    <row r="663" spans="1:20" x14ac:dyDescent="0.25">
      <c r="A663" s="20">
        <v>42131</v>
      </c>
      <c r="B663" s="183">
        <v>20237</v>
      </c>
      <c r="C663" s="14" t="s">
        <v>1182</v>
      </c>
      <c r="D663" s="105">
        <v>494.4</v>
      </c>
      <c r="E663" s="23">
        <v>42131</v>
      </c>
      <c r="F663" s="106">
        <v>494.4</v>
      </c>
      <c r="G663" s="31">
        <f t="shared" si="20"/>
        <v>0</v>
      </c>
      <c r="H663" s="39" t="s">
        <v>9</v>
      </c>
      <c r="K663" s="3"/>
      <c r="M663" s="20">
        <v>42125</v>
      </c>
      <c r="N663" s="183">
        <v>19658</v>
      </c>
      <c r="O663" s="14" t="s">
        <v>173</v>
      </c>
      <c r="P663" s="105">
        <v>36288.6</v>
      </c>
      <c r="Q663" s="30" t="s">
        <v>1266</v>
      </c>
      <c r="R663" s="106">
        <v>36288.6</v>
      </c>
      <c r="S663" s="25">
        <f t="shared" si="21"/>
        <v>0</v>
      </c>
      <c r="T663" s="39" t="s">
        <v>94</v>
      </c>
    </row>
    <row r="664" spans="1:20" x14ac:dyDescent="0.25">
      <c r="A664" s="20">
        <v>42131</v>
      </c>
      <c r="B664" s="183">
        <v>20238</v>
      </c>
      <c r="C664" s="14" t="s">
        <v>1291</v>
      </c>
      <c r="D664" s="105">
        <v>2096.5</v>
      </c>
      <c r="E664" s="23">
        <v>42140</v>
      </c>
      <c r="F664" s="106">
        <v>2096.5</v>
      </c>
      <c r="G664" s="31">
        <f t="shared" si="20"/>
        <v>0</v>
      </c>
      <c r="H664" s="39" t="s">
        <v>9</v>
      </c>
      <c r="K664" s="3"/>
      <c r="M664" s="20">
        <v>42128</v>
      </c>
      <c r="N664" s="183">
        <v>19952</v>
      </c>
      <c r="O664" s="14" t="s">
        <v>173</v>
      </c>
      <c r="P664" s="105">
        <v>15864.25</v>
      </c>
      <c r="Q664" s="30" t="s">
        <v>1303</v>
      </c>
      <c r="R664" s="106">
        <v>15864.25</v>
      </c>
      <c r="S664" s="31">
        <f t="shared" si="21"/>
        <v>0</v>
      </c>
      <c r="T664" s="19" t="s">
        <v>62</v>
      </c>
    </row>
    <row r="665" spans="1:20" x14ac:dyDescent="0.25">
      <c r="A665" s="20">
        <v>42131</v>
      </c>
      <c r="B665" s="183">
        <v>20239</v>
      </c>
      <c r="C665" s="14" t="s">
        <v>226</v>
      </c>
      <c r="D665" s="105">
        <v>2009.4</v>
      </c>
      <c r="E665" s="23">
        <v>42131</v>
      </c>
      <c r="F665" s="106">
        <v>2009.4</v>
      </c>
      <c r="G665" s="31">
        <f t="shared" si="20"/>
        <v>0</v>
      </c>
      <c r="H665" s="19" t="s">
        <v>41</v>
      </c>
      <c r="K665" s="3"/>
      <c r="M665" s="20">
        <v>42130</v>
      </c>
      <c r="N665" s="183">
        <v>20139</v>
      </c>
      <c r="O665" s="14" t="s">
        <v>173</v>
      </c>
      <c r="P665" s="105">
        <v>25837.65</v>
      </c>
      <c r="Q665" s="30" t="s">
        <v>1320</v>
      </c>
      <c r="R665" s="106">
        <v>25837.65</v>
      </c>
      <c r="S665" s="31">
        <f t="shared" si="21"/>
        <v>0</v>
      </c>
      <c r="T665" s="39" t="s">
        <v>62</v>
      </c>
    </row>
    <row r="666" spans="1:20" x14ac:dyDescent="0.25">
      <c r="A666" s="20">
        <v>42131</v>
      </c>
      <c r="B666" s="183">
        <v>20240</v>
      </c>
      <c r="C666" s="14" t="s">
        <v>285</v>
      </c>
      <c r="D666" s="105">
        <v>738.15</v>
      </c>
      <c r="E666" s="23">
        <v>42131</v>
      </c>
      <c r="F666" s="106">
        <v>738.15</v>
      </c>
      <c r="G666" s="31">
        <f t="shared" si="20"/>
        <v>0</v>
      </c>
      <c r="H666" s="19" t="s">
        <v>9</v>
      </c>
      <c r="K666" s="3"/>
      <c r="M666" s="20">
        <v>42132</v>
      </c>
      <c r="N666" s="183">
        <v>20365</v>
      </c>
      <c r="O666" s="14" t="s">
        <v>173</v>
      </c>
      <c r="P666" s="105">
        <v>34908.050000000003</v>
      </c>
      <c r="Q666" s="30" t="s">
        <v>1331</v>
      </c>
      <c r="R666" s="106">
        <v>34908.050000000003</v>
      </c>
      <c r="S666" s="31">
        <f t="shared" si="21"/>
        <v>0</v>
      </c>
      <c r="T666" s="19" t="s">
        <v>62</v>
      </c>
    </row>
    <row r="667" spans="1:20" x14ac:dyDescent="0.25">
      <c r="A667" s="20">
        <v>42131</v>
      </c>
      <c r="B667" s="183">
        <v>20241</v>
      </c>
      <c r="C667" s="14" t="s">
        <v>127</v>
      </c>
      <c r="D667" s="105">
        <v>16808.849999999999</v>
      </c>
      <c r="E667" s="23">
        <v>42131</v>
      </c>
      <c r="F667" s="106">
        <v>16808.849999999999</v>
      </c>
      <c r="G667" s="31">
        <f t="shared" si="20"/>
        <v>0</v>
      </c>
      <c r="H667" s="19" t="s">
        <v>9</v>
      </c>
      <c r="K667" s="3"/>
      <c r="M667" s="20">
        <v>42132</v>
      </c>
      <c r="N667" s="183">
        <v>20396</v>
      </c>
      <c r="O667" s="14" t="s">
        <v>173</v>
      </c>
      <c r="P667" s="105">
        <v>43856.4</v>
      </c>
      <c r="Q667" s="30" t="s">
        <v>1332</v>
      </c>
      <c r="R667" s="106">
        <v>43856.4</v>
      </c>
      <c r="S667" s="31">
        <f t="shared" si="21"/>
        <v>0</v>
      </c>
      <c r="T667" s="19" t="s">
        <v>1273</v>
      </c>
    </row>
    <row r="668" spans="1:20" x14ac:dyDescent="0.25">
      <c r="A668" s="20">
        <v>42131</v>
      </c>
      <c r="B668" s="183">
        <v>20242</v>
      </c>
      <c r="C668" s="14" t="s">
        <v>137</v>
      </c>
      <c r="D668" s="105">
        <v>272.8</v>
      </c>
      <c r="E668" s="23">
        <v>42131</v>
      </c>
      <c r="F668" s="106">
        <v>272.8</v>
      </c>
      <c r="G668" s="31">
        <f t="shared" si="20"/>
        <v>0</v>
      </c>
      <c r="H668" s="19" t="s">
        <v>9</v>
      </c>
      <c r="K668" s="3"/>
      <c r="M668" s="20">
        <v>42134</v>
      </c>
      <c r="N668" s="183">
        <v>20652</v>
      </c>
      <c r="O668" s="14" t="s">
        <v>173</v>
      </c>
      <c r="P668" s="105">
        <v>30014.240000000002</v>
      </c>
      <c r="Q668" s="23"/>
      <c r="R668" s="106"/>
      <c r="S668" s="31">
        <f t="shared" si="21"/>
        <v>30014.240000000002</v>
      </c>
      <c r="T668" s="39" t="s">
        <v>62</v>
      </c>
    </row>
    <row r="669" spans="1:20" x14ac:dyDescent="0.25">
      <c r="A669" s="20">
        <v>42131</v>
      </c>
      <c r="B669" s="183">
        <v>20243</v>
      </c>
      <c r="C669" s="14" t="s">
        <v>118</v>
      </c>
      <c r="D669" s="105">
        <v>4228</v>
      </c>
      <c r="E669" s="23">
        <v>42136</v>
      </c>
      <c r="F669" s="106">
        <v>4228</v>
      </c>
      <c r="G669" s="31">
        <f t="shared" si="20"/>
        <v>0</v>
      </c>
      <c r="H669" s="19" t="s">
        <v>59</v>
      </c>
      <c r="K669" s="3"/>
      <c r="M669" s="20">
        <v>42135</v>
      </c>
      <c r="N669" s="183">
        <v>20724</v>
      </c>
      <c r="O669" s="14" t="s">
        <v>173</v>
      </c>
      <c r="P669" s="105">
        <v>10149</v>
      </c>
      <c r="Q669" s="30" t="s">
        <v>1333</v>
      </c>
      <c r="R669" s="106">
        <v>10149</v>
      </c>
      <c r="S669" s="31">
        <f t="shared" si="21"/>
        <v>0</v>
      </c>
      <c r="T669" s="19" t="s">
        <v>62</v>
      </c>
    </row>
    <row r="670" spans="1:20" x14ac:dyDescent="0.25">
      <c r="A670" s="20">
        <v>42131</v>
      </c>
      <c r="B670" s="183">
        <v>20244</v>
      </c>
      <c r="C670" s="14" t="s">
        <v>729</v>
      </c>
      <c r="D670" s="105">
        <v>1587.3</v>
      </c>
      <c r="E670" s="23">
        <v>42131</v>
      </c>
      <c r="F670" s="106">
        <v>1587.3</v>
      </c>
      <c r="G670" s="31">
        <f t="shared" si="20"/>
        <v>0</v>
      </c>
      <c r="H670" s="19" t="s">
        <v>59</v>
      </c>
      <c r="K670" s="3"/>
      <c r="M670" s="20">
        <v>42137</v>
      </c>
      <c r="N670" s="183">
        <v>20909</v>
      </c>
      <c r="O670" s="14" t="s">
        <v>173</v>
      </c>
      <c r="P670" s="105">
        <v>20113</v>
      </c>
      <c r="Q670" s="23"/>
      <c r="R670" s="106"/>
      <c r="S670" s="31">
        <f t="shared" si="21"/>
        <v>20113</v>
      </c>
      <c r="T670" s="19" t="s">
        <v>62</v>
      </c>
    </row>
    <row r="671" spans="1:20" x14ac:dyDescent="0.25">
      <c r="A671" s="20">
        <v>42131</v>
      </c>
      <c r="B671" s="183">
        <v>20245</v>
      </c>
      <c r="C671" s="14" t="s">
        <v>155</v>
      </c>
      <c r="D671" s="105">
        <v>1394.4</v>
      </c>
      <c r="E671" s="23">
        <v>42131</v>
      </c>
      <c r="F671" s="106">
        <v>1394.4</v>
      </c>
      <c r="G671" s="31">
        <f t="shared" si="20"/>
        <v>0</v>
      </c>
      <c r="H671" s="19" t="s">
        <v>9</v>
      </c>
      <c r="K671" s="3"/>
      <c r="M671" s="20">
        <v>42139</v>
      </c>
      <c r="N671" s="183">
        <v>21163</v>
      </c>
      <c r="O671" s="14" t="s">
        <v>173</v>
      </c>
      <c r="P671" s="105">
        <v>39717.599999999999</v>
      </c>
      <c r="Q671" s="30" t="s">
        <v>1334</v>
      </c>
      <c r="R671" s="106">
        <v>39717.599999999999</v>
      </c>
      <c r="S671" s="48">
        <f t="shared" si="21"/>
        <v>0</v>
      </c>
      <c r="T671" s="39" t="s">
        <v>62</v>
      </c>
    </row>
    <row r="672" spans="1:20" x14ac:dyDescent="0.25">
      <c r="A672" s="20">
        <v>42131</v>
      </c>
      <c r="B672" s="183">
        <v>20246</v>
      </c>
      <c r="C672" s="14" t="s">
        <v>32</v>
      </c>
      <c r="D672" s="105">
        <v>248322.3</v>
      </c>
      <c r="E672" s="23">
        <v>42140</v>
      </c>
      <c r="F672" s="106">
        <v>248322.3</v>
      </c>
      <c r="G672" s="31">
        <f t="shared" si="20"/>
        <v>0</v>
      </c>
      <c r="H672" s="19" t="s">
        <v>9</v>
      </c>
      <c r="K672" s="3"/>
      <c r="M672" s="20">
        <v>42142</v>
      </c>
      <c r="N672" s="183">
        <v>21453</v>
      </c>
      <c r="O672" s="14" t="s">
        <v>173</v>
      </c>
      <c r="P672" s="105">
        <v>20554.55</v>
      </c>
      <c r="Q672" s="65"/>
      <c r="R672" s="106"/>
      <c r="S672" s="31">
        <f t="shared" si="21"/>
        <v>20554.55</v>
      </c>
      <c r="T672" s="19" t="s">
        <v>62</v>
      </c>
    </row>
    <row r="673" spans="1:20" x14ac:dyDescent="0.25">
      <c r="A673" s="20">
        <v>42131</v>
      </c>
      <c r="B673" s="183">
        <v>20247</v>
      </c>
      <c r="C673" s="14" t="s">
        <v>169</v>
      </c>
      <c r="D673" s="105">
        <v>1903</v>
      </c>
      <c r="E673" s="23">
        <v>42133</v>
      </c>
      <c r="F673" s="106">
        <v>1903</v>
      </c>
      <c r="G673" s="31">
        <f t="shared" si="20"/>
        <v>0</v>
      </c>
      <c r="H673" s="19" t="s">
        <v>59</v>
      </c>
      <c r="K673" s="3"/>
      <c r="M673" s="20">
        <v>42144</v>
      </c>
      <c r="N673" s="183">
        <v>21653</v>
      </c>
      <c r="O673" s="14" t="s">
        <v>173</v>
      </c>
      <c r="P673" s="105">
        <v>18872</v>
      </c>
      <c r="Q673" s="23"/>
      <c r="R673" s="118"/>
      <c r="S673" s="31">
        <f t="shared" si="21"/>
        <v>18872</v>
      </c>
      <c r="T673" s="62" t="s">
        <v>62</v>
      </c>
    </row>
    <row r="674" spans="1:20" x14ac:dyDescent="0.25">
      <c r="A674" s="20">
        <v>42131</v>
      </c>
      <c r="B674" s="183">
        <v>20248</v>
      </c>
      <c r="C674" s="14" t="s">
        <v>1187</v>
      </c>
      <c r="D674" s="105">
        <v>2322.1999999999998</v>
      </c>
      <c r="E674" s="23">
        <v>42131</v>
      </c>
      <c r="F674" s="106">
        <v>2322.1999999999998</v>
      </c>
      <c r="G674" s="31">
        <f t="shared" si="20"/>
        <v>0</v>
      </c>
      <c r="H674" s="19" t="s">
        <v>59</v>
      </c>
      <c r="I674" s="3"/>
      <c r="J674" s="42"/>
      <c r="K674" s="3"/>
      <c r="M674" s="20">
        <v>42146</v>
      </c>
      <c r="N674" s="183">
        <v>21895</v>
      </c>
      <c r="O674" s="14" t="s">
        <v>173</v>
      </c>
      <c r="P674" s="105">
        <v>31417.7</v>
      </c>
      <c r="Q674" s="23"/>
      <c r="R674" s="106"/>
      <c r="S674" s="31">
        <f t="shared" si="21"/>
        <v>31417.7</v>
      </c>
      <c r="T674" s="39" t="s">
        <v>62</v>
      </c>
    </row>
    <row r="675" spans="1:20" x14ac:dyDescent="0.25">
      <c r="A675" s="20">
        <v>42131</v>
      </c>
      <c r="B675" s="183">
        <v>20249</v>
      </c>
      <c r="C675" s="14" t="s">
        <v>82</v>
      </c>
      <c r="D675" s="105">
        <v>5567.4</v>
      </c>
      <c r="E675" s="23">
        <v>42131</v>
      </c>
      <c r="F675" s="106">
        <v>5567.4</v>
      </c>
      <c r="G675" s="31">
        <f t="shared" si="20"/>
        <v>0</v>
      </c>
      <c r="H675" s="19" t="s">
        <v>59</v>
      </c>
      <c r="I675" s="3"/>
      <c r="J675" s="42"/>
      <c r="K675" s="3"/>
      <c r="M675" s="20">
        <v>42149</v>
      </c>
      <c r="N675" s="183">
        <v>22168</v>
      </c>
      <c r="O675" s="14" t="s">
        <v>173</v>
      </c>
      <c r="P675" s="105">
        <v>22275.1</v>
      </c>
      <c r="Q675" s="65"/>
      <c r="R675" s="106"/>
      <c r="S675" s="31">
        <f t="shared" si="21"/>
        <v>22275.1</v>
      </c>
      <c r="T675" s="39" t="s">
        <v>62</v>
      </c>
    </row>
    <row r="676" spans="1:20" x14ac:dyDescent="0.25">
      <c r="A676" s="20">
        <v>42131</v>
      </c>
      <c r="B676" s="183">
        <v>20250</v>
      </c>
      <c r="C676" s="14" t="s">
        <v>47</v>
      </c>
      <c r="D676" s="105">
        <v>22477.87</v>
      </c>
      <c r="E676" s="23">
        <v>42132</v>
      </c>
      <c r="F676" s="106">
        <v>22477.87</v>
      </c>
      <c r="G676" s="31">
        <f t="shared" si="20"/>
        <v>0</v>
      </c>
      <c r="H676" s="19" t="s">
        <v>773</v>
      </c>
      <c r="I676" s="3"/>
      <c r="J676" s="42"/>
      <c r="K676" s="3"/>
      <c r="M676" s="20">
        <v>42151</v>
      </c>
      <c r="N676" s="183">
        <v>22396</v>
      </c>
      <c r="O676" s="14" t="s">
        <v>173</v>
      </c>
      <c r="P676" s="105">
        <v>21998.1</v>
      </c>
      <c r="Q676" s="23"/>
      <c r="R676" s="106"/>
      <c r="S676" s="31">
        <f t="shared" si="21"/>
        <v>21998.1</v>
      </c>
      <c r="T676" s="39" t="s">
        <v>62</v>
      </c>
    </row>
    <row r="677" spans="1:20" x14ac:dyDescent="0.25">
      <c r="A677" s="20">
        <v>42131</v>
      </c>
      <c r="B677" s="183">
        <v>20251</v>
      </c>
      <c r="C677" s="14" t="s">
        <v>81</v>
      </c>
      <c r="D677" s="105">
        <v>1570.8</v>
      </c>
      <c r="E677" s="23">
        <v>42131</v>
      </c>
      <c r="F677" s="106">
        <v>1570.8</v>
      </c>
      <c r="G677" s="31">
        <f t="shared" si="20"/>
        <v>0</v>
      </c>
      <c r="H677" s="19" t="s">
        <v>59</v>
      </c>
      <c r="I677" s="3"/>
      <c r="J677" s="42"/>
      <c r="K677" s="3"/>
      <c r="M677" s="20">
        <v>42153</v>
      </c>
      <c r="N677" s="183">
        <v>22634</v>
      </c>
      <c r="O677" s="14" t="s">
        <v>173</v>
      </c>
      <c r="P677" s="105">
        <v>35532</v>
      </c>
      <c r="Q677" s="23"/>
      <c r="R677" s="106"/>
      <c r="S677" s="31">
        <f t="shared" si="21"/>
        <v>35532</v>
      </c>
      <c r="T677" s="39" t="s">
        <v>62</v>
      </c>
    </row>
    <row r="678" spans="1:20" x14ac:dyDescent="0.25">
      <c r="A678" s="20">
        <v>42131</v>
      </c>
      <c r="B678" s="183">
        <v>20252</v>
      </c>
      <c r="C678" s="14" t="s">
        <v>152</v>
      </c>
      <c r="D678" s="105">
        <v>294.39999999999998</v>
      </c>
      <c r="E678" s="23">
        <v>42131</v>
      </c>
      <c r="F678" s="106">
        <v>294.39999999999998</v>
      </c>
      <c r="G678" s="31">
        <f t="shared" si="20"/>
        <v>0</v>
      </c>
      <c r="H678" s="19" t="s">
        <v>59</v>
      </c>
      <c r="I678" s="3"/>
      <c r="J678" s="42"/>
      <c r="K678" s="3"/>
      <c r="M678" s="20">
        <v>42128</v>
      </c>
      <c r="N678" s="183">
        <v>20007</v>
      </c>
      <c r="O678" s="14" t="s">
        <v>235</v>
      </c>
      <c r="P678" s="105">
        <v>1840.8</v>
      </c>
      <c r="Q678" s="23">
        <v>42129</v>
      </c>
      <c r="R678" s="106">
        <v>1840.8</v>
      </c>
      <c r="S678" s="31">
        <f t="shared" si="21"/>
        <v>0</v>
      </c>
      <c r="T678" s="19" t="s">
        <v>1257</v>
      </c>
    </row>
    <row r="679" spans="1:20" x14ac:dyDescent="0.25">
      <c r="A679" s="20">
        <v>42131</v>
      </c>
      <c r="B679" s="183">
        <v>20253</v>
      </c>
      <c r="C679" s="14" t="s">
        <v>591</v>
      </c>
      <c r="D679" s="105">
        <v>8515.7999999999993</v>
      </c>
      <c r="E679" s="23">
        <v>42132</v>
      </c>
      <c r="F679" s="106">
        <v>8515.7999999999993</v>
      </c>
      <c r="G679" s="31">
        <f t="shared" si="20"/>
        <v>0</v>
      </c>
      <c r="H679" s="19" t="s">
        <v>59</v>
      </c>
      <c r="I679" s="3"/>
      <c r="J679" s="42"/>
      <c r="K679" s="3"/>
      <c r="M679" s="20">
        <v>42133</v>
      </c>
      <c r="N679" s="183">
        <v>20575</v>
      </c>
      <c r="O679" s="14" t="s">
        <v>235</v>
      </c>
      <c r="P679" s="105">
        <v>2016.3</v>
      </c>
      <c r="Q679" s="23">
        <v>42136</v>
      </c>
      <c r="R679" s="106">
        <v>2016.3</v>
      </c>
      <c r="S679" s="31">
        <f t="shared" si="21"/>
        <v>0</v>
      </c>
      <c r="T679" s="19" t="s">
        <v>1257</v>
      </c>
    </row>
    <row r="680" spans="1:20" x14ac:dyDescent="0.25">
      <c r="A680" s="20">
        <v>42131</v>
      </c>
      <c r="B680" s="183">
        <v>20254</v>
      </c>
      <c r="C680" s="14" t="s">
        <v>83</v>
      </c>
      <c r="D680" s="105">
        <v>7008.08</v>
      </c>
      <c r="E680" s="23">
        <v>42131</v>
      </c>
      <c r="F680" s="106">
        <v>7008.08</v>
      </c>
      <c r="G680" s="31">
        <f t="shared" si="20"/>
        <v>0</v>
      </c>
      <c r="H680" s="19" t="s">
        <v>59</v>
      </c>
      <c r="I680" s="3"/>
      <c r="J680" s="42"/>
      <c r="K680" s="3"/>
      <c r="M680" s="20">
        <v>42138</v>
      </c>
      <c r="N680" s="183">
        <v>21076</v>
      </c>
      <c r="O680" s="14" t="s">
        <v>235</v>
      </c>
      <c r="P680" s="105">
        <v>2098.1999999999998</v>
      </c>
      <c r="Q680" s="23">
        <v>42139</v>
      </c>
      <c r="R680" s="106">
        <v>2098.1999999999998</v>
      </c>
      <c r="S680" s="48">
        <f t="shared" si="21"/>
        <v>0</v>
      </c>
      <c r="T680" s="39" t="s">
        <v>1257</v>
      </c>
    </row>
    <row r="681" spans="1:20" x14ac:dyDescent="0.25">
      <c r="A681" s="20">
        <v>42131</v>
      </c>
      <c r="B681" s="183">
        <v>20255</v>
      </c>
      <c r="C681" s="14" t="s">
        <v>256</v>
      </c>
      <c r="D681" s="105">
        <v>6824.8</v>
      </c>
      <c r="E681" s="23">
        <v>42132</v>
      </c>
      <c r="F681" s="106">
        <v>6824.8</v>
      </c>
      <c r="G681" s="31">
        <f t="shared" si="20"/>
        <v>0</v>
      </c>
      <c r="H681" s="19" t="s">
        <v>773</v>
      </c>
      <c r="I681" s="3"/>
      <c r="J681" s="42"/>
      <c r="K681" s="3"/>
      <c r="M681" s="20">
        <v>42141</v>
      </c>
      <c r="N681" s="183">
        <v>21377</v>
      </c>
      <c r="O681" s="14" t="s">
        <v>235</v>
      </c>
      <c r="P681" s="105">
        <v>2080</v>
      </c>
      <c r="Q681" s="23">
        <v>42142</v>
      </c>
      <c r="R681" s="118">
        <v>2080</v>
      </c>
      <c r="S681" s="31">
        <f t="shared" si="21"/>
        <v>0</v>
      </c>
      <c r="T681" s="56" t="s">
        <v>1257</v>
      </c>
    </row>
    <row r="682" spans="1:20" x14ac:dyDescent="0.25">
      <c r="A682" s="20">
        <v>42131</v>
      </c>
      <c r="B682" s="183">
        <v>20256</v>
      </c>
      <c r="C682" s="14" t="s">
        <v>53</v>
      </c>
      <c r="D682" s="105">
        <v>996.2</v>
      </c>
      <c r="E682" s="23">
        <v>42131</v>
      </c>
      <c r="F682" s="106">
        <v>996.2</v>
      </c>
      <c r="G682" s="31">
        <f t="shared" si="20"/>
        <v>0</v>
      </c>
      <c r="H682" s="19" t="s">
        <v>59</v>
      </c>
      <c r="I682" s="3"/>
      <c r="J682" s="42"/>
      <c r="K682" s="3"/>
      <c r="M682" s="20">
        <v>42146</v>
      </c>
      <c r="N682" s="183">
        <v>21924</v>
      </c>
      <c r="O682" s="14" t="s">
        <v>235</v>
      </c>
      <c r="P682" s="105">
        <v>2394.4</v>
      </c>
      <c r="Q682" s="23">
        <v>42147</v>
      </c>
      <c r="R682" s="106">
        <v>2394.4</v>
      </c>
      <c r="S682" s="31">
        <f t="shared" si="21"/>
        <v>0</v>
      </c>
      <c r="T682" s="39" t="s">
        <v>1257</v>
      </c>
    </row>
    <row r="683" spans="1:20" x14ac:dyDescent="0.25">
      <c r="A683" s="20">
        <v>42131</v>
      </c>
      <c r="B683" s="183">
        <v>20257</v>
      </c>
      <c r="C683" s="14" t="s">
        <v>872</v>
      </c>
      <c r="D683" s="105">
        <v>292.5</v>
      </c>
      <c r="E683" s="23">
        <v>42131</v>
      </c>
      <c r="F683" s="106">
        <v>292.5</v>
      </c>
      <c r="G683" s="31">
        <f t="shared" si="20"/>
        <v>0</v>
      </c>
      <c r="H683" s="19" t="s">
        <v>59</v>
      </c>
      <c r="I683" s="3"/>
      <c r="J683" s="42"/>
      <c r="K683" s="3"/>
      <c r="M683" s="20">
        <v>42151</v>
      </c>
      <c r="N683" s="183">
        <v>22422</v>
      </c>
      <c r="O683" s="14" t="s">
        <v>235</v>
      </c>
      <c r="P683" s="105">
        <v>2360.4</v>
      </c>
      <c r="Q683" s="23">
        <v>42152</v>
      </c>
      <c r="R683" s="106">
        <v>2360.4</v>
      </c>
      <c r="S683" s="31">
        <f t="shared" si="21"/>
        <v>0</v>
      </c>
      <c r="T683" s="39" t="s">
        <v>1257</v>
      </c>
    </row>
    <row r="684" spans="1:20" x14ac:dyDescent="0.25">
      <c r="A684" s="20">
        <v>42131</v>
      </c>
      <c r="B684" s="183">
        <v>20258</v>
      </c>
      <c r="C684" s="110">
        <v>105</v>
      </c>
      <c r="D684" s="105">
        <v>1908</v>
      </c>
      <c r="E684" s="23">
        <v>42133</v>
      </c>
      <c r="F684" s="106">
        <v>1908</v>
      </c>
      <c r="G684" s="31">
        <f t="shared" si="20"/>
        <v>0</v>
      </c>
      <c r="H684" s="19" t="s">
        <v>59</v>
      </c>
      <c r="I684" s="3"/>
      <c r="J684" s="42"/>
      <c r="K684" s="3"/>
      <c r="M684" s="20">
        <v>42155</v>
      </c>
      <c r="N684" s="183">
        <v>22849</v>
      </c>
      <c r="O684" s="14" t="s">
        <v>235</v>
      </c>
      <c r="P684" s="105">
        <v>2310</v>
      </c>
      <c r="Q684" s="23">
        <v>42155</v>
      </c>
      <c r="R684" s="106">
        <v>2310</v>
      </c>
      <c r="S684" s="31">
        <f t="shared" si="21"/>
        <v>0</v>
      </c>
      <c r="T684" s="39" t="s">
        <v>773</v>
      </c>
    </row>
    <row r="685" spans="1:20" x14ac:dyDescent="0.25">
      <c r="A685" s="20">
        <v>42131</v>
      </c>
      <c r="B685" s="183">
        <v>20259</v>
      </c>
      <c r="C685" s="14" t="s">
        <v>133</v>
      </c>
      <c r="D685" s="105">
        <v>7986</v>
      </c>
      <c r="E685" s="23">
        <v>42131</v>
      </c>
      <c r="F685" s="106">
        <v>7986</v>
      </c>
      <c r="G685" s="31">
        <f t="shared" si="20"/>
        <v>0</v>
      </c>
      <c r="H685" s="19" t="s">
        <v>9</v>
      </c>
      <c r="I685" s="3"/>
      <c r="J685" s="42"/>
      <c r="K685" s="3"/>
      <c r="M685" s="20">
        <v>42129</v>
      </c>
      <c r="N685" s="183">
        <v>20106</v>
      </c>
      <c r="O685" s="14" t="s">
        <v>1318</v>
      </c>
      <c r="P685" s="105">
        <v>4641</v>
      </c>
      <c r="Q685" s="23">
        <v>42129</v>
      </c>
      <c r="R685" s="106">
        <v>4641</v>
      </c>
      <c r="S685" s="31">
        <f t="shared" si="21"/>
        <v>0</v>
      </c>
      <c r="T685" s="39" t="s">
        <v>9</v>
      </c>
    </row>
    <row r="686" spans="1:20" x14ac:dyDescent="0.25">
      <c r="A686" s="20">
        <v>42131</v>
      </c>
      <c r="B686" s="183">
        <v>20260</v>
      </c>
      <c r="C686" s="14" t="s">
        <v>57</v>
      </c>
      <c r="D686" s="105">
        <v>540</v>
      </c>
      <c r="E686" s="23">
        <v>42131</v>
      </c>
      <c r="F686" s="106">
        <v>540</v>
      </c>
      <c r="G686" s="31">
        <f t="shared" si="20"/>
        <v>0</v>
      </c>
      <c r="H686" s="19" t="s">
        <v>9</v>
      </c>
      <c r="I686" s="3"/>
      <c r="J686" s="42"/>
      <c r="K686" s="3"/>
      <c r="M686" s="20">
        <v>42137</v>
      </c>
      <c r="N686" s="183">
        <v>20925</v>
      </c>
      <c r="O686" s="14" t="s">
        <v>1318</v>
      </c>
      <c r="P686" s="105">
        <v>14945</v>
      </c>
      <c r="Q686" s="23">
        <v>42137</v>
      </c>
      <c r="R686" s="106">
        <v>14945</v>
      </c>
      <c r="S686" s="31">
        <f t="shared" si="21"/>
        <v>0</v>
      </c>
      <c r="T686" s="19" t="s">
        <v>9</v>
      </c>
    </row>
    <row r="687" spans="1:20" x14ac:dyDescent="0.25">
      <c r="A687" s="20">
        <v>42131</v>
      </c>
      <c r="B687" s="183">
        <v>20261</v>
      </c>
      <c r="C687" s="14" t="s">
        <v>55</v>
      </c>
      <c r="D687" s="105">
        <v>23014.720000000001</v>
      </c>
      <c r="E687" s="23">
        <v>42132</v>
      </c>
      <c r="F687" s="106">
        <v>23014.720000000001</v>
      </c>
      <c r="G687" s="31">
        <f t="shared" si="20"/>
        <v>0</v>
      </c>
      <c r="H687" s="19" t="s">
        <v>773</v>
      </c>
      <c r="I687" s="3"/>
      <c r="J687" s="42"/>
      <c r="K687" s="3"/>
      <c r="M687" s="20">
        <v>42151</v>
      </c>
      <c r="N687" s="183">
        <v>22417</v>
      </c>
      <c r="O687" s="14" t="s">
        <v>1318</v>
      </c>
      <c r="P687" s="105">
        <v>28547.4</v>
      </c>
      <c r="Q687" s="23">
        <v>42151</v>
      </c>
      <c r="R687" s="106">
        <v>28547.4</v>
      </c>
      <c r="S687" s="31">
        <f t="shared" si="21"/>
        <v>0</v>
      </c>
      <c r="T687" s="39" t="s">
        <v>9</v>
      </c>
    </row>
    <row r="688" spans="1:20" x14ac:dyDescent="0.25">
      <c r="A688" s="20">
        <v>42131</v>
      </c>
      <c r="B688" s="183">
        <v>20262</v>
      </c>
      <c r="C688" s="14" t="s">
        <v>130</v>
      </c>
      <c r="D688" s="105">
        <v>3048.2</v>
      </c>
      <c r="E688" s="23">
        <v>42132</v>
      </c>
      <c r="F688" s="106">
        <v>3048.2</v>
      </c>
      <c r="G688" s="31">
        <f t="shared" si="20"/>
        <v>0</v>
      </c>
      <c r="H688" s="19" t="s">
        <v>1257</v>
      </c>
      <c r="I688" s="3"/>
      <c r="J688" s="42"/>
      <c r="K688" s="3"/>
      <c r="M688" s="20">
        <v>42130</v>
      </c>
      <c r="N688" s="183">
        <v>20179</v>
      </c>
      <c r="O688" s="14" t="s">
        <v>1069</v>
      </c>
      <c r="P688" s="105">
        <v>2401.6</v>
      </c>
      <c r="Q688" s="23">
        <v>42131</v>
      </c>
      <c r="R688" s="106">
        <v>2401.6</v>
      </c>
      <c r="S688" s="31">
        <f t="shared" si="21"/>
        <v>0</v>
      </c>
      <c r="T688" s="39" t="s">
        <v>773</v>
      </c>
    </row>
    <row r="689" spans="1:20" x14ac:dyDescent="0.25">
      <c r="A689" s="20">
        <v>42131</v>
      </c>
      <c r="B689" s="183">
        <v>20263</v>
      </c>
      <c r="C689" s="14" t="s">
        <v>128</v>
      </c>
      <c r="D689" s="105">
        <v>8234</v>
      </c>
      <c r="E689" s="23">
        <v>42131</v>
      </c>
      <c r="F689" s="106">
        <v>8234</v>
      </c>
      <c r="G689" s="31">
        <f t="shared" si="20"/>
        <v>0</v>
      </c>
      <c r="H689" s="19" t="s">
        <v>1257</v>
      </c>
      <c r="I689" s="3"/>
      <c r="J689" s="42"/>
      <c r="K689" s="3"/>
      <c r="M689" s="20">
        <v>42135</v>
      </c>
      <c r="N689" s="183">
        <v>20693</v>
      </c>
      <c r="O689" s="14" t="s">
        <v>1069</v>
      </c>
      <c r="P689" s="105">
        <v>2342</v>
      </c>
      <c r="Q689" s="23">
        <v>42136</v>
      </c>
      <c r="R689" s="106">
        <v>2342</v>
      </c>
      <c r="S689" s="31">
        <f t="shared" si="21"/>
        <v>0</v>
      </c>
      <c r="T689" s="39" t="s">
        <v>773</v>
      </c>
    </row>
    <row r="690" spans="1:20" x14ac:dyDescent="0.25">
      <c r="A690" s="20">
        <v>42131</v>
      </c>
      <c r="B690" s="183">
        <v>20264</v>
      </c>
      <c r="C690" s="14" t="s">
        <v>165</v>
      </c>
      <c r="D690" s="105">
        <v>2346.4</v>
      </c>
      <c r="E690" s="23">
        <v>42131</v>
      </c>
      <c r="F690" s="106">
        <v>2346.4</v>
      </c>
      <c r="G690" s="31">
        <f t="shared" si="20"/>
        <v>0</v>
      </c>
      <c r="H690" s="19" t="s">
        <v>1257</v>
      </c>
      <c r="I690" s="3"/>
      <c r="J690" s="42"/>
      <c r="K690" s="3"/>
      <c r="M690" s="20">
        <v>42137</v>
      </c>
      <c r="N690" s="183">
        <v>20910</v>
      </c>
      <c r="O690" s="14" t="s">
        <v>1069</v>
      </c>
      <c r="P690" s="105">
        <v>2004</v>
      </c>
      <c r="Q690" s="23">
        <v>42137</v>
      </c>
      <c r="R690" s="106">
        <v>2004</v>
      </c>
      <c r="S690" s="31">
        <f t="shared" si="21"/>
        <v>0</v>
      </c>
      <c r="T690" s="19" t="s">
        <v>46</v>
      </c>
    </row>
    <row r="691" spans="1:20" x14ac:dyDescent="0.25">
      <c r="A691" s="20">
        <v>42131</v>
      </c>
      <c r="B691" s="183">
        <v>20265</v>
      </c>
      <c r="C691" s="14" t="s">
        <v>38</v>
      </c>
      <c r="D691" s="105">
        <v>33634</v>
      </c>
      <c r="E691" s="23">
        <v>42138</v>
      </c>
      <c r="F691" s="106">
        <v>33634</v>
      </c>
      <c r="G691" s="31">
        <f t="shared" si="20"/>
        <v>0</v>
      </c>
      <c r="H691" s="19" t="s">
        <v>94</v>
      </c>
      <c r="I691" s="3"/>
      <c r="J691" s="42"/>
      <c r="K691" s="3"/>
      <c r="M691" s="20">
        <v>42152</v>
      </c>
      <c r="N691" s="183">
        <v>22510</v>
      </c>
      <c r="O691" s="14" t="s">
        <v>1335</v>
      </c>
      <c r="P691" s="105">
        <v>2777.8</v>
      </c>
      <c r="Q691" s="23">
        <v>42152</v>
      </c>
      <c r="R691" s="106">
        <v>2777.8</v>
      </c>
      <c r="S691" s="31">
        <f t="shared" si="21"/>
        <v>0</v>
      </c>
      <c r="T691" s="39" t="s">
        <v>773</v>
      </c>
    </row>
    <row r="692" spans="1:20" x14ac:dyDescent="0.25">
      <c r="A692" s="20">
        <v>42131</v>
      </c>
      <c r="B692" s="183">
        <v>20266</v>
      </c>
      <c r="C692" s="14" t="s">
        <v>131</v>
      </c>
      <c r="D692" s="105">
        <v>9573.7999999999993</v>
      </c>
      <c r="E692" s="23">
        <v>42132</v>
      </c>
      <c r="F692" s="106">
        <v>9573.7999999999993</v>
      </c>
      <c r="G692" s="31">
        <f t="shared" si="20"/>
        <v>0</v>
      </c>
      <c r="H692" s="19" t="s">
        <v>1257</v>
      </c>
      <c r="I692" s="3"/>
      <c r="J692" s="42"/>
      <c r="K692" s="3"/>
      <c r="M692" s="20">
        <v>42140</v>
      </c>
      <c r="N692" s="183">
        <v>21309</v>
      </c>
      <c r="O692" s="14" t="s">
        <v>1336</v>
      </c>
      <c r="P692" s="105">
        <v>3627.6</v>
      </c>
      <c r="Q692" s="23">
        <v>42142</v>
      </c>
      <c r="R692" s="118">
        <v>3627.6</v>
      </c>
      <c r="S692" s="31">
        <f t="shared" si="21"/>
        <v>0</v>
      </c>
      <c r="T692" s="62" t="s">
        <v>59</v>
      </c>
    </row>
    <row r="693" spans="1:20" x14ac:dyDescent="0.25">
      <c r="A693" s="20">
        <v>42131</v>
      </c>
      <c r="B693" s="183">
        <v>20267</v>
      </c>
      <c r="C693" s="14" t="s">
        <v>26</v>
      </c>
      <c r="D693" s="105">
        <v>1632</v>
      </c>
      <c r="E693" s="23">
        <v>42131</v>
      </c>
      <c r="F693" s="106">
        <v>1632</v>
      </c>
      <c r="G693" s="31">
        <f t="shared" si="20"/>
        <v>0</v>
      </c>
      <c r="H693" s="19" t="s">
        <v>9</v>
      </c>
      <c r="I693" s="3"/>
      <c r="J693" s="42"/>
      <c r="K693" s="3"/>
      <c r="M693" s="20">
        <v>42154</v>
      </c>
      <c r="N693" s="183">
        <v>22699</v>
      </c>
      <c r="O693" s="14" t="s">
        <v>1336</v>
      </c>
      <c r="P693" s="105">
        <v>4754.3999999999996</v>
      </c>
      <c r="Q693" s="23">
        <v>42154</v>
      </c>
      <c r="R693" s="106">
        <v>4754.3999999999996</v>
      </c>
      <c r="S693" s="31">
        <f t="shared" si="21"/>
        <v>0</v>
      </c>
      <c r="T693" s="39" t="s">
        <v>59</v>
      </c>
    </row>
    <row r="694" spans="1:20" x14ac:dyDescent="0.25">
      <c r="A694" s="20">
        <v>42131</v>
      </c>
      <c r="B694" s="183">
        <v>20268</v>
      </c>
      <c r="C694" s="14" t="s">
        <v>37</v>
      </c>
      <c r="D694" s="105">
        <v>49755.47</v>
      </c>
      <c r="E694" s="23">
        <v>42136</v>
      </c>
      <c r="F694" s="106">
        <v>49755.47</v>
      </c>
      <c r="G694" s="31">
        <f t="shared" si="20"/>
        <v>0</v>
      </c>
      <c r="H694" s="19" t="s">
        <v>773</v>
      </c>
      <c r="I694" s="3"/>
      <c r="J694" s="42"/>
      <c r="K694" s="3"/>
      <c r="M694" s="20">
        <v>42131</v>
      </c>
      <c r="N694" s="183">
        <v>20286</v>
      </c>
      <c r="O694" s="14" t="s">
        <v>325</v>
      </c>
      <c r="P694" s="105">
        <v>994.5</v>
      </c>
      <c r="Q694" s="23">
        <v>42131</v>
      </c>
      <c r="R694" s="106">
        <v>994.5</v>
      </c>
      <c r="S694" s="31">
        <f t="shared" si="21"/>
        <v>0</v>
      </c>
      <c r="T694" s="19" t="s">
        <v>9</v>
      </c>
    </row>
    <row r="695" spans="1:20" x14ac:dyDescent="0.25">
      <c r="A695" s="20">
        <v>42131</v>
      </c>
      <c r="B695" s="183">
        <v>20269</v>
      </c>
      <c r="C695" s="14" t="s">
        <v>131</v>
      </c>
      <c r="D695" s="105">
        <v>380.9</v>
      </c>
      <c r="E695" s="23">
        <v>42131</v>
      </c>
      <c r="F695" s="106">
        <v>380.9</v>
      </c>
      <c r="G695" s="31">
        <f t="shared" si="20"/>
        <v>0</v>
      </c>
      <c r="H695" s="19" t="s">
        <v>1257</v>
      </c>
      <c r="I695" s="3"/>
      <c r="J695" s="42"/>
      <c r="K695" s="3"/>
      <c r="M695" s="20">
        <v>42142</v>
      </c>
      <c r="N695" s="183">
        <v>21489</v>
      </c>
      <c r="O695" s="14" t="s">
        <v>325</v>
      </c>
      <c r="P695" s="105">
        <v>992</v>
      </c>
      <c r="Q695" s="65">
        <v>42143</v>
      </c>
      <c r="R695" s="106">
        <v>992</v>
      </c>
      <c r="S695" s="31">
        <f t="shared" si="21"/>
        <v>0</v>
      </c>
      <c r="T695" s="19" t="s">
        <v>1273</v>
      </c>
    </row>
    <row r="696" spans="1:20" x14ac:dyDescent="0.25">
      <c r="A696" s="20">
        <v>42131</v>
      </c>
      <c r="B696" s="183">
        <v>20270</v>
      </c>
      <c r="C696" s="14" t="s">
        <v>305</v>
      </c>
      <c r="D696" s="105">
        <v>1663.8</v>
      </c>
      <c r="E696" s="23">
        <v>42131</v>
      </c>
      <c r="F696" s="106">
        <v>1663.8</v>
      </c>
      <c r="G696" s="31">
        <f t="shared" si="20"/>
        <v>0</v>
      </c>
      <c r="H696" s="19" t="s">
        <v>9</v>
      </c>
      <c r="I696" s="3"/>
      <c r="J696" s="42"/>
      <c r="K696" s="3"/>
      <c r="M696" s="20">
        <v>42142</v>
      </c>
      <c r="N696" s="183">
        <v>21488</v>
      </c>
      <c r="O696" s="14" t="s">
        <v>390</v>
      </c>
      <c r="P696" s="105">
        <v>4466.8</v>
      </c>
      <c r="Q696" s="65">
        <v>42142</v>
      </c>
      <c r="R696" s="106">
        <v>4466.8</v>
      </c>
      <c r="S696" s="31">
        <f t="shared" si="21"/>
        <v>0</v>
      </c>
      <c r="T696" s="19" t="s">
        <v>59</v>
      </c>
    </row>
    <row r="697" spans="1:20" x14ac:dyDescent="0.25">
      <c r="A697" s="20">
        <v>42131</v>
      </c>
      <c r="B697" s="183">
        <v>20271</v>
      </c>
      <c r="C697" s="14" t="s">
        <v>35</v>
      </c>
      <c r="D697" s="105">
        <v>23435.27</v>
      </c>
      <c r="E697" s="23">
        <v>42131</v>
      </c>
      <c r="F697" s="106">
        <v>23435.27</v>
      </c>
      <c r="G697" s="31">
        <f t="shared" si="20"/>
        <v>0</v>
      </c>
      <c r="H697" s="19" t="s">
        <v>46</v>
      </c>
      <c r="I697" s="3"/>
      <c r="J697" s="42"/>
      <c r="K697" s="3"/>
      <c r="M697" s="20">
        <v>42149</v>
      </c>
      <c r="N697" s="183">
        <v>22206</v>
      </c>
      <c r="O697" s="14" t="s">
        <v>1337</v>
      </c>
      <c r="P697" s="105">
        <v>632</v>
      </c>
      <c r="Q697" s="65">
        <v>42150</v>
      </c>
      <c r="R697" s="106">
        <v>632</v>
      </c>
      <c r="S697" s="31">
        <f t="shared" si="21"/>
        <v>0</v>
      </c>
      <c r="T697" s="39" t="s">
        <v>94</v>
      </c>
    </row>
    <row r="698" spans="1:20" x14ac:dyDescent="0.25">
      <c r="A698" s="20">
        <v>42131</v>
      </c>
      <c r="B698" s="183">
        <v>20272</v>
      </c>
      <c r="C698" s="14" t="s">
        <v>334</v>
      </c>
      <c r="D698" s="105">
        <v>2083.8000000000002</v>
      </c>
      <c r="E698" s="23">
        <v>42131</v>
      </c>
      <c r="F698" s="106">
        <v>2083.8000000000002</v>
      </c>
      <c r="G698" s="31">
        <f t="shared" si="20"/>
        <v>0</v>
      </c>
      <c r="H698" s="19" t="s">
        <v>773</v>
      </c>
      <c r="I698" s="3"/>
      <c r="J698" s="42"/>
      <c r="K698" s="3"/>
      <c r="M698" s="20">
        <v>42153</v>
      </c>
      <c r="N698" s="183">
        <v>22606</v>
      </c>
      <c r="O698" s="14" t="s">
        <v>1337</v>
      </c>
      <c r="P698" s="105">
        <v>709.2</v>
      </c>
      <c r="Q698" s="23">
        <v>42154</v>
      </c>
      <c r="R698" s="106">
        <v>709.2</v>
      </c>
      <c r="S698" s="31">
        <f t="shared" si="21"/>
        <v>0</v>
      </c>
      <c r="T698" s="39" t="s">
        <v>94</v>
      </c>
    </row>
    <row r="699" spans="1:20" x14ac:dyDescent="0.25">
      <c r="A699" s="20">
        <v>42131</v>
      </c>
      <c r="B699" s="183">
        <v>20273</v>
      </c>
      <c r="C699" s="14" t="s">
        <v>56</v>
      </c>
      <c r="D699" s="105">
        <v>12873.2</v>
      </c>
      <c r="E699" s="23">
        <v>42132</v>
      </c>
      <c r="F699" s="106">
        <v>12873.2</v>
      </c>
      <c r="G699" s="31">
        <f t="shared" si="20"/>
        <v>0</v>
      </c>
      <c r="H699" s="19" t="s">
        <v>773</v>
      </c>
      <c r="I699" s="3"/>
      <c r="J699" s="42"/>
      <c r="K699" s="3"/>
      <c r="M699" s="20">
        <v>42152</v>
      </c>
      <c r="N699" s="183">
        <v>22512</v>
      </c>
      <c r="O699" s="14" t="s">
        <v>684</v>
      </c>
      <c r="P699" s="105">
        <v>2503.1999999999998</v>
      </c>
      <c r="Q699" s="23">
        <v>42152</v>
      </c>
      <c r="R699" s="106">
        <v>2503.1999999999998</v>
      </c>
      <c r="S699" s="31">
        <f t="shared" si="21"/>
        <v>0</v>
      </c>
      <c r="T699" s="39" t="s">
        <v>9</v>
      </c>
    </row>
    <row r="700" spans="1:20" x14ac:dyDescent="0.25">
      <c r="A700" s="20">
        <v>42131</v>
      </c>
      <c r="B700" s="183">
        <v>20274</v>
      </c>
      <c r="C700" s="14" t="s">
        <v>334</v>
      </c>
      <c r="D700" s="105">
        <v>319.8</v>
      </c>
      <c r="E700" s="23">
        <v>42131</v>
      </c>
      <c r="F700" s="106">
        <v>319.8</v>
      </c>
      <c r="G700" s="31">
        <f t="shared" si="20"/>
        <v>0</v>
      </c>
      <c r="H700" s="19" t="s">
        <v>46</v>
      </c>
      <c r="I700" s="3"/>
      <c r="J700" s="42"/>
      <c r="K700" s="3"/>
      <c r="M700" s="20">
        <v>42125</v>
      </c>
      <c r="N700" s="183">
        <v>19659</v>
      </c>
      <c r="O700" s="14" t="s">
        <v>45</v>
      </c>
      <c r="P700" s="105">
        <v>63806.33</v>
      </c>
      <c r="Q700" s="23">
        <v>42140</v>
      </c>
      <c r="R700" s="106">
        <v>63806.33</v>
      </c>
      <c r="S700" s="25">
        <f t="shared" si="21"/>
        <v>0</v>
      </c>
      <c r="T700" s="39" t="s">
        <v>46</v>
      </c>
    </row>
    <row r="701" spans="1:20" x14ac:dyDescent="0.25">
      <c r="A701" s="20">
        <v>42131</v>
      </c>
      <c r="B701" s="183">
        <v>20275</v>
      </c>
      <c r="C701" s="14" t="s">
        <v>406</v>
      </c>
      <c r="D701" s="105">
        <v>12599</v>
      </c>
      <c r="E701" s="23">
        <v>42132</v>
      </c>
      <c r="F701" s="106">
        <v>12599</v>
      </c>
      <c r="G701" s="31">
        <f t="shared" si="20"/>
        <v>0</v>
      </c>
      <c r="H701" s="19" t="s">
        <v>773</v>
      </c>
      <c r="I701" s="3"/>
      <c r="J701" s="42"/>
      <c r="K701" s="3"/>
      <c r="M701" s="20">
        <v>42126</v>
      </c>
      <c r="N701" s="183">
        <v>19744</v>
      </c>
      <c r="O701" s="40" t="s">
        <v>45</v>
      </c>
      <c r="P701" s="105">
        <v>66176.7</v>
      </c>
      <c r="Q701" s="23">
        <v>42140</v>
      </c>
      <c r="R701" s="106">
        <v>66176.7</v>
      </c>
      <c r="S701" s="25">
        <f t="shared" si="21"/>
        <v>0</v>
      </c>
      <c r="T701" s="41" t="s">
        <v>1013</v>
      </c>
    </row>
    <row r="702" spans="1:20" x14ac:dyDescent="0.25">
      <c r="A702" s="20">
        <v>42131</v>
      </c>
      <c r="B702" s="183">
        <v>20276</v>
      </c>
      <c r="C702" s="14" t="s">
        <v>74</v>
      </c>
      <c r="D702" s="105">
        <v>1338.6</v>
      </c>
      <c r="E702" s="23">
        <v>42131</v>
      </c>
      <c r="F702" s="106">
        <v>1338.6</v>
      </c>
      <c r="G702" s="31">
        <f t="shared" si="20"/>
        <v>0</v>
      </c>
      <c r="H702" s="19" t="s">
        <v>9</v>
      </c>
      <c r="I702" s="3"/>
      <c r="J702" s="42"/>
      <c r="K702" s="3"/>
      <c r="M702" s="20">
        <v>42128</v>
      </c>
      <c r="N702" s="183">
        <v>19976</v>
      </c>
      <c r="O702" s="14" t="s">
        <v>45</v>
      </c>
      <c r="P702" s="105">
        <v>79723.31</v>
      </c>
      <c r="Q702" s="23">
        <v>42140</v>
      </c>
      <c r="R702" s="106">
        <v>79723.31</v>
      </c>
      <c r="S702" s="31">
        <f t="shared" si="21"/>
        <v>0</v>
      </c>
      <c r="T702" s="19" t="s">
        <v>1013</v>
      </c>
    </row>
    <row r="703" spans="1:20" x14ac:dyDescent="0.25">
      <c r="A703" s="20">
        <v>42131</v>
      </c>
      <c r="B703" s="183">
        <v>20277</v>
      </c>
      <c r="C703" s="150" t="s">
        <v>239</v>
      </c>
      <c r="D703" s="105">
        <v>7120.2</v>
      </c>
      <c r="E703" s="23">
        <v>42131</v>
      </c>
      <c r="F703" s="106">
        <v>7120.2</v>
      </c>
      <c r="G703" s="31">
        <f t="shared" si="20"/>
        <v>0</v>
      </c>
      <c r="H703" s="19" t="s">
        <v>9</v>
      </c>
      <c r="I703" s="3"/>
      <c r="J703" s="42"/>
      <c r="K703" s="3"/>
      <c r="M703" s="20">
        <v>42129</v>
      </c>
      <c r="N703" s="183">
        <v>20069</v>
      </c>
      <c r="O703" s="14" t="s">
        <v>45</v>
      </c>
      <c r="P703" s="105">
        <v>7230.48</v>
      </c>
      <c r="Q703" s="23">
        <v>42140</v>
      </c>
      <c r="R703" s="106">
        <v>7230.48</v>
      </c>
      <c r="S703" s="31">
        <f t="shared" si="21"/>
        <v>0</v>
      </c>
      <c r="T703" s="39" t="s">
        <v>59</v>
      </c>
    </row>
    <row r="704" spans="1:20" x14ac:dyDescent="0.25">
      <c r="A704" s="20">
        <v>42131</v>
      </c>
      <c r="B704" s="183">
        <v>20278</v>
      </c>
      <c r="C704" s="14" t="s">
        <v>332</v>
      </c>
      <c r="D704" s="105">
        <v>2388.3000000000002</v>
      </c>
      <c r="E704" s="23">
        <v>42131</v>
      </c>
      <c r="F704" s="106">
        <v>2388.3000000000002</v>
      </c>
      <c r="G704" s="31">
        <f t="shared" si="20"/>
        <v>0</v>
      </c>
      <c r="H704" s="19" t="s">
        <v>9</v>
      </c>
      <c r="I704" s="3"/>
      <c r="J704" s="42"/>
      <c r="K704" s="3"/>
      <c r="M704" s="20">
        <v>42130</v>
      </c>
      <c r="N704" s="183">
        <v>20165</v>
      </c>
      <c r="O704" s="14" t="s">
        <v>45</v>
      </c>
      <c r="P704" s="105">
        <v>33215.519999999997</v>
      </c>
      <c r="Q704" s="23">
        <v>42140</v>
      </c>
      <c r="R704" s="106">
        <v>33215.519999999997</v>
      </c>
      <c r="S704" s="31">
        <f t="shared" si="21"/>
        <v>0</v>
      </c>
      <c r="T704" s="39" t="s">
        <v>9</v>
      </c>
    </row>
    <row r="705" spans="1:20" x14ac:dyDescent="0.25">
      <c r="A705" s="20">
        <v>42131</v>
      </c>
      <c r="B705" s="183">
        <v>20279</v>
      </c>
      <c r="C705" s="14" t="s">
        <v>28</v>
      </c>
      <c r="D705" s="105">
        <v>1268</v>
      </c>
      <c r="E705" s="23">
        <v>42131</v>
      </c>
      <c r="F705" s="106">
        <v>1268</v>
      </c>
      <c r="G705" s="31">
        <f t="shared" si="20"/>
        <v>0</v>
      </c>
      <c r="H705" s="19" t="s">
        <v>9</v>
      </c>
      <c r="I705" s="3"/>
      <c r="J705" s="42"/>
      <c r="K705" s="3"/>
      <c r="M705" s="20">
        <v>42132</v>
      </c>
      <c r="N705" s="183">
        <v>20414</v>
      </c>
      <c r="O705" s="14" t="s">
        <v>1338</v>
      </c>
      <c r="P705" s="105">
        <v>79707.44</v>
      </c>
      <c r="Q705" s="23">
        <v>42140</v>
      </c>
      <c r="R705" s="106">
        <v>79707.44</v>
      </c>
      <c r="S705" s="31">
        <f t="shared" si="21"/>
        <v>0</v>
      </c>
      <c r="T705" s="19" t="s">
        <v>46</v>
      </c>
    </row>
    <row r="706" spans="1:20" x14ac:dyDescent="0.25">
      <c r="A706" s="20">
        <v>42131</v>
      </c>
      <c r="B706" s="183">
        <v>20280</v>
      </c>
      <c r="C706" s="14" t="s">
        <v>1294</v>
      </c>
      <c r="D706" s="105">
        <v>2843.8</v>
      </c>
      <c r="E706" s="23">
        <v>42131</v>
      </c>
      <c r="F706" s="106">
        <v>2843.8</v>
      </c>
      <c r="G706" s="31">
        <f t="shared" si="20"/>
        <v>0</v>
      </c>
      <c r="H706" s="19" t="s">
        <v>9</v>
      </c>
      <c r="I706" s="3"/>
      <c r="J706" s="42"/>
      <c r="K706" s="3"/>
      <c r="M706" s="20">
        <v>42133</v>
      </c>
      <c r="N706" s="183">
        <v>20488</v>
      </c>
      <c r="O706" s="14" t="s">
        <v>1338</v>
      </c>
      <c r="P706" s="105">
        <v>18032</v>
      </c>
      <c r="Q706" s="23">
        <v>42140</v>
      </c>
      <c r="R706" s="106">
        <v>18032</v>
      </c>
      <c r="S706" s="31">
        <f t="shared" si="21"/>
        <v>0</v>
      </c>
      <c r="T706" s="19" t="s">
        <v>1257</v>
      </c>
    </row>
    <row r="707" spans="1:20" x14ac:dyDescent="0.25">
      <c r="A707" s="20">
        <v>42131</v>
      </c>
      <c r="B707" s="183">
        <v>20281</v>
      </c>
      <c r="C707" s="14" t="s">
        <v>411</v>
      </c>
      <c r="D707" s="105">
        <v>1377.6</v>
      </c>
      <c r="E707" s="23">
        <v>42131</v>
      </c>
      <c r="F707" s="106">
        <v>1377.6</v>
      </c>
      <c r="G707" s="31">
        <f t="shared" ref="G707:G770" si="22">D707-F707</f>
        <v>0</v>
      </c>
      <c r="H707" s="19" t="s">
        <v>9</v>
      </c>
      <c r="I707" s="3"/>
      <c r="J707" s="42"/>
      <c r="K707" s="3"/>
      <c r="M707" s="20">
        <v>42133</v>
      </c>
      <c r="N707" s="183">
        <v>20577</v>
      </c>
      <c r="O707" s="14" t="s">
        <v>1338</v>
      </c>
      <c r="P707" s="105">
        <v>64622.239999999998</v>
      </c>
      <c r="Q707" s="23">
        <v>42140</v>
      </c>
      <c r="R707" s="106">
        <v>64622.239999999998</v>
      </c>
      <c r="S707" s="31">
        <f t="shared" ref="S707:S770" si="23">P707-R707</f>
        <v>0</v>
      </c>
      <c r="T707" s="19" t="s">
        <v>59</v>
      </c>
    </row>
    <row r="708" spans="1:20" x14ac:dyDescent="0.25">
      <c r="A708" s="20">
        <v>42131</v>
      </c>
      <c r="B708" s="183">
        <v>20282</v>
      </c>
      <c r="C708" s="14" t="s">
        <v>179</v>
      </c>
      <c r="D708" s="105">
        <v>2828.8</v>
      </c>
      <c r="E708" s="23">
        <v>42131</v>
      </c>
      <c r="F708" s="106">
        <v>2828.8</v>
      </c>
      <c r="G708" s="31">
        <f t="shared" si="22"/>
        <v>0</v>
      </c>
      <c r="H708" s="19" t="s">
        <v>41</v>
      </c>
      <c r="I708" s="3"/>
      <c r="J708" s="42"/>
      <c r="K708" s="3"/>
      <c r="M708" s="20">
        <v>42134</v>
      </c>
      <c r="N708" s="183">
        <v>20621</v>
      </c>
      <c r="O708" s="14" t="s">
        <v>1338</v>
      </c>
      <c r="P708" s="105">
        <v>6029.64</v>
      </c>
      <c r="Q708" s="23">
        <v>42140</v>
      </c>
      <c r="R708" s="118">
        <v>6029.64</v>
      </c>
      <c r="S708" s="31">
        <f t="shared" si="23"/>
        <v>0</v>
      </c>
      <c r="T708" s="56" t="s">
        <v>59</v>
      </c>
    </row>
    <row r="709" spans="1:20" x14ac:dyDescent="0.25">
      <c r="A709" s="20">
        <v>42131</v>
      </c>
      <c r="B709" s="183">
        <v>20283</v>
      </c>
      <c r="C709" s="14" t="s">
        <v>251</v>
      </c>
      <c r="D709" s="105">
        <v>4116</v>
      </c>
      <c r="E709" s="23">
        <v>42131</v>
      </c>
      <c r="F709" s="106">
        <v>4116</v>
      </c>
      <c r="G709" s="31">
        <f t="shared" si="22"/>
        <v>0</v>
      </c>
      <c r="H709" s="19" t="s">
        <v>41</v>
      </c>
      <c r="I709" s="3"/>
      <c r="J709" s="42"/>
      <c r="K709" s="3"/>
      <c r="M709" s="20">
        <v>42135</v>
      </c>
      <c r="N709" s="183">
        <v>20753</v>
      </c>
      <c r="O709" s="14" t="s">
        <v>1338</v>
      </c>
      <c r="P709" s="105">
        <v>104351.5</v>
      </c>
      <c r="Q709" s="23">
        <v>42140</v>
      </c>
      <c r="R709" s="106">
        <v>104351.5</v>
      </c>
      <c r="S709" s="31">
        <f t="shared" si="23"/>
        <v>0</v>
      </c>
      <c r="T709" s="19" t="s">
        <v>46</v>
      </c>
    </row>
    <row r="710" spans="1:20" x14ac:dyDescent="0.25">
      <c r="A710" s="20">
        <v>42131</v>
      </c>
      <c r="B710" s="183">
        <v>20284</v>
      </c>
      <c r="C710" s="14" t="s">
        <v>335</v>
      </c>
      <c r="D710" s="105">
        <v>290.39999999999998</v>
      </c>
      <c r="E710" s="23">
        <v>42131</v>
      </c>
      <c r="F710" s="106">
        <v>290.39999999999998</v>
      </c>
      <c r="G710" s="31">
        <f t="shared" si="22"/>
        <v>0</v>
      </c>
      <c r="H710" s="19" t="s">
        <v>9</v>
      </c>
      <c r="I710" s="3"/>
      <c r="J710" s="42"/>
      <c r="K710" s="3"/>
      <c r="M710" s="20">
        <v>42136</v>
      </c>
      <c r="N710" s="183">
        <v>20813</v>
      </c>
      <c r="O710" s="14" t="s">
        <v>1338</v>
      </c>
      <c r="P710" s="105">
        <v>7247.05</v>
      </c>
      <c r="Q710" s="23">
        <v>42140</v>
      </c>
      <c r="R710" s="106">
        <v>7247.05</v>
      </c>
      <c r="S710" s="31">
        <f t="shared" si="23"/>
        <v>0</v>
      </c>
      <c r="T710" s="39" t="s">
        <v>59</v>
      </c>
    </row>
    <row r="711" spans="1:20" x14ac:dyDescent="0.25">
      <c r="A711" s="20">
        <v>42131</v>
      </c>
      <c r="B711" s="183">
        <v>20285</v>
      </c>
      <c r="C711" s="14" t="s">
        <v>48</v>
      </c>
      <c r="D711" s="105">
        <v>388.8</v>
      </c>
      <c r="E711" s="23">
        <v>42131</v>
      </c>
      <c r="F711" s="106">
        <v>388.8</v>
      </c>
      <c r="G711" s="31">
        <f t="shared" si="22"/>
        <v>0</v>
      </c>
      <c r="H711" s="19" t="s">
        <v>41</v>
      </c>
      <c r="I711" s="3"/>
      <c r="J711" s="42"/>
      <c r="K711" s="3"/>
      <c r="M711" s="20">
        <v>42137</v>
      </c>
      <c r="N711" s="183">
        <v>20896</v>
      </c>
      <c r="O711" s="14" t="s">
        <v>1338</v>
      </c>
      <c r="P711" s="105">
        <v>11957.2</v>
      </c>
      <c r="Q711" s="23">
        <v>42140</v>
      </c>
      <c r="R711" s="106">
        <v>11957.2</v>
      </c>
      <c r="S711" s="31">
        <f t="shared" si="23"/>
        <v>0</v>
      </c>
      <c r="T711" s="19" t="s">
        <v>1257</v>
      </c>
    </row>
    <row r="712" spans="1:20" x14ac:dyDescent="0.25">
      <c r="A712" s="20">
        <v>42131</v>
      </c>
      <c r="B712" s="183">
        <v>20286</v>
      </c>
      <c r="C712" s="14" t="s">
        <v>325</v>
      </c>
      <c r="D712" s="105">
        <v>994.5</v>
      </c>
      <c r="E712" s="23">
        <v>42131</v>
      </c>
      <c r="F712" s="106">
        <v>994.5</v>
      </c>
      <c r="G712" s="31">
        <f t="shared" si="22"/>
        <v>0</v>
      </c>
      <c r="H712" s="19" t="s">
        <v>9</v>
      </c>
      <c r="I712" s="3"/>
      <c r="J712" s="42"/>
      <c r="K712" s="3"/>
      <c r="M712" s="20">
        <v>42138</v>
      </c>
      <c r="N712" s="183">
        <v>21004</v>
      </c>
      <c r="O712" s="14" t="s">
        <v>1338</v>
      </c>
      <c r="P712" s="105">
        <v>1876.8</v>
      </c>
      <c r="Q712" s="23">
        <v>42140</v>
      </c>
      <c r="R712" s="106">
        <v>1876.8</v>
      </c>
      <c r="S712" s="48">
        <f t="shared" si="23"/>
        <v>0</v>
      </c>
      <c r="T712" s="19" t="s">
        <v>59</v>
      </c>
    </row>
    <row r="713" spans="1:20" x14ac:dyDescent="0.25">
      <c r="A713" s="20">
        <v>42131</v>
      </c>
      <c r="B713" s="183">
        <v>20287</v>
      </c>
      <c r="C713" s="14" t="s">
        <v>207</v>
      </c>
      <c r="D713" s="105">
        <v>22542.84</v>
      </c>
      <c r="E713" s="23">
        <v>42133</v>
      </c>
      <c r="F713" s="106">
        <v>22542.84</v>
      </c>
      <c r="G713" s="31">
        <f t="shared" si="22"/>
        <v>0</v>
      </c>
      <c r="H713" s="19" t="s">
        <v>149</v>
      </c>
      <c r="I713" s="3"/>
      <c r="J713" s="42"/>
      <c r="K713" s="3"/>
      <c r="M713" s="20">
        <v>42139</v>
      </c>
      <c r="N713" s="183">
        <v>21082</v>
      </c>
      <c r="O713" s="14" t="s">
        <v>1338</v>
      </c>
      <c r="P713" s="105">
        <v>13670</v>
      </c>
      <c r="Q713" s="23" t="s">
        <v>1339</v>
      </c>
      <c r="R713" s="114">
        <f>11023.06+646.94</f>
        <v>11670</v>
      </c>
      <c r="S713" s="125">
        <f t="shared" si="23"/>
        <v>2000</v>
      </c>
      <c r="T713" s="39" t="s">
        <v>1257</v>
      </c>
    </row>
    <row r="714" spans="1:20" x14ac:dyDescent="0.25">
      <c r="A714" s="20">
        <v>42131</v>
      </c>
      <c r="B714" s="183">
        <v>20288</v>
      </c>
      <c r="C714" s="14" t="s">
        <v>855</v>
      </c>
      <c r="D714" s="105">
        <v>6061.85</v>
      </c>
      <c r="E714" s="23">
        <v>42131</v>
      </c>
      <c r="F714" s="106">
        <v>6061.85</v>
      </c>
      <c r="G714" s="31">
        <f t="shared" si="22"/>
        <v>0</v>
      </c>
      <c r="H714" s="19" t="s">
        <v>9</v>
      </c>
      <c r="I714" s="3"/>
      <c r="J714" s="42"/>
      <c r="K714" s="3"/>
      <c r="M714" s="20">
        <v>42139</v>
      </c>
      <c r="N714" s="183">
        <v>21201</v>
      </c>
      <c r="O714" s="14" t="s">
        <v>1338</v>
      </c>
      <c r="P714" s="105">
        <v>55476.4</v>
      </c>
      <c r="Q714" s="23">
        <v>42153</v>
      </c>
      <c r="R714" s="106">
        <v>55476.4</v>
      </c>
      <c r="S714" s="48">
        <f t="shared" si="23"/>
        <v>0</v>
      </c>
      <c r="T714" s="39" t="s">
        <v>773</v>
      </c>
    </row>
    <row r="715" spans="1:20" x14ac:dyDescent="0.25">
      <c r="A715" s="20">
        <v>42131</v>
      </c>
      <c r="B715" s="183">
        <v>20289</v>
      </c>
      <c r="C715" s="14" t="s">
        <v>107</v>
      </c>
      <c r="D715" s="105">
        <v>2191.1999999999998</v>
      </c>
      <c r="E715" s="23">
        <v>42131</v>
      </c>
      <c r="F715" s="106">
        <v>2191.1999999999998</v>
      </c>
      <c r="G715" s="31">
        <f t="shared" si="22"/>
        <v>0</v>
      </c>
      <c r="H715" s="19" t="s">
        <v>9</v>
      </c>
      <c r="I715" s="3"/>
      <c r="J715" s="42"/>
      <c r="K715" s="3"/>
      <c r="M715" s="20">
        <v>42139</v>
      </c>
      <c r="N715" s="183">
        <v>21205</v>
      </c>
      <c r="O715" s="14" t="s">
        <v>1338</v>
      </c>
      <c r="P715" s="105">
        <v>14878.61</v>
      </c>
      <c r="Q715" s="23">
        <v>42153</v>
      </c>
      <c r="R715" s="106">
        <v>14878.61</v>
      </c>
      <c r="S715" s="48">
        <f t="shared" si="23"/>
        <v>0</v>
      </c>
      <c r="T715" s="39" t="s">
        <v>773</v>
      </c>
    </row>
    <row r="716" spans="1:20" x14ac:dyDescent="0.25">
      <c r="A716" s="20">
        <v>42131</v>
      </c>
      <c r="B716" s="183">
        <v>20290</v>
      </c>
      <c r="C716" s="14" t="s">
        <v>167</v>
      </c>
      <c r="D716" s="105">
        <v>492</v>
      </c>
      <c r="E716" s="23">
        <v>42132</v>
      </c>
      <c r="F716" s="106">
        <v>492</v>
      </c>
      <c r="G716" s="31">
        <f t="shared" si="22"/>
        <v>0</v>
      </c>
      <c r="H716" s="19" t="s">
        <v>9</v>
      </c>
      <c r="I716" s="3"/>
      <c r="J716" s="42"/>
      <c r="K716" s="3"/>
      <c r="M716" s="20">
        <v>42140</v>
      </c>
      <c r="N716" s="183">
        <v>21211</v>
      </c>
      <c r="O716" s="14" t="s">
        <v>1338</v>
      </c>
      <c r="P716" s="105">
        <v>2755</v>
      </c>
      <c r="Q716" s="23">
        <v>42153</v>
      </c>
      <c r="R716" s="106">
        <v>2755</v>
      </c>
      <c r="S716" s="48">
        <f t="shared" si="23"/>
        <v>0</v>
      </c>
      <c r="T716" s="39" t="s">
        <v>1257</v>
      </c>
    </row>
    <row r="717" spans="1:20" x14ac:dyDescent="0.25">
      <c r="A717" s="20">
        <v>42131</v>
      </c>
      <c r="B717" s="183">
        <v>20291</v>
      </c>
      <c r="C717" s="14" t="s">
        <v>95</v>
      </c>
      <c r="D717" s="105">
        <v>1938</v>
      </c>
      <c r="E717" s="23">
        <v>42132</v>
      </c>
      <c r="F717" s="106">
        <v>1938</v>
      </c>
      <c r="G717" s="31">
        <f t="shared" si="22"/>
        <v>0</v>
      </c>
      <c r="H717" s="19" t="s">
        <v>1273</v>
      </c>
      <c r="I717" s="3"/>
      <c r="J717" s="42"/>
      <c r="K717" s="3"/>
      <c r="M717" s="20">
        <v>42140</v>
      </c>
      <c r="N717" s="183">
        <v>21310</v>
      </c>
      <c r="O717" s="14" t="s">
        <v>1338</v>
      </c>
      <c r="P717" s="105">
        <v>32291.4</v>
      </c>
      <c r="Q717" s="23">
        <v>42153</v>
      </c>
      <c r="R717" s="118">
        <v>32291.4</v>
      </c>
      <c r="S717" s="31">
        <f t="shared" si="23"/>
        <v>0</v>
      </c>
      <c r="T717" s="62" t="s">
        <v>59</v>
      </c>
    </row>
    <row r="718" spans="1:20" x14ac:dyDescent="0.25">
      <c r="A718" s="20">
        <v>42131</v>
      </c>
      <c r="B718" s="183">
        <v>20292</v>
      </c>
      <c r="C718" s="14" t="s">
        <v>1267</v>
      </c>
      <c r="D718" s="105">
        <v>927.6</v>
      </c>
      <c r="E718" s="23">
        <v>42132</v>
      </c>
      <c r="F718" s="106">
        <v>927.6</v>
      </c>
      <c r="G718" s="31">
        <f t="shared" si="22"/>
        <v>0</v>
      </c>
      <c r="H718" s="19" t="s">
        <v>1273</v>
      </c>
      <c r="I718" s="3"/>
      <c r="J718" s="42"/>
      <c r="K718" s="3"/>
      <c r="M718" s="20">
        <v>42141</v>
      </c>
      <c r="N718" s="183">
        <v>21340</v>
      </c>
      <c r="O718" s="14" t="s">
        <v>1338</v>
      </c>
      <c r="P718" s="105">
        <v>52123.65</v>
      </c>
      <c r="Q718" s="23">
        <v>42153</v>
      </c>
      <c r="R718" s="118">
        <v>52123.65</v>
      </c>
      <c r="S718" s="31">
        <f t="shared" si="23"/>
        <v>0</v>
      </c>
      <c r="T718" s="62" t="s">
        <v>59</v>
      </c>
    </row>
    <row r="719" spans="1:20" x14ac:dyDescent="0.25">
      <c r="A719" s="20">
        <v>42131</v>
      </c>
      <c r="B719" s="183">
        <v>20293</v>
      </c>
      <c r="C719" s="14" t="s">
        <v>1262</v>
      </c>
      <c r="D719" s="105">
        <v>38110.6</v>
      </c>
      <c r="E719" s="23">
        <v>42142</v>
      </c>
      <c r="F719" s="106">
        <v>38110.6</v>
      </c>
      <c r="G719" s="31">
        <f t="shared" si="22"/>
        <v>0</v>
      </c>
      <c r="H719" s="19" t="s">
        <v>1273</v>
      </c>
      <c r="I719" s="3"/>
      <c r="J719" s="42"/>
      <c r="K719" s="3"/>
      <c r="M719" s="20">
        <v>42142</v>
      </c>
      <c r="N719" s="183">
        <v>21430</v>
      </c>
      <c r="O719" s="14" t="s">
        <v>1338</v>
      </c>
      <c r="P719" s="105">
        <v>2734.8</v>
      </c>
      <c r="Q719" s="23">
        <v>42153</v>
      </c>
      <c r="R719" s="118">
        <v>2734.8</v>
      </c>
      <c r="S719" s="31">
        <f t="shared" si="23"/>
        <v>0</v>
      </c>
      <c r="T719" s="56" t="s">
        <v>59</v>
      </c>
    </row>
    <row r="720" spans="1:20" x14ac:dyDescent="0.25">
      <c r="A720" s="20">
        <v>42131</v>
      </c>
      <c r="B720" s="183">
        <v>20294</v>
      </c>
      <c r="C720" s="14" t="s">
        <v>111</v>
      </c>
      <c r="D720" s="105">
        <v>77874.42</v>
      </c>
      <c r="E720" s="23">
        <v>42133</v>
      </c>
      <c r="F720" s="106">
        <v>77874.42</v>
      </c>
      <c r="G720" s="31">
        <f t="shared" si="22"/>
        <v>0</v>
      </c>
      <c r="H720" s="19" t="s">
        <v>94</v>
      </c>
      <c r="I720" s="3"/>
      <c r="J720" s="42"/>
      <c r="K720" s="3"/>
      <c r="M720" s="20">
        <v>42142</v>
      </c>
      <c r="N720" s="183">
        <v>21522</v>
      </c>
      <c r="O720" s="14" t="s">
        <v>1338</v>
      </c>
      <c r="P720" s="105">
        <v>46578.16</v>
      </c>
      <c r="Q720" s="23">
        <v>42153</v>
      </c>
      <c r="R720" s="118">
        <v>46578.16</v>
      </c>
      <c r="S720" s="31">
        <f t="shared" si="23"/>
        <v>0</v>
      </c>
      <c r="T720" s="56" t="s">
        <v>94</v>
      </c>
    </row>
    <row r="721" spans="1:20" x14ac:dyDescent="0.25">
      <c r="A721" s="20">
        <v>42131</v>
      </c>
      <c r="B721" s="183">
        <v>20295</v>
      </c>
      <c r="C721" s="14" t="s">
        <v>252</v>
      </c>
      <c r="D721" s="105">
        <v>473.8</v>
      </c>
      <c r="E721" s="23">
        <v>42131</v>
      </c>
      <c r="F721" s="106">
        <v>473.8</v>
      </c>
      <c r="G721" s="31">
        <f t="shared" si="22"/>
        <v>0</v>
      </c>
      <c r="H721" s="19" t="s">
        <v>9</v>
      </c>
      <c r="I721" s="3"/>
      <c r="J721" s="42"/>
      <c r="K721" s="3"/>
      <c r="M721" s="20">
        <v>42143</v>
      </c>
      <c r="N721" s="183">
        <v>21603</v>
      </c>
      <c r="O721" s="14" t="s">
        <v>1338</v>
      </c>
      <c r="P721" s="105">
        <v>33614.94</v>
      </c>
      <c r="Q721" s="23">
        <v>42153</v>
      </c>
      <c r="R721" s="118">
        <v>33614.94</v>
      </c>
      <c r="S721" s="31">
        <f t="shared" si="23"/>
        <v>0</v>
      </c>
      <c r="T721" s="56" t="s">
        <v>1013</v>
      </c>
    </row>
    <row r="722" spans="1:20" x14ac:dyDescent="0.25">
      <c r="A722" s="20">
        <v>42131</v>
      </c>
      <c r="B722" s="183">
        <v>20296</v>
      </c>
      <c r="C722" s="14" t="s">
        <v>136</v>
      </c>
      <c r="D722" s="105">
        <v>37713.199999999997</v>
      </c>
      <c r="E722" s="23">
        <v>42133</v>
      </c>
      <c r="F722" s="106">
        <v>37713.199999999997</v>
      </c>
      <c r="G722" s="31">
        <f t="shared" si="22"/>
        <v>0</v>
      </c>
      <c r="H722" s="19" t="s">
        <v>9</v>
      </c>
      <c r="I722" s="3"/>
      <c r="J722" s="42"/>
      <c r="K722" s="3"/>
      <c r="M722" s="20">
        <v>42144</v>
      </c>
      <c r="N722" s="183">
        <v>21658</v>
      </c>
      <c r="O722" s="14" t="s">
        <v>1338</v>
      </c>
      <c r="P722" s="105">
        <v>10603.2</v>
      </c>
      <c r="Q722" s="23">
        <v>42153</v>
      </c>
      <c r="R722" s="118">
        <v>10603.2</v>
      </c>
      <c r="S722" s="31">
        <f t="shared" si="23"/>
        <v>0</v>
      </c>
      <c r="T722" s="62" t="s">
        <v>1257</v>
      </c>
    </row>
    <row r="723" spans="1:20" x14ac:dyDescent="0.25">
      <c r="A723" s="20">
        <v>42131</v>
      </c>
      <c r="B723" s="183">
        <v>20297</v>
      </c>
      <c r="C723" s="14" t="s">
        <v>106</v>
      </c>
      <c r="D723" s="105">
        <v>21586.2</v>
      </c>
      <c r="E723" s="23">
        <v>42131</v>
      </c>
      <c r="F723" s="106">
        <v>21586.2</v>
      </c>
      <c r="G723" s="31">
        <f t="shared" si="22"/>
        <v>0</v>
      </c>
      <c r="H723" s="19" t="s">
        <v>1257</v>
      </c>
      <c r="I723" s="3"/>
      <c r="J723" s="42"/>
      <c r="K723" s="3"/>
      <c r="M723" s="20">
        <v>42144</v>
      </c>
      <c r="N723" s="183">
        <v>21704</v>
      </c>
      <c r="O723" s="14" t="s">
        <v>1338</v>
      </c>
      <c r="P723" s="105">
        <v>2779.2</v>
      </c>
      <c r="Q723" s="23">
        <v>42153</v>
      </c>
      <c r="R723" s="106">
        <v>2779.2</v>
      </c>
      <c r="S723" s="31">
        <f t="shared" si="23"/>
        <v>0</v>
      </c>
      <c r="T723" s="39" t="s">
        <v>94</v>
      </c>
    </row>
    <row r="724" spans="1:20" x14ac:dyDescent="0.25">
      <c r="A724" s="20">
        <v>42131</v>
      </c>
      <c r="B724" s="183">
        <v>20298</v>
      </c>
      <c r="C724" s="14" t="s">
        <v>229</v>
      </c>
      <c r="D724" s="105">
        <v>1116.02</v>
      </c>
      <c r="E724" s="23">
        <v>42131</v>
      </c>
      <c r="F724" s="106">
        <v>1116.02</v>
      </c>
      <c r="G724" s="31">
        <f t="shared" si="22"/>
        <v>0</v>
      </c>
      <c r="H724" s="19" t="s">
        <v>1257</v>
      </c>
      <c r="I724" s="3"/>
      <c r="J724" s="42"/>
      <c r="K724" s="3"/>
      <c r="M724" s="20">
        <v>42145</v>
      </c>
      <c r="N724" s="183">
        <v>21752</v>
      </c>
      <c r="O724" s="15" t="s">
        <v>1338</v>
      </c>
      <c r="P724" s="122">
        <v>11177.6</v>
      </c>
      <c r="Q724" s="23">
        <v>42153</v>
      </c>
      <c r="R724" s="118">
        <v>11177.6</v>
      </c>
      <c r="S724" s="31">
        <f t="shared" si="23"/>
        <v>0</v>
      </c>
      <c r="T724" s="68" t="s">
        <v>59</v>
      </c>
    </row>
    <row r="725" spans="1:20" x14ac:dyDescent="0.25">
      <c r="A725" s="20">
        <v>42131</v>
      </c>
      <c r="B725" s="183">
        <v>20299</v>
      </c>
      <c r="C725" s="14" t="s">
        <v>111</v>
      </c>
      <c r="D725" s="105">
        <v>148062.5</v>
      </c>
      <c r="E725" s="23">
        <v>42133</v>
      </c>
      <c r="F725" s="106">
        <v>148062.5</v>
      </c>
      <c r="G725" s="31">
        <f t="shared" si="22"/>
        <v>0</v>
      </c>
      <c r="H725" s="19" t="s">
        <v>9</v>
      </c>
      <c r="I725" s="3"/>
      <c r="J725" s="42"/>
      <c r="K725" s="3"/>
      <c r="M725" s="20">
        <v>42146</v>
      </c>
      <c r="N725" s="183">
        <v>21950</v>
      </c>
      <c r="O725" s="14" t="s">
        <v>1338</v>
      </c>
      <c r="P725" s="105">
        <v>103027.99</v>
      </c>
      <c r="Q725" s="23">
        <v>42153</v>
      </c>
      <c r="R725" s="106">
        <v>103027.99</v>
      </c>
      <c r="S725" s="31">
        <f t="shared" si="23"/>
        <v>0</v>
      </c>
      <c r="T725" s="39" t="s">
        <v>1013</v>
      </c>
    </row>
    <row r="726" spans="1:20" x14ac:dyDescent="0.25">
      <c r="A726" s="20">
        <v>42131</v>
      </c>
      <c r="B726" s="183">
        <v>20300</v>
      </c>
      <c r="C726" s="14" t="s">
        <v>112</v>
      </c>
      <c r="D726" s="105">
        <v>24393.599999999999</v>
      </c>
      <c r="E726" s="23">
        <v>42131</v>
      </c>
      <c r="F726" s="106">
        <v>24393.599999999999</v>
      </c>
      <c r="G726" s="31">
        <f t="shared" si="22"/>
        <v>0</v>
      </c>
      <c r="H726" s="19" t="s">
        <v>9</v>
      </c>
      <c r="I726" s="3"/>
      <c r="J726" s="42"/>
      <c r="K726" s="3"/>
      <c r="M726" s="20">
        <v>42147</v>
      </c>
      <c r="N726" s="183">
        <v>21967</v>
      </c>
      <c r="O726" s="14" t="s">
        <v>1338</v>
      </c>
      <c r="P726" s="105">
        <v>40574.800000000003</v>
      </c>
      <c r="Q726" s="65">
        <v>42153</v>
      </c>
      <c r="R726" s="106">
        <v>40574.800000000003</v>
      </c>
      <c r="S726" s="31">
        <f t="shared" si="23"/>
        <v>0</v>
      </c>
      <c r="T726" s="39" t="s">
        <v>1273</v>
      </c>
    </row>
    <row r="727" spans="1:20" x14ac:dyDescent="0.25">
      <c r="A727" s="20">
        <v>42131</v>
      </c>
      <c r="B727" s="183">
        <v>20301</v>
      </c>
      <c r="C727" s="14" t="s">
        <v>732</v>
      </c>
      <c r="D727" s="105">
        <v>31635.11</v>
      </c>
      <c r="E727" s="23">
        <v>42133</v>
      </c>
      <c r="F727" s="106">
        <v>31635.11</v>
      </c>
      <c r="G727" s="31">
        <f t="shared" si="22"/>
        <v>0</v>
      </c>
      <c r="H727" s="19" t="s">
        <v>149</v>
      </c>
      <c r="I727" s="3"/>
      <c r="J727" s="42"/>
      <c r="K727" s="3"/>
      <c r="M727" s="20">
        <v>42148</v>
      </c>
      <c r="N727" s="183">
        <v>22109</v>
      </c>
      <c r="O727" s="14" t="s">
        <v>1338</v>
      </c>
      <c r="P727" s="105">
        <v>8360</v>
      </c>
      <c r="Q727" s="65">
        <v>42153</v>
      </c>
      <c r="R727" s="106">
        <v>8360</v>
      </c>
      <c r="S727" s="31">
        <f t="shared" si="23"/>
        <v>0</v>
      </c>
      <c r="T727" s="39" t="s">
        <v>9</v>
      </c>
    </row>
    <row r="728" spans="1:20" x14ac:dyDescent="0.25">
      <c r="A728" s="20">
        <v>42131</v>
      </c>
      <c r="B728" s="183">
        <v>20302</v>
      </c>
      <c r="C728" s="26" t="s">
        <v>218</v>
      </c>
      <c r="D728" s="108">
        <v>0</v>
      </c>
      <c r="E728" s="23"/>
      <c r="F728" s="106"/>
      <c r="G728" s="31">
        <f t="shared" si="22"/>
        <v>0</v>
      </c>
      <c r="H728" s="19" t="s">
        <v>13</v>
      </c>
      <c r="I728" s="3"/>
      <c r="J728" s="42"/>
      <c r="K728" s="3"/>
      <c r="M728" s="20">
        <v>42149</v>
      </c>
      <c r="N728" s="183">
        <v>22143</v>
      </c>
      <c r="O728" s="14" t="s">
        <v>1338</v>
      </c>
      <c r="P728" s="105">
        <v>26560.3</v>
      </c>
      <c r="Q728" s="65">
        <v>42153</v>
      </c>
      <c r="R728" s="106">
        <v>26560.3</v>
      </c>
      <c r="S728" s="31">
        <f t="shared" si="23"/>
        <v>0</v>
      </c>
      <c r="T728" s="39" t="s">
        <v>59</v>
      </c>
    </row>
    <row r="729" spans="1:20" x14ac:dyDescent="0.25">
      <c r="A729" s="20">
        <v>42131</v>
      </c>
      <c r="B729" s="183">
        <v>20303</v>
      </c>
      <c r="C729" s="14" t="s">
        <v>249</v>
      </c>
      <c r="D729" s="105">
        <v>2383.1999999999998</v>
      </c>
      <c r="E729" s="23">
        <v>42132</v>
      </c>
      <c r="F729" s="106">
        <v>2383.1999999999998</v>
      </c>
      <c r="G729" s="31">
        <f t="shared" si="22"/>
        <v>0</v>
      </c>
      <c r="H729" s="19" t="s">
        <v>94</v>
      </c>
      <c r="I729" s="3"/>
      <c r="J729" s="42"/>
      <c r="K729" s="3"/>
      <c r="M729" s="20">
        <v>42151</v>
      </c>
      <c r="N729" s="183">
        <v>22329</v>
      </c>
      <c r="O729" s="14" t="s">
        <v>1338</v>
      </c>
      <c r="P729" s="105">
        <v>75207.360000000001</v>
      </c>
      <c r="Q729" s="65">
        <v>42153</v>
      </c>
      <c r="R729" s="106">
        <v>75207.360000000001</v>
      </c>
      <c r="S729" s="31">
        <f t="shared" si="23"/>
        <v>0</v>
      </c>
      <c r="T729" s="39" t="s">
        <v>94</v>
      </c>
    </row>
    <row r="730" spans="1:20" x14ac:dyDescent="0.25">
      <c r="A730" s="20">
        <v>42131</v>
      </c>
      <c r="B730" s="183">
        <v>20304</v>
      </c>
      <c r="C730" s="14" t="s">
        <v>203</v>
      </c>
      <c r="D730" s="105">
        <v>2059.1999999999998</v>
      </c>
      <c r="E730" s="23">
        <v>42133</v>
      </c>
      <c r="F730" s="106">
        <v>2059.1999999999998</v>
      </c>
      <c r="G730" s="31">
        <f t="shared" si="22"/>
        <v>0</v>
      </c>
      <c r="H730" s="19" t="s">
        <v>149</v>
      </c>
      <c r="I730" s="3"/>
      <c r="J730" s="42"/>
      <c r="K730" s="3"/>
      <c r="M730" s="20">
        <v>42151</v>
      </c>
      <c r="N730" s="183">
        <v>22368</v>
      </c>
      <c r="O730" s="14" t="s">
        <v>1338</v>
      </c>
      <c r="P730" s="105">
        <v>3326.4</v>
      </c>
      <c r="Q730" s="65">
        <v>42153</v>
      </c>
      <c r="R730" s="106">
        <v>3326.4</v>
      </c>
      <c r="S730" s="31">
        <f t="shared" si="23"/>
        <v>0</v>
      </c>
      <c r="T730" s="39" t="s">
        <v>9</v>
      </c>
    </row>
    <row r="731" spans="1:20" x14ac:dyDescent="0.25">
      <c r="A731" s="20">
        <v>42131</v>
      </c>
      <c r="B731" s="183">
        <v>20305</v>
      </c>
      <c r="C731" s="14" t="s">
        <v>877</v>
      </c>
      <c r="D731" s="105">
        <v>2875.6</v>
      </c>
      <c r="E731" s="23">
        <v>42133</v>
      </c>
      <c r="F731" s="106">
        <v>2875.6</v>
      </c>
      <c r="G731" s="31">
        <f t="shared" si="22"/>
        <v>0</v>
      </c>
      <c r="H731" s="19" t="s">
        <v>149</v>
      </c>
      <c r="I731" s="3"/>
      <c r="J731" s="42"/>
      <c r="K731" s="3"/>
      <c r="M731" s="20">
        <v>42152</v>
      </c>
      <c r="N731" s="183">
        <v>22484</v>
      </c>
      <c r="O731" s="14" t="s">
        <v>1338</v>
      </c>
      <c r="P731" s="105">
        <v>16957.66</v>
      </c>
      <c r="Q731" s="23">
        <v>42153</v>
      </c>
      <c r="R731" s="106">
        <v>16957.66</v>
      </c>
      <c r="S731" s="31">
        <f t="shared" si="23"/>
        <v>0</v>
      </c>
      <c r="T731" s="39" t="s">
        <v>59</v>
      </c>
    </row>
    <row r="732" spans="1:20" x14ac:dyDescent="0.25">
      <c r="A732" s="20">
        <v>42131</v>
      </c>
      <c r="B732" s="183">
        <v>20306</v>
      </c>
      <c r="C732" s="14" t="s">
        <v>158</v>
      </c>
      <c r="D732" s="105">
        <v>2295</v>
      </c>
      <c r="E732" s="23">
        <v>42131</v>
      </c>
      <c r="F732" s="106">
        <v>2295</v>
      </c>
      <c r="G732" s="31">
        <f t="shared" si="22"/>
        <v>0</v>
      </c>
      <c r="H732" s="39" t="s">
        <v>9</v>
      </c>
      <c r="I732" s="3"/>
      <c r="J732" s="42"/>
      <c r="K732" s="3"/>
      <c r="M732" s="20">
        <v>42153</v>
      </c>
      <c r="N732" s="183">
        <v>22568</v>
      </c>
      <c r="O732" s="14" t="s">
        <v>1338</v>
      </c>
      <c r="P732" s="105">
        <v>4437.8</v>
      </c>
      <c r="Q732" s="23"/>
      <c r="R732" s="106"/>
      <c r="S732" s="31">
        <f t="shared" si="23"/>
        <v>4437.8</v>
      </c>
      <c r="T732" s="39" t="s">
        <v>59</v>
      </c>
    </row>
    <row r="733" spans="1:20" x14ac:dyDescent="0.25">
      <c r="A733" s="20">
        <v>42131</v>
      </c>
      <c r="B733" s="183">
        <v>20307</v>
      </c>
      <c r="C733" s="14" t="s">
        <v>199</v>
      </c>
      <c r="D733" s="105">
        <v>3014</v>
      </c>
      <c r="E733" s="23">
        <v>42133</v>
      </c>
      <c r="F733" s="106">
        <v>3014</v>
      </c>
      <c r="G733" s="31">
        <f t="shared" si="22"/>
        <v>0</v>
      </c>
      <c r="H733" s="39" t="s">
        <v>149</v>
      </c>
      <c r="I733" s="3"/>
      <c r="J733" s="42"/>
      <c r="K733" s="3"/>
      <c r="M733" s="20">
        <v>42153</v>
      </c>
      <c r="N733" s="183">
        <v>22591</v>
      </c>
      <c r="O733" s="14" t="s">
        <v>1338</v>
      </c>
      <c r="P733" s="105">
        <v>79247.179999999993</v>
      </c>
      <c r="Q733" s="23">
        <v>42153</v>
      </c>
      <c r="R733" s="114">
        <v>214.09</v>
      </c>
      <c r="S733" s="55">
        <f t="shared" si="23"/>
        <v>79033.09</v>
      </c>
      <c r="T733" s="39" t="s">
        <v>46</v>
      </c>
    </row>
    <row r="734" spans="1:20" x14ac:dyDescent="0.25">
      <c r="A734" s="20">
        <v>42131</v>
      </c>
      <c r="B734" s="183">
        <v>20308</v>
      </c>
      <c r="C734" s="14" t="s">
        <v>105</v>
      </c>
      <c r="D734" s="105">
        <v>4874.1000000000004</v>
      </c>
      <c r="E734" s="23">
        <v>42131</v>
      </c>
      <c r="F734" s="106">
        <v>4874.1000000000004</v>
      </c>
      <c r="G734" s="31">
        <f t="shared" si="22"/>
        <v>0</v>
      </c>
      <c r="H734" s="39" t="s">
        <v>9</v>
      </c>
      <c r="I734" s="3"/>
      <c r="J734" s="42"/>
      <c r="K734" s="3"/>
      <c r="M734" s="20">
        <v>42153</v>
      </c>
      <c r="N734" s="183">
        <v>22660</v>
      </c>
      <c r="O734" s="14" t="s">
        <v>1338</v>
      </c>
      <c r="P734" s="105">
        <v>1350</v>
      </c>
      <c r="Q734" s="23"/>
      <c r="R734" s="106"/>
      <c r="S734" s="31">
        <f t="shared" si="23"/>
        <v>1350</v>
      </c>
      <c r="T734" s="39" t="s">
        <v>59</v>
      </c>
    </row>
    <row r="735" spans="1:20" x14ac:dyDescent="0.25">
      <c r="A735" s="20">
        <v>42131</v>
      </c>
      <c r="B735" s="183">
        <v>20309</v>
      </c>
      <c r="C735" s="14" t="s">
        <v>204</v>
      </c>
      <c r="D735" s="105">
        <v>7117</v>
      </c>
      <c r="E735" s="23">
        <v>42133</v>
      </c>
      <c r="F735" s="106">
        <v>7117</v>
      </c>
      <c r="G735" s="31">
        <f t="shared" si="22"/>
        <v>0</v>
      </c>
      <c r="H735" s="39" t="s">
        <v>149</v>
      </c>
      <c r="I735" s="3"/>
      <c r="J735" s="42"/>
      <c r="K735" s="3"/>
      <c r="M735" s="20">
        <v>42154</v>
      </c>
      <c r="N735" s="183">
        <v>22670</v>
      </c>
      <c r="O735" s="14" t="s">
        <v>1338</v>
      </c>
      <c r="P735" s="105">
        <v>3291.2</v>
      </c>
      <c r="Q735" s="23"/>
      <c r="R735" s="106"/>
      <c r="S735" s="31">
        <f t="shared" si="23"/>
        <v>3291.2</v>
      </c>
      <c r="T735" s="39" t="s">
        <v>9</v>
      </c>
    </row>
    <row r="736" spans="1:20" x14ac:dyDescent="0.25">
      <c r="A736" s="20">
        <v>42131</v>
      </c>
      <c r="B736" s="183">
        <v>20310</v>
      </c>
      <c r="C736" s="14" t="s">
        <v>103</v>
      </c>
      <c r="D736" s="105">
        <v>8792</v>
      </c>
      <c r="E736" s="23">
        <v>42135</v>
      </c>
      <c r="F736" s="106">
        <v>8792</v>
      </c>
      <c r="G736" s="31">
        <f t="shared" si="22"/>
        <v>0</v>
      </c>
      <c r="H736" s="39" t="s">
        <v>9</v>
      </c>
      <c r="I736" s="3"/>
      <c r="J736" s="42"/>
      <c r="K736" s="3"/>
      <c r="M736" s="20">
        <v>42154</v>
      </c>
      <c r="N736" s="183">
        <v>22739</v>
      </c>
      <c r="O736" s="14" t="s">
        <v>1338</v>
      </c>
      <c r="P736" s="105">
        <v>18724.72</v>
      </c>
      <c r="Q736" s="23"/>
      <c r="R736" s="106"/>
      <c r="S736" s="31">
        <f t="shared" si="23"/>
        <v>18724.72</v>
      </c>
      <c r="T736" s="39" t="s">
        <v>1257</v>
      </c>
    </row>
    <row r="737" spans="1:20" x14ac:dyDescent="0.25">
      <c r="A737" s="20">
        <v>42131</v>
      </c>
      <c r="B737" s="183">
        <v>20311</v>
      </c>
      <c r="C737" s="14" t="s">
        <v>1275</v>
      </c>
      <c r="D737" s="105">
        <v>19146.060000000001</v>
      </c>
      <c r="E737" s="23">
        <v>42133</v>
      </c>
      <c r="F737" s="106">
        <v>19146.060000000001</v>
      </c>
      <c r="G737" s="31">
        <f t="shared" si="22"/>
        <v>0</v>
      </c>
      <c r="H737" s="39" t="s">
        <v>149</v>
      </c>
      <c r="I737" s="3"/>
      <c r="J737" s="42"/>
      <c r="K737" s="3"/>
      <c r="M737" s="20">
        <v>42155</v>
      </c>
      <c r="N737" s="183">
        <v>22829</v>
      </c>
      <c r="O737" s="14" t="s">
        <v>1338</v>
      </c>
      <c r="P737" s="105">
        <v>68098.899999999994</v>
      </c>
      <c r="Q737" s="23"/>
      <c r="R737" s="106"/>
      <c r="S737" s="31">
        <f t="shared" si="23"/>
        <v>68098.899999999994</v>
      </c>
      <c r="T737" s="39" t="s">
        <v>62</v>
      </c>
    </row>
    <row r="738" spans="1:20" x14ac:dyDescent="0.25">
      <c r="A738" s="20">
        <v>42131</v>
      </c>
      <c r="B738" s="183">
        <v>20312</v>
      </c>
      <c r="C738" s="14" t="s">
        <v>200</v>
      </c>
      <c r="D738" s="105">
        <v>1320</v>
      </c>
      <c r="E738" s="23">
        <v>42133</v>
      </c>
      <c r="F738" s="106">
        <v>1320</v>
      </c>
      <c r="G738" s="31">
        <f t="shared" si="22"/>
        <v>0</v>
      </c>
      <c r="H738" s="39" t="s">
        <v>149</v>
      </c>
      <c r="I738" s="3"/>
      <c r="J738" s="42"/>
      <c r="K738" s="3"/>
      <c r="M738" s="20">
        <v>42126</v>
      </c>
      <c r="N738" s="183">
        <v>19703</v>
      </c>
      <c r="O738" s="40" t="s">
        <v>14</v>
      </c>
      <c r="P738" s="105">
        <v>16719.3</v>
      </c>
      <c r="Q738" s="23">
        <v>42149</v>
      </c>
      <c r="R738" s="106">
        <v>16719.3</v>
      </c>
      <c r="S738" s="25">
        <f t="shared" si="23"/>
        <v>0</v>
      </c>
      <c r="T738" s="41" t="s">
        <v>15</v>
      </c>
    </row>
    <row r="739" spans="1:20" x14ac:dyDescent="0.25">
      <c r="A739" s="20">
        <v>42131</v>
      </c>
      <c r="B739" s="183">
        <v>20313</v>
      </c>
      <c r="C739" s="14" t="s">
        <v>80</v>
      </c>
      <c r="D739" s="105">
        <v>6864.6</v>
      </c>
      <c r="E739" s="23">
        <v>42131</v>
      </c>
      <c r="F739" s="106">
        <v>6864.6</v>
      </c>
      <c r="G739" s="31">
        <f t="shared" si="22"/>
        <v>0</v>
      </c>
      <c r="H739" s="39" t="s">
        <v>9</v>
      </c>
      <c r="I739" s="3"/>
      <c r="J739" s="42"/>
      <c r="K739" s="3"/>
      <c r="M739" s="20">
        <v>42127</v>
      </c>
      <c r="N739" s="183">
        <v>19873</v>
      </c>
      <c r="O739" s="14" t="s">
        <v>14</v>
      </c>
      <c r="P739" s="105">
        <v>18345.75</v>
      </c>
      <c r="Q739" s="23">
        <v>42149</v>
      </c>
      <c r="R739" s="106">
        <v>18345.75</v>
      </c>
      <c r="S739" s="31">
        <f t="shared" si="23"/>
        <v>0</v>
      </c>
      <c r="T739" s="19" t="s">
        <v>62</v>
      </c>
    </row>
    <row r="740" spans="1:20" x14ac:dyDescent="0.25">
      <c r="A740" s="20">
        <v>42131</v>
      </c>
      <c r="B740" s="183">
        <v>20314</v>
      </c>
      <c r="C740" s="14" t="s">
        <v>141</v>
      </c>
      <c r="D740" s="105">
        <v>563.20000000000005</v>
      </c>
      <c r="E740" s="23">
        <v>42131</v>
      </c>
      <c r="F740" s="106">
        <v>563.20000000000005</v>
      </c>
      <c r="G740" s="31">
        <f t="shared" si="22"/>
        <v>0</v>
      </c>
      <c r="H740" s="39" t="s">
        <v>9</v>
      </c>
      <c r="I740" s="3"/>
      <c r="J740" s="42"/>
      <c r="K740" s="3"/>
      <c r="M740" s="20">
        <v>42128</v>
      </c>
      <c r="N740" s="183">
        <v>19890</v>
      </c>
      <c r="O740" s="14" t="s">
        <v>14</v>
      </c>
      <c r="P740" s="105">
        <v>15265.2</v>
      </c>
      <c r="Q740" s="23">
        <v>42149</v>
      </c>
      <c r="R740" s="106">
        <v>15265.2</v>
      </c>
      <c r="S740" s="31">
        <f t="shared" si="23"/>
        <v>0</v>
      </c>
      <c r="T740" s="19" t="s">
        <v>9</v>
      </c>
    </row>
    <row r="741" spans="1:20" x14ac:dyDescent="0.25">
      <c r="A741" s="20">
        <v>42131</v>
      </c>
      <c r="B741" s="183">
        <v>20315</v>
      </c>
      <c r="C741" s="14" t="s">
        <v>1279</v>
      </c>
      <c r="D741" s="105">
        <v>21324.6</v>
      </c>
      <c r="E741" s="23">
        <v>42133</v>
      </c>
      <c r="F741" s="106">
        <v>21324.6</v>
      </c>
      <c r="G741" s="31">
        <f t="shared" si="22"/>
        <v>0</v>
      </c>
      <c r="H741" s="39" t="s">
        <v>149</v>
      </c>
      <c r="I741" s="3"/>
      <c r="J741" s="42"/>
      <c r="K741" s="3"/>
      <c r="M741" s="20">
        <v>42129</v>
      </c>
      <c r="N741" s="183">
        <v>20022</v>
      </c>
      <c r="O741" s="14" t="s">
        <v>14</v>
      </c>
      <c r="P741" s="105">
        <v>19359.400000000001</v>
      </c>
      <c r="Q741" s="23">
        <v>42149</v>
      </c>
      <c r="R741" s="106">
        <v>19359.400000000001</v>
      </c>
      <c r="S741" s="31">
        <f t="shared" si="23"/>
        <v>0</v>
      </c>
      <c r="T741" s="19" t="s">
        <v>15</v>
      </c>
    </row>
    <row r="742" spans="1:20" x14ac:dyDescent="0.25">
      <c r="A742" s="20">
        <v>42131</v>
      </c>
      <c r="B742" s="183">
        <v>20316</v>
      </c>
      <c r="C742" s="14" t="s">
        <v>912</v>
      </c>
      <c r="D742" s="105">
        <v>2118.1999999999998</v>
      </c>
      <c r="E742" s="23">
        <v>42131</v>
      </c>
      <c r="F742" s="106">
        <v>2118.1999999999998</v>
      </c>
      <c r="G742" s="31">
        <f t="shared" si="22"/>
        <v>0</v>
      </c>
      <c r="H742" s="39" t="s">
        <v>9</v>
      </c>
      <c r="I742" s="3"/>
      <c r="J742" s="42"/>
      <c r="K742" s="3"/>
      <c r="M742" s="20">
        <v>42129</v>
      </c>
      <c r="N742" s="183">
        <v>20101</v>
      </c>
      <c r="O742" s="14" t="s">
        <v>14</v>
      </c>
      <c r="P742" s="105">
        <v>249869.07</v>
      </c>
      <c r="Q742" s="23">
        <v>42149</v>
      </c>
      <c r="R742" s="106">
        <v>249869.07</v>
      </c>
      <c r="S742" s="31">
        <f t="shared" si="23"/>
        <v>0</v>
      </c>
      <c r="T742" s="39" t="s">
        <v>1013</v>
      </c>
    </row>
    <row r="743" spans="1:20" x14ac:dyDescent="0.25">
      <c r="A743" s="20">
        <v>42131</v>
      </c>
      <c r="B743" s="183">
        <v>20317</v>
      </c>
      <c r="C743" s="14" t="s">
        <v>912</v>
      </c>
      <c r="D743" s="105">
        <v>25322.49</v>
      </c>
      <c r="E743" s="23">
        <v>42131</v>
      </c>
      <c r="F743" s="106">
        <v>25322.49</v>
      </c>
      <c r="G743" s="31">
        <f t="shared" si="22"/>
        <v>0</v>
      </c>
      <c r="H743" s="39" t="s">
        <v>9</v>
      </c>
      <c r="I743" s="3"/>
      <c r="J743" s="42"/>
      <c r="K743" s="3"/>
      <c r="M743" s="20">
        <v>42129</v>
      </c>
      <c r="N743" s="183">
        <v>20102</v>
      </c>
      <c r="O743" s="14" t="s">
        <v>14</v>
      </c>
      <c r="P743" s="105">
        <v>244910.52</v>
      </c>
      <c r="Q743" s="23">
        <v>42149</v>
      </c>
      <c r="R743" s="106">
        <v>244910.52</v>
      </c>
      <c r="S743" s="31">
        <f t="shared" si="23"/>
        <v>0</v>
      </c>
      <c r="T743" s="39" t="s">
        <v>1013</v>
      </c>
    </row>
    <row r="744" spans="1:20" x14ac:dyDescent="0.25">
      <c r="A744" s="20">
        <v>42131</v>
      </c>
      <c r="B744" s="183">
        <v>20318</v>
      </c>
      <c r="C744" s="14" t="s">
        <v>24</v>
      </c>
      <c r="D744" s="105">
        <v>210138.27</v>
      </c>
      <c r="E744" s="23">
        <v>42151</v>
      </c>
      <c r="F744" s="106">
        <v>210138.27</v>
      </c>
      <c r="G744" s="31">
        <f t="shared" si="22"/>
        <v>0</v>
      </c>
      <c r="H744" s="39" t="s">
        <v>46</v>
      </c>
      <c r="I744" s="3"/>
      <c r="J744" s="42"/>
      <c r="K744" s="3"/>
      <c r="M744" s="20">
        <v>42130</v>
      </c>
      <c r="N744" s="183">
        <v>20108</v>
      </c>
      <c r="O744" s="14" t="s">
        <v>14</v>
      </c>
      <c r="P744" s="105">
        <v>14492.8</v>
      </c>
      <c r="Q744" s="23">
        <v>42149</v>
      </c>
      <c r="R744" s="106">
        <v>14492.8</v>
      </c>
      <c r="S744" s="31">
        <f t="shared" si="23"/>
        <v>0</v>
      </c>
      <c r="T744" s="39" t="s">
        <v>15</v>
      </c>
    </row>
    <row r="745" spans="1:20" x14ac:dyDescent="0.25">
      <c r="A745" s="20">
        <v>42131</v>
      </c>
      <c r="B745" s="183">
        <v>20319</v>
      </c>
      <c r="C745" s="14" t="s">
        <v>198</v>
      </c>
      <c r="D745" s="105">
        <v>23837.200000000001</v>
      </c>
      <c r="E745" s="23">
        <v>42133</v>
      </c>
      <c r="F745" s="106">
        <v>23837.200000000001</v>
      </c>
      <c r="G745" s="31">
        <f t="shared" si="22"/>
        <v>0</v>
      </c>
      <c r="H745" s="39" t="s">
        <v>149</v>
      </c>
      <c r="I745" s="3"/>
      <c r="J745" s="42"/>
      <c r="K745" s="3"/>
      <c r="M745" s="20">
        <v>42130</v>
      </c>
      <c r="N745" s="183">
        <v>20196</v>
      </c>
      <c r="O745" s="14" t="s">
        <v>14</v>
      </c>
      <c r="P745" s="105">
        <v>36260.199999999997</v>
      </c>
      <c r="Q745" s="23">
        <v>42149</v>
      </c>
      <c r="R745" s="106">
        <v>36260.199999999997</v>
      </c>
      <c r="S745" s="31">
        <f t="shared" si="23"/>
        <v>0</v>
      </c>
      <c r="T745" s="39" t="s">
        <v>9</v>
      </c>
    </row>
    <row r="746" spans="1:20" x14ac:dyDescent="0.25">
      <c r="A746" s="20">
        <v>42131</v>
      </c>
      <c r="B746" s="183">
        <v>20320</v>
      </c>
      <c r="C746" s="14" t="s">
        <v>1101</v>
      </c>
      <c r="D746" s="105">
        <v>431</v>
      </c>
      <c r="E746" s="23"/>
      <c r="F746" s="106"/>
      <c r="G746" s="31">
        <f t="shared" si="22"/>
        <v>431</v>
      </c>
      <c r="H746" s="39" t="s">
        <v>9</v>
      </c>
      <c r="I746" s="3"/>
      <c r="J746" s="42"/>
      <c r="K746" s="3"/>
      <c r="M746" s="20">
        <v>42131</v>
      </c>
      <c r="N746" s="183">
        <v>20209</v>
      </c>
      <c r="O746" s="14" t="s">
        <v>14</v>
      </c>
      <c r="P746" s="105">
        <v>16869.599999999999</v>
      </c>
      <c r="Q746" s="23">
        <v>42149</v>
      </c>
      <c r="R746" s="106">
        <v>16869.599999999999</v>
      </c>
      <c r="S746" s="31">
        <f t="shared" si="23"/>
        <v>0</v>
      </c>
      <c r="T746" s="39" t="s">
        <v>15</v>
      </c>
    </row>
    <row r="747" spans="1:20" x14ac:dyDescent="0.25">
      <c r="A747" s="20">
        <v>42131</v>
      </c>
      <c r="B747" s="183">
        <v>20321</v>
      </c>
      <c r="C747" s="14" t="s">
        <v>24</v>
      </c>
      <c r="D747" s="105">
        <v>102010.96</v>
      </c>
      <c r="E747" s="23">
        <v>42151</v>
      </c>
      <c r="F747" s="106">
        <v>102010.96</v>
      </c>
      <c r="G747" s="31">
        <f t="shared" si="22"/>
        <v>0</v>
      </c>
      <c r="H747" s="39" t="s">
        <v>46</v>
      </c>
      <c r="I747" s="3"/>
      <c r="J747" s="42"/>
      <c r="K747" s="3"/>
      <c r="M747" s="20">
        <v>42132</v>
      </c>
      <c r="N747" s="183">
        <v>20334</v>
      </c>
      <c r="O747" s="14" t="s">
        <v>14</v>
      </c>
      <c r="P747" s="105">
        <v>19414.8</v>
      </c>
      <c r="Q747" s="23">
        <v>42149</v>
      </c>
      <c r="R747" s="106">
        <v>19414.8</v>
      </c>
      <c r="S747" s="31">
        <f t="shared" si="23"/>
        <v>0</v>
      </c>
      <c r="T747" s="19" t="s">
        <v>15</v>
      </c>
    </row>
    <row r="748" spans="1:20" x14ac:dyDescent="0.25">
      <c r="A748" s="20">
        <v>42131</v>
      </c>
      <c r="B748" s="183">
        <v>20322</v>
      </c>
      <c r="C748" s="14" t="s">
        <v>1103</v>
      </c>
      <c r="D748" s="105">
        <v>23584.7</v>
      </c>
      <c r="E748" s="23">
        <v>42133</v>
      </c>
      <c r="F748" s="106">
        <v>23584.7</v>
      </c>
      <c r="G748" s="31">
        <f t="shared" si="22"/>
        <v>0</v>
      </c>
      <c r="H748" s="39" t="s">
        <v>149</v>
      </c>
      <c r="I748" s="3"/>
      <c r="J748" s="42"/>
      <c r="K748" s="3"/>
      <c r="M748" s="20">
        <v>42132</v>
      </c>
      <c r="N748" s="183">
        <v>20389</v>
      </c>
      <c r="O748" s="14" t="s">
        <v>14</v>
      </c>
      <c r="P748" s="105">
        <v>3445.2</v>
      </c>
      <c r="Q748" s="23">
        <v>42149</v>
      </c>
      <c r="R748" s="106">
        <v>3445.2</v>
      </c>
      <c r="S748" s="31">
        <f t="shared" si="23"/>
        <v>0</v>
      </c>
      <c r="T748" s="19" t="s">
        <v>15</v>
      </c>
    </row>
    <row r="749" spans="1:20" x14ac:dyDescent="0.25">
      <c r="A749" s="20">
        <v>42131</v>
      </c>
      <c r="B749" s="183">
        <v>20323</v>
      </c>
      <c r="C749" s="150" t="s">
        <v>733</v>
      </c>
      <c r="D749" s="105">
        <v>13844.4</v>
      </c>
      <c r="E749" s="23">
        <v>42133</v>
      </c>
      <c r="F749" s="106">
        <v>13844.4</v>
      </c>
      <c r="G749" s="31">
        <f t="shared" si="22"/>
        <v>0</v>
      </c>
      <c r="H749" s="39" t="s">
        <v>149</v>
      </c>
      <c r="I749" s="3"/>
      <c r="J749" s="42"/>
      <c r="K749" s="3"/>
      <c r="M749" s="20">
        <v>42133</v>
      </c>
      <c r="N749" s="183">
        <v>20473</v>
      </c>
      <c r="O749" s="14" t="s">
        <v>14</v>
      </c>
      <c r="P749" s="105">
        <v>22565.599999999999</v>
      </c>
      <c r="Q749" s="23">
        <v>42149</v>
      </c>
      <c r="R749" s="106">
        <v>22565.599999999999</v>
      </c>
      <c r="S749" s="31">
        <f t="shared" si="23"/>
        <v>0</v>
      </c>
      <c r="T749" s="39" t="s">
        <v>9</v>
      </c>
    </row>
    <row r="750" spans="1:20" x14ac:dyDescent="0.25">
      <c r="A750" s="20">
        <v>42131</v>
      </c>
      <c r="B750" s="183">
        <v>20324</v>
      </c>
      <c r="C750" s="14" t="s">
        <v>1020</v>
      </c>
      <c r="D750" s="105">
        <v>2987.2</v>
      </c>
      <c r="E750" s="23">
        <v>42131</v>
      </c>
      <c r="F750" s="106">
        <v>2987.2</v>
      </c>
      <c r="G750" s="31">
        <f t="shared" si="22"/>
        <v>0</v>
      </c>
      <c r="H750" s="39" t="s">
        <v>9</v>
      </c>
      <c r="I750" s="3"/>
      <c r="J750" s="42"/>
      <c r="K750" s="3"/>
      <c r="M750" s="20">
        <v>42133</v>
      </c>
      <c r="N750" s="183">
        <v>20546</v>
      </c>
      <c r="O750" s="14" t="s">
        <v>14</v>
      </c>
      <c r="P750" s="105">
        <v>13685.2</v>
      </c>
      <c r="Q750" s="23">
        <v>42149</v>
      </c>
      <c r="R750" s="106">
        <v>13685.2</v>
      </c>
      <c r="S750" s="31">
        <f t="shared" si="23"/>
        <v>0</v>
      </c>
      <c r="T750" s="19" t="s">
        <v>9</v>
      </c>
    </row>
    <row r="751" spans="1:20" x14ac:dyDescent="0.25">
      <c r="A751" s="20">
        <v>42131</v>
      </c>
      <c r="B751" s="183">
        <v>20325</v>
      </c>
      <c r="C751" s="14" t="s">
        <v>24</v>
      </c>
      <c r="D751" s="105">
        <v>147</v>
      </c>
      <c r="E751" s="23">
        <v>42151</v>
      </c>
      <c r="F751" s="106">
        <v>147</v>
      </c>
      <c r="G751" s="31">
        <f t="shared" si="22"/>
        <v>0</v>
      </c>
      <c r="H751" s="39" t="s">
        <v>312</v>
      </c>
      <c r="I751" s="3"/>
      <c r="J751" s="42"/>
      <c r="K751" s="3"/>
      <c r="M751" s="20">
        <v>42134</v>
      </c>
      <c r="N751" s="183">
        <v>20599</v>
      </c>
      <c r="O751" s="14" t="s">
        <v>14</v>
      </c>
      <c r="P751" s="105">
        <v>14088.5</v>
      </c>
      <c r="Q751" s="23">
        <v>42149</v>
      </c>
      <c r="R751" s="106">
        <v>14088.5</v>
      </c>
      <c r="S751" s="31">
        <f t="shared" si="23"/>
        <v>0</v>
      </c>
      <c r="T751" s="56" t="s">
        <v>9</v>
      </c>
    </row>
    <row r="752" spans="1:20" x14ac:dyDescent="0.25">
      <c r="A752" s="20">
        <v>42131</v>
      </c>
      <c r="B752" s="183">
        <v>20326</v>
      </c>
      <c r="C752" s="14" t="s">
        <v>195</v>
      </c>
      <c r="D752" s="105">
        <v>132913.39000000001</v>
      </c>
      <c r="E752" s="30" t="s">
        <v>1340</v>
      </c>
      <c r="F752" s="106">
        <v>132913.39000000001</v>
      </c>
      <c r="G752" s="31">
        <f t="shared" si="22"/>
        <v>0</v>
      </c>
      <c r="H752" s="39" t="s">
        <v>149</v>
      </c>
      <c r="I752" s="3"/>
      <c r="J752" s="42"/>
      <c r="K752" s="3"/>
      <c r="M752" s="20">
        <v>42135</v>
      </c>
      <c r="N752" s="183">
        <v>20670</v>
      </c>
      <c r="O752" s="14" t="s">
        <v>14</v>
      </c>
      <c r="P752" s="105">
        <v>17826.900000000001</v>
      </c>
      <c r="Q752" s="23">
        <v>42149</v>
      </c>
      <c r="R752" s="106">
        <v>17826.900000000001</v>
      </c>
      <c r="S752" s="31">
        <f t="shared" si="23"/>
        <v>0</v>
      </c>
      <c r="T752" s="39" t="s">
        <v>15</v>
      </c>
    </row>
    <row r="753" spans="1:20" x14ac:dyDescent="0.25">
      <c r="A753" s="20">
        <v>42131</v>
      </c>
      <c r="B753" s="183">
        <v>20327</v>
      </c>
      <c r="C753" s="14" t="s">
        <v>207</v>
      </c>
      <c r="D753" s="105">
        <v>25732.94</v>
      </c>
      <c r="E753" s="23">
        <v>42137</v>
      </c>
      <c r="F753" s="106">
        <v>25732.94</v>
      </c>
      <c r="G753" s="31">
        <f t="shared" si="22"/>
        <v>0</v>
      </c>
      <c r="H753" s="39" t="s">
        <v>149</v>
      </c>
      <c r="I753" s="3"/>
      <c r="J753" s="42"/>
      <c r="K753" s="3"/>
      <c r="M753" s="20">
        <v>42135</v>
      </c>
      <c r="N753" s="183">
        <v>20690</v>
      </c>
      <c r="O753" s="14" t="s">
        <v>14</v>
      </c>
      <c r="P753" s="105">
        <v>90082.85</v>
      </c>
      <c r="Q753" s="23" t="s">
        <v>1341</v>
      </c>
      <c r="R753" s="106">
        <f>48458.23+41624.62</f>
        <v>90082.85</v>
      </c>
      <c r="S753" s="31">
        <f t="shared" si="23"/>
        <v>0</v>
      </c>
      <c r="T753" s="39" t="s">
        <v>9</v>
      </c>
    </row>
    <row r="754" spans="1:20" x14ac:dyDescent="0.25">
      <c r="A754" s="20">
        <v>42131</v>
      </c>
      <c r="B754" s="183">
        <v>20328</v>
      </c>
      <c r="C754" s="14" t="s">
        <v>262</v>
      </c>
      <c r="D754" s="105">
        <v>22632.6</v>
      </c>
      <c r="E754" s="23">
        <v>42137</v>
      </c>
      <c r="F754" s="106">
        <v>22632.6</v>
      </c>
      <c r="G754" s="31">
        <f t="shared" si="22"/>
        <v>0</v>
      </c>
      <c r="H754" s="39" t="s">
        <v>149</v>
      </c>
      <c r="I754" s="3"/>
      <c r="J754" s="42"/>
      <c r="K754" s="3"/>
      <c r="M754" s="20">
        <v>42135</v>
      </c>
      <c r="N754" s="183">
        <v>20773</v>
      </c>
      <c r="O754" s="14" t="s">
        <v>14</v>
      </c>
      <c r="P754" s="105">
        <v>22361.62</v>
      </c>
      <c r="Q754" s="23">
        <v>42153</v>
      </c>
      <c r="R754" s="106">
        <v>22361.62</v>
      </c>
      <c r="S754" s="31">
        <f t="shared" si="23"/>
        <v>0</v>
      </c>
      <c r="T754" s="19" t="s">
        <v>15</v>
      </c>
    </row>
    <row r="755" spans="1:20" x14ac:dyDescent="0.25">
      <c r="A755" s="20">
        <v>42131</v>
      </c>
      <c r="B755" s="183">
        <v>20329</v>
      </c>
      <c r="C755" s="14" t="s">
        <v>195</v>
      </c>
      <c r="D755" s="105">
        <v>1560</v>
      </c>
      <c r="E755" s="23">
        <v>42133</v>
      </c>
      <c r="F755" s="106">
        <v>1560</v>
      </c>
      <c r="G755" s="31">
        <f t="shared" si="22"/>
        <v>0</v>
      </c>
      <c r="H755" s="39" t="s">
        <v>149</v>
      </c>
      <c r="I755" s="3"/>
      <c r="J755" s="42"/>
      <c r="K755" s="3"/>
      <c r="M755" s="20">
        <v>42136</v>
      </c>
      <c r="N755" s="183">
        <v>20794</v>
      </c>
      <c r="O755" s="14" t="s">
        <v>14</v>
      </c>
      <c r="P755" s="105">
        <v>17851.400000000001</v>
      </c>
      <c r="Q755" s="23">
        <v>42153</v>
      </c>
      <c r="R755" s="106">
        <v>17851.400000000001</v>
      </c>
      <c r="S755" s="31">
        <f t="shared" si="23"/>
        <v>0</v>
      </c>
      <c r="T755" s="19" t="s">
        <v>9</v>
      </c>
    </row>
    <row r="756" spans="1:20" x14ac:dyDescent="0.25">
      <c r="A756" s="20">
        <v>42132</v>
      </c>
      <c r="B756" s="183">
        <v>20330</v>
      </c>
      <c r="C756" s="14" t="s">
        <v>1060</v>
      </c>
      <c r="D756" s="105">
        <v>95808.16</v>
      </c>
      <c r="E756" s="30">
        <v>42165</v>
      </c>
      <c r="F756" s="144">
        <v>30000</v>
      </c>
      <c r="G756" s="31">
        <f t="shared" si="22"/>
        <v>65808.160000000003</v>
      </c>
      <c r="H756" s="39" t="s">
        <v>1273</v>
      </c>
      <c r="I756" s="3"/>
      <c r="J756" s="42"/>
      <c r="K756" s="3"/>
      <c r="M756" s="20">
        <v>42136</v>
      </c>
      <c r="N756" s="183">
        <v>20801</v>
      </c>
      <c r="O756" s="14" t="s">
        <v>14</v>
      </c>
      <c r="P756" s="105">
        <v>26809.47</v>
      </c>
      <c r="Q756" s="23">
        <v>42153</v>
      </c>
      <c r="R756" s="106">
        <v>26809.47</v>
      </c>
      <c r="S756" s="31">
        <f t="shared" si="23"/>
        <v>0</v>
      </c>
      <c r="T756" s="39" t="s">
        <v>15</v>
      </c>
    </row>
    <row r="757" spans="1:20" x14ac:dyDescent="0.25">
      <c r="A757" s="20">
        <v>42132</v>
      </c>
      <c r="B757" s="183">
        <v>20331</v>
      </c>
      <c r="C757" s="14" t="s">
        <v>105</v>
      </c>
      <c r="D757" s="105">
        <v>16707.8</v>
      </c>
      <c r="E757" s="23">
        <v>42132</v>
      </c>
      <c r="F757" s="106">
        <v>16707.8</v>
      </c>
      <c r="G757" s="31">
        <f t="shared" si="22"/>
        <v>0</v>
      </c>
      <c r="H757" s="39" t="s">
        <v>9</v>
      </c>
      <c r="I757" s="3"/>
      <c r="J757" s="42"/>
      <c r="K757" s="3"/>
      <c r="M757" s="20">
        <v>42136</v>
      </c>
      <c r="N757" s="183">
        <v>20865</v>
      </c>
      <c r="O757" s="14" t="s">
        <v>14</v>
      </c>
      <c r="P757" s="105">
        <v>139407.93</v>
      </c>
      <c r="Q757" s="23">
        <v>42153</v>
      </c>
      <c r="R757" s="106">
        <v>139407.93</v>
      </c>
      <c r="S757" s="31">
        <f t="shared" si="23"/>
        <v>0</v>
      </c>
      <c r="T757" s="39" t="s">
        <v>9</v>
      </c>
    </row>
    <row r="758" spans="1:20" x14ac:dyDescent="0.25">
      <c r="A758" s="20">
        <v>42132</v>
      </c>
      <c r="B758" s="183">
        <v>20332</v>
      </c>
      <c r="C758" s="14" t="s">
        <v>383</v>
      </c>
      <c r="D758" s="105">
        <v>9236.6</v>
      </c>
      <c r="E758" s="23">
        <v>42132</v>
      </c>
      <c r="F758" s="106">
        <v>9236.6</v>
      </c>
      <c r="G758" s="31">
        <f t="shared" si="22"/>
        <v>0</v>
      </c>
      <c r="H758" s="39" t="s">
        <v>9</v>
      </c>
      <c r="I758" s="3"/>
      <c r="J758" s="42"/>
      <c r="K758" s="3"/>
      <c r="M758" s="20">
        <v>42137</v>
      </c>
      <c r="N758" s="183">
        <v>20875</v>
      </c>
      <c r="O758" s="14" t="s">
        <v>14</v>
      </c>
      <c r="P758" s="105">
        <v>24013.4</v>
      </c>
      <c r="Q758" s="23">
        <v>42153</v>
      </c>
      <c r="R758" s="106">
        <v>24013.4</v>
      </c>
      <c r="S758" s="31">
        <f t="shared" si="23"/>
        <v>0</v>
      </c>
      <c r="T758" s="39" t="s">
        <v>15</v>
      </c>
    </row>
    <row r="759" spans="1:20" x14ac:dyDescent="0.25">
      <c r="A759" s="20">
        <v>42132</v>
      </c>
      <c r="B759" s="183">
        <v>20333</v>
      </c>
      <c r="C759" s="14" t="s">
        <v>1256</v>
      </c>
      <c r="D759" s="105">
        <v>10355.200000000001</v>
      </c>
      <c r="E759" s="23">
        <v>42132</v>
      </c>
      <c r="F759" s="106">
        <v>10355.200000000001</v>
      </c>
      <c r="G759" s="31">
        <f t="shared" si="22"/>
        <v>0</v>
      </c>
      <c r="H759" s="39" t="s">
        <v>9</v>
      </c>
      <c r="I759" s="3"/>
      <c r="J759" s="42"/>
      <c r="K759" s="3"/>
      <c r="M759" s="20">
        <v>42137</v>
      </c>
      <c r="N759" s="183">
        <v>20937</v>
      </c>
      <c r="O759" s="14" t="s">
        <v>14</v>
      </c>
      <c r="P759" s="105">
        <v>38147.26</v>
      </c>
      <c r="Q759" s="23">
        <v>42153</v>
      </c>
      <c r="R759" s="106">
        <v>38147.26</v>
      </c>
      <c r="S759" s="31">
        <f t="shared" si="23"/>
        <v>0</v>
      </c>
      <c r="T759" s="19" t="s">
        <v>9</v>
      </c>
    </row>
    <row r="760" spans="1:20" x14ac:dyDescent="0.25">
      <c r="A760" s="20">
        <v>42132</v>
      </c>
      <c r="B760" s="183">
        <v>20334</v>
      </c>
      <c r="C760" s="14" t="s">
        <v>14</v>
      </c>
      <c r="D760" s="105">
        <v>19414.8</v>
      </c>
      <c r="E760" s="23">
        <v>42149</v>
      </c>
      <c r="F760" s="106">
        <v>19414.8</v>
      </c>
      <c r="G760" s="31">
        <f t="shared" si="22"/>
        <v>0</v>
      </c>
      <c r="H760" s="19" t="s">
        <v>15</v>
      </c>
      <c r="I760" s="3"/>
      <c r="J760" s="42"/>
      <c r="K760" s="3"/>
      <c r="M760" s="20">
        <v>42137</v>
      </c>
      <c r="N760" s="183">
        <v>20939</v>
      </c>
      <c r="O760" s="14" t="s">
        <v>14</v>
      </c>
      <c r="P760" s="105">
        <v>405306.8</v>
      </c>
      <c r="Q760" s="23">
        <v>42153</v>
      </c>
      <c r="R760" s="106">
        <v>405306.8</v>
      </c>
      <c r="S760" s="31">
        <f t="shared" si="23"/>
        <v>0</v>
      </c>
      <c r="T760" s="19" t="s">
        <v>9</v>
      </c>
    </row>
    <row r="761" spans="1:20" x14ac:dyDescent="0.25">
      <c r="A761" s="20">
        <v>42132</v>
      </c>
      <c r="B761" s="183">
        <v>20335</v>
      </c>
      <c r="C761" s="14" t="s">
        <v>21</v>
      </c>
      <c r="D761" s="105">
        <v>7291.2</v>
      </c>
      <c r="E761" s="23">
        <v>42132</v>
      </c>
      <c r="F761" s="106">
        <v>7291.2</v>
      </c>
      <c r="G761" s="31">
        <f t="shared" si="22"/>
        <v>0</v>
      </c>
      <c r="H761" s="19" t="s">
        <v>9</v>
      </c>
      <c r="I761" s="3"/>
      <c r="J761" s="42"/>
      <c r="K761" s="3"/>
      <c r="M761" s="20">
        <v>42137</v>
      </c>
      <c r="N761" s="183">
        <v>20940</v>
      </c>
      <c r="O761" s="14" t="s">
        <v>14</v>
      </c>
      <c r="P761" s="105">
        <v>115623.46</v>
      </c>
      <c r="Q761" s="23">
        <v>42153</v>
      </c>
      <c r="R761" s="106">
        <v>115623.46</v>
      </c>
      <c r="S761" s="31">
        <f t="shared" si="23"/>
        <v>0</v>
      </c>
      <c r="T761" s="19" t="s">
        <v>9</v>
      </c>
    </row>
    <row r="762" spans="1:20" x14ac:dyDescent="0.25">
      <c r="A762" s="20">
        <v>42132</v>
      </c>
      <c r="B762" s="183">
        <v>20336</v>
      </c>
      <c r="C762" s="14" t="s">
        <v>854</v>
      </c>
      <c r="D762" s="105">
        <v>4647.5</v>
      </c>
      <c r="E762" s="23">
        <v>42132</v>
      </c>
      <c r="F762" s="106">
        <v>4647.5</v>
      </c>
      <c r="G762" s="31">
        <f t="shared" si="22"/>
        <v>0</v>
      </c>
      <c r="H762" s="19" t="s">
        <v>9</v>
      </c>
      <c r="I762" s="3"/>
      <c r="J762" s="42"/>
      <c r="K762" s="3"/>
      <c r="M762" s="20">
        <v>42138</v>
      </c>
      <c r="N762" s="183">
        <v>20965</v>
      </c>
      <c r="O762" s="14" t="s">
        <v>14</v>
      </c>
      <c r="P762" s="105">
        <v>7401.6</v>
      </c>
      <c r="Q762" s="23">
        <v>42153</v>
      </c>
      <c r="R762" s="106">
        <v>7401.6</v>
      </c>
      <c r="S762" s="31">
        <f t="shared" si="23"/>
        <v>0</v>
      </c>
      <c r="T762" s="19" t="s">
        <v>9</v>
      </c>
    </row>
    <row r="763" spans="1:20" x14ac:dyDescent="0.25">
      <c r="A763" s="20">
        <v>42132</v>
      </c>
      <c r="B763" s="183">
        <v>20337</v>
      </c>
      <c r="C763" s="14" t="s">
        <v>88</v>
      </c>
      <c r="D763" s="105">
        <v>2453.1</v>
      </c>
      <c r="E763" s="23">
        <v>42132</v>
      </c>
      <c r="F763" s="106">
        <v>2453.1</v>
      </c>
      <c r="G763" s="31">
        <f t="shared" si="22"/>
        <v>0</v>
      </c>
      <c r="H763" s="19" t="s">
        <v>9</v>
      </c>
      <c r="I763" s="3"/>
      <c r="J763" s="42"/>
      <c r="K763" s="3"/>
      <c r="M763" s="20">
        <v>42139</v>
      </c>
      <c r="N763" s="183">
        <v>21096</v>
      </c>
      <c r="O763" s="14" t="s">
        <v>14</v>
      </c>
      <c r="P763" s="105">
        <v>25879.4</v>
      </c>
      <c r="Q763" s="23">
        <v>42153</v>
      </c>
      <c r="R763" s="106">
        <v>25879.4</v>
      </c>
      <c r="S763" s="48">
        <f t="shared" si="23"/>
        <v>0</v>
      </c>
      <c r="T763" s="39" t="s">
        <v>15</v>
      </c>
    </row>
    <row r="764" spans="1:20" x14ac:dyDescent="0.25">
      <c r="A764" s="20">
        <v>42132</v>
      </c>
      <c r="B764" s="183">
        <v>20338</v>
      </c>
      <c r="C764" s="14" t="s">
        <v>125</v>
      </c>
      <c r="D764" s="105">
        <v>46195.05</v>
      </c>
      <c r="E764" s="23" t="s">
        <v>1342</v>
      </c>
      <c r="F764" s="106">
        <f>17000+29195.05</f>
        <v>46195.05</v>
      </c>
      <c r="G764" s="31">
        <f t="shared" si="22"/>
        <v>0</v>
      </c>
      <c r="H764" s="19" t="s">
        <v>9</v>
      </c>
      <c r="I764" s="3"/>
      <c r="J764" s="42"/>
      <c r="K764" s="3"/>
      <c r="M764" s="20">
        <v>42139</v>
      </c>
      <c r="N764" s="183">
        <v>21136</v>
      </c>
      <c r="O764" s="14" t="s">
        <v>14</v>
      </c>
      <c r="P764" s="105">
        <v>16434.599999999999</v>
      </c>
      <c r="Q764" s="23">
        <v>42153</v>
      </c>
      <c r="R764" s="106">
        <v>16434.599999999999</v>
      </c>
      <c r="S764" s="48">
        <f t="shared" si="23"/>
        <v>0</v>
      </c>
      <c r="T764" s="39" t="s">
        <v>9</v>
      </c>
    </row>
    <row r="765" spans="1:20" x14ac:dyDescent="0.25">
      <c r="A765" s="20">
        <v>42132</v>
      </c>
      <c r="B765" s="183">
        <v>20339</v>
      </c>
      <c r="C765" s="14" t="s">
        <v>20</v>
      </c>
      <c r="D765" s="105">
        <v>9109.2000000000007</v>
      </c>
      <c r="E765" s="23">
        <v>42132</v>
      </c>
      <c r="F765" s="106">
        <v>9109.2000000000007</v>
      </c>
      <c r="G765" s="31">
        <f t="shared" si="22"/>
        <v>0</v>
      </c>
      <c r="H765" s="19" t="s">
        <v>94</v>
      </c>
      <c r="I765" s="3"/>
      <c r="J765" s="42"/>
      <c r="K765" s="3"/>
      <c r="M765" s="20">
        <v>42140</v>
      </c>
      <c r="N765" s="183">
        <v>21225</v>
      </c>
      <c r="O765" s="14" t="s">
        <v>14</v>
      </c>
      <c r="P765" s="105">
        <v>25797.3</v>
      </c>
      <c r="Q765" s="23">
        <v>42153</v>
      </c>
      <c r="R765" s="106">
        <v>25797.3</v>
      </c>
      <c r="S765" s="48">
        <f t="shared" si="23"/>
        <v>0</v>
      </c>
      <c r="T765" s="39" t="s">
        <v>9</v>
      </c>
    </row>
    <row r="766" spans="1:20" x14ac:dyDescent="0.25">
      <c r="A766" s="20">
        <v>42132</v>
      </c>
      <c r="B766" s="183">
        <v>20340</v>
      </c>
      <c r="C766" s="14" t="s">
        <v>137</v>
      </c>
      <c r="D766" s="105">
        <v>2755.5</v>
      </c>
      <c r="E766" s="23">
        <v>42132</v>
      </c>
      <c r="F766" s="106">
        <v>2755.5</v>
      </c>
      <c r="G766" s="31">
        <f t="shared" si="22"/>
        <v>0</v>
      </c>
      <c r="H766" s="19" t="s">
        <v>9</v>
      </c>
      <c r="I766" s="3"/>
      <c r="J766" s="42"/>
      <c r="K766" s="3"/>
      <c r="M766" s="20">
        <v>42140</v>
      </c>
      <c r="N766" s="183">
        <v>21229</v>
      </c>
      <c r="O766" s="14" t="s">
        <v>14</v>
      </c>
      <c r="P766" s="105">
        <v>19726</v>
      </c>
      <c r="Q766" s="23">
        <v>42153</v>
      </c>
      <c r="R766" s="106">
        <v>19726</v>
      </c>
      <c r="S766" s="48">
        <f t="shared" si="23"/>
        <v>0</v>
      </c>
      <c r="T766" s="39" t="s">
        <v>9</v>
      </c>
    </row>
    <row r="767" spans="1:20" x14ac:dyDescent="0.25">
      <c r="A767" s="20">
        <v>42132</v>
      </c>
      <c r="B767" s="183">
        <v>20341</v>
      </c>
      <c r="C767" s="14" t="s">
        <v>114</v>
      </c>
      <c r="D767" s="105">
        <v>30899.8</v>
      </c>
      <c r="E767" s="23">
        <v>42132</v>
      </c>
      <c r="F767" s="106">
        <v>30899.8</v>
      </c>
      <c r="G767" s="31">
        <f t="shared" si="22"/>
        <v>0</v>
      </c>
      <c r="H767" s="19" t="s">
        <v>9</v>
      </c>
      <c r="I767" s="3"/>
      <c r="J767" s="42"/>
      <c r="K767" s="3"/>
      <c r="M767" s="20">
        <v>42140</v>
      </c>
      <c r="N767" s="183">
        <v>21306</v>
      </c>
      <c r="O767" s="14" t="s">
        <v>14</v>
      </c>
      <c r="P767" s="105">
        <v>246506.31</v>
      </c>
      <c r="Q767" s="23">
        <v>42153</v>
      </c>
      <c r="R767" s="118">
        <v>246506.31</v>
      </c>
      <c r="S767" s="31">
        <f t="shared" si="23"/>
        <v>0</v>
      </c>
      <c r="T767" s="62" t="s">
        <v>1013</v>
      </c>
    </row>
    <row r="768" spans="1:20" x14ac:dyDescent="0.25">
      <c r="A768" s="20">
        <v>42132</v>
      </c>
      <c r="B768" s="183">
        <v>20342</v>
      </c>
      <c r="C768" s="14" t="s">
        <v>25</v>
      </c>
      <c r="D768" s="105">
        <v>667</v>
      </c>
      <c r="E768" s="23">
        <v>42132</v>
      </c>
      <c r="F768" s="106">
        <v>667</v>
      </c>
      <c r="G768" s="31">
        <f t="shared" si="22"/>
        <v>0</v>
      </c>
      <c r="H768" s="19" t="s">
        <v>9</v>
      </c>
      <c r="I768" s="3"/>
      <c r="J768" s="42"/>
      <c r="K768" s="3"/>
      <c r="M768" s="20">
        <v>42141</v>
      </c>
      <c r="N768" s="183">
        <v>21349</v>
      </c>
      <c r="O768" s="14" t="s">
        <v>14</v>
      </c>
      <c r="P768" s="105">
        <v>14612.7</v>
      </c>
      <c r="Q768" s="23">
        <v>42153</v>
      </c>
      <c r="R768" s="118">
        <v>14612.7</v>
      </c>
      <c r="S768" s="31">
        <f t="shared" si="23"/>
        <v>0</v>
      </c>
      <c r="T768" s="62" t="s">
        <v>9</v>
      </c>
    </row>
    <row r="769" spans="1:20" x14ac:dyDescent="0.25">
      <c r="A769" s="20">
        <v>42132</v>
      </c>
      <c r="B769" s="183">
        <v>20343</v>
      </c>
      <c r="C769" s="14" t="s">
        <v>1128</v>
      </c>
      <c r="D769" s="105">
        <v>2343</v>
      </c>
      <c r="E769" s="23">
        <v>42132</v>
      </c>
      <c r="F769" s="106">
        <v>2343</v>
      </c>
      <c r="G769" s="31">
        <f t="shared" si="22"/>
        <v>0</v>
      </c>
      <c r="H769" s="19" t="s">
        <v>9</v>
      </c>
      <c r="I769" s="3"/>
      <c r="J769" s="42"/>
      <c r="K769" s="3"/>
      <c r="M769" s="20">
        <v>42142</v>
      </c>
      <c r="N769" s="183">
        <v>21388</v>
      </c>
      <c r="O769" s="14" t="s">
        <v>14</v>
      </c>
      <c r="P769" s="105">
        <v>14554.3</v>
      </c>
      <c r="Q769" s="23">
        <v>42153</v>
      </c>
      <c r="R769" s="118">
        <v>14554.3</v>
      </c>
      <c r="S769" s="31">
        <f t="shared" si="23"/>
        <v>0</v>
      </c>
      <c r="T769" s="56" t="s">
        <v>15</v>
      </c>
    </row>
    <row r="770" spans="1:20" x14ac:dyDescent="0.25">
      <c r="A770" s="20">
        <v>42132</v>
      </c>
      <c r="B770" s="183">
        <v>20344</v>
      </c>
      <c r="C770" s="14" t="s">
        <v>1193</v>
      </c>
      <c r="D770" s="105">
        <v>1488</v>
      </c>
      <c r="E770" s="23">
        <v>42132</v>
      </c>
      <c r="F770" s="106">
        <v>1488</v>
      </c>
      <c r="G770" s="31">
        <f t="shared" si="22"/>
        <v>0</v>
      </c>
      <c r="H770" s="19" t="s">
        <v>9</v>
      </c>
      <c r="K770" s="3"/>
      <c r="M770" s="20">
        <v>42142</v>
      </c>
      <c r="N770" s="183">
        <v>21413</v>
      </c>
      <c r="O770" s="14" t="s">
        <v>14</v>
      </c>
      <c r="P770" s="105">
        <v>73857.75</v>
      </c>
      <c r="Q770" s="23">
        <v>42153</v>
      </c>
      <c r="R770" s="118">
        <v>73857.75</v>
      </c>
      <c r="S770" s="31">
        <f t="shared" si="23"/>
        <v>0</v>
      </c>
      <c r="T770" s="56" t="s">
        <v>9</v>
      </c>
    </row>
    <row r="771" spans="1:20" x14ac:dyDescent="0.25">
      <c r="A771" s="20">
        <v>42132</v>
      </c>
      <c r="B771" s="183">
        <v>20345</v>
      </c>
      <c r="C771" s="14" t="s">
        <v>1328</v>
      </c>
      <c r="D771" s="105">
        <v>45518</v>
      </c>
      <c r="E771" s="23">
        <v>42132</v>
      </c>
      <c r="F771" s="106">
        <v>45518</v>
      </c>
      <c r="G771" s="31">
        <f t="shared" ref="G771:G834" si="24">D771-F771</f>
        <v>0</v>
      </c>
      <c r="H771" s="19" t="s">
        <v>9</v>
      </c>
      <c r="K771" s="3"/>
      <c r="M771" s="20">
        <v>42143</v>
      </c>
      <c r="N771" s="183">
        <v>21539</v>
      </c>
      <c r="O771" s="14" t="s">
        <v>14</v>
      </c>
      <c r="P771" s="105">
        <v>21928.799999999999</v>
      </c>
      <c r="Q771" s="23">
        <v>42153</v>
      </c>
      <c r="R771" s="118">
        <v>21928.799999999999</v>
      </c>
      <c r="S771" s="31">
        <f t="shared" ref="S771:S834" si="25">P771-R771</f>
        <v>0</v>
      </c>
      <c r="T771" s="56" t="s">
        <v>15</v>
      </c>
    </row>
    <row r="772" spans="1:20" x14ac:dyDescent="0.25">
      <c r="A772" s="20">
        <v>42132</v>
      </c>
      <c r="B772" s="183">
        <v>20346</v>
      </c>
      <c r="C772" s="14" t="s">
        <v>1186</v>
      </c>
      <c r="D772" s="105">
        <v>27207.599999999999</v>
      </c>
      <c r="E772" s="23">
        <v>42132</v>
      </c>
      <c r="F772" s="106">
        <v>27207.599999999999</v>
      </c>
      <c r="G772" s="31">
        <f t="shared" si="24"/>
        <v>0</v>
      </c>
      <c r="H772" s="19" t="s">
        <v>9</v>
      </c>
      <c r="K772" s="3"/>
      <c r="M772" s="20">
        <v>42143</v>
      </c>
      <c r="N772" s="183">
        <v>21571</v>
      </c>
      <c r="O772" s="150" t="s">
        <v>14</v>
      </c>
      <c r="P772" s="105">
        <v>4699</v>
      </c>
      <c r="Q772" s="23">
        <v>42153</v>
      </c>
      <c r="R772" s="118">
        <v>4699</v>
      </c>
      <c r="S772" s="31">
        <f t="shared" si="25"/>
        <v>0</v>
      </c>
      <c r="T772" s="56" t="s">
        <v>9</v>
      </c>
    </row>
    <row r="773" spans="1:20" x14ac:dyDescent="0.25">
      <c r="A773" s="20">
        <v>42132</v>
      </c>
      <c r="B773" s="183">
        <v>20347</v>
      </c>
      <c r="C773" s="14" t="s">
        <v>1261</v>
      </c>
      <c r="D773" s="105">
        <v>6227.2</v>
      </c>
      <c r="E773" s="23">
        <v>42132</v>
      </c>
      <c r="F773" s="106">
        <v>6227.2</v>
      </c>
      <c r="G773" s="31">
        <f t="shared" si="24"/>
        <v>0</v>
      </c>
      <c r="H773" s="19" t="s">
        <v>9</v>
      </c>
      <c r="K773" s="3"/>
      <c r="M773" s="20">
        <v>42144</v>
      </c>
      <c r="N773" s="183">
        <v>21615</v>
      </c>
      <c r="O773" s="14" t="s">
        <v>14</v>
      </c>
      <c r="P773" s="105">
        <v>20161.8</v>
      </c>
      <c r="Q773" s="23">
        <v>42153</v>
      </c>
      <c r="R773" s="118">
        <v>20161.8</v>
      </c>
      <c r="S773" s="31">
        <f t="shared" si="25"/>
        <v>0</v>
      </c>
      <c r="T773" s="56" t="s">
        <v>15</v>
      </c>
    </row>
    <row r="774" spans="1:20" x14ac:dyDescent="0.25">
      <c r="A774" s="20">
        <v>42132</v>
      </c>
      <c r="B774" s="183">
        <v>20348</v>
      </c>
      <c r="C774" s="14" t="s">
        <v>1185</v>
      </c>
      <c r="D774" s="105">
        <v>2541</v>
      </c>
      <c r="E774" s="23">
        <v>42132</v>
      </c>
      <c r="F774" s="106">
        <v>2541</v>
      </c>
      <c r="G774" s="31">
        <f t="shared" si="24"/>
        <v>0</v>
      </c>
      <c r="H774" s="19" t="s">
        <v>9</v>
      </c>
      <c r="K774" s="3"/>
      <c r="M774" s="20">
        <v>42144</v>
      </c>
      <c r="N774" s="183">
        <v>21685</v>
      </c>
      <c r="O774" s="14" t="s">
        <v>14</v>
      </c>
      <c r="P774" s="105">
        <v>318802.8</v>
      </c>
      <c r="Q774" s="23">
        <v>42153</v>
      </c>
      <c r="R774" s="118">
        <v>318802.8</v>
      </c>
      <c r="S774" s="31">
        <f t="shared" si="25"/>
        <v>0</v>
      </c>
      <c r="T774" s="56" t="s">
        <v>312</v>
      </c>
    </row>
    <row r="775" spans="1:20" x14ac:dyDescent="0.25">
      <c r="A775" s="20">
        <v>42132</v>
      </c>
      <c r="B775" s="183">
        <v>20349</v>
      </c>
      <c r="C775" s="150" t="s">
        <v>135</v>
      </c>
      <c r="D775" s="105">
        <v>6796.8</v>
      </c>
      <c r="E775" s="23">
        <v>42132</v>
      </c>
      <c r="F775" s="106">
        <v>6796.8</v>
      </c>
      <c r="G775" s="31">
        <f t="shared" si="24"/>
        <v>0</v>
      </c>
      <c r="H775" s="19" t="s">
        <v>9</v>
      </c>
      <c r="K775" s="3"/>
      <c r="M775" s="20">
        <v>42144</v>
      </c>
      <c r="N775" s="183">
        <v>21686</v>
      </c>
      <c r="O775" s="14" t="s">
        <v>14</v>
      </c>
      <c r="P775" s="105">
        <v>210851.75</v>
      </c>
      <c r="Q775" s="23">
        <v>42153</v>
      </c>
      <c r="R775" s="118">
        <v>210851.75</v>
      </c>
      <c r="S775" s="31">
        <f t="shared" si="25"/>
        <v>0</v>
      </c>
      <c r="T775" s="56" t="s">
        <v>9</v>
      </c>
    </row>
    <row r="776" spans="1:20" x14ac:dyDescent="0.25">
      <c r="A776" s="20">
        <v>42132</v>
      </c>
      <c r="B776" s="183">
        <v>20350</v>
      </c>
      <c r="C776" s="14" t="s">
        <v>121</v>
      </c>
      <c r="D776" s="105">
        <v>3199.4</v>
      </c>
      <c r="E776" s="23">
        <v>42132</v>
      </c>
      <c r="F776" s="106">
        <v>3199.4</v>
      </c>
      <c r="G776" s="31">
        <f t="shared" si="24"/>
        <v>0</v>
      </c>
      <c r="H776" s="19" t="s">
        <v>9</v>
      </c>
      <c r="K776" s="3"/>
      <c r="M776" s="20">
        <v>42145</v>
      </c>
      <c r="N776" s="183">
        <v>21723</v>
      </c>
      <c r="O776" s="14" t="s">
        <v>14</v>
      </c>
      <c r="P776" s="105">
        <v>21672.6</v>
      </c>
      <c r="Q776" s="23">
        <v>42153</v>
      </c>
      <c r="R776" s="106">
        <v>21672.6</v>
      </c>
      <c r="S776" s="31">
        <f t="shared" si="25"/>
        <v>0</v>
      </c>
      <c r="T776" s="39" t="s">
        <v>15</v>
      </c>
    </row>
    <row r="777" spans="1:20" x14ac:dyDescent="0.25">
      <c r="A777" s="20">
        <v>42132</v>
      </c>
      <c r="B777" s="183">
        <v>20351</v>
      </c>
      <c r="C777" s="14" t="s">
        <v>66</v>
      </c>
      <c r="D777" s="105">
        <v>2255</v>
      </c>
      <c r="E777" s="23">
        <v>42132</v>
      </c>
      <c r="F777" s="106">
        <v>2255</v>
      </c>
      <c r="G777" s="31">
        <f t="shared" si="24"/>
        <v>0</v>
      </c>
      <c r="H777" s="19" t="s">
        <v>9</v>
      </c>
      <c r="K777" s="3"/>
      <c r="M777" s="20">
        <v>42146</v>
      </c>
      <c r="N777" s="183">
        <v>21838</v>
      </c>
      <c r="O777" s="15" t="s">
        <v>14</v>
      </c>
      <c r="P777" s="122">
        <v>2997.5</v>
      </c>
      <c r="Q777" s="23">
        <v>42153</v>
      </c>
      <c r="R777" s="118">
        <v>2997.5</v>
      </c>
      <c r="S777" s="31">
        <f t="shared" si="25"/>
        <v>0</v>
      </c>
      <c r="T777" s="68" t="s">
        <v>15</v>
      </c>
    </row>
    <row r="778" spans="1:20" x14ac:dyDescent="0.25">
      <c r="A778" s="20">
        <v>42132</v>
      </c>
      <c r="B778" s="183">
        <v>20352</v>
      </c>
      <c r="C778" s="14" t="s">
        <v>26</v>
      </c>
      <c r="D778" s="105">
        <v>3264</v>
      </c>
      <c r="E778" s="23">
        <v>42132</v>
      </c>
      <c r="F778" s="106">
        <v>3264</v>
      </c>
      <c r="G778" s="31">
        <f t="shared" si="24"/>
        <v>0</v>
      </c>
      <c r="H778" s="19" t="s">
        <v>27</v>
      </c>
      <c r="J778" s="107"/>
      <c r="K778" s="3"/>
      <c r="M778" s="20">
        <v>42146</v>
      </c>
      <c r="N778" s="183">
        <v>21908</v>
      </c>
      <c r="O778" s="14" t="s">
        <v>14</v>
      </c>
      <c r="P778" s="105">
        <v>4191</v>
      </c>
      <c r="Q778" s="23">
        <v>42153</v>
      </c>
      <c r="R778" s="106">
        <v>4191</v>
      </c>
      <c r="S778" s="31">
        <f t="shared" si="25"/>
        <v>0</v>
      </c>
      <c r="T778" s="39" t="s">
        <v>15</v>
      </c>
    </row>
    <row r="779" spans="1:20" x14ac:dyDescent="0.25">
      <c r="A779" s="20">
        <v>42132</v>
      </c>
      <c r="B779" s="183">
        <v>20353</v>
      </c>
      <c r="C779" s="26" t="s">
        <v>218</v>
      </c>
      <c r="D779" s="108">
        <v>0</v>
      </c>
      <c r="E779" s="23"/>
      <c r="F779" s="106"/>
      <c r="G779" s="31">
        <f t="shared" si="24"/>
        <v>0</v>
      </c>
      <c r="H779" s="19" t="s">
        <v>13</v>
      </c>
      <c r="K779" s="3"/>
      <c r="M779" s="20">
        <v>42147</v>
      </c>
      <c r="N779" s="183">
        <v>21976</v>
      </c>
      <c r="O779" s="14" t="s">
        <v>14</v>
      </c>
      <c r="P779" s="105">
        <v>28084.2</v>
      </c>
      <c r="Q779" s="65">
        <v>42153</v>
      </c>
      <c r="R779" s="106">
        <v>28084.2</v>
      </c>
      <c r="S779" s="31">
        <f t="shared" si="25"/>
        <v>0</v>
      </c>
      <c r="T779" s="39" t="s">
        <v>15</v>
      </c>
    </row>
    <row r="780" spans="1:20" x14ac:dyDescent="0.25">
      <c r="A780" s="20">
        <v>42132</v>
      </c>
      <c r="B780" s="183">
        <v>20354</v>
      </c>
      <c r="C780" s="14" t="s">
        <v>829</v>
      </c>
      <c r="D780" s="105">
        <v>14829.5</v>
      </c>
      <c r="E780" s="23">
        <v>42132</v>
      </c>
      <c r="F780" s="106">
        <v>14829.5</v>
      </c>
      <c r="G780" s="31">
        <f t="shared" si="24"/>
        <v>0</v>
      </c>
      <c r="H780" s="19" t="s">
        <v>9</v>
      </c>
      <c r="K780" s="3"/>
      <c r="M780" s="20">
        <v>42148</v>
      </c>
      <c r="N780" s="183">
        <v>22089</v>
      </c>
      <c r="O780" s="14" t="s">
        <v>14</v>
      </c>
      <c r="P780" s="105">
        <v>9062.2000000000007</v>
      </c>
      <c r="Q780" s="65">
        <v>42153</v>
      </c>
      <c r="R780" s="106">
        <v>9062.2000000000007</v>
      </c>
      <c r="S780" s="31">
        <f t="shared" si="25"/>
        <v>0</v>
      </c>
      <c r="T780" s="39" t="s">
        <v>62</v>
      </c>
    </row>
    <row r="781" spans="1:20" x14ac:dyDescent="0.25">
      <c r="A781" s="20">
        <v>42132</v>
      </c>
      <c r="B781" s="183">
        <v>20355</v>
      </c>
      <c r="C781" s="14" t="s">
        <v>881</v>
      </c>
      <c r="D781" s="105">
        <v>253</v>
      </c>
      <c r="E781" s="23">
        <v>42132</v>
      </c>
      <c r="F781" s="106">
        <v>253</v>
      </c>
      <c r="G781" s="31">
        <f t="shared" si="24"/>
        <v>0</v>
      </c>
      <c r="H781" s="19" t="s">
        <v>9</v>
      </c>
      <c r="K781" s="3"/>
      <c r="M781" s="20">
        <v>42149</v>
      </c>
      <c r="N781" s="183">
        <v>22138</v>
      </c>
      <c r="O781" s="14" t="s">
        <v>14</v>
      </c>
      <c r="P781" s="105">
        <v>12922.8</v>
      </c>
      <c r="Q781" s="65">
        <v>42153</v>
      </c>
      <c r="R781" s="106">
        <v>12922.8</v>
      </c>
      <c r="S781" s="31">
        <f t="shared" si="25"/>
        <v>0</v>
      </c>
      <c r="T781" s="39" t="s">
        <v>15</v>
      </c>
    </row>
    <row r="782" spans="1:20" x14ac:dyDescent="0.25">
      <c r="A782" s="20">
        <v>42132</v>
      </c>
      <c r="B782" s="183">
        <v>20356</v>
      </c>
      <c r="C782" s="14" t="s">
        <v>333</v>
      </c>
      <c r="D782" s="105">
        <v>10407.4</v>
      </c>
      <c r="E782" s="23">
        <v>42132</v>
      </c>
      <c r="F782" s="106">
        <v>10407.4</v>
      </c>
      <c r="G782" s="31">
        <f t="shared" si="24"/>
        <v>0</v>
      </c>
      <c r="H782" s="19" t="s">
        <v>41</v>
      </c>
      <c r="K782" s="3"/>
      <c r="M782" s="20">
        <v>42149</v>
      </c>
      <c r="N782" s="183">
        <v>22142</v>
      </c>
      <c r="O782" s="14" t="s">
        <v>14</v>
      </c>
      <c r="P782" s="105">
        <v>3933.6</v>
      </c>
      <c r="Q782" s="65">
        <v>42153</v>
      </c>
      <c r="R782" s="106">
        <v>3933.6</v>
      </c>
      <c r="S782" s="31">
        <f t="shared" si="25"/>
        <v>0</v>
      </c>
      <c r="T782" s="39" t="s">
        <v>9</v>
      </c>
    </row>
    <row r="783" spans="1:20" x14ac:dyDescent="0.25">
      <c r="A783" s="20">
        <v>42132</v>
      </c>
      <c r="B783" s="183">
        <v>20357</v>
      </c>
      <c r="C783" s="14" t="s">
        <v>254</v>
      </c>
      <c r="D783" s="105">
        <v>5511.6</v>
      </c>
      <c r="E783" s="23">
        <v>42132</v>
      </c>
      <c r="F783" s="106">
        <v>5511.6</v>
      </c>
      <c r="G783" s="31">
        <f t="shared" si="24"/>
        <v>0</v>
      </c>
      <c r="H783" s="19" t="s">
        <v>9</v>
      </c>
      <c r="K783" s="3"/>
      <c r="M783" s="20">
        <v>42149</v>
      </c>
      <c r="N783" s="183">
        <v>22173</v>
      </c>
      <c r="O783" s="14" t="s">
        <v>14</v>
      </c>
      <c r="P783" s="105">
        <v>3920.4</v>
      </c>
      <c r="Q783" s="65">
        <v>42153</v>
      </c>
      <c r="R783" s="106">
        <v>3920.4</v>
      </c>
      <c r="S783" s="31">
        <f t="shared" si="25"/>
        <v>0</v>
      </c>
      <c r="T783" s="39" t="s">
        <v>9</v>
      </c>
    </row>
    <row r="784" spans="1:20" x14ac:dyDescent="0.25">
      <c r="A784" s="20">
        <v>42132</v>
      </c>
      <c r="B784" s="183">
        <v>20358</v>
      </c>
      <c r="C784" s="14" t="s">
        <v>375</v>
      </c>
      <c r="D784" s="105">
        <v>4092.6</v>
      </c>
      <c r="E784" s="23" t="s">
        <v>1343</v>
      </c>
      <c r="F784" s="106">
        <f>2690+1402.6</f>
        <v>4092.6</v>
      </c>
      <c r="G784" s="31">
        <f t="shared" si="24"/>
        <v>0</v>
      </c>
      <c r="H784" s="19" t="s">
        <v>9</v>
      </c>
      <c r="K784" s="3"/>
      <c r="M784" s="20">
        <v>42149</v>
      </c>
      <c r="N784" s="183">
        <v>22219</v>
      </c>
      <c r="O784" s="14" t="s">
        <v>14</v>
      </c>
      <c r="P784" s="105">
        <v>108324.59</v>
      </c>
      <c r="Q784" s="65" t="s">
        <v>1344</v>
      </c>
      <c r="R784" s="106">
        <f>2950+105374.59</f>
        <v>108324.59</v>
      </c>
      <c r="S784" s="31">
        <f t="shared" si="25"/>
        <v>0</v>
      </c>
      <c r="T784" s="39" t="s">
        <v>9</v>
      </c>
    </row>
    <row r="785" spans="1:20" x14ac:dyDescent="0.25">
      <c r="A785" s="20">
        <v>42132</v>
      </c>
      <c r="B785" s="183">
        <v>20359</v>
      </c>
      <c r="C785" s="14" t="s">
        <v>829</v>
      </c>
      <c r="D785" s="105">
        <v>252.4</v>
      </c>
      <c r="E785" s="23">
        <v>42132</v>
      </c>
      <c r="F785" s="106">
        <v>252.4</v>
      </c>
      <c r="G785" s="31">
        <f t="shared" si="24"/>
        <v>0</v>
      </c>
      <c r="H785" s="19" t="s">
        <v>9</v>
      </c>
      <c r="K785" s="3"/>
      <c r="M785" s="20">
        <v>42150</v>
      </c>
      <c r="N785" s="183">
        <v>22254</v>
      </c>
      <c r="O785" s="14" t="s">
        <v>14</v>
      </c>
      <c r="P785" s="105">
        <v>24441.3</v>
      </c>
      <c r="Q785" s="65">
        <v>42153</v>
      </c>
      <c r="R785" s="106">
        <v>24441.3</v>
      </c>
      <c r="S785" s="31">
        <f t="shared" si="25"/>
        <v>0</v>
      </c>
      <c r="T785" s="39" t="s">
        <v>9</v>
      </c>
    </row>
    <row r="786" spans="1:20" x14ac:dyDescent="0.25">
      <c r="A786" s="20">
        <v>42132</v>
      </c>
      <c r="B786" s="183">
        <v>20360</v>
      </c>
      <c r="C786" s="14" t="s">
        <v>254</v>
      </c>
      <c r="D786" s="105">
        <v>3067.4</v>
      </c>
      <c r="E786" s="23">
        <v>42132</v>
      </c>
      <c r="F786" s="106">
        <v>3067.4</v>
      </c>
      <c r="G786" s="31">
        <f t="shared" si="24"/>
        <v>0</v>
      </c>
      <c r="H786" s="19" t="s">
        <v>9</v>
      </c>
      <c r="K786" s="3"/>
      <c r="M786" s="20">
        <v>42150</v>
      </c>
      <c r="N786" s="183">
        <v>22255</v>
      </c>
      <c r="O786" s="14" t="s">
        <v>14</v>
      </c>
      <c r="P786" s="105">
        <v>6684.6</v>
      </c>
      <c r="Q786" s="65">
        <v>42153</v>
      </c>
      <c r="R786" s="106">
        <v>6684.6</v>
      </c>
      <c r="S786" s="31">
        <f t="shared" si="25"/>
        <v>0</v>
      </c>
      <c r="T786" s="39" t="s">
        <v>9</v>
      </c>
    </row>
    <row r="787" spans="1:20" x14ac:dyDescent="0.25">
      <c r="A787" s="20">
        <v>42132</v>
      </c>
      <c r="B787" s="183">
        <v>20361</v>
      </c>
      <c r="C787" s="14" t="s">
        <v>67</v>
      </c>
      <c r="D787" s="105">
        <v>2982</v>
      </c>
      <c r="E787" s="23">
        <v>42134</v>
      </c>
      <c r="F787" s="106">
        <v>2982</v>
      </c>
      <c r="G787" s="31">
        <f t="shared" si="24"/>
        <v>0</v>
      </c>
      <c r="H787" s="19" t="s">
        <v>1273</v>
      </c>
      <c r="J787" s="107"/>
      <c r="K787" s="3"/>
      <c r="M787" s="20">
        <v>42151</v>
      </c>
      <c r="N787" s="183">
        <v>22332</v>
      </c>
      <c r="O787" s="14" t="s">
        <v>14</v>
      </c>
      <c r="P787" s="105">
        <v>25972.7</v>
      </c>
      <c r="Q787" s="65">
        <v>42153</v>
      </c>
      <c r="R787" s="106">
        <v>25972.7</v>
      </c>
      <c r="S787" s="31">
        <f t="shared" si="25"/>
        <v>0</v>
      </c>
      <c r="T787" s="39" t="s">
        <v>15</v>
      </c>
    </row>
    <row r="788" spans="1:20" x14ac:dyDescent="0.25">
      <c r="A788" s="20">
        <v>42132</v>
      </c>
      <c r="B788" s="183">
        <v>20362</v>
      </c>
      <c r="C788" s="14" t="s">
        <v>78</v>
      </c>
      <c r="D788" s="105">
        <v>8034.6</v>
      </c>
      <c r="E788" s="23">
        <v>42134</v>
      </c>
      <c r="F788" s="106">
        <v>8034.6</v>
      </c>
      <c r="G788" s="31">
        <f t="shared" si="24"/>
        <v>0</v>
      </c>
      <c r="H788" s="19" t="s">
        <v>62</v>
      </c>
      <c r="K788" s="3"/>
      <c r="M788" s="20">
        <v>42151</v>
      </c>
      <c r="N788" s="183">
        <v>22353</v>
      </c>
      <c r="O788" s="14" t="s">
        <v>14</v>
      </c>
      <c r="P788" s="105">
        <v>256830.8</v>
      </c>
      <c r="Q788" s="65"/>
      <c r="R788" s="106"/>
      <c r="S788" s="31">
        <f t="shared" si="25"/>
        <v>256830.8</v>
      </c>
      <c r="T788" s="39" t="s">
        <v>9</v>
      </c>
    </row>
    <row r="789" spans="1:20" x14ac:dyDescent="0.25">
      <c r="A789" s="20">
        <v>42132</v>
      </c>
      <c r="B789" s="183">
        <v>20363</v>
      </c>
      <c r="C789" s="14" t="s">
        <v>170</v>
      </c>
      <c r="D789" s="105">
        <v>6463</v>
      </c>
      <c r="E789" s="23">
        <v>42134</v>
      </c>
      <c r="F789" s="106">
        <v>6463</v>
      </c>
      <c r="G789" s="31">
        <f t="shared" si="24"/>
        <v>0</v>
      </c>
      <c r="H789" s="19" t="s">
        <v>62</v>
      </c>
      <c r="K789" s="3"/>
      <c r="M789" s="20">
        <v>42151</v>
      </c>
      <c r="N789" s="183">
        <v>22357</v>
      </c>
      <c r="O789" s="14" t="s">
        <v>14</v>
      </c>
      <c r="P789" s="105">
        <v>266021.84000000003</v>
      </c>
      <c r="Q789" s="65"/>
      <c r="R789" s="106"/>
      <c r="S789" s="31">
        <f t="shared" si="25"/>
        <v>266021.84000000003</v>
      </c>
      <c r="T789" s="39" t="s">
        <v>9</v>
      </c>
    </row>
    <row r="790" spans="1:20" x14ac:dyDescent="0.25">
      <c r="A790" s="20">
        <v>42132</v>
      </c>
      <c r="B790" s="183">
        <v>20364</v>
      </c>
      <c r="C790" s="14" t="s">
        <v>151</v>
      </c>
      <c r="D790" s="105">
        <v>3588</v>
      </c>
      <c r="E790" s="23">
        <v>42133</v>
      </c>
      <c r="F790" s="106">
        <v>3588</v>
      </c>
      <c r="G790" s="31">
        <f t="shared" si="24"/>
        <v>0</v>
      </c>
      <c r="H790" s="19" t="s">
        <v>9</v>
      </c>
      <c r="K790" s="3"/>
      <c r="M790" s="20">
        <v>42151</v>
      </c>
      <c r="N790" s="183">
        <v>22413</v>
      </c>
      <c r="O790" s="14" t="s">
        <v>14</v>
      </c>
      <c r="P790" s="105">
        <v>14033.6</v>
      </c>
      <c r="Q790" s="23"/>
      <c r="R790" s="106"/>
      <c r="S790" s="31">
        <f t="shared" si="25"/>
        <v>14033.6</v>
      </c>
      <c r="T790" s="39" t="s">
        <v>1013</v>
      </c>
    </row>
    <row r="791" spans="1:20" x14ac:dyDescent="0.25">
      <c r="A791" s="20">
        <v>42132</v>
      </c>
      <c r="B791" s="183">
        <v>20365</v>
      </c>
      <c r="C791" s="14" t="s">
        <v>173</v>
      </c>
      <c r="D791" s="105">
        <v>34908.050000000003</v>
      </c>
      <c r="E791" s="30" t="s">
        <v>1331</v>
      </c>
      <c r="F791" s="106">
        <v>34908.050000000003</v>
      </c>
      <c r="G791" s="31">
        <f t="shared" si="24"/>
        <v>0</v>
      </c>
      <c r="H791" s="19" t="s">
        <v>62</v>
      </c>
      <c r="K791" s="3"/>
      <c r="M791" s="20">
        <v>42151</v>
      </c>
      <c r="N791" s="183">
        <v>22420</v>
      </c>
      <c r="O791" s="14" t="s">
        <v>14</v>
      </c>
      <c r="P791" s="105">
        <v>39440.550000000003</v>
      </c>
      <c r="Q791" s="23">
        <v>42153</v>
      </c>
      <c r="R791" s="114">
        <f>11897.89+2950</f>
        <v>14847.89</v>
      </c>
      <c r="S791" s="55">
        <f t="shared" si="25"/>
        <v>24592.660000000003</v>
      </c>
      <c r="T791" s="39" t="s">
        <v>9</v>
      </c>
    </row>
    <row r="792" spans="1:20" x14ac:dyDescent="0.25">
      <c r="A792" s="20">
        <v>42132</v>
      </c>
      <c r="B792" s="183">
        <v>20366</v>
      </c>
      <c r="C792" s="14" t="s">
        <v>84</v>
      </c>
      <c r="D792" s="105">
        <v>40463.599999999999</v>
      </c>
      <c r="E792" s="30" t="s">
        <v>1345</v>
      </c>
      <c r="F792" s="106">
        <v>40463.599999999999</v>
      </c>
      <c r="G792" s="31">
        <f t="shared" si="24"/>
        <v>0</v>
      </c>
      <c r="H792" s="19" t="s">
        <v>9</v>
      </c>
      <c r="K792" s="3"/>
      <c r="M792" s="20">
        <v>42152</v>
      </c>
      <c r="N792" s="183">
        <v>22431</v>
      </c>
      <c r="O792" s="14" t="s">
        <v>14</v>
      </c>
      <c r="P792" s="105">
        <v>17250.599999999999</v>
      </c>
      <c r="Q792" s="23"/>
      <c r="R792" s="106"/>
      <c r="S792" s="31">
        <f t="shared" si="25"/>
        <v>17250.599999999999</v>
      </c>
      <c r="T792" s="39" t="s">
        <v>9</v>
      </c>
    </row>
    <row r="793" spans="1:20" x14ac:dyDescent="0.25">
      <c r="A793" s="20">
        <v>42132</v>
      </c>
      <c r="B793" s="183">
        <v>20367</v>
      </c>
      <c r="C793" s="14" t="s">
        <v>84</v>
      </c>
      <c r="D793" s="105">
        <v>35930.5</v>
      </c>
      <c r="E793" s="30" t="s">
        <v>1346</v>
      </c>
      <c r="F793" s="106">
        <v>35930.5</v>
      </c>
      <c r="G793" s="31">
        <f t="shared" si="24"/>
        <v>0</v>
      </c>
      <c r="H793" s="19" t="s">
        <v>62</v>
      </c>
      <c r="K793" s="3"/>
      <c r="M793" s="20">
        <v>42153</v>
      </c>
      <c r="N793" s="183">
        <v>22553</v>
      </c>
      <c r="O793" s="14" t="s">
        <v>14</v>
      </c>
      <c r="P793" s="105">
        <v>18196.8</v>
      </c>
      <c r="Q793" s="23"/>
      <c r="R793" s="106"/>
      <c r="S793" s="31">
        <f t="shared" si="25"/>
        <v>18196.8</v>
      </c>
      <c r="T793" s="39" t="s">
        <v>15</v>
      </c>
    </row>
    <row r="794" spans="1:20" x14ac:dyDescent="0.25">
      <c r="A794" s="20">
        <v>42132</v>
      </c>
      <c r="B794" s="183">
        <v>20368</v>
      </c>
      <c r="C794" s="14" t="s">
        <v>694</v>
      </c>
      <c r="D794" s="105">
        <v>2464</v>
      </c>
      <c r="E794" s="23">
        <v>42132</v>
      </c>
      <c r="F794" s="106">
        <v>2464</v>
      </c>
      <c r="G794" s="31">
        <f t="shared" si="24"/>
        <v>0</v>
      </c>
      <c r="H794" s="19" t="s">
        <v>9</v>
      </c>
      <c r="K794" s="3"/>
      <c r="M794" s="20">
        <v>42154</v>
      </c>
      <c r="N794" s="183">
        <v>22678</v>
      </c>
      <c r="O794" s="14" t="s">
        <v>14</v>
      </c>
      <c r="P794" s="105">
        <v>25728.400000000001</v>
      </c>
      <c r="Q794" s="23"/>
      <c r="R794" s="106"/>
      <c r="S794" s="31">
        <f t="shared" si="25"/>
        <v>25728.400000000001</v>
      </c>
      <c r="T794" s="39" t="s">
        <v>9</v>
      </c>
    </row>
    <row r="795" spans="1:20" x14ac:dyDescent="0.25">
      <c r="A795" s="20">
        <v>42132</v>
      </c>
      <c r="B795" s="183">
        <v>20369</v>
      </c>
      <c r="C795" s="14" t="s">
        <v>285</v>
      </c>
      <c r="D795" s="105">
        <v>666.9</v>
      </c>
      <c r="E795" s="23">
        <v>42134</v>
      </c>
      <c r="F795" s="106">
        <v>666.9</v>
      </c>
      <c r="G795" s="31">
        <f t="shared" si="24"/>
        <v>0</v>
      </c>
      <c r="H795" s="19" t="s">
        <v>312</v>
      </c>
      <c r="K795" s="3"/>
      <c r="M795" s="20">
        <v>42154</v>
      </c>
      <c r="N795" s="183">
        <v>22748</v>
      </c>
      <c r="O795" s="14" t="s">
        <v>14</v>
      </c>
      <c r="P795" s="105">
        <v>8673.6</v>
      </c>
      <c r="Q795" s="23"/>
      <c r="R795" s="106"/>
      <c r="S795" s="31">
        <f t="shared" si="25"/>
        <v>8673.6</v>
      </c>
      <c r="T795" s="39" t="s">
        <v>15</v>
      </c>
    </row>
    <row r="796" spans="1:20" x14ac:dyDescent="0.25">
      <c r="A796" s="20">
        <v>42132</v>
      </c>
      <c r="B796" s="183">
        <v>20370</v>
      </c>
      <c r="C796" s="14" t="s">
        <v>226</v>
      </c>
      <c r="D796" s="105">
        <v>600</v>
      </c>
      <c r="E796" s="23">
        <v>42134</v>
      </c>
      <c r="F796" s="106">
        <v>600</v>
      </c>
      <c r="G796" s="31">
        <f t="shared" si="24"/>
        <v>0</v>
      </c>
      <c r="H796" s="19" t="s">
        <v>312</v>
      </c>
      <c r="K796" s="3"/>
      <c r="M796" s="20">
        <v>42154</v>
      </c>
      <c r="N796" s="183">
        <v>22764</v>
      </c>
      <c r="O796" s="14" t="s">
        <v>14</v>
      </c>
      <c r="P796" s="105">
        <v>167643.5</v>
      </c>
      <c r="Q796" s="23"/>
      <c r="R796" s="106"/>
      <c r="S796" s="31">
        <f t="shared" si="25"/>
        <v>167643.5</v>
      </c>
      <c r="T796" s="39" t="s">
        <v>149</v>
      </c>
    </row>
    <row r="797" spans="1:20" x14ac:dyDescent="0.25">
      <c r="A797" s="20">
        <v>42132</v>
      </c>
      <c r="B797" s="183">
        <v>20371</v>
      </c>
      <c r="C797" s="14" t="s">
        <v>65</v>
      </c>
      <c r="D797" s="105">
        <v>24734.799999999999</v>
      </c>
      <c r="E797" s="23">
        <v>42133</v>
      </c>
      <c r="F797" s="106">
        <v>24734.799999999999</v>
      </c>
      <c r="G797" s="31">
        <f t="shared" si="24"/>
        <v>0</v>
      </c>
      <c r="H797" s="19" t="s">
        <v>62</v>
      </c>
      <c r="K797" s="3"/>
      <c r="M797" s="20">
        <v>42155</v>
      </c>
      <c r="N797" s="183">
        <v>22817</v>
      </c>
      <c r="O797" s="14" t="s">
        <v>14</v>
      </c>
      <c r="P797" s="105">
        <v>18679.8</v>
      </c>
      <c r="Q797" s="23"/>
      <c r="R797" s="106"/>
      <c r="S797" s="31">
        <f t="shared" si="25"/>
        <v>18679.8</v>
      </c>
      <c r="T797" s="39" t="s">
        <v>9</v>
      </c>
    </row>
    <row r="798" spans="1:20" x14ac:dyDescent="0.25">
      <c r="A798" s="20">
        <v>42132</v>
      </c>
      <c r="B798" s="183">
        <v>20372</v>
      </c>
      <c r="C798" s="14" t="s">
        <v>91</v>
      </c>
      <c r="D798" s="105">
        <v>34419.599999999999</v>
      </c>
      <c r="E798" s="23">
        <v>42133</v>
      </c>
      <c r="F798" s="106">
        <v>34419.599999999999</v>
      </c>
      <c r="G798" s="31">
        <f t="shared" si="24"/>
        <v>0</v>
      </c>
      <c r="H798" s="19" t="s">
        <v>59</v>
      </c>
      <c r="K798" s="3"/>
      <c r="M798" s="20">
        <v>42125</v>
      </c>
      <c r="N798" s="183">
        <v>19629</v>
      </c>
      <c r="O798" s="14" t="s">
        <v>1262</v>
      </c>
      <c r="P798" s="105">
        <v>80018.06</v>
      </c>
      <c r="Q798" s="23">
        <v>42142</v>
      </c>
      <c r="R798" s="106">
        <v>80018.06</v>
      </c>
      <c r="S798" s="25">
        <f t="shared" si="25"/>
        <v>0</v>
      </c>
      <c r="T798" s="19" t="s">
        <v>46</v>
      </c>
    </row>
    <row r="799" spans="1:20" x14ac:dyDescent="0.25">
      <c r="A799" s="20">
        <v>42132</v>
      </c>
      <c r="B799" s="183">
        <v>20373</v>
      </c>
      <c r="C799" s="14" t="s">
        <v>82</v>
      </c>
      <c r="D799" s="105">
        <v>4582.2</v>
      </c>
      <c r="E799" s="23">
        <v>42133</v>
      </c>
      <c r="F799" s="106">
        <v>4582.2</v>
      </c>
      <c r="G799" s="31">
        <f t="shared" si="24"/>
        <v>0</v>
      </c>
      <c r="H799" s="19" t="s">
        <v>9</v>
      </c>
      <c r="K799" s="3"/>
      <c r="M799" s="20">
        <v>42126</v>
      </c>
      <c r="N799" s="183">
        <v>19805</v>
      </c>
      <c r="O799" s="40" t="s">
        <v>1262</v>
      </c>
      <c r="P799" s="105">
        <v>87032.7</v>
      </c>
      <c r="Q799" s="23">
        <v>42142</v>
      </c>
      <c r="R799" s="106">
        <v>87032.7</v>
      </c>
      <c r="S799" s="31">
        <f t="shared" si="25"/>
        <v>0</v>
      </c>
      <c r="T799" s="41" t="s">
        <v>1013</v>
      </c>
    </row>
    <row r="800" spans="1:20" x14ac:dyDescent="0.25">
      <c r="A800" s="20">
        <v>42132</v>
      </c>
      <c r="B800" s="183">
        <v>20374</v>
      </c>
      <c r="C800" s="14" t="s">
        <v>332</v>
      </c>
      <c r="D800" s="105">
        <v>2502.3000000000002</v>
      </c>
      <c r="E800" s="23">
        <v>42132</v>
      </c>
      <c r="F800" s="106">
        <v>2502.3000000000002</v>
      </c>
      <c r="G800" s="31">
        <f t="shared" si="24"/>
        <v>0</v>
      </c>
      <c r="H800" s="19" t="s">
        <v>9</v>
      </c>
      <c r="K800" s="3"/>
      <c r="M800" s="20">
        <v>42128</v>
      </c>
      <c r="N800" s="183">
        <v>19973</v>
      </c>
      <c r="O800" s="14" t="s">
        <v>1262</v>
      </c>
      <c r="P800" s="105">
        <v>43274.22</v>
      </c>
      <c r="Q800" s="23">
        <v>42142</v>
      </c>
      <c r="R800" s="106">
        <v>43274.22</v>
      </c>
      <c r="S800" s="31">
        <f t="shared" si="25"/>
        <v>0</v>
      </c>
      <c r="T800" s="19" t="s">
        <v>46</v>
      </c>
    </row>
    <row r="801" spans="1:20" x14ac:dyDescent="0.25">
      <c r="A801" s="20">
        <v>42132</v>
      </c>
      <c r="B801" s="183">
        <v>20375</v>
      </c>
      <c r="C801" s="14" t="s">
        <v>53</v>
      </c>
      <c r="D801" s="105">
        <v>1349.8</v>
      </c>
      <c r="E801" s="23">
        <v>42133</v>
      </c>
      <c r="F801" s="106">
        <v>1349.8</v>
      </c>
      <c r="G801" s="31">
        <f t="shared" si="24"/>
        <v>0</v>
      </c>
      <c r="H801" s="19" t="s">
        <v>59</v>
      </c>
      <c r="I801" s="3"/>
      <c r="J801" s="42"/>
      <c r="K801" s="3"/>
      <c r="M801" s="20">
        <v>42129</v>
      </c>
      <c r="N801" s="183">
        <v>20072</v>
      </c>
      <c r="O801" s="14" t="s">
        <v>1262</v>
      </c>
      <c r="P801" s="105">
        <v>10504.8</v>
      </c>
      <c r="Q801" s="23">
        <v>42142</v>
      </c>
      <c r="R801" s="106">
        <v>10504.8</v>
      </c>
      <c r="S801" s="31">
        <f t="shared" si="25"/>
        <v>0</v>
      </c>
      <c r="T801" s="39" t="s">
        <v>41</v>
      </c>
    </row>
    <row r="802" spans="1:20" x14ac:dyDescent="0.25">
      <c r="A802" s="20">
        <v>42132</v>
      </c>
      <c r="B802" s="183">
        <v>20376</v>
      </c>
      <c r="C802" s="14" t="s">
        <v>81</v>
      </c>
      <c r="D802" s="105">
        <v>2468.8000000000002</v>
      </c>
      <c r="E802" s="23">
        <v>42133</v>
      </c>
      <c r="F802" s="106">
        <v>2468.8000000000002</v>
      </c>
      <c r="G802" s="31">
        <f t="shared" si="24"/>
        <v>0</v>
      </c>
      <c r="H802" s="19" t="s">
        <v>59</v>
      </c>
      <c r="I802" s="3"/>
      <c r="J802" s="42"/>
      <c r="K802" s="3"/>
      <c r="M802" s="20">
        <v>42130</v>
      </c>
      <c r="N802" s="183">
        <v>20175</v>
      </c>
      <c r="O802" s="14" t="s">
        <v>1262</v>
      </c>
      <c r="P802" s="105">
        <v>54070.51</v>
      </c>
      <c r="Q802" s="23">
        <v>42142</v>
      </c>
      <c r="R802" s="106">
        <v>54070.51</v>
      </c>
      <c r="S802" s="31">
        <f t="shared" si="25"/>
        <v>0</v>
      </c>
      <c r="T802" s="39" t="s">
        <v>41</v>
      </c>
    </row>
    <row r="803" spans="1:20" x14ac:dyDescent="0.25">
      <c r="A803" s="20">
        <v>42132</v>
      </c>
      <c r="B803" s="183">
        <v>20377</v>
      </c>
      <c r="C803" s="14" t="s">
        <v>292</v>
      </c>
      <c r="D803" s="105">
        <v>2904.2</v>
      </c>
      <c r="E803" s="23">
        <v>42133</v>
      </c>
      <c r="F803" s="106">
        <v>2904.2</v>
      </c>
      <c r="G803" s="31">
        <f t="shared" si="24"/>
        <v>0</v>
      </c>
      <c r="H803" s="19" t="s">
        <v>59</v>
      </c>
      <c r="I803" s="3"/>
      <c r="J803" s="42"/>
      <c r="K803" s="3"/>
      <c r="M803" s="20">
        <v>42131</v>
      </c>
      <c r="N803" s="183">
        <v>20293</v>
      </c>
      <c r="O803" s="14" t="s">
        <v>1262</v>
      </c>
      <c r="P803" s="105">
        <v>38110.6</v>
      </c>
      <c r="Q803" s="23">
        <v>42142</v>
      </c>
      <c r="R803" s="106">
        <v>38110.6</v>
      </c>
      <c r="S803" s="31">
        <f t="shared" si="25"/>
        <v>0</v>
      </c>
      <c r="T803" s="19" t="s">
        <v>1273</v>
      </c>
    </row>
    <row r="804" spans="1:20" x14ac:dyDescent="0.25">
      <c r="A804" s="20">
        <v>42132</v>
      </c>
      <c r="B804" s="183">
        <v>20378</v>
      </c>
      <c r="C804" s="14" t="s">
        <v>120</v>
      </c>
      <c r="D804" s="105">
        <v>1170</v>
      </c>
      <c r="E804" s="23">
        <v>42133</v>
      </c>
      <c r="F804" s="106">
        <v>1170</v>
      </c>
      <c r="G804" s="31">
        <f t="shared" si="24"/>
        <v>0</v>
      </c>
      <c r="H804" s="19" t="s">
        <v>59</v>
      </c>
      <c r="I804" s="3"/>
      <c r="J804" s="42"/>
      <c r="K804" s="3"/>
      <c r="M804" s="20">
        <v>42132</v>
      </c>
      <c r="N804" s="183">
        <v>20383</v>
      </c>
      <c r="O804" s="14" t="s">
        <v>1262</v>
      </c>
      <c r="P804" s="105">
        <v>34201.199999999997</v>
      </c>
      <c r="Q804" s="23">
        <v>42142</v>
      </c>
      <c r="R804" s="106">
        <v>34201.199999999997</v>
      </c>
      <c r="S804" s="31">
        <f t="shared" si="25"/>
        <v>0</v>
      </c>
      <c r="T804" s="19" t="s">
        <v>59</v>
      </c>
    </row>
    <row r="805" spans="1:20" x14ac:dyDescent="0.25">
      <c r="A805" s="20">
        <v>42132</v>
      </c>
      <c r="B805" s="183">
        <v>20379</v>
      </c>
      <c r="C805" s="14" t="s">
        <v>664</v>
      </c>
      <c r="D805" s="105">
        <v>1404</v>
      </c>
      <c r="E805" s="23">
        <v>42133</v>
      </c>
      <c r="F805" s="106">
        <v>1404</v>
      </c>
      <c r="G805" s="48">
        <f t="shared" si="24"/>
        <v>0</v>
      </c>
      <c r="H805" s="19" t="s">
        <v>59</v>
      </c>
      <c r="I805" s="3"/>
      <c r="J805" s="42"/>
      <c r="K805" s="3"/>
      <c r="M805" s="20">
        <v>42132</v>
      </c>
      <c r="N805" s="183">
        <v>20456</v>
      </c>
      <c r="O805" s="14" t="s">
        <v>1262</v>
      </c>
      <c r="P805" s="105">
        <v>74169</v>
      </c>
      <c r="Q805" s="23">
        <v>42142</v>
      </c>
      <c r="R805" s="106">
        <v>74169</v>
      </c>
      <c r="S805" s="31">
        <f t="shared" si="25"/>
        <v>0</v>
      </c>
      <c r="T805" s="19" t="s">
        <v>1013</v>
      </c>
    </row>
    <row r="806" spans="1:20" x14ac:dyDescent="0.25">
      <c r="A806" s="20">
        <v>42132</v>
      </c>
      <c r="B806" s="183">
        <v>20380</v>
      </c>
      <c r="C806" s="14" t="s">
        <v>169</v>
      </c>
      <c r="D806" s="105">
        <v>2369.8000000000002</v>
      </c>
      <c r="E806" s="23">
        <v>42134</v>
      </c>
      <c r="F806" s="106">
        <v>2369.8000000000002</v>
      </c>
      <c r="G806" s="31">
        <f t="shared" si="24"/>
        <v>0</v>
      </c>
      <c r="H806" s="19" t="s">
        <v>59</v>
      </c>
      <c r="I806" s="3"/>
      <c r="J806" s="42"/>
      <c r="K806" s="3"/>
      <c r="M806" s="20">
        <v>42133</v>
      </c>
      <c r="N806" s="183">
        <v>20585</v>
      </c>
      <c r="O806" s="14" t="s">
        <v>1262</v>
      </c>
      <c r="P806" s="105">
        <v>118641.73</v>
      </c>
      <c r="Q806" s="23">
        <v>42142</v>
      </c>
      <c r="R806" s="106">
        <v>118641.73</v>
      </c>
      <c r="S806" s="31">
        <f t="shared" si="25"/>
        <v>0</v>
      </c>
      <c r="T806" s="39" t="s">
        <v>773</v>
      </c>
    </row>
    <row r="807" spans="1:20" x14ac:dyDescent="0.25">
      <c r="A807" s="20">
        <v>42132</v>
      </c>
      <c r="B807" s="183">
        <v>20381</v>
      </c>
      <c r="C807" s="14" t="s">
        <v>915</v>
      </c>
      <c r="D807" s="105">
        <v>885.5</v>
      </c>
      <c r="E807" s="23">
        <v>42133</v>
      </c>
      <c r="F807" s="106">
        <v>885.5</v>
      </c>
      <c r="G807" s="31">
        <f t="shared" si="24"/>
        <v>0</v>
      </c>
      <c r="H807" s="19" t="s">
        <v>59</v>
      </c>
      <c r="I807" s="3"/>
      <c r="J807" s="42"/>
      <c r="K807" s="3"/>
      <c r="M807" s="20">
        <v>42135</v>
      </c>
      <c r="N807" s="183">
        <v>20723</v>
      </c>
      <c r="O807" s="14" t="s">
        <v>1262</v>
      </c>
      <c r="P807" s="105">
        <v>43037.05</v>
      </c>
      <c r="Q807" s="23">
        <v>42142</v>
      </c>
      <c r="R807" s="106">
        <v>43037.05</v>
      </c>
      <c r="S807" s="31">
        <f t="shared" si="25"/>
        <v>0</v>
      </c>
      <c r="T807" s="19" t="s">
        <v>9</v>
      </c>
    </row>
    <row r="808" spans="1:20" x14ac:dyDescent="0.25">
      <c r="A808" s="20">
        <v>42132</v>
      </c>
      <c r="B808" s="183">
        <v>20382</v>
      </c>
      <c r="C808" s="14" t="s">
        <v>155</v>
      </c>
      <c r="D808" s="105">
        <v>1174.2</v>
      </c>
      <c r="E808" s="23">
        <v>42133</v>
      </c>
      <c r="F808" s="106">
        <v>1174.2</v>
      </c>
      <c r="G808" s="31">
        <f t="shared" si="24"/>
        <v>0</v>
      </c>
      <c r="H808" s="19" t="s">
        <v>59</v>
      </c>
      <c r="I808" s="3"/>
      <c r="J808" s="42"/>
      <c r="K808" s="3"/>
      <c r="M808" s="20">
        <v>42135</v>
      </c>
      <c r="N808" s="183">
        <v>20751</v>
      </c>
      <c r="O808" s="14" t="s">
        <v>1262</v>
      </c>
      <c r="P808" s="105">
        <v>4081</v>
      </c>
      <c r="Q808" s="23">
        <v>42142</v>
      </c>
      <c r="R808" s="106">
        <v>4081</v>
      </c>
      <c r="S808" s="31">
        <f t="shared" si="25"/>
        <v>0</v>
      </c>
      <c r="T808" s="19" t="s">
        <v>9</v>
      </c>
    </row>
    <row r="809" spans="1:20" x14ac:dyDescent="0.25">
      <c r="A809" s="20">
        <v>42132</v>
      </c>
      <c r="B809" s="183">
        <v>20383</v>
      </c>
      <c r="C809" s="14" t="s">
        <v>1262</v>
      </c>
      <c r="D809" s="105">
        <v>34201.199999999997</v>
      </c>
      <c r="E809" s="23">
        <v>42142</v>
      </c>
      <c r="F809" s="106">
        <v>34201.199999999997</v>
      </c>
      <c r="G809" s="31">
        <f t="shared" si="24"/>
        <v>0</v>
      </c>
      <c r="H809" s="19" t="s">
        <v>59</v>
      </c>
      <c r="I809" s="3"/>
      <c r="J809" s="42"/>
      <c r="K809" s="3"/>
      <c r="M809" s="20">
        <v>42136</v>
      </c>
      <c r="N809" s="183">
        <v>20857</v>
      </c>
      <c r="O809" s="14" t="s">
        <v>1262</v>
      </c>
      <c r="P809" s="105">
        <v>13150.24</v>
      </c>
      <c r="Q809" s="23">
        <v>42142</v>
      </c>
      <c r="R809" s="106">
        <v>13150.24</v>
      </c>
      <c r="S809" s="31">
        <f t="shared" si="25"/>
        <v>0</v>
      </c>
      <c r="T809" s="39" t="s">
        <v>1257</v>
      </c>
    </row>
    <row r="810" spans="1:20" x14ac:dyDescent="0.25">
      <c r="A810" s="20">
        <v>42132</v>
      </c>
      <c r="B810" s="183">
        <v>20384</v>
      </c>
      <c r="C810" s="14" t="s">
        <v>118</v>
      </c>
      <c r="D810" s="105">
        <v>564</v>
      </c>
      <c r="E810" s="23">
        <v>42144</v>
      </c>
      <c r="F810" s="106">
        <v>564</v>
      </c>
      <c r="G810" s="31">
        <f t="shared" si="24"/>
        <v>0</v>
      </c>
      <c r="H810" s="19" t="s">
        <v>59</v>
      </c>
      <c r="I810" s="3"/>
      <c r="J810" s="42"/>
      <c r="K810" s="3"/>
      <c r="M810" s="20">
        <v>42137</v>
      </c>
      <c r="N810" s="183">
        <v>20954</v>
      </c>
      <c r="O810" s="14" t="s">
        <v>1262</v>
      </c>
      <c r="P810" s="105">
        <v>22984.080000000002</v>
      </c>
      <c r="Q810" s="23">
        <v>42142</v>
      </c>
      <c r="R810" s="106">
        <v>22984.080000000002</v>
      </c>
      <c r="S810" s="31">
        <f t="shared" si="25"/>
        <v>0</v>
      </c>
      <c r="T810" s="19" t="s">
        <v>1257</v>
      </c>
    </row>
    <row r="811" spans="1:20" x14ac:dyDescent="0.25">
      <c r="A811" s="20">
        <v>42132</v>
      </c>
      <c r="B811" s="183">
        <v>20385</v>
      </c>
      <c r="C811" s="110">
        <v>105</v>
      </c>
      <c r="D811" s="105">
        <v>1620</v>
      </c>
      <c r="E811" s="23">
        <v>42134</v>
      </c>
      <c r="F811" s="106">
        <v>1620</v>
      </c>
      <c r="G811" s="31">
        <f t="shared" si="24"/>
        <v>0</v>
      </c>
      <c r="H811" s="19" t="s">
        <v>59</v>
      </c>
      <c r="I811" s="3"/>
      <c r="J811" s="42"/>
      <c r="K811" s="3"/>
      <c r="M811" s="20">
        <v>42138</v>
      </c>
      <c r="N811" s="183">
        <v>20982</v>
      </c>
      <c r="O811" s="14" t="s">
        <v>1262</v>
      </c>
      <c r="P811" s="105">
        <v>38860.550000000003</v>
      </c>
      <c r="Q811" s="23">
        <v>42142</v>
      </c>
      <c r="R811" s="106">
        <v>38860.550000000003</v>
      </c>
      <c r="S811" s="31">
        <f t="shared" si="25"/>
        <v>0</v>
      </c>
      <c r="T811" s="19" t="s">
        <v>1273</v>
      </c>
    </row>
    <row r="812" spans="1:20" x14ac:dyDescent="0.25">
      <c r="A812" s="20">
        <v>42132</v>
      </c>
      <c r="B812" s="183">
        <v>20386</v>
      </c>
      <c r="C812" s="14" t="s">
        <v>77</v>
      </c>
      <c r="D812" s="105">
        <v>21922.6</v>
      </c>
      <c r="E812" s="23">
        <v>42134</v>
      </c>
      <c r="F812" s="106">
        <v>21922.6</v>
      </c>
      <c r="G812" s="31">
        <f t="shared" si="24"/>
        <v>0</v>
      </c>
      <c r="H812" s="19" t="s">
        <v>62</v>
      </c>
      <c r="I812" s="3"/>
      <c r="J812" s="42"/>
      <c r="K812" s="3"/>
      <c r="M812" s="20">
        <v>42138</v>
      </c>
      <c r="N812" s="183">
        <v>21049</v>
      </c>
      <c r="O812" s="14" t="s">
        <v>1262</v>
      </c>
      <c r="P812" s="105">
        <v>82501.600000000006</v>
      </c>
      <c r="Q812" s="23" t="s">
        <v>1347</v>
      </c>
      <c r="R812" s="106">
        <f>26745.5+55756.1</f>
        <v>82501.600000000006</v>
      </c>
      <c r="S812" s="48">
        <f t="shared" si="25"/>
        <v>0</v>
      </c>
      <c r="T812" s="39" t="s">
        <v>94</v>
      </c>
    </row>
    <row r="813" spans="1:20" x14ac:dyDescent="0.25">
      <c r="A813" s="20">
        <v>42132</v>
      </c>
      <c r="B813" s="183">
        <v>20387</v>
      </c>
      <c r="C813" s="14" t="s">
        <v>133</v>
      </c>
      <c r="D813" s="105">
        <v>33158.050000000003</v>
      </c>
      <c r="E813" s="23">
        <v>42132</v>
      </c>
      <c r="F813" s="106">
        <v>33158.050000000003</v>
      </c>
      <c r="G813" s="31">
        <f t="shared" si="24"/>
        <v>0</v>
      </c>
      <c r="H813" s="19" t="s">
        <v>9</v>
      </c>
      <c r="I813" s="3"/>
      <c r="J813" s="42"/>
      <c r="K813" s="3"/>
      <c r="M813" s="20">
        <v>42139</v>
      </c>
      <c r="N813" s="183">
        <v>21196</v>
      </c>
      <c r="O813" s="14" t="s">
        <v>1262</v>
      </c>
      <c r="P813" s="105">
        <v>59002.8</v>
      </c>
      <c r="Q813" s="23">
        <v>42147</v>
      </c>
      <c r="R813" s="106">
        <v>59002.8</v>
      </c>
      <c r="S813" s="48">
        <f t="shared" si="25"/>
        <v>0</v>
      </c>
      <c r="T813" s="39" t="s">
        <v>94</v>
      </c>
    </row>
    <row r="814" spans="1:20" x14ac:dyDescent="0.25">
      <c r="A814" s="20">
        <v>42132</v>
      </c>
      <c r="B814" s="183">
        <v>20388</v>
      </c>
      <c r="C814" s="14" t="s">
        <v>130</v>
      </c>
      <c r="D814" s="105">
        <v>7171.85</v>
      </c>
      <c r="E814" s="23">
        <v>42134</v>
      </c>
      <c r="F814" s="106">
        <v>7171.85</v>
      </c>
      <c r="G814" s="31">
        <f t="shared" si="24"/>
        <v>0</v>
      </c>
      <c r="H814" s="19" t="s">
        <v>1257</v>
      </c>
      <c r="I814" s="3"/>
      <c r="J814" s="42"/>
      <c r="K814" s="3"/>
      <c r="M814" s="20">
        <v>42140</v>
      </c>
      <c r="N814" s="183">
        <v>21242</v>
      </c>
      <c r="O814" s="14" t="s">
        <v>1262</v>
      </c>
      <c r="P814" s="105">
        <v>24602.959999999999</v>
      </c>
      <c r="Q814" s="23" t="s">
        <v>1347</v>
      </c>
      <c r="R814" s="106">
        <f>1614.5+22988.46</f>
        <v>24602.959999999999</v>
      </c>
      <c r="S814" s="48">
        <f t="shared" si="25"/>
        <v>0</v>
      </c>
      <c r="T814" s="39" t="s">
        <v>773</v>
      </c>
    </row>
    <row r="815" spans="1:20" x14ac:dyDescent="0.25">
      <c r="A815" s="20">
        <v>42132</v>
      </c>
      <c r="B815" s="183">
        <v>20389</v>
      </c>
      <c r="C815" s="14" t="s">
        <v>14</v>
      </c>
      <c r="D815" s="105">
        <v>3445.2</v>
      </c>
      <c r="E815" s="23">
        <v>42149</v>
      </c>
      <c r="F815" s="106">
        <v>3445.2</v>
      </c>
      <c r="G815" s="31">
        <f t="shared" si="24"/>
        <v>0</v>
      </c>
      <c r="H815" s="19" t="s">
        <v>15</v>
      </c>
      <c r="I815" s="3"/>
      <c r="J815" s="42"/>
      <c r="K815" s="3"/>
      <c r="M815" s="20">
        <v>42140</v>
      </c>
      <c r="N815" s="183">
        <v>21307</v>
      </c>
      <c r="O815" s="14" t="s">
        <v>1262</v>
      </c>
      <c r="P815" s="105">
        <v>26448</v>
      </c>
      <c r="Q815" s="23">
        <v>42147</v>
      </c>
      <c r="R815" s="118">
        <v>26448</v>
      </c>
      <c r="S815" s="31">
        <f t="shared" si="25"/>
        <v>0</v>
      </c>
      <c r="T815" s="62" t="s">
        <v>587</v>
      </c>
    </row>
    <row r="816" spans="1:20" x14ac:dyDescent="0.25">
      <c r="A816" s="20">
        <v>42132</v>
      </c>
      <c r="B816" s="183">
        <v>20390</v>
      </c>
      <c r="C816" s="14" t="s">
        <v>131</v>
      </c>
      <c r="D816" s="105">
        <v>14252.45</v>
      </c>
      <c r="E816" s="23">
        <v>42135</v>
      </c>
      <c r="F816" s="106">
        <v>14252.45</v>
      </c>
      <c r="G816" s="31">
        <f t="shared" si="24"/>
        <v>0</v>
      </c>
      <c r="H816" s="19" t="s">
        <v>1257</v>
      </c>
      <c r="I816" s="3"/>
      <c r="J816" s="42"/>
      <c r="K816" s="3"/>
      <c r="M816" s="20">
        <v>42140</v>
      </c>
      <c r="N816" s="183">
        <v>21311</v>
      </c>
      <c r="O816" s="14" t="s">
        <v>1262</v>
      </c>
      <c r="P816" s="105">
        <v>25584.45</v>
      </c>
      <c r="Q816" s="23">
        <v>42147</v>
      </c>
      <c r="R816" s="118">
        <v>25584.45</v>
      </c>
      <c r="S816" s="31">
        <f t="shared" si="25"/>
        <v>0</v>
      </c>
      <c r="T816" s="62" t="s">
        <v>9</v>
      </c>
    </row>
    <row r="817" spans="1:20" x14ac:dyDescent="0.25">
      <c r="A817" s="20">
        <v>42132</v>
      </c>
      <c r="B817" s="183">
        <v>20391</v>
      </c>
      <c r="C817" s="150" t="s">
        <v>128</v>
      </c>
      <c r="D817" s="105">
        <v>7856.8</v>
      </c>
      <c r="E817" s="23">
        <v>42132</v>
      </c>
      <c r="F817" s="106">
        <v>7856.8</v>
      </c>
      <c r="G817" s="31">
        <f t="shared" si="24"/>
        <v>0</v>
      </c>
      <c r="H817" s="19" t="s">
        <v>1257</v>
      </c>
      <c r="J817" s="107"/>
      <c r="K817" s="3"/>
      <c r="M817" s="20">
        <v>42141</v>
      </c>
      <c r="N817" s="183">
        <v>21381</v>
      </c>
      <c r="O817" s="14" t="s">
        <v>1262</v>
      </c>
      <c r="P817" s="105">
        <v>26114.55</v>
      </c>
      <c r="Q817" s="23">
        <v>42147</v>
      </c>
      <c r="R817" s="118">
        <v>26114.55</v>
      </c>
      <c r="S817" s="31">
        <f t="shared" si="25"/>
        <v>0</v>
      </c>
      <c r="T817" s="56" t="s">
        <v>62</v>
      </c>
    </row>
    <row r="818" spans="1:20" x14ac:dyDescent="0.25">
      <c r="A818" s="20">
        <v>42132</v>
      </c>
      <c r="B818" s="183">
        <v>20392</v>
      </c>
      <c r="C818" s="14" t="s">
        <v>50</v>
      </c>
      <c r="D818" s="105">
        <v>2998.8</v>
      </c>
      <c r="E818" s="23">
        <v>42132</v>
      </c>
      <c r="F818" s="106">
        <v>2998.8</v>
      </c>
      <c r="G818" s="31">
        <f t="shared" si="24"/>
        <v>0</v>
      </c>
      <c r="H818" s="19" t="s">
        <v>9</v>
      </c>
      <c r="K818" s="3"/>
      <c r="M818" s="20">
        <v>42142</v>
      </c>
      <c r="N818" s="183">
        <v>21426</v>
      </c>
      <c r="O818" s="14" t="s">
        <v>1262</v>
      </c>
      <c r="P818" s="105">
        <v>31767.93</v>
      </c>
      <c r="Q818" s="23">
        <v>42147</v>
      </c>
      <c r="R818" s="118">
        <v>31767.93</v>
      </c>
      <c r="S818" s="31">
        <f t="shared" si="25"/>
        <v>0</v>
      </c>
      <c r="T818" s="56" t="s">
        <v>773</v>
      </c>
    </row>
    <row r="819" spans="1:20" x14ac:dyDescent="0.25">
      <c r="A819" s="20">
        <v>42132</v>
      </c>
      <c r="B819" s="183">
        <v>20393</v>
      </c>
      <c r="C819" s="14" t="s">
        <v>50</v>
      </c>
      <c r="D819" s="105">
        <v>312</v>
      </c>
      <c r="E819" s="23">
        <v>42132</v>
      </c>
      <c r="F819" s="106">
        <v>312</v>
      </c>
      <c r="G819" s="31">
        <f t="shared" si="24"/>
        <v>0</v>
      </c>
      <c r="H819" s="19" t="s">
        <v>27</v>
      </c>
      <c r="K819" s="3"/>
      <c r="M819" s="20">
        <v>42144</v>
      </c>
      <c r="N819" s="183">
        <v>21696</v>
      </c>
      <c r="O819" s="14" t="s">
        <v>1262</v>
      </c>
      <c r="P819" s="105">
        <v>56804.17</v>
      </c>
      <c r="Q819" s="23">
        <v>42147</v>
      </c>
      <c r="R819" s="106">
        <v>56804.17</v>
      </c>
      <c r="S819" s="31">
        <f t="shared" si="25"/>
        <v>0</v>
      </c>
      <c r="T819" s="39" t="s">
        <v>1013</v>
      </c>
    </row>
    <row r="820" spans="1:20" x14ac:dyDescent="0.25">
      <c r="A820" s="20">
        <v>42132</v>
      </c>
      <c r="B820" s="183">
        <v>20394</v>
      </c>
      <c r="C820" s="26" t="s">
        <v>218</v>
      </c>
      <c r="D820" s="108">
        <v>0</v>
      </c>
      <c r="E820" s="23"/>
      <c r="F820" s="106"/>
      <c r="G820" s="31">
        <f t="shared" si="24"/>
        <v>0</v>
      </c>
      <c r="H820" s="19" t="s">
        <v>13</v>
      </c>
      <c r="K820" s="3"/>
      <c r="M820" s="20">
        <v>42145</v>
      </c>
      <c r="N820" s="183">
        <v>21786</v>
      </c>
      <c r="O820" s="15" t="s">
        <v>1262</v>
      </c>
      <c r="P820" s="122">
        <v>37543.64</v>
      </c>
      <c r="Q820" s="23" t="s">
        <v>1348</v>
      </c>
      <c r="R820" s="118">
        <f>35923.64+1620</f>
        <v>37543.64</v>
      </c>
      <c r="S820" s="31">
        <f t="shared" si="25"/>
        <v>0</v>
      </c>
      <c r="T820" s="68" t="s">
        <v>94</v>
      </c>
    </row>
    <row r="821" spans="1:20" x14ac:dyDescent="0.25">
      <c r="A821" s="20">
        <v>42132</v>
      </c>
      <c r="B821" s="183">
        <v>20395</v>
      </c>
      <c r="C821" s="14" t="s">
        <v>413</v>
      </c>
      <c r="D821" s="105">
        <v>2724.8</v>
      </c>
      <c r="E821" s="23">
        <v>42132</v>
      </c>
      <c r="F821" s="106">
        <v>2724.8</v>
      </c>
      <c r="G821" s="31">
        <f t="shared" si="24"/>
        <v>0</v>
      </c>
      <c r="H821" s="19" t="s">
        <v>9</v>
      </c>
      <c r="K821" s="3"/>
      <c r="M821" s="20">
        <v>42146</v>
      </c>
      <c r="N821" s="183">
        <v>21850</v>
      </c>
      <c r="O821" s="14" t="s">
        <v>1262</v>
      </c>
      <c r="P821" s="105">
        <v>95594.240000000005</v>
      </c>
      <c r="Q821" s="23">
        <v>42153</v>
      </c>
      <c r="R821" s="106">
        <v>95594.240000000005</v>
      </c>
      <c r="S821" s="31">
        <f t="shared" si="25"/>
        <v>0</v>
      </c>
      <c r="T821" s="39" t="s">
        <v>187</v>
      </c>
    </row>
    <row r="822" spans="1:20" x14ac:dyDescent="0.25">
      <c r="A822" s="20">
        <v>42132</v>
      </c>
      <c r="B822" s="183">
        <v>20396</v>
      </c>
      <c r="C822" s="14" t="s">
        <v>173</v>
      </c>
      <c r="D822" s="105">
        <v>43856.4</v>
      </c>
      <c r="E822" s="30" t="s">
        <v>1332</v>
      </c>
      <c r="F822" s="106">
        <v>43856.4</v>
      </c>
      <c r="G822" s="31">
        <f t="shared" si="24"/>
        <v>0</v>
      </c>
      <c r="H822" s="19" t="s">
        <v>1273</v>
      </c>
      <c r="K822" s="3"/>
      <c r="M822" s="20">
        <v>42147</v>
      </c>
      <c r="N822" s="183">
        <v>22037</v>
      </c>
      <c r="O822" s="14" t="s">
        <v>1262</v>
      </c>
      <c r="P822" s="105">
        <v>83094.64</v>
      </c>
      <c r="Q822" s="65">
        <v>42153</v>
      </c>
      <c r="R822" s="106">
        <v>83094.64</v>
      </c>
      <c r="S822" s="31">
        <f t="shared" si="25"/>
        <v>0</v>
      </c>
      <c r="T822" s="39" t="s">
        <v>773</v>
      </c>
    </row>
    <row r="823" spans="1:20" x14ac:dyDescent="0.25">
      <c r="A823" s="20">
        <v>42132</v>
      </c>
      <c r="B823" s="183">
        <v>20397</v>
      </c>
      <c r="C823" s="14" t="s">
        <v>190</v>
      </c>
      <c r="D823" s="105">
        <v>4166.3999999999996</v>
      </c>
      <c r="E823" s="23">
        <v>42133</v>
      </c>
      <c r="F823" s="106">
        <v>4166.3999999999996</v>
      </c>
      <c r="G823" s="31">
        <f t="shared" si="24"/>
        <v>0</v>
      </c>
      <c r="H823" s="19" t="s">
        <v>94</v>
      </c>
      <c r="K823" s="3"/>
      <c r="M823" s="20">
        <v>42149</v>
      </c>
      <c r="N823" s="183">
        <v>22192</v>
      </c>
      <c r="O823" s="14" t="s">
        <v>1262</v>
      </c>
      <c r="P823" s="105">
        <v>9067</v>
      </c>
      <c r="Q823" s="65">
        <v>42153</v>
      </c>
      <c r="R823" s="106">
        <v>9067</v>
      </c>
      <c r="S823" s="31">
        <f t="shared" si="25"/>
        <v>0</v>
      </c>
      <c r="T823" s="39" t="s">
        <v>1273</v>
      </c>
    </row>
    <row r="824" spans="1:20" x14ac:dyDescent="0.25">
      <c r="A824" s="20">
        <v>42132</v>
      </c>
      <c r="B824" s="183">
        <v>20398</v>
      </c>
      <c r="C824" s="150" t="s">
        <v>93</v>
      </c>
      <c r="D824" s="105">
        <v>3440.8</v>
      </c>
      <c r="E824" s="23">
        <v>42133</v>
      </c>
      <c r="F824" s="106">
        <v>3440.8</v>
      </c>
      <c r="G824" s="31">
        <f t="shared" si="24"/>
        <v>0</v>
      </c>
      <c r="H824" s="19" t="s">
        <v>94</v>
      </c>
      <c r="K824" s="3"/>
      <c r="M824" s="20">
        <v>42150</v>
      </c>
      <c r="N824" s="183">
        <v>22314</v>
      </c>
      <c r="O824" s="14" t="s">
        <v>1262</v>
      </c>
      <c r="P824" s="105">
        <v>28982</v>
      </c>
      <c r="Q824" s="65">
        <v>42153</v>
      </c>
      <c r="R824" s="106">
        <v>28982</v>
      </c>
      <c r="S824" s="31">
        <f t="shared" si="25"/>
        <v>0</v>
      </c>
      <c r="T824" s="39" t="s">
        <v>94</v>
      </c>
    </row>
    <row r="825" spans="1:20" x14ac:dyDescent="0.25">
      <c r="A825" s="20">
        <v>42132</v>
      </c>
      <c r="B825" s="183">
        <v>20399</v>
      </c>
      <c r="C825" s="14" t="s">
        <v>72</v>
      </c>
      <c r="D825" s="105">
        <v>6265.2</v>
      </c>
      <c r="E825" s="30" t="s">
        <v>1349</v>
      </c>
      <c r="F825" s="106">
        <v>6265.2</v>
      </c>
      <c r="G825" s="31">
        <f t="shared" si="24"/>
        <v>0</v>
      </c>
      <c r="H825" s="19" t="s">
        <v>62</v>
      </c>
      <c r="K825" s="3"/>
      <c r="M825" s="20">
        <v>42151</v>
      </c>
      <c r="N825" s="183">
        <v>22408</v>
      </c>
      <c r="O825" s="14" t="s">
        <v>1262</v>
      </c>
      <c r="P825" s="105">
        <v>26360.1</v>
      </c>
      <c r="Q825" s="23"/>
      <c r="R825" s="106"/>
      <c r="S825" s="31">
        <f t="shared" si="25"/>
        <v>26360.1</v>
      </c>
      <c r="T825" s="39" t="s">
        <v>94</v>
      </c>
    </row>
    <row r="826" spans="1:20" x14ac:dyDescent="0.25">
      <c r="A826" s="20">
        <v>42132</v>
      </c>
      <c r="B826" s="183">
        <v>20400</v>
      </c>
      <c r="C826" s="14" t="s">
        <v>406</v>
      </c>
      <c r="D826" s="105">
        <v>11700</v>
      </c>
      <c r="E826" s="23">
        <v>42133</v>
      </c>
      <c r="F826" s="106">
        <v>11700</v>
      </c>
      <c r="G826" s="31">
        <f t="shared" si="24"/>
        <v>0</v>
      </c>
      <c r="H826" s="19" t="s">
        <v>773</v>
      </c>
      <c r="K826" s="3"/>
      <c r="M826" s="20">
        <v>42152</v>
      </c>
      <c r="N826" s="183">
        <v>22443</v>
      </c>
      <c r="O826" s="14" t="s">
        <v>1262</v>
      </c>
      <c r="P826" s="105">
        <v>30947.119999999999</v>
      </c>
      <c r="Q826" s="23"/>
      <c r="R826" s="106"/>
      <c r="S826" s="31">
        <f t="shared" si="25"/>
        <v>30947.119999999999</v>
      </c>
      <c r="T826" s="39" t="s">
        <v>1273</v>
      </c>
    </row>
    <row r="827" spans="1:20" x14ac:dyDescent="0.25">
      <c r="A827" s="20">
        <v>42132</v>
      </c>
      <c r="B827" s="183">
        <v>20401</v>
      </c>
      <c r="C827" s="14" t="s">
        <v>55</v>
      </c>
      <c r="D827" s="105">
        <v>1526.04</v>
      </c>
      <c r="E827" s="23">
        <v>42133</v>
      </c>
      <c r="F827" s="106">
        <v>1526.04</v>
      </c>
      <c r="G827" s="31">
        <f t="shared" si="24"/>
        <v>0</v>
      </c>
      <c r="H827" s="19" t="s">
        <v>773</v>
      </c>
      <c r="K827" s="3"/>
      <c r="M827" s="20">
        <v>42152</v>
      </c>
      <c r="N827" s="183">
        <v>22444</v>
      </c>
      <c r="O827" s="14" t="s">
        <v>1262</v>
      </c>
      <c r="P827" s="105">
        <v>3714.8</v>
      </c>
      <c r="Q827" s="23"/>
      <c r="R827" s="106"/>
      <c r="S827" s="31">
        <f t="shared" si="25"/>
        <v>3714.8</v>
      </c>
      <c r="T827" s="39" t="s">
        <v>1273</v>
      </c>
    </row>
    <row r="828" spans="1:20" x14ac:dyDescent="0.25">
      <c r="A828" s="20">
        <v>42132</v>
      </c>
      <c r="B828" s="183">
        <v>20402</v>
      </c>
      <c r="C828" s="14" t="s">
        <v>47</v>
      </c>
      <c r="D828" s="105">
        <v>20971.349999999999</v>
      </c>
      <c r="E828" s="23">
        <v>42133</v>
      </c>
      <c r="F828" s="106">
        <v>20971.349999999999</v>
      </c>
      <c r="G828" s="31">
        <f t="shared" si="24"/>
        <v>0</v>
      </c>
      <c r="H828" s="19" t="s">
        <v>773</v>
      </c>
      <c r="J828" s="107"/>
      <c r="K828" s="3"/>
      <c r="M828" s="20">
        <v>42152</v>
      </c>
      <c r="N828" s="183">
        <v>22539</v>
      </c>
      <c r="O828" s="14" t="s">
        <v>1262</v>
      </c>
      <c r="P828" s="105">
        <v>26917.93</v>
      </c>
      <c r="Q828" s="23"/>
      <c r="R828" s="106"/>
      <c r="S828" s="31">
        <f t="shared" si="25"/>
        <v>26917.93</v>
      </c>
      <c r="T828" s="39" t="s">
        <v>187</v>
      </c>
    </row>
    <row r="829" spans="1:20" x14ac:dyDescent="0.25">
      <c r="A829" s="20">
        <v>42132</v>
      </c>
      <c r="B829" s="183">
        <v>20403</v>
      </c>
      <c r="C829" s="14" t="s">
        <v>256</v>
      </c>
      <c r="D829" s="105">
        <v>10433.1</v>
      </c>
      <c r="E829" s="23">
        <v>42133</v>
      </c>
      <c r="F829" s="106">
        <v>10433.1</v>
      </c>
      <c r="G829" s="31">
        <f t="shared" si="24"/>
        <v>0</v>
      </c>
      <c r="H829" s="19" t="s">
        <v>773</v>
      </c>
      <c r="K829" s="3"/>
      <c r="M829" s="20">
        <v>42153</v>
      </c>
      <c r="N829" s="183">
        <v>22588</v>
      </c>
      <c r="O829" s="14" t="s">
        <v>1262</v>
      </c>
      <c r="P829" s="105">
        <v>22200.37</v>
      </c>
      <c r="Q829" s="23"/>
      <c r="R829" s="106"/>
      <c r="S829" s="31">
        <f t="shared" si="25"/>
        <v>22200.37</v>
      </c>
      <c r="T829" s="39" t="s">
        <v>1257</v>
      </c>
    </row>
    <row r="830" spans="1:20" x14ac:dyDescent="0.25">
      <c r="A830" s="20">
        <v>42132</v>
      </c>
      <c r="B830" s="183">
        <v>20404</v>
      </c>
      <c r="C830" s="14" t="s">
        <v>591</v>
      </c>
      <c r="D830" s="105">
        <v>4254.2</v>
      </c>
      <c r="E830" s="23">
        <v>42133</v>
      </c>
      <c r="F830" s="106">
        <v>4254.2</v>
      </c>
      <c r="G830" s="31">
        <f t="shared" si="24"/>
        <v>0</v>
      </c>
      <c r="H830" s="19" t="s">
        <v>773</v>
      </c>
      <c r="K830" s="3"/>
      <c r="M830" s="20">
        <v>42153</v>
      </c>
      <c r="N830" s="183">
        <v>22603</v>
      </c>
      <c r="O830" s="14" t="s">
        <v>1262</v>
      </c>
      <c r="P830" s="105">
        <v>30328.78</v>
      </c>
      <c r="Q830" s="23"/>
      <c r="R830" s="106"/>
      <c r="S830" s="31">
        <f t="shared" si="25"/>
        <v>30328.78</v>
      </c>
      <c r="T830" s="39" t="s">
        <v>94</v>
      </c>
    </row>
    <row r="831" spans="1:20" x14ac:dyDescent="0.25">
      <c r="A831" s="20">
        <v>42132</v>
      </c>
      <c r="B831" s="183">
        <v>20405</v>
      </c>
      <c r="C831" s="14" t="s">
        <v>37</v>
      </c>
      <c r="D831" s="105">
        <v>26160.9</v>
      </c>
      <c r="E831" s="23">
        <v>42136</v>
      </c>
      <c r="F831" s="106">
        <v>26160.9</v>
      </c>
      <c r="G831" s="31">
        <f t="shared" si="24"/>
        <v>0</v>
      </c>
      <c r="H831" s="19" t="s">
        <v>773</v>
      </c>
      <c r="K831" s="3"/>
      <c r="M831" s="20">
        <v>42153</v>
      </c>
      <c r="N831" s="183">
        <v>22654</v>
      </c>
      <c r="O831" s="14" t="s">
        <v>1262</v>
      </c>
      <c r="P831" s="105">
        <v>29349.599999999999</v>
      </c>
      <c r="Q831" s="23"/>
      <c r="R831" s="106"/>
      <c r="S831" s="31">
        <f t="shared" si="25"/>
        <v>29349.599999999999</v>
      </c>
      <c r="T831" s="39" t="s">
        <v>1013</v>
      </c>
    </row>
    <row r="832" spans="1:20" x14ac:dyDescent="0.25">
      <c r="A832" s="20">
        <v>42132</v>
      </c>
      <c r="B832" s="183">
        <v>20406</v>
      </c>
      <c r="C832" s="14" t="s">
        <v>43</v>
      </c>
      <c r="D832" s="105">
        <v>9630.65</v>
      </c>
      <c r="E832" s="23">
        <v>42132</v>
      </c>
      <c r="F832" s="106">
        <v>9630.65</v>
      </c>
      <c r="G832" s="31">
        <f t="shared" si="24"/>
        <v>0</v>
      </c>
      <c r="H832" s="19" t="s">
        <v>9</v>
      </c>
      <c r="K832" s="3"/>
      <c r="M832" s="20">
        <v>42153</v>
      </c>
      <c r="N832" s="183">
        <v>22661</v>
      </c>
      <c r="O832" s="14" t="s">
        <v>1262</v>
      </c>
      <c r="P832" s="105">
        <v>53986.400000000001</v>
      </c>
      <c r="Q832" s="23"/>
      <c r="R832" s="106"/>
      <c r="S832" s="31">
        <f t="shared" si="25"/>
        <v>53986.400000000001</v>
      </c>
      <c r="T832" s="39" t="s">
        <v>1013</v>
      </c>
    </row>
    <row r="833" spans="1:20" x14ac:dyDescent="0.25">
      <c r="A833" s="20">
        <v>42132</v>
      </c>
      <c r="B833" s="183">
        <v>20407</v>
      </c>
      <c r="C833" s="14" t="s">
        <v>35</v>
      </c>
      <c r="D833" s="105">
        <v>24817.15</v>
      </c>
      <c r="E833" s="23">
        <v>42133</v>
      </c>
      <c r="F833" s="106">
        <v>24817.15</v>
      </c>
      <c r="G833" s="31">
        <f t="shared" si="24"/>
        <v>0</v>
      </c>
      <c r="H833" s="19" t="s">
        <v>773</v>
      </c>
      <c r="K833" s="3"/>
      <c r="M833" s="20">
        <v>42154</v>
      </c>
      <c r="N833" s="183">
        <v>22772</v>
      </c>
      <c r="O833" s="14" t="s">
        <v>1262</v>
      </c>
      <c r="P833" s="105">
        <v>66211.100000000006</v>
      </c>
      <c r="Q833" s="23"/>
      <c r="R833" s="106"/>
      <c r="S833" s="31">
        <f t="shared" si="25"/>
        <v>66211.100000000006</v>
      </c>
      <c r="T833" s="39" t="s">
        <v>94</v>
      </c>
    </row>
    <row r="834" spans="1:20" x14ac:dyDescent="0.25">
      <c r="A834" s="20">
        <v>42132</v>
      </c>
      <c r="B834" s="183">
        <v>20408</v>
      </c>
      <c r="C834" s="14" t="s">
        <v>59</v>
      </c>
      <c r="D834" s="105">
        <v>4553.2</v>
      </c>
      <c r="E834" s="23">
        <v>42133</v>
      </c>
      <c r="F834" s="106">
        <v>4553.2</v>
      </c>
      <c r="G834" s="31">
        <f t="shared" si="24"/>
        <v>0</v>
      </c>
      <c r="H834" s="19" t="s">
        <v>773</v>
      </c>
      <c r="I834" s="3"/>
      <c r="J834" s="42"/>
      <c r="K834" s="3"/>
      <c r="M834" s="20">
        <v>42155</v>
      </c>
      <c r="N834" s="183">
        <v>22846</v>
      </c>
      <c r="O834" s="14" t="s">
        <v>1262</v>
      </c>
      <c r="P834" s="105">
        <v>27190.15</v>
      </c>
      <c r="Q834" s="23"/>
      <c r="R834" s="106"/>
      <c r="S834" s="31">
        <f t="shared" si="25"/>
        <v>27190.15</v>
      </c>
      <c r="T834" s="39" t="s">
        <v>1257</v>
      </c>
    </row>
    <row r="835" spans="1:20" x14ac:dyDescent="0.25">
      <c r="A835" s="20">
        <v>42132</v>
      </c>
      <c r="B835" s="183">
        <v>20409</v>
      </c>
      <c r="C835" s="14" t="s">
        <v>37</v>
      </c>
      <c r="D835" s="105">
        <v>450.8</v>
      </c>
      <c r="E835" s="23">
        <v>42136</v>
      </c>
      <c r="F835" s="106">
        <v>450.8</v>
      </c>
      <c r="G835" s="31">
        <f t="shared" ref="G835:G898" si="26">D835-F835</f>
        <v>0</v>
      </c>
      <c r="H835" s="19" t="s">
        <v>773</v>
      </c>
      <c r="I835" s="3"/>
      <c r="J835" s="42"/>
      <c r="K835" s="3"/>
      <c r="M835" s="20">
        <v>42155</v>
      </c>
      <c r="N835" s="183">
        <v>22847</v>
      </c>
      <c r="O835" s="14" t="s">
        <v>1262</v>
      </c>
      <c r="P835" s="105">
        <v>3078.8</v>
      </c>
      <c r="Q835" s="23"/>
      <c r="R835" s="106"/>
      <c r="S835" s="31">
        <f t="shared" ref="S835:S898" si="27">P835-R835</f>
        <v>3078.8</v>
      </c>
      <c r="T835" s="39" t="s">
        <v>1257</v>
      </c>
    </row>
    <row r="836" spans="1:20" x14ac:dyDescent="0.25">
      <c r="A836" s="20">
        <v>42132</v>
      </c>
      <c r="B836" s="183">
        <v>20410</v>
      </c>
      <c r="C836" s="14" t="s">
        <v>56</v>
      </c>
      <c r="D836" s="105">
        <v>5654.4</v>
      </c>
      <c r="E836" s="23">
        <v>42133</v>
      </c>
      <c r="F836" s="106">
        <v>5654.4</v>
      </c>
      <c r="G836" s="31">
        <f t="shared" si="26"/>
        <v>0</v>
      </c>
      <c r="H836" s="19" t="s">
        <v>773</v>
      </c>
      <c r="I836" s="3"/>
      <c r="J836" s="42"/>
      <c r="K836" s="3"/>
      <c r="M836" s="20">
        <v>42125</v>
      </c>
      <c r="N836" s="183">
        <v>19602</v>
      </c>
      <c r="O836" s="14" t="s">
        <v>24</v>
      </c>
      <c r="P836" s="105">
        <v>4815.6000000000004</v>
      </c>
      <c r="Q836" s="23">
        <v>42144</v>
      </c>
      <c r="R836" s="106">
        <v>4815.6000000000004</v>
      </c>
      <c r="S836" s="25">
        <f t="shared" si="27"/>
        <v>0</v>
      </c>
      <c r="T836" s="19" t="s">
        <v>41</v>
      </c>
    </row>
    <row r="837" spans="1:20" x14ac:dyDescent="0.25">
      <c r="A837" s="20">
        <v>42132</v>
      </c>
      <c r="B837" s="183">
        <v>20411</v>
      </c>
      <c r="C837" s="14" t="s">
        <v>78</v>
      </c>
      <c r="D837" s="105">
        <v>845.2</v>
      </c>
      <c r="E837" s="23">
        <v>42134</v>
      </c>
      <c r="F837" s="106">
        <v>845.2</v>
      </c>
      <c r="G837" s="31">
        <f t="shared" si="26"/>
        <v>0</v>
      </c>
      <c r="H837" s="19" t="s">
        <v>773</v>
      </c>
      <c r="I837" s="3"/>
      <c r="J837" s="42"/>
      <c r="K837" s="3"/>
      <c r="M837" s="20">
        <v>42125</v>
      </c>
      <c r="N837" s="183">
        <v>19612</v>
      </c>
      <c r="O837" s="14" t="s">
        <v>24</v>
      </c>
      <c r="P837" s="105">
        <v>4246.6000000000004</v>
      </c>
      <c r="Q837" s="23">
        <v>42144</v>
      </c>
      <c r="R837" s="106">
        <v>4246.6000000000004</v>
      </c>
      <c r="S837" s="25">
        <f t="shared" si="27"/>
        <v>0</v>
      </c>
      <c r="T837" s="19" t="s">
        <v>41</v>
      </c>
    </row>
    <row r="838" spans="1:20" x14ac:dyDescent="0.25">
      <c r="A838" s="20">
        <v>42132</v>
      </c>
      <c r="B838" s="183">
        <v>20412</v>
      </c>
      <c r="C838" s="14" t="s">
        <v>861</v>
      </c>
      <c r="D838" s="105">
        <v>6475.7</v>
      </c>
      <c r="E838" s="23">
        <v>42132</v>
      </c>
      <c r="F838" s="106">
        <v>6475.7</v>
      </c>
      <c r="G838" s="31">
        <f t="shared" si="26"/>
        <v>0</v>
      </c>
      <c r="H838" s="19" t="s">
        <v>9</v>
      </c>
      <c r="I838" s="3"/>
      <c r="J838" s="42"/>
      <c r="K838" s="3"/>
      <c r="M838" s="20">
        <v>42125</v>
      </c>
      <c r="N838" s="183">
        <v>19623</v>
      </c>
      <c r="O838" s="14" t="s">
        <v>24</v>
      </c>
      <c r="P838" s="105">
        <v>12616.8</v>
      </c>
      <c r="Q838" s="23">
        <v>42144</v>
      </c>
      <c r="R838" s="106">
        <v>12616.8</v>
      </c>
      <c r="S838" s="25">
        <f t="shared" si="27"/>
        <v>0</v>
      </c>
      <c r="T838" s="19" t="s">
        <v>312</v>
      </c>
    </row>
    <row r="839" spans="1:20" x14ac:dyDescent="0.25">
      <c r="A839" s="20">
        <v>42132</v>
      </c>
      <c r="B839" s="183">
        <v>20413</v>
      </c>
      <c r="C839" s="14" t="s">
        <v>95</v>
      </c>
      <c r="D839" s="105">
        <v>1999.2</v>
      </c>
      <c r="E839" s="23">
        <v>42133</v>
      </c>
      <c r="F839" s="106">
        <v>1999.2</v>
      </c>
      <c r="G839" s="31">
        <f t="shared" si="26"/>
        <v>0</v>
      </c>
      <c r="H839" s="19" t="s">
        <v>94</v>
      </c>
      <c r="I839" s="3"/>
      <c r="J839" s="42"/>
      <c r="K839" s="3"/>
      <c r="M839" s="20">
        <v>42125</v>
      </c>
      <c r="N839" s="183">
        <v>19632</v>
      </c>
      <c r="O839" s="14" t="s">
        <v>24</v>
      </c>
      <c r="P839" s="105">
        <v>1646.4</v>
      </c>
      <c r="Q839" s="23">
        <v>42144</v>
      </c>
      <c r="R839" s="106">
        <v>1646.4</v>
      </c>
      <c r="S839" s="25">
        <f t="shared" si="27"/>
        <v>0</v>
      </c>
      <c r="T839" s="19" t="s">
        <v>312</v>
      </c>
    </row>
    <row r="840" spans="1:20" x14ac:dyDescent="0.25">
      <c r="A840" s="20">
        <v>42132</v>
      </c>
      <c r="B840" s="183">
        <v>20414</v>
      </c>
      <c r="C840" s="14" t="s">
        <v>1338</v>
      </c>
      <c r="D840" s="105">
        <v>79707.44</v>
      </c>
      <c r="E840" s="23">
        <v>42140</v>
      </c>
      <c r="F840" s="106">
        <v>79707.44</v>
      </c>
      <c r="G840" s="31">
        <f t="shared" si="26"/>
        <v>0</v>
      </c>
      <c r="H840" s="19" t="s">
        <v>46</v>
      </c>
      <c r="I840" s="3"/>
      <c r="J840" s="42"/>
      <c r="K840" s="3"/>
      <c r="M840" s="20">
        <v>42125</v>
      </c>
      <c r="N840" s="183">
        <v>19634</v>
      </c>
      <c r="O840" s="14" t="s">
        <v>24</v>
      </c>
      <c r="P840" s="105">
        <v>7575.96</v>
      </c>
      <c r="Q840" s="23">
        <v>42144</v>
      </c>
      <c r="R840" s="106">
        <v>7575.96</v>
      </c>
      <c r="S840" s="25">
        <f t="shared" si="27"/>
        <v>0</v>
      </c>
      <c r="T840" s="19" t="s">
        <v>312</v>
      </c>
    </row>
    <row r="841" spans="1:20" x14ac:dyDescent="0.25">
      <c r="A841" s="20">
        <v>42132</v>
      </c>
      <c r="B841" s="183">
        <v>20415</v>
      </c>
      <c r="C841" s="14" t="s">
        <v>861</v>
      </c>
      <c r="D841" s="105">
        <v>673.75</v>
      </c>
      <c r="E841" s="23">
        <v>42132</v>
      </c>
      <c r="F841" s="106">
        <v>673.75</v>
      </c>
      <c r="G841" s="31">
        <f t="shared" si="26"/>
        <v>0</v>
      </c>
      <c r="H841" s="19" t="s">
        <v>9</v>
      </c>
      <c r="I841" s="3"/>
      <c r="J841" s="42"/>
      <c r="K841" s="3"/>
      <c r="M841" s="20">
        <v>42125</v>
      </c>
      <c r="N841" s="183">
        <v>19696</v>
      </c>
      <c r="O841" s="14" t="s">
        <v>24</v>
      </c>
      <c r="P841" s="105">
        <v>287183.90000000002</v>
      </c>
      <c r="Q841" s="23" t="s">
        <v>1277</v>
      </c>
      <c r="R841" s="106">
        <f>211526.97+75656.93</f>
        <v>287183.90000000002</v>
      </c>
      <c r="S841" s="25">
        <f t="shared" si="27"/>
        <v>0</v>
      </c>
      <c r="T841" s="39" t="s">
        <v>46</v>
      </c>
    </row>
    <row r="842" spans="1:20" x14ac:dyDescent="0.25">
      <c r="A842" s="20">
        <v>42132</v>
      </c>
      <c r="B842" s="183">
        <v>20416</v>
      </c>
      <c r="C842" s="14" t="s">
        <v>861</v>
      </c>
      <c r="D842" s="105">
        <v>519.79999999999995</v>
      </c>
      <c r="E842" s="23">
        <v>42132</v>
      </c>
      <c r="F842" s="106">
        <v>519.79999999999995</v>
      </c>
      <c r="G842" s="31">
        <f t="shared" si="26"/>
        <v>0</v>
      </c>
      <c r="H842" s="19" t="s">
        <v>9</v>
      </c>
      <c r="I842" s="3"/>
      <c r="J842" s="42"/>
      <c r="K842" s="3"/>
      <c r="M842" s="20">
        <v>42125</v>
      </c>
      <c r="N842" s="183">
        <v>19698</v>
      </c>
      <c r="O842" s="14" t="s">
        <v>24</v>
      </c>
      <c r="P842" s="105">
        <v>100500.1</v>
      </c>
      <c r="Q842" s="23">
        <v>42151</v>
      </c>
      <c r="R842" s="106">
        <v>100500.1</v>
      </c>
      <c r="S842" s="25">
        <f t="shared" si="27"/>
        <v>0</v>
      </c>
      <c r="T842" s="39" t="s">
        <v>1257</v>
      </c>
    </row>
    <row r="843" spans="1:20" x14ac:dyDescent="0.25">
      <c r="A843" s="20">
        <v>42132</v>
      </c>
      <c r="B843" s="183">
        <v>20417</v>
      </c>
      <c r="C843" s="14" t="s">
        <v>104</v>
      </c>
      <c r="D843" s="105">
        <v>668.8</v>
      </c>
      <c r="E843" s="23">
        <v>42133</v>
      </c>
      <c r="F843" s="106">
        <v>668.8</v>
      </c>
      <c r="G843" s="31">
        <f t="shared" si="26"/>
        <v>0</v>
      </c>
      <c r="H843" s="19" t="s">
        <v>94</v>
      </c>
      <c r="I843" s="3"/>
      <c r="J843" s="42"/>
      <c r="K843" s="3"/>
      <c r="M843" s="20">
        <v>42127</v>
      </c>
      <c r="N843" s="183">
        <v>19817</v>
      </c>
      <c r="O843" s="40" t="s">
        <v>24</v>
      </c>
      <c r="P843" s="105">
        <v>213399.3</v>
      </c>
      <c r="Q843" s="23">
        <v>42151</v>
      </c>
      <c r="R843" s="106">
        <v>213399.3</v>
      </c>
      <c r="S843" s="31">
        <f t="shared" si="27"/>
        <v>0</v>
      </c>
      <c r="T843" s="41" t="s">
        <v>46</v>
      </c>
    </row>
    <row r="844" spans="1:20" x14ac:dyDescent="0.25">
      <c r="A844" s="20">
        <v>42132</v>
      </c>
      <c r="B844" s="183">
        <v>20418</v>
      </c>
      <c r="C844" s="14" t="s">
        <v>98</v>
      </c>
      <c r="D844" s="105">
        <v>1623.4</v>
      </c>
      <c r="E844" s="23">
        <v>42133</v>
      </c>
      <c r="F844" s="106">
        <v>1623.4</v>
      </c>
      <c r="G844" s="31">
        <f t="shared" si="26"/>
        <v>0</v>
      </c>
      <c r="H844" s="19" t="s">
        <v>94</v>
      </c>
      <c r="I844" s="3"/>
      <c r="J844" s="42"/>
      <c r="K844" s="3"/>
      <c r="M844" s="20">
        <v>42127</v>
      </c>
      <c r="N844" s="183">
        <v>19818</v>
      </c>
      <c r="O844" s="40" t="s">
        <v>24</v>
      </c>
      <c r="P844" s="105">
        <v>19609.599999999999</v>
      </c>
      <c r="Q844" s="23">
        <v>42151</v>
      </c>
      <c r="R844" s="106">
        <v>19609.599999999999</v>
      </c>
      <c r="S844" s="31">
        <f t="shared" si="27"/>
        <v>0</v>
      </c>
      <c r="T844" s="41" t="s">
        <v>59</v>
      </c>
    </row>
    <row r="845" spans="1:20" x14ac:dyDescent="0.25">
      <c r="A845" s="20">
        <v>42132</v>
      </c>
      <c r="B845" s="183">
        <v>20419</v>
      </c>
      <c r="C845" s="14" t="s">
        <v>224</v>
      </c>
      <c r="D845" s="105">
        <v>3095.9</v>
      </c>
      <c r="E845" s="23">
        <v>42133</v>
      </c>
      <c r="F845" s="106">
        <v>3095.9</v>
      </c>
      <c r="G845" s="31">
        <f t="shared" si="26"/>
        <v>0</v>
      </c>
      <c r="H845" s="19" t="s">
        <v>94</v>
      </c>
      <c r="I845" s="3"/>
      <c r="J845" s="42"/>
      <c r="K845" s="3"/>
      <c r="M845" s="20">
        <v>42127</v>
      </c>
      <c r="N845" s="183">
        <v>19820</v>
      </c>
      <c r="O845" s="40" t="s">
        <v>24</v>
      </c>
      <c r="P845" s="105">
        <v>43073.1</v>
      </c>
      <c r="Q845" s="23">
        <v>42151</v>
      </c>
      <c r="R845" s="106">
        <v>43073.1</v>
      </c>
      <c r="S845" s="31">
        <f t="shared" si="27"/>
        <v>0</v>
      </c>
      <c r="T845" s="41" t="s">
        <v>773</v>
      </c>
    </row>
    <row r="846" spans="1:20" x14ac:dyDescent="0.25">
      <c r="A846" s="20">
        <v>42132</v>
      </c>
      <c r="B846" s="183">
        <v>20420</v>
      </c>
      <c r="C846" s="14" t="s">
        <v>75</v>
      </c>
      <c r="D846" s="105">
        <v>18255.400000000001</v>
      </c>
      <c r="E846" s="23">
        <v>42134</v>
      </c>
      <c r="F846" s="106">
        <v>18255.400000000001</v>
      </c>
      <c r="G846" s="31">
        <f t="shared" si="26"/>
        <v>0</v>
      </c>
      <c r="H846" s="19" t="s">
        <v>62</v>
      </c>
      <c r="I846" s="3"/>
      <c r="J846" s="42"/>
      <c r="K846" s="3"/>
      <c r="M846" s="20">
        <v>42127</v>
      </c>
      <c r="N846" s="183">
        <v>19843</v>
      </c>
      <c r="O846" s="40" t="s">
        <v>24</v>
      </c>
      <c r="P846" s="105">
        <v>33671.1</v>
      </c>
      <c r="Q846" s="23">
        <v>42151</v>
      </c>
      <c r="R846" s="106">
        <v>33671.1</v>
      </c>
      <c r="S846" s="31">
        <f t="shared" si="27"/>
        <v>0</v>
      </c>
      <c r="T846" s="41" t="s">
        <v>773</v>
      </c>
    </row>
    <row r="847" spans="1:20" x14ac:dyDescent="0.25">
      <c r="A847" s="20">
        <v>42132</v>
      </c>
      <c r="B847" s="183">
        <v>20421</v>
      </c>
      <c r="C847" s="14" t="s">
        <v>176</v>
      </c>
      <c r="D847" s="105">
        <v>6900.2</v>
      </c>
      <c r="E847" s="30" t="s">
        <v>1350</v>
      </c>
      <c r="F847" s="106">
        <v>6900.2</v>
      </c>
      <c r="G847" s="31">
        <f t="shared" si="26"/>
        <v>0</v>
      </c>
      <c r="H847" s="19" t="s">
        <v>94</v>
      </c>
      <c r="I847" s="3"/>
      <c r="J847" s="42"/>
      <c r="K847" s="3"/>
      <c r="M847" s="20">
        <v>42127</v>
      </c>
      <c r="N847" s="183">
        <v>19853</v>
      </c>
      <c r="O847" s="40" t="s">
        <v>24</v>
      </c>
      <c r="P847" s="105">
        <v>4210.8</v>
      </c>
      <c r="Q847" s="23">
        <v>42151</v>
      </c>
      <c r="R847" s="106">
        <v>4210.8</v>
      </c>
      <c r="S847" s="31">
        <f t="shared" si="27"/>
        <v>0</v>
      </c>
      <c r="T847" s="41" t="s">
        <v>9</v>
      </c>
    </row>
    <row r="848" spans="1:20" x14ac:dyDescent="0.25">
      <c r="A848" s="20">
        <v>42132</v>
      </c>
      <c r="B848" s="183">
        <v>20422</v>
      </c>
      <c r="C848" s="14" t="s">
        <v>118</v>
      </c>
      <c r="D848" s="105">
        <v>954.2</v>
      </c>
      <c r="E848" s="23">
        <v>42132</v>
      </c>
      <c r="F848" s="106">
        <v>954.2</v>
      </c>
      <c r="G848" s="31">
        <f t="shared" si="26"/>
        <v>0</v>
      </c>
      <c r="H848" s="19" t="s">
        <v>9</v>
      </c>
      <c r="I848" s="3"/>
      <c r="J848" s="42"/>
      <c r="K848" s="3"/>
      <c r="M848" s="20">
        <v>42128</v>
      </c>
      <c r="N848" s="183">
        <v>19932</v>
      </c>
      <c r="O848" s="14" t="s">
        <v>24</v>
      </c>
      <c r="P848" s="105">
        <v>44511.7</v>
      </c>
      <c r="Q848" s="23">
        <v>42151</v>
      </c>
      <c r="R848" s="106">
        <v>44511.7</v>
      </c>
      <c r="S848" s="31">
        <f t="shared" si="27"/>
        <v>0</v>
      </c>
      <c r="T848" s="19" t="s">
        <v>312</v>
      </c>
    </row>
    <row r="849" spans="1:20" x14ac:dyDescent="0.25">
      <c r="A849" s="20">
        <v>42132</v>
      </c>
      <c r="B849" s="183">
        <v>20423</v>
      </c>
      <c r="C849" s="14" t="s">
        <v>335</v>
      </c>
      <c r="D849" s="105">
        <v>466.4</v>
      </c>
      <c r="E849" s="23">
        <v>42132</v>
      </c>
      <c r="F849" s="106">
        <v>466.4</v>
      </c>
      <c r="G849" s="31">
        <f t="shared" si="26"/>
        <v>0</v>
      </c>
      <c r="H849" s="19" t="s">
        <v>9</v>
      </c>
      <c r="I849" s="3"/>
      <c r="J849" s="42"/>
      <c r="K849" s="3"/>
      <c r="M849" s="20">
        <v>42128</v>
      </c>
      <c r="N849" s="183">
        <v>19979</v>
      </c>
      <c r="O849" s="14" t="s">
        <v>24</v>
      </c>
      <c r="P849" s="105">
        <v>1332</v>
      </c>
      <c r="Q849" s="23">
        <v>42151</v>
      </c>
      <c r="R849" s="106">
        <v>1332</v>
      </c>
      <c r="S849" s="31">
        <f t="shared" si="27"/>
        <v>0</v>
      </c>
      <c r="T849" s="19" t="s">
        <v>1257</v>
      </c>
    </row>
    <row r="850" spans="1:20" x14ac:dyDescent="0.25">
      <c r="A850" s="20">
        <v>42132</v>
      </c>
      <c r="B850" s="183">
        <v>20424</v>
      </c>
      <c r="C850" s="14" t="s">
        <v>170</v>
      </c>
      <c r="D850" s="105">
        <v>1799</v>
      </c>
      <c r="E850" s="23">
        <v>42134</v>
      </c>
      <c r="F850" s="106">
        <v>1799</v>
      </c>
      <c r="G850" s="31">
        <f t="shared" si="26"/>
        <v>0</v>
      </c>
      <c r="H850" s="19" t="s">
        <v>62</v>
      </c>
      <c r="J850" s="107"/>
      <c r="K850" s="3"/>
      <c r="M850" s="20">
        <v>42128</v>
      </c>
      <c r="N850" s="183">
        <v>19994</v>
      </c>
      <c r="O850" s="14" t="s">
        <v>24</v>
      </c>
      <c r="P850" s="105">
        <v>117230.26</v>
      </c>
      <c r="Q850" s="23">
        <v>42151</v>
      </c>
      <c r="R850" s="106">
        <v>117230.26</v>
      </c>
      <c r="S850" s="31">
        <f t="shared" si="27"/>
        <v>0</v>
      </c>
      <c r="T850" s="19" t="s">
        <v>46</v>
      </c>
    </row>
    <row r="851" spans="1:20" x14ac:dyDescent="0.25">
      <c r="A851" s="20">
        <v>42132</v>
      </c>
      <c r="B851" s="183">
        <v>20425</v>
      </c>
      <c r="C851" s="14" t="s">
        <v>89</v>
      </c>
      <c r="D851" s="105">
        <v>1211.5999999999999</v>
      </c>
      <c r="E851" s="23">
        <v>42132</v>
      </c>
      <c r="F851" s="106">
        <v>1211.5999999999999</v>
      </c>
      <c r="G851" s="31">
        <f t="shared" si="26"/>
        <v>0</v>
      </c>
      <c r="H851" s="19" t="s">
        <v>9</v>
      </c>
      <c r="K851" s="3"/>
      <c r="M851" s="20">
        <v>42128</v>
      </c>
      <c r="N851" s="183">
        <v>20006</v>
      </c>
      <c r="O851" s="14" t="s">
        <v>24</v>
      </c>
      <c r="P851" s="105">
        <v>33728.9</v>
      </c>
      <c r="Q851" s="23">
        <v>42151</v>
      </c>
      <c r="R851" s="106">
        <v>33728.9</v>
      </c>
      <c r="S851" s="31">
        <f t="shared" si="27"/>
        <v>0</v>
      </c>
      <c r="T851" s="19" t="s">
        <v>46</v>
      </c>
    </row>
    <row r="852" spans="1:20" x14ac:dyDescent="0.25">
      <c r="A852" s="20">
        <v>42132</v>
      </c>
      <c r="B852" s="183">
        <v>20426</v>
      </c>
      <c r="C852" s="14" t="s">
        <v>72</v>
      </c>
      <c r="D852" s="105">
        <v>17360</v>
      </c>
      <c r="E852" s="30" t="s">
        <v>1351</v>
      </c>
      <c r="F852" s="106">
        <v>17360</v>
      </c>
      <c r="G852" s="31">
        <f t="shared" si="26"/>
        <v>0</v>
      </c>
      <c r="H852" s="19" t="s">
        <v>62</v>
      </c>
      <c r="K852" s="3"/>
      <c r="M852" s="20">
        <v>42129</v>
      </c>
      <c r="N852" s="183">
        <v>20033</v>
      </c>
      <c r="O852" s="14" t="s">
        <v>24</v>
      </c>
      <c r="P852" s="105">
        <v>36495.4</v>
      </c>
      <c r="Q852" s="23">
        <v>42151</v>
      </c>
      <c r="R852" s="106">
        <v>36495.4</v>
      </c>
      <c r="S852" s="31">
        <f t="shared" si="27"/>
        <v>0</v>
      </c>
      <c r="T852" s="39" t="s">
        <v>1257</v>
      </c>
    </row>
    <row r="853" spans="1:20" x14ac:dyDescent="0.25">
      <c r="A853" s="20">
        <v>42132</v>
      </c>
      <c r="B853" s="183">
        <v>20427</v>
      </c>
      <c r="C853" s="14" t="s">
        <v>247</v>
      </c>
      <c r="D853" s="105">
        <v>5753</v>
      </c>
      <c r="E853" s="23">
        <v>42133</v>
      </c>
      <c r="F853" s="106">
        <v>5753</v>
      </c>
      <c r="G853" s="31">
        <f t="shared" si="26"/>
        <v>0</v>
      </c>
      <c r="H853" s="19" t="s">
        <v>9</v>
      </c>
      <c r="K853" s="3"/>
      <c r="M853" s="20">
        <v>42129</v>
      </c>
      <c r="N853" s="183">
        <v>20094</v>
      </c>
      <c r="O853" s="14" t="s">
        <v>24</v>
      </c>
      <c r="P853" s="105">
        <v>112914.8</v>
      </c>
      <c r="Q853" s="23">
        <v>42151</v>
      </c>
      <c r="R853" s="106">
        <v>112914.8</v>
      </c>
      <c r="S853" s="31">
        <f t="shared" si="27"/>
        <v>0</v>
      </c>
      <c r="T853" s="39" t="s">
        <v>773</v>
      </c>
    </row>
    <row r="854" spans="1:20" x14ac:dyDescent="0.25">
      <c r="A854" s="20">
        <v>42132</v>
      </c>
      <c r="B854" s="183">
        <v>20428</v>
      </c>
      <c r="C854" s="14" t="s">
        <v>169</v>
      </c>
      <c r="D854" s="105">
        <v>7402.4</v>
      </c>
      <c r="E854" s="23">
        <v>42135</v>
      </c>
      <c r="F854" s="106">
        <v>7402.4</v>
      </c>
      <c r="G854" s="31">
        <f t="shared" si="26"/>
        <v>0</v>
      </c>
      <c r="H854" s="19" t="s">
        <v>41</v>
      </c>
      <c r="K854" s="3"/>
      <c r="M854" s="20">
        <v>42129</v>
      </c>
      <c r="N854" s="183">
        <v>20097</v>
      </c>
      <c r="O854" s="14" t="s">
        <v>24</v>
      </c>
      <c r="P854" s="105">
        <v>3660.8</v>
      </c>
      <c r="Q854" s="23">
        <v>42151</v>
      </c>
      <c r="R854" s="106">
        <v>3660.8</v>
      </c>
      <c r="S854" s="31">
        <f t="shared" si="27"/>
        <v>0</v>
      </c>
      <c r="T854" s="39" t="s">
        <v>773</v>
      </c>
    </row>
    <row r="855" spans="1:20" x14ac:dyDescent="0.25">
      <c r="A855" s="20">
        <v>42132</v>
      </c>
      <c r="B855" s="183">
        <v>20429</v>
      </c>
      <c r="C855" s="14" t="s">
        <v>98</v>
      </c>
      <c r="D855" s="105">
        <v>459.2</v>
      </c>
      <c r="E855" s="23">
        <v>42133</v>
      </c>
      <c r="F855" s="106">
        <v>459.2</v>
      </c>
      <c r="G855" s="31">
        <f t="shared" si="26"/>
        <v>0</v>
      </c>
      <c r="H855" s="19" t="s">
        <v>94</v>
      </c>
      <c r="J855" s="107"/>
      <c r="K855" s="3"/>
      <c r="M855" s="20">
        <v>42129</v>
      </c>
      <c r="N855" s="183">
        <v>20100</v>
      </c>
      <c r="O855" s="14" t="s">
        <v>24</v>
      </c>
      <c r="P855" s="105">
        <v>80764.12</v>
      </c>
      <c r="Q855" s="23">
        <v>42151</v>
      </c>
      <c r="R855" s="106">
        <v>80764.12</v>
      </c>
      <c r="S855" s="31">
        <f t="shared" si="27"/>
        <v>0</v>
      </c>
      <c r="T855" s="39" t="s">
        <v>46</v>
      </c>
    </row>
    <row r="856" spans="1:20" x14ac:dyDescent="0.25">
      <c r="A856" s="20">
        <v>42132</v>
      </c>
      <c r="B856" s="183">
        <v>20430</v>
      </c>
      <c r="C856" s="14" t="s">
        <v>571</v>
      </c>
      <c r="D856" s="105">
        <v>17237.5</v>
      </c>
      <c r="E856" s="23">
        <v>42133</v>
      </c>
      <c r="F856" s="106">
        <v>17237.5</v>
      </c>
      <c r="G856" s="31">
        <f t="shared" si="26"/>
        <v>0</v>
      </c>
      <c r="H856" s="19" t="s">
        <v>9</v>
      </c>
      <c r="K856" s="3"/>
      <c r="M856" s="20">
        <v>42130</v>
      </c>
      <c r="N856" s="183">
        <v>20118</v>
      </c>
      <c r="O856" s="14" t="s">
        <v>24</v>
      </c>
      <c r="P856" s="105">
        <v>26531.4</v>
      </c>
      <c r="Q856" s="51">
        <v>42151</v>
      </c>
      <c r="R856" s="106">
        <v>26531.4</v>
      </c>
      <c r="S856" s="31">
        <f t="shared" si="27"/>
        <v>0</v>
      </c>
      <c r="T856" s="39" t="s">
        <v>9</v>
      </c>
    </row>
    <row r="857" spans="1:20" x14ac:dyDescent="0.25">
      <c r="A857" s="20">
        <v>42132</v>
      </c>
      <c r="B857" s="183">
        <v>20431</v>
      </c>
      <c r="C857" s="14" t="s">
        <v>106</v>
      </c>
      <c r="D857" s="105">
        <v>3281.6</v>
      </c>
      <c r="E857" s="23">
        <v>42133</v>
      </c>
      <c r="F857" s="106">
        <v>3281.6</v>
      </c>
      <c r="G857" s="31">
        <f t="shared" si="26"/>
        <v>0</v>
      </c>
      <c r="H857" s="19" t="s">
        <v>94</v>
      </c>
      <c r="K857" s="3"/>
      <c r="M857" s="20">
        <v>42130</v>
      </c>
      <c r="N857" s="183">
        <v>20180</v>
      </c>
      <c r="O857" s="14" t="s">
        <v>24</v>
      </c>
      <c r="P857" s="105">
        <v>14507.2</v>
      </c>
      <c r="Q857" s="23">
        <v>42151</v>
      </c>
      <c r="R857" s="106">
        <v>14507.2</v>
      </c>
      <c r="S857" s="31">
        <f t="shared" si="27"/>
        <v>0</v>
      </c>
      <c r="T857" s="39" t="s">
        <v>9</v>
      </c>
    </row>
    <row r="858" spans="1:20" x14ac:dyDescent="0.25">
      <c r="A858" s="20">
        <v>42132</v>
      </c>
      <c r="B858" s="183">
        <v>20432</v>
      </c>
      <c r="C858" s="14" t="s">
        <v>61</v>
      </c>
      <c r="D858" s="105">
        <v>6255</v>
      </c>
      <c r="E858" s="23">
        <v>42134</v>
      </c>
      <c r="F858" s="106">
        <v>6255</v>
      </c>
      <c r="G858" s="31">
        <f t="shared" si="26"/>
        <v>0</v>
      </c>
      <c r="H858" s="19" t="s">
        <v>9</v>
      </c>
      <c r="K858" s="3"/>
      <c r="M858" s="20">
        <v>42130</v>
      </c>
      <c r="N858" s="183">
        <v>20200</v>
      </c>
      <c r="O858" s="14" t="s">
        <v>24</v>
      </c>
      <c r="P858" s="105">
        <v>50473.1</v>
      </c>
      <c r="Q858" s="23">
        <v>42151</v>
      </c>
      <c r="R858" s="106">
        <v>50473.1</v>
      </c>
      <c r="S858" s="31">
        <f t="shared" si="27"/>
        <v>0</v>
      </c>
      <c r="T858" s="39" t="s">
        <v>9</v>
      </c>
    </row>
    <row r="859" spans="1:20" x14ac:dyDescent="0.25">
      <c r="A859" s="20">
        <v>42132</v>
      </c>
      <c r="B859" s="183">
        <v>20433</v>
      </c>
      <c r="C859" s="14" t="s">
        <v>112</v>
      </c>
      <c r="D859" s="105">
        <v>4042.6</v>
      </c>
      <c r="E859" s="23">
        <v>42132</v>
      </c>
      <c r="F859" s="106">
        <v>4042.6</v>
      </c>
      <c r="G859" s="31">
        <f t="shared" si="26"/>
        <v>0</v>
      </c>
      <c r="H859" s="19" t="s">
        <v>9</v>
      </c>
      <c r="K859" s="3"/>
      <c r="M859" s="20">
        <v>42130</v>
      </c>
      <c r="N859" s="183">
        <v>20204</v>
      </c>
      <c r="O859" s="14" t="s">
        <v>24</v>
      </c>
      <c r="P859" s="105">
        <v>227402.54</v>
      </c>
      <c r="Q859" s="23">
        <v>42151</v>
      </c>
      <c r="R859" s="106">
        <v>227402.54</v>
      </c>
      <c r="S859" s="31">
        <f t="shared" si="27"/>
        <v>0</v>
      </c>
      <c r="T859" s="39" t="s">
        <v>9</v>
      </c>
    </row>
    <row r="860" spans="1:20" x14ac:dyDescent="0.25">
      <c r="A860" s="20">
        <v>42132</v>
      </c>
      <c r="B860" s="183">
        <v>20434</v>
      </c>
      <c r="C860" s="14" t="s">
        <v>84</v>
      </c>
      <c r="D860" s="105">
        <v>15036.46</v>
      </c>
      <c r="E860" s="30" t="s">
        <v>1352</v>
      </c>
      <c r="F860" s="106">
        <v>15036.46</v>
      </c>
      <c r="G860" s="31">
        <f t="shared" si="26"/>
        <v>0</v>
      </c>
      <c r="H860" s="19" t="s">
        <v>9</v>
      </c>
      <c r="K860" s="3"/>
      <c r="M860" s="20">
        <v>42131</v>
      </c>
      <c r="N860" s="183">
        <v>20236</v>
      </c>
      <c r="O860" s="14" t="s">
        <v>24</v>
      </c>
      <c r="P860" s="105">
        <v>6906.6</v>
      </c>
      <c r="Q860" s="23">
        <v>42151</v>
      </c>
      <c r="R860" s="106">
        <v>6906.6</v>
      </c>
      <c r="S860" s="31">
        <f t="shared" si="27"/>
        <v>0</v>
      </c>
      <c r="T860" s="39" t="s">
        <v>9</v>
      </c>
    </row>
    <row r="861" spans="1:20" x14ac:dyDescent="0.25">
      <c r="A861" s="20">
        <v>42132</v>
      </c>
      <c r="B861" s="183">
        <v>20435</v>
      </c>
      <c r="C861" s="14" t="s">
        <v>145</v>
      </c>
      <c r="D861" s="105">
        <v>4156</v>
      </c>
      <c r="E861" s="23">
        <v>42132</v>
      </c>
      <c r="F861" s="106">
        <v>4156</v>
      </c>
      <c r="G861" s="31">
        <f t="shared" si="26"/>
        <v>0</v>
      </c>
      <c r="H861" s="19" t="s">
        <v>9</v>
      </c>
      <c r="K861" s="3"/>
      <c r="M861" s="20">
        <v>42131</v>
      </c>
      <c r="N861" s="183">
        <v>20318</v>
      </c>
      <c r="O861" s="14" t="s">
        <v>24</v>
      </c>
      <c r="P861" s="105">
        <v>210138.27</v>
      </c>
      <c r="Q861" s="23">
        <v>42151</v>
      </c>
      <c r="R861" s="106">
        <v>210138.27</v>
      </c>
      <c r="S861" s="31">
        <f t="shared" si="27"/>
        <v>0</v>
      </c>
      <c r="T861" s="39" t="s">
        <v>46</v>
      </c>
    </row>
    <row r="862" spans="1:20" x14ac:dyDescent="0.25">
      <c r="A862" s="20">
        <v>42132</v>
      </c>
      <c r="B862" s="183">
        <v>20436</v>
      </c>
      <c r="C862" s="14" t="s">
        <v>71</v>
      </c>
      <c r="D862" s="105">
        <v>1497.8</v>
      </c>
      <c r="E862" s="23">
        <v>42132</v>
      </c>
      <c r="F862" s="106">
        <v>1497.8</v>
      </c>
      <c r="G862" s="31">
        <f t="shared" si="26"/>
        <v>0</v>
      </c>
      <c r="H862" s="19" t="s">
        <v>9</v>
      </c>
      <c r="K862" s="3"/>
      <c r="M862" s="20">
        <v>42131</v>
      </c>
      <c r="N862" s="183">
        <v>20321</v>
      </c>
      <c r="O862" s="14" t="s">
        <v>24</v>
      </c>
      <c r="P862" s="105">
        <v>102010.96</v>
      </c>
      <c r="Q862" s="23">
        <v>42151</v>
      </c>
      <c r="R862" s="106">
        <v>102010.96</v>
      </c>
      <c r="S862" s="31">
        <f t="shared" si="27"/>
        <v>0</v>
      </c>
      <c r="T862" s="39" t="s">
        <v>46</v>
      </c>
    </row>
    <row r="863" spans="1:20" x14ac:dyDescent="0.25">
      <c r="A863" s="20">
        <v>42132</v>
      </c>
      <c r="B863" s="183">
        <v>20437</v>
      </c>
      <c r="C863" s="14" t="s">
        <v>1058</v>
      </c>
      <c r="D863" s="105">
        <v>646</v>
      </c>
      <c r="E863" s="23">
        <v>42132</v>
      </c>
      <c r="F863" s="106">
        <v>646</v>
      </c>
      <c r="G863" s="31">
        <f t="shared" si="26"/>
        <v>0</v>
      </c>
      <c r="H863" s="19" t="s">
        <v>9</v>
      </c>
      <c r="K863" s="3"/>
      <c r="M863" s="20">
        <v>42131</v>
      </c>
      <c r="N863" s="183">
        <v>20325</v>
      </c>
      <c r="O863" s="14" t="s">
        <v>24</v>
      </c>
      <c r="P863" s="105">
        <v>147</v>
      </c>
      <c r="Q863" s="23">
        <v>42151</v>
      </c>
      <c r="R863" s="106">
        <v>147</v>
      </c>
      <c r="S863" s="31">
        <f t="shared" si="27"/>
        <v>0</v>
      </c>
      <c r="T863" s="39" t="s">
        <v>312</v>
      </c>
    </row>
    <row r="864" spans="1:20" x14ac:dyDescent="0.25">
      <c r="A864" s="20">
        <v>42132</v>
      </c>
      <c r="B864" s="183">
        <v>20438</v>
      </c>
      <c r="C864" s="14" t="s">
        <v>125</v>
      </c>
      <c r="D864" s="105">
        <v>184</v>
      </c>
      <c r="E864" s="23">
        <v>42137</v>
      </c>
      <c r="F864" s="106">
        <v>184</v>
      </c>
      <c r="G864" s="31">
        <f t="shared" si="26"/>
        <v>0</v>
      </c>
      <c r="H864" s="19" t="s">
        <v>9</v>
      </c>
      <c r="K864" s="3"/>
      <c r="M864" s="20">
        <v>42132</v>
      </c>
      <c r="N864" s="183">
        <v>20446</v>
      </c>
      <c r="O864" s="14" t="s">
        <v>24</v>
      </c>
      <c r="P864" s="105">
        <v>188497.1</v>
      </c>
      <c r="Q864" s="23">
        <v>42151</v>
      </c>
      <c r="R864" s="106">
        <v>188497.1</v>
      </c>
      <c r="S864" s="31">
        <f t="shared" si="27"/>
        <v>0</v>
      </c>
      <c r="T864" s="19" t="s">
        <v>46</v>
      </c>
    </row>
    <row r="865" spans="1:20" x14ac:dyDescent="0.25">
      <c r="A865" s="20">
        <v>42132</v>
      </c>
      <c r="B865" s="183">
        <v>20439</v>
      </c>
      <c r="C865" s="14" t="s">
        <v>102</v>
      </c>
      <c r="D865" s="105">
        <v>2474.8000000000002</v>
      </c>
      <c r="E865" s="23">
        <v>42132</v>
      </c>
      <c r="F865" s="106">
        <v>2474.8000000000002</v>
      </c>
      <c r="G865" s="31">
        <f t="shared" si="26"/>
        <v>0</v>
      </c>
      <c r="H865" s="19" t="s">
        <v>9</v>
      </c>
      <c r="K865" s="3"/>
      <c r="M865" s="20">
        <v>42132</v>
      </c>
      <c r="N865" s="183">
        <v>20447</v>
      </c>
      <c r="O865" s="14" t="s">
        <v>24</v>
      </c>
      <c r="P865" s="105">
        <v>35203.9</v>
      </c>
      <c r="Q865" s="23">
        <v>42151</v>
      </c>
      <c r="R865" s="106">
        <v>35203.9</v>
      </c>
      <c r="S865" s="31">
        <f t="shared" si="27"/>
        <v>0</v>
      </c>
      <c r="T865" s="19" t="s">
        <v>46</v>
      </c>
    </row>
    <row r="866" spans="1:20" x14ac:dyDescent="0.25">
      <c r="A866" s="20">
        <v>42132</v>
      </c>
      <c r="B866" s="183">
        <v>20440</v>
      </c>
      <c r="C866" s="14" t="s">
        <v>213</v>
      </c>
      <c r="D866" s="105">
        <v>25631.200000000001</v>
      </c>
      <c r="E866" s="23">
        <v>42133</v>
      </c>
      <c r="F866" s="106">
        <v>25631.200000000001</v>
      </c>
      <c r="G866" s="31">
        <f t="shared" si="26"/>
        <v>0</v>
      </c>
      <c r="H866" s="19" t="s">
        <v>1257</v>
      </c>
      <c r="I866" s="3"/>
      <c r="J866" s="42"/>
      <c r="K866" s="3"/>
      <c r="M866" s="20">
        <v>42132</v>
      </c>
      <c r="N866" s="183">
        <v>20454</v>
      </c>
      <c r="O866" s="14" t="s">
        <v>24</v>
      </c>
      <c r="P866" s="105">
        <v>81685.8</v>
      </c>
      <c r="Q866" s="23">
        <v>42151</v>
      </c>
      <c r="R866" s="106">
        <v>81685.8</v>
      </c>
      <c r="S866" s="31">
        <f t="shared" si="27"/>
        <v>0</v>
      </c>
      <c r="T866" s="19" t="s">
        <v>1013</v>
      </c>
    </row>
    <row r="867" spans="1:20" x14ac:dyDescent="0.25">
      <c r="A867" s="20">
        <v>42132</v>
      </c>
      <c r="B867" s="183">
        <v>20441</v>
      </c>
      <c r="C867" s="14" t="s">
        <v>103</v>
      </c>
      <c r="D867" s="105">
        <v>25098.15</v>
      </c>
      <c r="E867" s="23">
        <v>42138</v>
      </c>
      <c r="F867" s="106">
        <v>25098.15</v>
      </c>
      <c r="G867" s="31">
        <f t="shared" si="26"/>
        <v>0</v>
      </c>
      <c r="H867" s="19" t="s">
        <v>1257</v>
      </c>
      <c r="I867" s="3"/>
      <c r="J867" s="42"/>
      <c r="K867" s="3"/>
      <c r="M867" s="20">
        <v>42133</v>
      </c>
      <c r="N867" s="183">
        <v>20481</v>
      </c>
      <c r="O867" s="14" t="s">
        <v>24</v>
      </c>
      <c r="P867" s="105">
        <v>59948.7</v>
      </c>
      <c r="Q867" s="23" t="s">
        <v>1353</v>
      </c>
      <c r="R867" s="106">
        <f>58509.46+1439.24</f>
        <v>59948.7</v>
      </c>
      <c r="S867" s="31">
        <f t="shared" si="27"/>
        <v>0</v>
      </c>
      <c r="T867" s="39" t="s">
        <v>9</v>
      </c>
    </row>
    <row r="868" spans="1:20" x14ac:dyDescent="0.25">
      <c r="A868" s="20">
        <v>42132</v>
      </c>
      <c r="B868" s="183">
        <v>20442</v>
      </c>
      <c r="C868" s="14" t="s">
        <v>112</v>
      </c>
      <c r="D868" s="105">
        <v>5754.04</v>
      </c>
      <c r="E868" s="23">
        <v>42132</v>
      </c>
      <c r="F868" s="106">
        <v>5754.04</v>
      </c>
      <c r="G868" s="31">
        <f t="shared" si="26"/>
        <v>0</v>
      </c>
      <c r="H868" s="19" t="s">
        <v>9</v>
      </c>
      <c r="I868" s="3"/>
      <c r="J868" s="42"/>
      <c r="K868" s="3"/>
      <c r="M868" s="20">
        <v>42133</v>
      </c>
      <c r="N868" s="183">
        <v>20508</v>
      </c>
      <c r="O868" s="14" t="s">
        <v>24</v>
      </c>
      <c r="P868" s="105">
        <v>61964.3</v>
      </c>
      <c r="Q868" s="23">
        <v>42153</v>
      </c>
      <c r="R868" s="106">
        <v>61964.3</v>
      </c>
      <c r="S868" s="31">
        <f t="shared" si="27"/>
        <v>0</v>
      </c>
      <c r="T868" s="19" t="s">
        <v>9</v>
      </c>
    </row>
    <row r="869" spans="1:20" x14ac:dyDescent="0.25">
      <c r="A869" s="20">
        <v>42132</v>
      </c>
      <c r="B869" s="183">
        <v>20443</v>
      </c>
      <c r="C869" s="14" t="s">
        <v>111</v>
      </c>
      <c r="D869" s="105">
        <v>187960</v>
      </c>
      <c r="E869" s="23">
        <v>42135</v>
      </c>
      <c r="F869" s="106">
        <v>187960</v>
      </c>
      <c r="G869" s="31">
        <f t="shared" si="26"/>
        <v>0</v>
      </c>
      <c r="H869" s="19" t="s">
        <v>9</v>
      </c>
      <c r="I869" s="3"/>
      <c r="J869" s="42"/>
      <c r="K869" s="3"/>
      <c r="M869" s="20">
        <v>42133</v>
      </c>
      <c r="N869" s="183">
        <v>20587</v>
      </c>
      <c r="O869" s="14" t="s">
        <v>24</v>
      </c>
      <c r="P869" s="105">
        <v>253170.5</v>
      </c>
      <c r="Q869" s="23">
        <v>42153</v>
      </c>
      <c r="R869" s="106">
        <v>253170.5</v>
      </c>
      <c r="S869" s="31">
        <f t="shared" si="27"/>
        <v>0</v>
      </c>
      <c r="T869" s="39" t="s">
        <v>46</v>
      </c>
    </row>
    <row r="870" spans="1:20" x14ac:dyDescent="0.25">
      <c r="A870" s="20">
        <v>42132</v>
      </c>
      <c r="B870" s="183">
        <v>20444</v>
      </c>
      <c r="C870" s="14" t="s">
        <v>1142</v>
      </c>
      <c r="D870" s="105">
        <v>2494</v>
      </c>
      <c r="E870" s="23">
        <v>42132</v>
      </c>
      <c r="F870" s="106">
        <v>2494</v>
      </c>
      <c r="G870" s="31">
        <f t="shared" si="26"/>
        <v>0</v>
      </c>
      <c r="H870" s="19" t="s">
        <v>9</v>
      </c>
      <c r="I870" s="3"/>
      <c r="J870" s="42"/>
      <c r="K870" s="3"/>
      <c r="M870" s="20">
        <v>42133</v>
      </c>
      <c r="N870" s="183">
        <v>20589</v>
      </c>
      <c r="O870" s="14" t="s">
        <v>24</v>
      </c>
      <c r="P870" s="105">
        <v>58558</v>
      </c>
      <c r="Q870" s="23">
        <v>42153</v>
      </c>
      <c r="R870" s="106">
        <v>58558</v>
      </c>
      <c r="S870" s="31">
        <f t="shared" si="27"/>
        <v>0</v>
      </c>
      <c r="T870" s="39" t="s">
        <v>9</v>
      </c>
    </row>
    <row r="871" spans="1:20" x14ac:dyDescent="0.25">
      <c r="A871" s="20">
        <v>42132</v>
      </c>
      <c r="B871" s="183">
        <v>20445</v>
      </c>
      <c r="C871" s="14" t="s">
        <v>161</v>
      </c>
      <c r="D871" s="105">
        <v>24175.8</v>
      </c>
      <c r="E871" s="23">
        <v>42132</v>
      </c>
      <c r="F871" s="106">
        <v>24175.8</v>
      </c>
      <c r="G871" s="31">
        <f t="shared" si="26"/>
        <v>0</v>
      </c>
      <c r="H871" s="19" t="s">
        <v>9</v>
      </c>
      <c r="I871" s="3"/>
      <c r="J871" s="42"/>
      <c r="K871" s="3"/>
      <c r="M871" s="20">
        <v>42134</v>
      </c>
      <c r="N871" s="183">
        <v>20616</v>
      </c>
      <c r="O871" s="14" t="s">
        <v>24</v>
      </c>
      <c r="P871" s="105">
        <v>2534.4</v>
      </c>
      <c r="Q871" s="23">
        <v>42153</v>
      </c>
      <c r="R871" s="118">
        <v>2534.4</v>
      </c>
      <c r="S871" s="31">
        <f t="shared" si="27"/>
        <v>0</v>
      </c>
      <c r="T871" s="56" t="s">
        <v>9</v>
      </c>
    </row>
    <row r="872" spans="1:20" x14ac:dyDescent="0.25">
      <c r="A872" s="20">
        <v>42132</v>
      </c>
      <c r="B872" s="183">
        <v>20446</v>
      </c>
      <c r="C872" s="14" t="s">
        <v>24</v>
      </c>
      <c r="D872" s="105">
        <v>188497.1</v>
      </c>
      <c r="E872" s="23">
        <v>42151</v>
      </c>
      <c r="F872" s="106">
        <v>188497.1</v>
      </c>
      <c r="G872" s="31">
        <f t="shared" si="26"/>
        <v>0</v>
      </c>
      <c r="H872" s="19" t="s">
        <v>46</v>
      </c>
      <c r="I872" s="3"/>
      <c r="J872" s="42"/>
      <c r="K872" s="3"/>
      <c r="M872" s="20">
        <v>42134</v>
      </c>
      <c r="N872" s="183">
        <v>20633</v>
      </c>
      <c r="O872" s="14" t="s">
        <v>24</v>
      </c>
      <c r="P872" s="105">
        <v>46569.2</v>
      </c>
      <c r="Q872" s="23">
        <v>42153</v>
      </c>
      <c r="R872" s="118">
        <v>46569.2</v>
      </c>
      <c r="S872" s="31">
        <f t="shared" si="27"/>
        <v>0</v>
      </c>
      <c r="T872" s="56" t="s">
        <v>9</v>
      </c>
    </row>
    <row r="873" spans="1:20" x14ac:dyDescent="0.25">
      <c r="A873" s="20">
        <v>42132</v>
      </c>
      <c r="B873" s="183">
        <v>20447</v>
      </c>
      <c r="C873" s="14" t="s">
        <v>24</v>
      </c>
      <c r="D873" s="105">
        <v>35203.9</v>
      </c>
      <c r="E873" s="23">
        <v>42151</v>
      </c>
      <c r="F873" s="106">
        <v>35203.9</v>
      </c>
      <c r="G873" s="31">
        <f t="shared" si="26"/>
        <v>0</v>
      </c>
      <c r="H873" s="19" t="s">
        <v>46</v>
      </c>
      <c r="I873" s="3"/>
      <c r="J873" s="42"/>
      <c r="K873" s="3"/>
      <c r="M873" s="20">
        <v>42134</v>
      </c>
      <c r="N873" s="183">
        <v>20665</v>
      </c>
      <c r="O873" s="14" t="s">
        <v>24</v>
      </c>
      <c r="P873" s="105">
        <v>78254.600000000006</v>
      </c>
      <c r="Q873" s="23">
        <v>42153</v>
      </c>
      <c r="R873" s="106">
        <v>78254.600000000006</v>
      </c>
      <c r="S873" s="31">
        <f t="shared" si="27"/>
        <v>0</v>
      </c>
      <c r="T873" s="39" t="s">
        <v>9</v>
      </c>
    </row>
    <row r="874" spans="1:20" x14ac:dyDescent="0.25">
      <c r="A874" s="20">
        <v>42132</v>
      </c>
      <c r="B874" s="183">
        <v>20448</v>
      </c>
      <c r="C874" s="14" t="s">
        <v>102</v>
      </c>
      <c r="D874" s="105">
        <v>2809.6</v>
      </c>
      <c r="E874" s="23">
        <v>42132</v>
      </c>
      <c r="F874" s="106">
        <v>2809.6</v>
      </c>
      <c r="G874" s="31">
        <f t="shared" si="26"/>
        <v>0</v>
      </c>
      <c r="H874" s="19" t="s">
        <v>9</v>
      </c>
      <c r="I874" s="3"/>
      <c r="J874" s="42"/>
      <c r="K874" s="3"/>
      <c r="M874" s="20">
        <v>42135</v>
      </c>
      <c r="N874" s="183">
        <v>20696</v>
      </c>
      <c r="O874" s="14" t="s">
        <v>24</v>
      </c>
      <c r="P874" s="105">
        <v>109853.2</v>
      </c>
      <c r="Q874" s="23">
        <v>42153</v>
      </c>
      <c r="R874" s="106">
        <v>109853.2</v>
      </c>
      <c r="S874" s="31">
        <f t="shared" si="27"/>
        <v>0</v>
      </c>
      <c r="T874" s="39" t="s">
        <v>9</v>
      </c>
    </row>
    <row r="875" spans="1:20" x14ac:dyDescent="0.25">
      <c r="A875" s="20">
        <v>42132</v>
      </c>
      <c r="B875" s="183">
        <v>20449</v>
      </c>
      <c r="C875" s="14" t="s">
        <v>305</v>
      </c>
      <c r="D875" s="105">
        <v>2194.5</v>
      </c>
      <c r="E875" s="23">
        <v>42132</v>
      </c>
      <c r="F875" s="106">
        <v>2194.5</v>
      </c>
      <c r="G875" s="31">
        <f t="shared" si="26"/>
        <v>0</v>
      </c>
      <c r="H875" s="19" t="s">
        <v>9</v>
      </c>
      <c r="I875" s="3"/>
      <c r="J875" s="42"/>
      <c r="K875" s="3"/>
      <c r="M875" s="20">
        <v>42135</v>
      </c>
      <c r="N875" s="183">
        <v>20725</v>
      </c>
      <c r="O875" s="14" t="s">
        <v>24</v>
      </c>
      <c r="P875" s="105">
        <v>1406.8</v>
      </c>
      <c r="Q875" s="23">
        <v>42153</v>
      </c>
      <c r="R875" s="106">
        <v>1406.8</v>
      </c>
      <c r="S875" s="31">
        <f t="shared" si="27"/>
        <v>0</v>
      </c>
      <c r="T875" s="19" t="s">
        <v>1273</v>
      </c>
    </row>
    <row r="876" spans="1:20" x14ac:dyDescent="0.25">
      <c r="A876" s="20">
        <v>42132</v>
      </c>
      <c r="B876" s="183">
        <v>20450</v>
      </c>
      <c r="C876" s="14" t="s">
        <v>1172</v>
      </c>
      <c r="D876" s="105">
        <v>37379.300000000003</v>
      </c>
      <c r="E876" s="23">
        <v>42133</v>
      </c>
      <c r="F876" s="106">
        <v>37379.300000000003</v>
      </c>
      <c r="G876" s="31">
        <f t="shared" si="26"/>
        <v>0</v>
      </c>
      <c r="H876" s="19" t="s">
        <v>587</v>
      </c>
      <c r="I876" s="3"/>
      <c r="J876" s="42"/>
      <c r="K876" s="3"/>
      <c r="M876" s="20">
        <v>42135</v>
      </c>
      <c r="N876" s="183">
        <v>20774</v>
      </c>
      <c r="O876" s="14" t="s">
        <v>24</v>
      </c>
      <c r="P876" s="105">
        <v>16155</v>
      </c>
      <c r="Q876" s="23">
        <v>42153</v>
      </c>
      <c r="R876" s="106">
        <v>16155</v>
      </c>
      <c r="S876" s="31">
        <f t="shared" si="27"/>
        <v>0</v>
      </c>
      <c r="T876" s="19" t="s">
        <v>9</v>
      </c>
    </row>
    <row r="877" spans="1:20" x14ac:dyDescent="0.25">
      <c r="A877" s="20">
        <v>42132</v>
      </c>
      <c r="B877" s="183">
        <v>20451</v>
      </c>
      <c r="C877" s="14" t="s">
        <v>229</v>
      </c>
      <c r="D877" s="105">
        <v>2297.52</v>
      </c>
      <c r="E877" s="23">
        <v>42132</v>
      </c>
      <c r="F877" s="106">
        <v>2297.52</v>
      </c>
      <c r="G877" s="31">
        <f t="shared" si="26"/>
        <v>0</v>
      </c>
      <c r="H877" s="19" t="s">
        <v>9</v>
      </c>
      <c r="I877" s="3"/>
      <c r="J877" s="42"/>
      <c r="K877" s="3"/>
      <c r="M877" s="20">
        <v>42136</v>
      </c>
      <c r="N877" s="183">
        <v>20832</v>
      </c>
      <c r="O877" s="14" t="s">
        <v>24</v>
      </c>
      <c r="P877" s="105">
        <v>69318.399999999994</v>
      </c>
      <c r="Q877" s="23">
        <v>42153</v>
      </c>
      <c r="R877" s="106">
        <v>69318.399999999994</v>
      </c>
      <c r="S877" s="31">
        <f t="shared" si="27"/>
        <v>0</v>
      </c>
      <c r="T877" s="39" t="s">
        <v>9</v>
      </c>
    </row>
    <row r="878" spans="1:20" x14ac:dyDescent="0.25">
      <c r="A878" s="20">
        <v>42132</v>
      </c>
      <c r="B878" s="183">
        <v>20452</v>
      </c>
      <c r="C878" s="14" t="s">
        <v>90</v>
      </c>
      <c r="D878" s="105">
        <v>1482.3</v>
      </c>
      <c r="E878" s="23">
        <v>42133</v>
      </c>
      <c r="F878" s="106">
        <v>1482.3</v>
      </c>
      <c r="G878" s="31">
        <f t="shared" si="26"/>
        <v>0</v>
      </c>
      <c r="H878" s="19" t="s">
        <v>9</v>
      </c>
      <c r="I878" s="3"/>
      <c r="J878" s="42"/>
      <c r="K878" s="3"/>
      <c r="M878" s="20">
        <v>42136</v>
      </c>
      <c r="N878" s="183">
        <v>20860</v>
      </c>
      <c r="O878" s="14" t="s">
        <v>24</v>
      </c>
      <c r="P878" s="105">
        <v>110964.48</v>
      </c>
      <c r="Q878" s="23">
        <v>42153</v>
      </c>
      <c r="R878" s="106">
        <v>110964.48</v>
      </c>
      <c r="S878" s="31">
        <f t="shared" si="27"/>
        <v>0</v>
      </c>
      <c r="T878" s="39" t="s">
        <v>62</v>
      </c>
    </row>
    <row r="879" spans="1:20" x14ac:dyDescent="0.25">
      <c r="A879" s="20">
        <v>42132</v>
      </c>
      <c r="B879" s="183">
        <v>20453</v>
      </c>
      <c r="C879" s="14" t="s">
        <v>80</v>
      </c>
      <c r="D879" s="105">
        <v>6888.4</v>
      </c>
      <c r="E879" s="23">
        <v>42132</v>
      </c>
      <c r="F879" s="106">
        <v>6888.4</v>
      </c>
      <c r="G879" s="31">
        <f t="shared" si="26"/>
        <v>0</v>
      </c>
      <c r="H879" s="19" t="s">
        <v>9</v>
      </c>
      <c r="I879" s="3"/>
      <c r="J879" s="42"/>
      <c r="K879" s="3"/>
      <c r="M879" s="20">
        <v>42136</v>
      </c>
      <c r="N879" s="183">
        <v>20864</v>
      </c>
      <c r="O879" s="14" t="s">
        <v>24</v>
      </c>
      <c r="P879" s="105">
        <v>206752</v>
      </c>
      <c r="Q879" s="23">
        <v>42153</v>
      </c>
      <c r="R879" s="106">
        <v>206752</v>
      </c>
      <c r="S879" s="31">
        <f t="shared" si="27"/>
        <v>0</v>
      </c>
      <c r="T879" s="39" t="s">
        <v>9</v>
      </c>
    </row>
    <row r="880" spans="1:20" x14ac:dyDescent="0.25">
      <c r="A880" s="20">
        <v>42132</v>
      </c>
      <c r="B880" s="183">
        <v>20454</v>
      </c>
      <c r="C880" s="14" t="s">
        <v>24</v>
      </c>
      <c r="D880" s="105">
        <v>81685.8</v>
      </c>
      <c r="E880" s="23">
        <v>42151</v>
      </c>
      <c r="F880" s="106">
        <v>81685.8</v>
      </c>
      <c r="G880" s="31">
        <f t="shared" si="26"/>
        <v>0</v>
      </c>
      <c r="H880" s="19" t="s">
        <v>1013</v>
      </c>
      <c r="I880" s="3"/>
      <c r="J880" s="42"/>
      <c r="K880" s="3"/>
      <c r="M880" s="20">
        <v>42137</v>
      </c>
      <c r="N880" s="183">
        <v>20942</v>
      </c>
      <c r="O880" s="14" t="s">
        <v>24</v>
      </c>
      <c r="P880" s="105">
        <v>20187.599999999999</v>
      </c>
      <c r="Q880" s="23">
        <v>42153</v>
      </c>
      <c r="R880" s="106">
        <v>20187.599999999999</v>
      </c>
      <c r="S880" s="31">
        <f t="shared" si="27"/>
        <v>0</v>
      </c>
      <c r="T880" s="19" t="s">
        <v>94</v>
      </c>
    </row>
    <row r="881" spans="1:20" x14ac:dyDescent="0.25">
      <c r="A881" s="20">
        <v>42132</v>
      </c>
      <c r="B881" s="183">
        <v>20455</v>
      </c>
      <c r="C881" s="150" t="s">
        <v>305</v>
      </c>
      <c r="D881" s="105">
        <v>259.60000000000002</v>
      </c>
      <c r="E881" s="23">
        <v>42132</v>
      </c>
      <c r="F881" s="106">
        <v>259.60000000000002</v>
      </c>
      <c r="G881" s="31">
        <f t="shared" si="26"/>
        <v>0</v>
      </c>
      <c r="H881" s="19" t="s">
        <v>9</v>
      </c>
      <c r="I881" s="3"/>
      <c r="J881" s="42"/>
      <c r="K881" s="3"/>
      <c r="M881" s="20">
        <v>42137</v>
      </c>
      <c r="N881" s="183">
        <v>20957</v>
      </c>
      <c r="O881" s="14" t="s">
        <v>24</v>
      </c>
      <c r="P881" s="105">
        <v>6000</v>
      </c>
      <c r="Q881" s="23">
        <v>42153</v>
      </c>
      <c r="R881" s="106">
        <v>6000</v>
      </c>
      <c r="S881" s="31">
        <f t="shared" si="27"/>
        <v>0</v>
      </c>
      <c r="T881" s="19" t="s">
        <v>9</v>
      </c>
    </row>
    <row r="882" spans="1:20" x14ac:dyDescent="0.25">
      <c r="A882" s="20">
        <v>42132</v>
      </c>
      <c r="B882" s="183">
        <v>20456</v>
      </c>
      <c r="C882" s="14" t="s">
        <v>1262</v>
      </c>
      <c r="D882" s="105">
        <v>74169</v>
      </c>
      <c r="E882" s="23">
        <v>42142</v>
      </c>
      <c r="F882" s="106">
        <v>74169</v>
      </c>
      <c r="G882" s="31">
        <f t="shared" si="26"/>
        <v>0</v>
      </c>
      <c r="H882" s="19" t="s">
        <v>1013</v>
      </c>
      <c r="K882" s="3"/>
      <c r="M882" s="20">
        <v>42137</v>
      </c>
      <c r="N882" s="183">
        <v>20959</v>
      </c>
      <c r="O882" s="14" t="s">
        <v>24</v>
      </c>
      <c r="P882" s="105">
        <v>153747.28</v>
      </c>
      <c r="Q882" s="23">
        <v>42153</v>
      </c>
      <c r="R882" s="106">
        <v>153747.28</v>
      </c>
      <c r="S882" s="31">
        <f t="shared" si="27"/>
        <v>0</v>
      </c>
      <c r="T882" s="19" t="s">
        <v>46</v>
      </c>
    </row>
    <row r="883" spans="1:20" x14ac:dyDescent="0.25">
      <c r="A883" s="20">
        <v>42132</v>
      </c>
      <c r="B883" s="183">
        <v>20457</v>
      </c>
      <c r="C883" s="14" t="s">
        <v>136</v>
      </c>
      <c r="D883" s="105">
        <v>35135.599999999999</v>
      </c>
      <c r="E883" s="23" t="s">
        <v>1233</v>
      </c>
      <c r="F883" s="106">
        <f>4900+18500+11735.6</f>
        <v>35135.599999999999</v>
      </c>
      <c r="G883" s="31">
        <f t="shared" si="26"/>
        <v>0</v>
      </c>
      <c r="H883" s="19" t="s">
        <v>9</v>
      </c>
      <c r="K883" s="3"/>
      <c r="M883" s="20">
        <v>42138</v>
      </c>
      <c r="N883" s="183">
        <v>20985</v>
      </c>
      <c r="O883" s="14" t="s">
        <v>24</v>
      </c>
      <c r="P883" s="105">
        <v>58446.8</v>
      </c>
      <c r="Q883" s="23">
        <v>42153</v>
      </c>
      <c r="R883" s="106">
        <v>58446.8</v>
      </c>
      <c r="S883" s="31">
        <f t="shared" si="27"/>
        <v>0</v>
      </c>
      <c r="T883" s="19" t="s">
        <v>312</v>
      </c>
    </row>
    <row r="884" spans="1:20" x14ac:dyDescent="0.25">
      <c r="A884" s="20">
        <v>42132</v>
      </c>
      <c r="B884" s="183">
        <v>20458</v>
      </c>
      <c r="C884" s="14" t="s">
        <v>112</v>
      </c>
      <c r="D884" s="105">
        <v>17028</v>
      </c>
      <c r="E884" s="23" t="s">
        <v>1354</v>
      </c>
      <c r="F884" s="106">
        <f>15744.18+1283.82</f>
        <v>17028</v>
      </c>
      <c r="G884" s="31">
        <f t="shared" si="26"/>
        <v>0</v>
      </c>
      <c r="H884" s="19" t="s">
        <v>1257</v>
      </c>
      <c r="K884" s="3"/>
      <c r="M884" s="20">
        <v>42138</v>
      </c>
      <c r="N884" s="183">
        <v>20986</v>
      </c>
      <c r="O884" s="14" t="s">
        <v>24</v>
      </c>
      <c r="P884" s="105">
        <v>3014.4</v>
      </c>
      <c r="Q884" s="23">
        <v>42153</v>
      </c>
      <c r="R884" s="106">
        <v>3014.4</v>
      </c>
      <c r="S884" s="31">
        <f t="shared" si="27"/>
        <v>0</v>
      </c>
      <c r="T884" s="19" t="s">
        <v>312</v>
      </c>
    </row>
    <row r="885" spans="1:20" x14ac:dyDescent="0.25">
      <c r="A885" s="20">
        <v>42132</v>
      </c>
      <c r="B885" s="183">
        <v>20459</v>
      </c>
      <c r="C885" s="14" t="s">
        <v>159</v>
      </c>
      <c r="D885" s="105">
        <v>8700.0499999999993</v>
      </c>
      <c r="E885" s="23">
        <v>42133</v>
      </c>
      <c r="F885" s="106">
        <v>8700.0499999999993</v>
      </c>
      <c r="G885" s="31">
        <f t="shared" si="26"/>
        <v>0</v>
      </c>
      <c r="H885" s="19" t="s">
        <v>9</v>
      </c>
      <c r="K885" s="3"/>
      <c r="M885" s="20">
        <v>42138</v>
      </c>
      <c r="N885" s="183">
        <v>20989</v>
      </c>
      <c r="O885" s="14" t="s">
        <v>24</v>
      </c>
      <c r="P885" s="105">
        <v>1137.5999999999999</v>
      </c>
      <c r="Q885" s="23">
        <v>42153</v>
      </c>
      <c r="R885" s="106">
        <v>1137.5999999999999</v>
      </c>
      <c r="S885" s="31">
        <f t="shared" si="27"/>
        <v>0</v>
      </c>
      <c r="T885" s="19" t="s">
        <v>9</v>
      </c>
    </row>
    <row r="886" spans="1:20" x14ac:dyDescent="0.25">
      <c r="A886" s="20">
        <v>42132</v>
      </c>
      <c r="B886" s="183">
        <v>20460</v>
      </c>
      <c r="C886" s="14" t="s">
        <v>694</v>
      </c>
      <c r="D886" s="105">
        <v>5185.1000000000004</v>
      </c>
      <c r="E886" s="23">
        <v>42133</v>
      </c>
      <c r="F886" s="106">
        <v>5185.1000000000004</v>
      </c>
      <c r="G886" s="31">
        <f t="shared" si="26"/>
        <v>0</v>
      </c>
      <c r="H886" s="19" t="s">
        <v>9</v>
      </c>
      <c r="K886" s="3"/>
      <c r="M886" s="20">
        <v>42138</v>
      </c>
      <c r="N886" s="183">
        <v>21061</v>
      </c>
      <c r="O886" s="14" t="s">
        <v>24</v>
      </c>
      <c r="P886" s="105">
        <v>281746.28000000003</v>
      </c>
      <c r="Q886" s="23">
        <v>42153</v>
      </c>
      <c r="R886" s="106">
        <v>281746.28000000003</v>
      </c>
      <c r="S886" s="48">
        <f t="shared" si="27"/>
        <v>0</v>
      </c>
      <c r="T886" s="39" t="s">
        <v>46</v>
      </c>
    </row>
    <row r="887" spans="1:20" x14ac:dyDescent="0.25">
      <c r="A887" s="20">
        <v>42132</v>
      </c>
      <c r="B887" s="183">
        <v>20461</v>
      </c>
      <c r="C887" s="14" t="s">
        <v>161</v>
      </c>
      <c r="D887" s="105">
        <v>2654.4</v>
      </c>
      <c r="E887" s="23">
        <v>42133</v>
      </c>
      <c r="F887" s="106">
        <v>2654.4</v>
      </c>
      <c r="G887" s="31">
        <f t="shared" si="26"/>
        <v>0</v>
      </c>
      <c r="H887" s="19" t="s">
        <v>9</v>
      </c>
      <c r="K887" s="3"/>
      <c r="M887" s="20">
        <v>42138</v>
      </c>
      <c r="N887" s="183">
        <v>21072</v>
      </c>
      <c r="O887" s="14" t="s">
        <v>24</v>
      </c>
      <c r="P887" s="105">
        <v>78241.2</v>
      </c>
      <c r="Q887" s="23">
        <v>42153</v>
      </c>
      <c r="R887" s="106">
        <v>78241.2</v>
      </c>
      <c r="S887" s="48">
        <f t="shared" si="27"/>
        <v>0</v>
      </c>
      <c r="T887" s="39" t="s">
        <v>94</v>
      </c>
    </row>
    <row r="888" spans="1:20" x14ac:dyDescent="0.25">
      <c r="A888" s="20">
        <v>42132</v>
      </c>
      <c r="B888" s="183">
        <v>20462</v>
      </c>
      <c r="C888" s="14" t="s">
        <v>1158</v>
      </c>
      <c r="D888" s="105">
        <v>115</v>
      </c>
      <c r="E888" s="23">
        <v>42133</v>
      </c>
      <c r="F888" s="106">
        <v>115</v>
      </c>
      <c r="G888" s="31">
        <f t="shared" si="26"/>
        <v>0</v>
      </c>
      <c r="H888" s="19" t="s">
        <v>9</v>
      </c>
      <c r="K888" s="3"/>
      <c r="M888" s="20">
        <v>42139</v>
      </c>
      <c r="N888" s="183">
        <v>21138</v>
      </c>
      <c r="O888" s="14" t="s">
        <v>24</v>
      </c>
      <c r="P888" s="105">
        <v>9230.1</v>
      </c>
      <c r="Q888" s="23">
        <v>42153</v>
      </c>
      <c r="R888" s="106">
        <v>9230.1</v>
      </c>
      <c r="S888" s="48">
        <f t="shared" si="27"/>
        <v>0</v>
      </c>
      <c r="T888" s="39" t="s">
        <v>312</v>
      </c>
    </row>
    <row r="889" spans="1:20" x14ac:dyDescent="0.25">
      <c r="A889" s="20">
        <v>42132</v>
      </c>
      <c r="B889" s="183">
        <v>20463</v>
      </c>
      <c r="C889" s="14" t="s">
        <v>851</v>
      </c>
      <c r="D889" s="105">
        <v>1145.8</v>
      </c>
      <c r="E889" s="23">
        <v>42133</v>
      </c>
      <c r="F889" s="106">
        <v>1145.8</v>
      </c>
      <c r="G889" s="31">
        <f t="shared" si="26"/>
        <v>0</v>
      </c>
      <c r="H889" s="19" t="s">
        <v>41</v>
      </c>
      <c r="K889" s="3"/>
      <c r="M889" s="20">
        <v>42139</v>
      </c>
      <c r="N889" s="183">
        <v>21154</v>
      </c>
      <c r="O889" s="14" t="s">
        <v>24</v>
      </c>
      <c r="P889" s="105">
        <v>400</v>
      </c>
      <c r="Q889" s="23">
        <v>42153</v>
      </c>
      <c r="R889" s="106">
        <v>400</v>
      </c>
      <c r="S889" s="48">
        <f t="shared" si="27"/>
        <v>0</v>
      </c>
      <c r="T889" s="39" t="s">
        <v>9</v>
      </c>
    </row>
    <row r="890" spans="1:20" x14ac:dyDescent="0.25">
      <c r="A890" s="20">
        <v>42132</v>
      </c>
      <c r="B890" s="183">
        <v>20464</v>
      </c>
      <c r="C890" s="14" t="s">
        <v>1020</v>
      </c>
      <c r="D890" s="105">
        <v>5883.2</v>
      </c>
      <c r="E890" s="23">
        <v>42133</v>
      </c>
      <c r="F890" s="106">
        <v>5883.2</v>
      </c>
      <c r="G890" s="31">
        <f t="shared" si="26"/>
        <v>0</v>
      </c>
      <c r="H890" s="19" t="s">
        <v>9</v>
      </c>
      <c r="K890" s="3"/>
      <c r="M890" s="20">
        <v>42139</v>
      </c>
      <c r="N890" s="183">
        <v>21191</v>
      </c>
      <c r="O890" s="14" t="s">
        <v>24</v>
      </c>
      <c r="P890" s="105">
        <v>19035.099999999999</v>
      </c>
      <c r="Q890" s="23">
        <v>42153</v>
      </c>
      <c r="R890" s="106">
        <v>19035.099999999999</v>
      </c>
      <c r="S890" s="48">
        <f t="shared" si="27"/>
        <v>0</v>
      </c>
      <c r="T890" s="39" t="s">
        <v>9</v>
      </c>
    </row>
    <row r="891" spans="1:20" x14ac:dyDescent="0.25">
      <c r="A891" s="20">
        <v>42132</v>
      </c>
      <c r="B891" s="183">
        <v>20465</v>
      </c>
      <c r="C891" s="14" t="s">
        <v>1101</v>
      </c>
      <c r="D891" s="105">
        <v>387.6</v>
      </c>
      <c r="E891" s="23">
        <v>42133</v>
      </c>
      <c r="F891" s="106">
        <v>387.6</v>
      </c>
      <c r="G891" s="31">
        <f t="shared" si="26"/>
        <v>0</v>
      </c>
      <c r="H891" s="19" t="s">
        <v>9</v>
      </c>
      <c r="K891" s="3"/>
      <c r="M891" s="20">
        <v>42139</v>
      </c>
      <c r="N891" s="183">
        <v>21194</v>
      </c>
      <c r="O891" s="14" t="s">
        <v>24</v>
      </c>
      <c r="P891" s="105">
        <v>15391.8</v>
      </c>
      <c r="Q891" s="23">
        <v>42153</v>
      </c>
      <c r="R891" s="106">
        <v>15391.8</v>
      </c>
      <c r="S891" s="48">
        <f t="shared" si="27"/>
        <v>0</v>
      </c>
      <c r="T891" s="39" t="s">
        <v>1257</v>
      </c>
    </row>
    <row r="892" spans="1:20" x14ac:dyDescent="0.25">
      <c r="A892" s="20">
        <v>42132</v>
      </c>
      <c r="B892" s="183">
        <v>20466</v>
      </c>
      <c r="C892" s="14" t="s">
        <v>416</v>
      </c>
      <c r="D892" s="105">
        <v>128.80000000000001</v>
      </c>
      <c r="E892" s="23">
        <v>42133</v>
      </c>
      <c r="F892" s="106">
        <v>128.80000000000001</v>
      </c>
      <c r="G892" s="31">
        <f t="shared" si="26"/>
        <v>0</v>
      </c>
      <c r="H892" s="19" t="s">
        <v>9</v>
      </c>
      <c r="J892" s="107"/>
      <c r="K892" s="3"/>
      <c r="M892" s="20">
        <v>42139</v>
      </c>
      <c r="N892" s="183">
        <v>21208</v>
      </c>
      <c r="O892" s="14" t="s">
        <v>24</v>
      </c>
      <c r="P892" s="105">
        <v>285646.65000000002</v>
      </c>
      <c r="Q892" s="23">
        <v>42153</v>
      </c>
      <c r="R892" s="106">
        <v>285646.65000000002</v>
      </c>
      <c r="S892" s="48">
        <f t="shared" si="27"/>
        <v>0</v>
      </c>
      <c r="T892" s="39" t="s">
        <v>59</v>
      </c>
    </row>
    <row r="893" spans="1:20" x14ac:dyDescent="0.25">
      <c r="A893" s="20">
        <v>42133</v>
      </c>
      <c r="B893" s="183">
        <v>20467</v>
      </c>
      <c r="C893" s="14" t="s">
        <v>720</v>
      </c>
      <c r="D893" s="105">
        <v>15650.3</v>
      </c>
      <c r="E893" s="23">
        <v>42133</v>
      </c>
      <c r="F893" s="106">
        <v>15650.3</v>
      </c>
      <c r="G893" s="31">
        <f t="shared" si="26"/>
        <v>0</v>
      </c>
      <c r="H893" s="19" t="s">
        <v>9</v>
      </c>
      <c r="K893" s="3"/>
      <c r="M893" s="20">
        <v>42140</v>
      </c>
      <c r="N893" s="183">
        <v>21286</v>
      </c>
      <c r="O893" s="14" t="s">
        <v>24</v>
      </c>
      <c r="P893" s="105">
        <v>7219.2</v>
      </c>
      <c r="Q893" s="23">
        <v>42153</v>
      </c>
      <c r="R893" s="118">
        <v>7219.2</v>
      </c>
      <c r="S893" s="31">
        <f t="shared" si="27"/>
        <v>0</v>
      </c>
      <c r="T893" s="62" t="s">
        <v>773</v>
      </c>
    </row>
    <row r="894" spans="1:20" x14ac:dyDescent="0.25">
      <c r="A894" s="20">
        <v>42133</v>
      </c>
      <c r="B894" s="183">
        <v>20468</v>
      </c>
      <c r="C894" s="14" t="s">
        <v>1031</v>
      </c>
      <c r="D894" s="105">
        <v>4603.2</v>
      </c>
      <c r="E894" s="23">
        <v>42133</v>
      </c>
      <c r="F894" s="106">
        <v>4603.2</v>
      </c>
      <c r="G894" s="31">
        <f t="shared" si="26"/>
        <v>0</v>
      </c>
      <c r="H894" s="19" t="s">
        <v>9</v>
      </c>
      <c r="K894" s="3"/>
      <c r="M894" s="20">
        <v>42140</v>
      </c>
      <c r="N894" s="183">
        <v>21316</v>
      </c>
      <c r="O894" s="14" t="s">
        <v>24</v>
      </c>
      <c r="P894" s="105">
        <v>378670.7</v>
      </c>
      <c r="Q894" s="23">
        <v>42153</v>
      </c>
      <c r="R894" s="124">
        <v>350165.82</v>
      </c>
      <c r="S894" s="55">
        <f t="shared" si="27"/>
        <v>28504.880000000005</v>
      </c>
      <c r="T894" s="62" t="s">
        <v>46</v>
      </c>
    </row>
    <row r="895" spans="1:20" x14ac:dyDescent="0.25">
      <c r="A895" s="20">
        <v>42133</v>
      </c>
      <c r="B895" s="183">
        <v>20469</v>
      </c>
      <c r="C895" s="14" t="s">
        <v>18</v>
      </c>
      <c r="D895" s="105">
        <v>2492</v>
      </c>
      <c r="E895" s="23">
        <v>42133</v>
      </c>
      <c r="F895" s="106">
        <v>2492</v>
      </c>
      <c r="G895" s="31">
        <f t="shared" si="26"/>
        <v>0</v>
      </c>
      <c r="H895" s="39" t="s">
        <v>9</v>
      </c>
      <c r="K895" s="3"/>
      <c r="M895" s="20">
        <v>42140</v>
      </c>
      <c r="N895" s="183">
        <v>21318</v>
      </c>
      <c r="O895" s="14" t="s">
        <v>24</v>
      </c>
      <c r="P895" s="105">
        <v>13923.4</v>
      </c>
      <c r="Q895" s="23"/>
      <c r="R895" s="118"/>
      <c r="S895" s="31">
        <f t="shared" si="27"/>
        <v>13923.4</v>
      </c>
      <c r="T895" s="62" t="s">
        <v>46</v>
      </c>
    </row>
    <row r="896" spans="1:20" x14ac:dyDescent="0.25">
      <c r="A896" s="20">
        <v>42133</v>
      </c>
      <c r="B896" s="183">
        <v>20470</v>
      </c>
      <c r="C896" s="14" t="s">
        <v>21</v>
      </c>
      <c r="D896" s="105">
        <v>16888.8</v>
      </c>
      <c r="E896" s="23">
        <v>42133</v>
      </c>
      <c r="F896" s="106">
        <v>16888.8</v>
      </c>
      <c r="G896" s="31">
        <f t="shared" si="26"/>
        <v>0</v>
      </c>
      <c r="H896" s="39" t="s">
        <v>9</v>
      </c>
      <c r="K896" s="3"/>
      <c r="M896" s="20">
        <v>42141</v>
      </c>
      <c r="N896" s="183">
        <v>21383</v>
      </c>
      <c r="O896" s="14" t="s">
        <v>24</v>
      </c>
      <c r="P896" s="105">
        <v>25724.400000000001</v>
      </c>
      <c r="Q896" s="23"/>
      <c r="R896" s="118"/>
      <c r="S896" s="31">
        <f t="shared" si="27"/>
        <v>25724.400000000001</v>
      </c>
      <c r="T896" s="56" t="s">
        <v>9</v>
      </c>
    </row>
    <row r="897" spans="1:20" x14ac:dyDescent="0.25">
      <c r="A897" s="20">
        <v>42133</v>
      </c>
      <c r="B897" s="183">
        <v>20471</v>
      </c>
      <c r="C897" s="14" t="s">
        <v>863</v>
      </c>
      <c r="D897" s="105">
        <v>8525.2999999999993</v>
      </c>
      <c r="E897" s="23">
        <v>42133</v>
      </c>
      <c r="F897" s="106">
        <v>8525.2999999999993</v>
      </c>
      <c r="G897" s="31">
        <f t="shared" si="26"/>
        <v>0</v>
      </c>
      <c r="H897" s="39" t="s">
        <v>9</v>
      </c>
      <c r="K897" s="3"/>
      <c r="M897" s="20">
        <v>42142</v>
      </c>
      <c r="N897" s="183">
        <v>21394</v>
      </c>
      <c r="O897" s="14" t="s">
        <v>24</v>
      </c>
      <c r="P897" s="105">
        <v>35079.65</v>
      </c>
      <c r="Q897" s="23"/>
      <c r="R897" s="118"/>
      <c r="S897" s="31">
        <f t="shared" si="27"/>
        <v>35079.65</v>
      </c>
      <c r="T897" s="56" t="s">
        <v>1257</v>
      </c>
    </row>
    <row r="898" spans="1:20" x14ac:dyDescent="0.25">
      <c r="A898" s="20">
        <v>42133</v>
      </c>
      <c r="B898" s="183">
        <v>20472</v>
      </c>
      <c r="C898" s="14" t="s">
        <v>1355</v>
      </c>
      <c r="D898" s="105">
        <v>10752</v>
      </c>
      <c r="E898" s="23">
        <v>42133</v>
      </c>
      <c r="F898" s="106">
        <v>10752</v>
      </c>
      <c r="G898" s="31">
        <f t="shared" si="26"/>
        <v>0</v>
      </c>
      <c r="H898" s="39" t="s">
        <v>9</v>
      </c>
      <c r="I898" s="3"/>
      <c r="J898" s="42"/>
      <c r="K898" s="3"/>
      <c r="M898" s="20">
        <v>42142</v>
      </c>
      <c r="N898" s="183">
        <v>21412</v>
      </c>
      <c r="O898" s="14" t="s">
        <v>24</v>
      </c>
      <c r="P898" s="105">
        <v>23361.8</v>
      </c>
      <c r="Q898" s="23"/>
      <c r="R898" s="118"/>
      <c r="S898" s="31">
        <f t="shared" si="27"/>
        <v>23361.8</v>
      </c>
      <c r="T898" s="56" t="s">
        <v>773</v>
      </c>
    </row>
    <row r="899" spans="1:20" x14ac:dyDescent="0.25">
      <c r="A899" s="20">
        <v>42133</v>
      </c>
      <c r="B899" s="183">
        <v>20473</v>
      </c>
      <c r="C899" s="14" t="s">
        <v>14</v>
      </c>
      <c r="D899" s="105">
        <v>22565.599999999999</v>
      </c>
      <c r="E899" s="23">
        <v>42149</v>
      </c>
      <c r="F899" s="106">
        <v>22565.599999999999</v>
      </c>
      <c r="G899" s="31">
        <f t="shared" ref="G899:G962" si="28">D899-F899</f>
        <v>0</v>
      </c>
      <c r="H899" s="39" t="s">
        <v>9</v>
      </c>
      <c r="I899" s="3"/>
      <c r="J899" s="42"/>
      <c r="K899" s="3"/>
      <c r="M899" s="20">
        <v>42142</v>
      </c>
      <c r="N899" s="183">
        <v>21480</v>
      </c>
      <c r="O899" s="14" t="s">
        <v>24</v>
      </c>
      <c r="P899" s="105">
        <v>9490.5</v>
      </c>
      <c r="Q899" s="65"/>
      <c r="R899" s="106"/>
      <c r="S899" s="31">
        <f t="shared" ref="S899:S962" si="29">P899-R899</f>
        <v>9490.5</v>
      </c>
      <c r="T899" s="19" t="s">
        <v>1273</v>
      </c>
    </row>
    <row r="900" spans="1:20" x14ac:dyDescent="0.25">
      <c r="A900" s="20">
        <v>42133</v>
      </c>
      <c r="B900" s="183">
        <v>20474</v>
      </c>
      <c r="C900" s="14" t="s">
        <v>1185</v>
      </c>
      <c r="D900" s="105">
        <v>3007.2</v>
      </c>
      <c r="E900" s="23">
        <v>42133</v>
      </c>
      <c r="F900" s="106">
        <v>3007.2</v>
      </c>
      <c r="G900" s="31">
        <f t="shared" si="28"/>
        <v>0</v>
      </c>
      <c r="H900" s="39" t="s">
        <v>9</v>
      </c>
      <c r="I900" s="3"/>
      <c r="J900" s="42"/>
      <c r="K900" s="3"/>
      <c r="M900" s="20">
        <v>42142</v>
      </c>
      <c r="N900" s="183">
        <v>21524</v>
      </c>
      <c r="O900" s="14" t="s">
        <v>24</v>
      </c>
      <c r="P900" s="105">
        <v>51426.9</v>
      </c>
      <c r="Q900" s="23"/>
      <c r="R900" s="118"/>
      <c r="S900" s="31">
        <f t="shared" si="29"/>
        <v>51426.9</v>
      </c>
      <c r="T900" s="56" t="s">
        <v>312</v>
      </c>
    </row>
    <row r="901" spans="1:20" x14ac:dyDescent="0.25">
      <c r="A901" s="20">
        <v>42133</v>
      </c>
      <c r="B901" s="183">
        <v>20475</v>
      </c>
      <c r="C901" s="14" t="s">
        <v>116</v>
      </c>
      <c r="D901" s="105">
        <v>11578.55</v>
      </c>
      <c r="E901" s="23">
        <v>42133</v>
      </c>
      <c r="F901" s="106">
        <v>11578.55</v>
      </c>
      <c r="G901" s="31">
        <f t="shared" si="28"/>
        <v>0</v>
      </c>
      <c r="H901" s="39" t="s">
        <v>1273</v>
      </c>
      <c r="I901" s="3"/>
      <c r="J901" s="42"/>
      <c r="K901" s="3"/>
      <c r="M901" s="20">
        <v>42142</v>
      </c>
      <c r="N901" s="183">
        <v>21527</v>
      </c>
      <c r="O901" s="14" t="s">
        <v>24</v>
      </c>
      <c r="P901" s="105">
        <v>4812</v>
      </c>
      <c r="Q901" s="23"/>
      <c r="R901" s="118"/>
      <c r="S901" s="31">
        <f t="shared" si="29"/>
        <v>4812</v>
      </c>
      <c r="T901" s="56" t="s">
        <v>1257</v>
      </c>
    </row>
    <row r="902" spans="1:20" x14ac:dyDescent="0.25">
      <c r="A902" s="20">
        <v>42133</v>
      </c>
      <c r="B902" s="183">
        <v>20476</v>
      </c>
      <c r="C902" s="14" t="s">
        <v>1128</v>
      </c>
      <c r="D902" s="105">
        <v>5521.1</v>
      </c>
      <c r="E902" s="23">
        <v>42133</v>
      </c>
      <c r="F902" s="106">
        <v>5521.1</v>
      </c>
      <c r="G902" s="31">
        <f t="shared" si="28"/>
        <v>0</v>
      </c>
      <c r="H902" s="39" t="s">
        <v>9</v>
      </c>
      <c r="I902" s="3"/>
      <c r="J902" s="42"/>
      <c r="K902" s="3"/>
      <c r="M902" s="20">
        <v>42142</v>
      </c>
      <c r="N902" s="183">
        <v>21531</v>
      </c>
      <c r="O902" s="14" t="s">
        <v>24</v>
      </c>
      <c r="P902" s="105">
        <v>113047.3</v>
      </c>
      <c r="Q902" s="23"/>
      <c r="R902" s="118"/>
      <c r="S902" s="31">
        <f t="shared" si="29"/>
        <v>113047.3</v>
      </c>
      <c r="T902" s="56" t="s">
        <v>9</v>
      </c>
    </row>
    <row r="903" spans="1:20" x14ac:dyDescent="0.25">
      <c r="A903" s="20">
        <v>42133</v>
      </c>
      <c r="B903" s="183">
        <v>20477</v>
      </c>
      <c r="C903" s="14" t="s">
        <v>121</v>
      </c>
      <c r="D903" s="105">
        <v>2628.5</v>
      </c>
      <c r="E903" s="23">
        <v>42133</v>
      </c>
      <c r="F903" s="106">
        <v>2628.5</v>
      </c>
      <c r="G903" s="31">
        <f t="shared" si="28"/>
        <v>0</v>
      </c>
      <c r="H903" s="39" t="s">
        <v>9</v>
      </c>
      <c r="I903" s="3"/>
      <c r="J903" s="42"/>
      <c r="K903" s="3"/>
      <c r="M903" s="20">
        <v>42143</v>
      </c>
      <c r="N903" s="183">
        <v>21588</v>
      </c>
      <c r="O903" s="14" t="s">
        <v>24</v>
      </c>
      <c r="P903" s="105">
        <v>19909.5</v>
      </c>
      <c r="Q903" s="23"/>
      <c r="R903" s="118"/>
      <c r="S903" s="31">
        <f t="shared" si="29"/>
        <v>19909.5</v>
      </c>
      <c r="T903" s="56" t="s">
        <v>9</v>
      </c>
    </row>
    <row r="904" spans="1:20" x14ac:dyDescent="0.25">
      <c r="A904" s="20">
        <v>42133</v>
      </c>
      <c r="B904" s="183">
        <v>20478</v>
      </c>
      <c r="C904" s="14" t="s">
        <v>881</v>
      </c>
      <c r="D904" s="105">
        <v>4189.2</v>
      </c>
      <c r="E904" s="23">
        <v>42133</v>
      </c>
      <c r="F904" s="106">
        <v>4189.2</v>
      </c>
      <c r="G904" s="31">
        <f t="shared" si="28"/>
        <v>0</v>
      </c>
      <c r="H904" s="39" t="s">
        <v>9</v>
      </c>
      <c r="I904" s="3"/>
      <c r="J904" s="42"/>
      <c r="K904" s="3"/>
      <c r="M904" s="20">
        <v>42143</v>
      </c>
      <c r="N904" s="183">
        <v>21589</v>
      </c>
      <c r="O904" s="14" t="s">
        <v>24</v>
      </c>
      <c r="P904" s="105">
        <v>6260.6</v>
      </c>
      <c r="Q904" s="23"/>
      <c r="R904" s="118"/>
      <c r="S904" s="31">
        <f t="shared" si="29"/>
        <v>6260.6</v>
      </c>
      <c r="T904" s="56" t="s">
        <v>9</v>
      </c>
    </row>
    <row r="905" spans="1:20" x14ac:dyDescent="0.25">
      <c r="A905" s="20">
        <v>42133</v>
      </c>
      <c r="B905" s="183">
        <v>20479</v>
      </c>
      <c r="C905" s="14" t="s">
        <v>1356</v>
      </c>
      <c r="D905" s="105">
        <v>8844.7000000000007</v>
      </c>
      <c r="E905" s="23">
        <v>42135</v>
      </c>
      <c r="F905" s="106">
        <v>8844.7000000000007</v>
      </c>
      <c r="G905" s="31">
        <f t="shared" si="28"/>
        <v>0</v>
      </c>
      <c r="H905" s="39" t="s">
        <v>94</v>
      </c>
      <c r="I905" s="3"/>
      <c r="J905" s="42"/>
      <c r="K905" s="3"/>
      <c r="M905" s="20">
        <v>42143</v>
      </c>
      <c r="N905" s="183">
        <v>21604</v>
      </c>
      <c r="O905" s="14" t="s">
        <v>24</v>
      </c>
      <c r="P905" s="105">
        <v>76168</v>
      </c>
      <c r="Q905" s="23"/>
      <c r="R905" s="118"/>
      <c r="S905" s="31">
        <f t="shared" si="29"/>
        <v>76168</v>
      </c>
      <c r="T905" s="56" t="s">
        <v>46</v>
      </c>
    </row>
    <row r="906" spans="1:20" x14ac:dyDescent="0.25">
      <c r="A906" s="20">
        <v>42133</v>
      </c>
      <c r="B906" s="183">
        <v>20480</v>
      </c>
      <c r="C906" s="14" t="s">
        <v>881</v>
      </c>
      <c r="D906" s="105">
        <v>519.20000000000005</v>
      </c>
      <c r="E906" s="23">
        <v>42133</v>
      </c>
      <c r="F906" s="106">
        <v>519.20000000000005</v>
      </c>
      <c r="G906" s="31">
        <f t="shared" si="28"/>
        <v>0</v>
      </c>
      <c r="H906" s="39" t="s">
        <v>9</v>
      </c>
      <c r="I906" s="3"/>
      <c r="J906" s="42"/>
      <c r="K906" s="3"/>
      <c r="M906" s="20">
        <v>42143</v>
      </c>
      <c r="N906" s="183">
        <v>21605</v>
      </c>
      <c r="O906" s="14" t="s">
        <v>24</v>
      </c>
      <c r="P906" s="105">
        <v>84796.800000000003</v>
      </c>
      <c r="Q906" s="23"/>
      <c r="R906" s="118"/>
      <c r="S906" s="31">
        <f t="shared" si="29"/>
        <v>84796.800000000003</v>
      </c>
      <c r="T906" s="56" t="s">
        <v>46</v>
      </c>
    </row>
    <row r="907" spans="1:20" x14ac:dyDescent="0.25">
      <c r="A907" s="20">
        <v>42133</v>
      </c>
      <c r="B907" s="183">
        <v>20481</v>
      </c>
      <c r="C907" s="14" t="s">
        <v>24</v>
      </c>
      <c r="D907" s="105">
        <v>59948.7</v>
      </c>
      <c r="E907" s="23" t="s">
        <v>1353</v>
      </c>
      <c r="F907" s="106">
        <f>58509.46+1439.24</f>
        <v>59948.7</v>
      </c>
      <c r="G907" s="31">
        <f t="shared" si="28"/>
        <v>0</v>
      </c>
      <c r="H907" s="39" t="s">
        <v>9</v>
      </c>
      <c r="I907" s="3"/>
      <c r="J907" s="42"/>
      <c r="K907" s="3"/>
      <c r="M907" s="20">
        <v>42143</v>
      </c>
      <c r="N907" s="183">
        <v>21607</v>
      </c>
      <c r="O907" s="14" t="s">
        <v>24</v>
      </c>
      <c r="P907" s="105">
        <v>1313</v>
      </c>
      <c r="Q907" s="23"/>
      <c r="R907" s="118"/>
      <c r="S907" s="31">
        <f t="shared" si="29"/>
        <v>1313</v>
      </c>
      <c r="T907" s="56" t="s">
        <v>94</v>
      </c>
    </row>
    <row r="908" spans="1:20" x14ac:dyDescent="0.25">
      <c r="A908" s="20">
        <v>42133</v>
      </c>
      <c r="B908" s="183">
        <v>20482</v>
      </c>
      <c r="C908" s="14" t="s">
        <v>1172</v>
      </c>
      <c r="D908" s="105">
        <v>11791.2</v>
      </c>
      <c r="E908" s="23">
        <v>42133</v>
      </c>
      <c r="F908" s="106">
        <v>11791.2</v>
      </c>
      <c r="G908" s="31">
        <f t="shared" si="28"/>
        <v>0</v>
      </c>
      <c r="H908" s="39" t="s">
        <v>9</v>
      </c>
      <c r="I908" s="3"/>
      <c r="J908" s="42"/>
      <c r="K908" s="3"/>
      <c r="M908" s="20">
        <v>42143</v>
      </c>
      <c r="N908" s="183">
        <v>21609</v>
      </c>
      <c r="O908" s="14" t="s">
        <v>24</v>
      </c>
      <c r="P908" s="105">
        <v>5508</v>
      </c>
      <c r="Q908" s="23"/>
      <c r="R908" s="118"/>
      <c r="S908" s="31">
        <f t="shared" si="29"/>
        <v>5508</v>
      </c>
      <c r="T908" s="56" t="s">
        <v>59</v>
      </c>
    </row>
    <row r="909" spans="1:20" x14ac:dyDescent="0.25">
      <c r="A909" s="20">
        <v>42133</v>
      </c>
      <c r="B909" s="183">
        <v>20483</v>
      </c>
      <c r="C909" s="14" t="s">
        <v>320</v>
      </c>
      <c r="D909" s="105">
        <v>42036.7</v>
      </c>
      <c r="E909" s="23">
        <v>42133</v>
      </c>
      <c r="F909" s="106">
        <v>42036.7</v>
      </c>
      <c r="G909" s="31">
        <f t="shared" si="28"/>
        <v>0</v>
      </c>
      <c r="H909" s="39" t="s">
        <v>9</v>
      </c>
      <c r="I909" s="3"/>
      <c r="J909" s="42"/>
      <c r="K909" s="3"/>
      <c r="M909" s="20">
        <v>42144</v>
      </c>
      <c r="N909" s="183">
        <v>21678</v>
      </c>
      <c r="O909" s="14" t="s">
        <v>24</v>
      </c>
      <c r="P909" s="105">
        <v>6868.5</v>
      </c>
      <c r="Q909" s="23"/>
      <c r="R909" s="118"/>
      <c r="S909" s="31">
        <f t="shared" si="29"/>
        <v>6868.5</v>
      </c>
      <c r="T909" s="62" t="s">
        <v>312</v>
      </c>
    </row>
    <row r="910" spans="1:20" x14ac:dyDescent="0.25">
      <c r="A910" s="20">
        <v>42133</v>
      </c>
      <c r="B910" s="183">
        <v>20484</v>
      </c>
      <c r="C910" s="14" t="s">
        <v>1328</v>
      </c>
      <c r="D910" s="105">
        <v>21945</v>
      </c>
      <c r="E910" s="23">
        <v>42133</v>
      </c>
      <c r="F910" s="106">
        <v>21945</v>
      </c>
      <c r="G910" s="31">
        <f t="shared" si="28"/>
        <v>0</v>
      </c>
      <c r="H910" s="19" t="s">
        <v>9</v>
      </c>
      <c r="I910" s="3"/>
      <c r="J910" s="42"/>
      <c r="K910" s="3"/>
      <c r="M910" s="20">
        <v>42144</v>
      </c>
      <c r="N910" s="183">
        <v>21705</v>
      </c>
      <c r="O910" s="14" t="s">
        <v>24</v>
      </c>
      <c r="P910" s="105">
        <v>81782.2</v>
      </c>
      <c r="Q910" s="23"/>
      <c r="R910" s="106"/>
      <c r="S910" s="31">
        <f t="shared" si="29"/>
        <v>81782.2</v>
      </c>
      <c r="T910" s="39" t="s">
        <v>1273</v>
      </c>
    </row>
    <row r="911" spans="1:20" x14ac:dyDescent="0.25">
      <c r="A911" s="20">
        <v>42133</v>
      </c>
      <c r="B911" s="183">
        <v>20485</v>
      </c>
      <c r="C911" s="14" t="s">
        <v>1173</v>
      </c>
      <c r="D911" s="105">
        <v>11018.1</v>
      </c>
      <c r="E911" s="23">
        <v>42133</v>
      </c>
      <c r="F911" s="106">
        <v>11018.1</v>
      </c>
      <c r="G911" s="31">
        <f t="shared" si="28"/>
        <v>0</v>
      </c>
      <c r="H911" s="19" t="s">
        <v>9</v>
      </c>
      <c r="I911" s="3"/>
      <c r="J911" s="42"/>
      <c r="K911" s="3"/>
      <c r="M911" s="20">
        <v>42144</v>
      </c>
      <c r="N911" s="183">
        <v>21707</v>
      </c>
      <c r="O911" s="14" t="s">
        <v>24</v>
      </c>
      <c r="P911" s="105">
        <v>8002</v>
      </c>
      <c r="Q911" s="23"/>
      <c r="R911" s="106"/>
      <c r="S911" s="31">
        <f t="shared" si="29"/>
        <v>8002</v>
      </c>
      <c r="T911" s="39" t="s">
        <v>9</v>
      </c>
    </row>
    <row r="912" spans="1:20" x14ac:dyDescent="0.25">
      <c r="A912" s="20">
        <v>42133</v>
      </c>
      <c r="B912" s="183">
        <v>20486</v>
      </c>
      <c r="C912" s="26" t="s">
        <v>218</v>
      </c>
      <c r="D912" s="108">
        <v>0</v>
      </c>
      <c r="E912" s="23"/>
      <c r="F912" s="106"/>
      <c r="G912" s="31">
        <f t="shared" si="28"/>
        <v>0</v>
      </c>
      <c r="H912" s="19" t="s">
        <v>13</v>
      </c>
      <c r="I912" s="3"/>
      <c r="J912" s="42"/>
      <c r="K912" s="3"/>
      <c r="M912" s="20">
        <v>42144</v>
      </c>
      <c r="N912" s="183">
        <v>21711</v>
      </c>
      <c r="O912" s="14" t="s">
        <v>24</v>
      </c>
      <c r="P912" s="105">
        <v>237925.82</v>
      </c>
      <c r="Q912" s="23"/>
      <c r="R912" s="106"/>
      <c r="S912" s="31">
        <f t="shared" si="29"/>
        <v>237925.82</v>
      </c>
      <c r="T912" s="39" t="s">
        <v>46</v>
      </c>
    </row>
    <row r="913" spans="1:20" x14ac:dyDescent="0.25">
      <c r="A913" s="20">
        <v>42133</v>
      </c>
      <c r="B913" s="183">
        <v>20487</v>
      </c>
      <c r="C913" s="14" t="s">
        <v>1040</v>
      </c>
      <c r="D913" s="105">
        <v>4391.2</v>
      </c>
      <c r="E913" s="23">
        <v>42133</v>
      </c>
      <c r="F913" s="106">
        <v>4391.2</v>
      </c>
      <c r="G913" s="31">
        <f t="shared" si="28"/>
        <v>0</v>
      </c>
      <c r="H913" s="19" t="s">
        <v>9</v>
      </c>
      <c r="I913" s="3"/>
      <c r="J913" s="42"/>
      <c r="K913" s="3"/>
      <c r="M913" s="20">
        <v>42145</v>
      </c>
      <c r="N913" s="183">
        <v>21724</v>
      </c>
      <c r="O913" s="14" t="s">
        <v>24</v>
      </c>
      <c r="P913" s="105">
        <v>68974</v>
      </c>
      <c r="Q913" s="29"/>
      <c r="R913" s="106"/>
      <c r="S913" s="31">
        <f t="shared" si="29"/>
        <v>68974</v>
      </c>
      <c r="T913" s="39" t="s">
        <v>62</v>
      </c>
    </row>
    <row r="914" spans="1:20" x14ac:dyDescent="0.25">
      <c r="A914" s="20">
        <v>42133</v>
      </c>
      <c r="B914" s="183">
        <v>20488</v>
      </c>
      <c r="C914" s="14" t="s">
        <v>1338</v>
      </c>
      <c r="D914" s="105">
        <v>18032</v>
      </c>
      <c r="E914" s="23">
        <v>42140</v>
      </c>
      <c r="F914" s="106">
        <v>18032</v>
      </c>
      <c r="G914" s="31">
        <f t="shared" si="28"/>
        <v>0</v>
      </c>
      <c r="H914" s="19" t="s">
        <v>1257</v>
      </c>
      <c r="K914" s="3"/>
      <c r="M914" s="20">
        <v>42145</v>
      </c>
      <c r="N914" s="183">
        <v>21773</v>
      </c>
      <c r="O914" s="15" t="s">
        <v>24</v>
      </c>
      <c r="P914" s="122">
        <v>7376.4</v>
      </c>
      <c r="Q914" s="23"/>
      <c r="R914" s="118"/>
      <c r="S914" s="31">
        <f t="shared" si="29"/>
        <v>7376.4</v>
      </c>
      <c r="T914" s="68" t="s">
        <v>62</v>
      </c>
    </row>
    <row r="915" spans="1:20" x14ac:dyDescent="0.25">
      <c r="A915" s="20">
        <v>42133</v>
      </c>
      <c r="B915" s="183">
        <v>20489</v>
      </c>
      <c r="C915" s="14" t="s">
        <v>854</v>
      </c>
      <c r="D915" s="105">
        <v>6728</v>
      </c>
      <c r="E915" s="23">
        <v>42134</v>
      </c>
      <c r="F915" s="106">
        <v>6728</v>
      </c>
      <c r="G915" s="31">
        <f t="shared" si="28"/>
        <v>0</v>
      </c>
      <c r="H915" s="19" t="s">
        <v>9</v>
      </c>
      <c r="K915" s="3"/>
      <c r="M915" s="20">
        <v>42145</v>
      </c>
      <c r="N915" s="183">
        <v>21795</v>
      </c>
      <c r="O915" s="15" t="s">
        <v>24</v>
      </c>
      <c r="P915" s="122">
        <v>246805.93</v>
      </c>
      <c r="Q915" s="23"/>
      <c r="R915" s="118"/>
      <c r="S915" s="31">
        <f t="shared" si="29"/>
        <v>246805.93</v>
      </c>
      <c r="T915" s="68" t="s">
        <v>46</v>
      </c>
    </row>
    <row r="916" spans="1:20" x14ac:dyDescent="0.25">
      <c r="A916" s="20">
        <v>42133</v>
      </c>
      <c r="B916" s="183">
        <v>20490</v>
      </c>
      <c r="C916" s="14" t="s">
        <v>125</v>
      </c>
      <c r="D916" s="105">
        <v>26617.25</v>
      </c>
      <c r="E916" s="23">
        <v>42133</v>
      </c>
      <c r="F916" s="106">
        <v>26617.25</v>
      </c>
      <c r="G916" s="31">
        <f t="shared" si="28"/>
        <v>0</v>
      </c>
      <c r="H916" s="19" t="s">
        <v>9</v>
      </c>
      <c r="K916" s="3"/>
      <c r="M916" s="20">
        <v>42145</v>
      </c>
      <c r="N916" s="183">
        <v>21797</v>
      </c>
      <c r="O916" s="15" t="s">
        <v>24</v>
      </c>
      <c r="P916" s="122">
        <v>78103.600000000006</v>
      </c>
      <c r="Q916" s="23"/>
      <c r="R916" s="118"/>
      <c r="S916" s="31">
        <f t="shared" si="29"/>
        <v>78103.600000000006</v>
      </c>
      <c r="T916" s="68" t="s">
        <v>46</v>
      </c>
    </row>
    <row r="917" spans="1:20" x14ac:dyDescent="0.25">
      <c r="A917" s="20">
        <v>42133</v>
      </c>
      <c r="B917" s="183">
        <v>20491</v>
      </c>
      <c r="C917" s="14" t="s">
        <v>1261</v>
      </c>
      <c r="D917" s="105">
        <v>8917.6</v>
      </c>
      <c r="E917" s="23">
        <v>42133</v>
      </c>
      <c r="F917" s="106">
        <v>8917.6</v>
      </c>
      <c r="G917" s="31">
        <f t="shared" si="28"/>
        <v>0</v>
      </c>
      <c r="H917" s="19" t="s">
        <v>9</v>
      </c>
      <c r="K917" s="3"/>
      <c r="M917" s="20">
        <v>42145</v>
      </c>
      <c r="N917" s="183">
        <v>21827</v>
      </c>
      <c r="O917" s="15" t="s">
        <v>24</v>
      </c>
      <c r="P917" s="122">
        <v>6000</v>
      </c>
      <c r="Q917" s="23"/>
      <c r="R917" s="118"/>
      <c r="S917" s="31">
        <f t="shared" si="29"/>
        <v>6000</v>
      </c>
      <c r="T917" s="68" t="s">
        <v>9</v>
      </c>
    </row>
    <row r="918" spans="1:20" x14ac:dyDescent="0.25">
      <c r="A918" s="20">
        <v>42133</v>
      </c>
      <c r="B918" s="183">
        <v>20492</v>
      </c>
      <c r="C918" s="14" t="s">
        <v>1058</v>
      </c>
      <c r="D918" s="105">
        <v>7168.4</v>
      </c>
      <c r="E918" s="23">
        <v>42133</v>
      </c>
      <c r="F918" s="106">
        <v>7168.4</v>
      </c>
      <c r="G918" s="31">
        <f t="shared" si="28"/>
        <v>0</v>
      </c>
      <c r="H918" s="19" t="s">
        <v>9</v>
      </c>
      <c r="K918" s="3"/>
      <c r="M918" s="20">
        <v>42146</v>
      </c>
      <c r="N918" s="183">
        <v>21889</v>
      </c>
      <c r="O918" s="14" t="s">
        <v>24</v>
      </c>
      <c r="P918" s="105">
        <v>15016.05</v>
      </c>
      <c r="Q918" s="23"/>
      <c r="R918" s="106"/>
      <c r="S918" s="31">
        <f t="shared" si="29"/>
        <v>15016.05</v>
      </c>
      <c r="T918" s="39" t="s">
        <v>312</v>
      </c>
    </row>
    <row r="919" spans="1:20" x14ac:dyDescent="0.25">
      <c r="A919" s="20">
        <v>42133</v>
      </c>
      <c r="B919" s="183">
        <v>20493</v>
      </c>
      <c r="C919" s="14" t="s">
        <v>125</v>
      </c>
      <c r="D919" s="105">
        <v>156</v>
      </c>
      <c r="E919" s="23">
        <v>42143</v>
      </c>
      <c r="F919" s="106">
        <v>156</v>
      </c>
      <c r="G919" s="31">
        <f t="shared" si="28"/>
        <v>0</v>
      </c>
      <c r="H919" s="19" t="s">
        <v>9</v>
      </c>
      <c r="K919" s="3"/>
      <c r="M919" s="20">
        <v>42146</v>
      </c>
      <c r="N919" s="183">
        <v>21932</v>
      </c>
      <c r="O919" s="14" t="s">
        <v>24</v>
      </c>
      <c r="P919" s="105">
        <v>147208.70000000001</v>
      </c>
      <c r="Q919" s="23"/>
      <c r="R919" s="106"/>
      <c r="S919" s="31">
        <f t="shared" si="29"/>
        <v>147208.70000000001</v>
      </c>
      <c r="T919" s="39" t="s">
        <v>46</v>
      </c>
    </row>
    <row r="920" spans="1:20" x14ac:dyDescent="0.25">
      <c r="A920" s="20">
        <v>42133</v>
      </c>
      <c r="B920" s="183">
        <v>20494</v>
      </c>
      <c r="C920" s="14" t="s">
        <v>122</v>
      </c>
      <c r="D920" s="105">
        <v>3357.2</v>
      </c>
      <c r="E920" s="23">
        <v>42133</v>
      </c>
      <c r="F920" s="106">
        <v>3357.2</v>
      </c>
      <c r="G920" s="31">
        <f t="shared" si="28"/>
        <v>0</v>
      </c>
      <c r="H920" s="19" t="s">
        <v>9</v>
      </c>
      <c r="J920" s="107"/>
      <c r="K920" s="3"/>
      <c r="M920" s="20">
        <v>42146</v>
      </c>
      <c r="N920" s="183">
        <v>21933</v>
      </c>
      <c r="O920" s="14" t="s">
        <v>24</v>
      </c>
      <c r="P920" s="105">
        <v>100985.3</v>
      </c>
      <c r="Q920" s="23"/>
      <c r="R920" s="106"/>
      <c r="S920" s="48">
        <f t="shared" si="29"/>
        <v>100985.3</v>
      </c>
      <c r="T920" s="39" t="s">
        <v>312</v>
      </c>
    </row>
    <row r="921" spans="1:20" x14ac:dyDescent="0.25">
      <c r="A921" s="20">
        <v>42133</v>
      </c>
      <c r="B921" s="183">
        <v>20495</v>
      </c>
      <c r="C921" s="14" t="s">
        <v>296</v>
      </c>
      <c r="D921" s="105">
        <v>1744.35</v>
      </c>
      <c r="E921" s="23">
        <v>42133</v>
      </c>
      <c r="F921" s="106">
        <v>1744.35</v>
      </c>
      <c r="G921" s="31">
        <f t="shared" si="28"/>
        <v>0</v>
      </c>
      <c r="H921" s="19" t="s">
        <v>9</v>
      </c>
      <c r="J921" s="107"/>
      <c r="K921" s="3"/>
      <c r="M921" s="20">
        <v>42146</v>
      </c>
      <c r="N921" s="183">
        <v>21953</v>
      </c>
      <c r="O921" s="14" t="s">
        <v>24</v>
      </c>
      <c r="P921" s="105">
        <v>100893.7</v>
      </c>
      <c r="Q921" s="23"/>
      <c r="R921" s="106"/>
      <c r="S921" s="31">
        <f t="shared" si="29"/>
        <v>100893.7</v>
      </c>
      <c r="T921" s="39" t="s">
        <v>9</v>
      </c>
    </row>
    <row r="922" spans="1:20" x14ac:dyDescent="0.25">
      <c r="A922" s="20">
        <v>42133</v>
      </c>
      <c r="B922" s="183">
        <v>20496</v>
      </c>
      <c r="C922" s="14" t="s">
        <v>604</v>
      </c>
      <c r="D922" s="105">
        <v>2486.4</v>
      </c>
      <c r="E922" s="23">
        <v>42133</v>
      </c>
      <c r="F922" s="106">
        <v>2486.4</v>
      </c>
      <c r="G922" s="31">
        <f t="shared" si="28"/>
        <v>0</v>
      </c>
      <c r="H922" s="19" t="s">
        <v>9</v>
      </c>
      <c r="K922" s="3"/>
      <c r="M922" s="20">
        <v>42146</v>
      </c>
      <c r="N922" s="183">
        <v>21965</v>
      </c>
      <c r="O922" s="14" t="s">
        <v>24</v>
      </c>
      <c r="P922" s="105">
        <v>17721.8</v>
      </c>
      <c r="Q922" s="65"/>
      <c r="R922" s="106"/>
      <c r="S922" s="31">
        <f t="shared" si="29"/>
        <v>17721.8</v>
      </c>
      <c r="T922" s="39" t="s">
        <v>9</v>
      </c>
    </row>
    <row r="923" spans="1:20" x14ac:dyDescent="0.25">
      <c r="A923" s="20">
        <v>42133</v>
      </c>
      <c r="B923" s="183">
        <v>20497</v>
      </c>
      <c r="C923" s="14" t="s">
        <v>333</v>
      </c>
      <c r="D923" s="105">
        <v>10390.4</v>
      </c>
      <c r="E923" s="23">
        <v>42133</v>
      </c>
      <c r="F923" s="106">
        <v>10390.4</v>
      </c>
      <c r="G923" s="31">
        <f t="shared" si="28"/>
        <v>0</v>
      </c>
      <c r="H923" s="19" t="s">
        <v>9</v>
      </c>
      <c r="K923" s="3"/>
      <c r="M923" s="20">
        <v>42147</v>
      </c>
      <c r="N923" s="183">
        <v>22025</v>
      </c>
      <c r="O923" s="14" t="s">
        <v>24</v>
      </c>
      <c r="P923" s="105">
        <v>271497.34999999998</v>
      </c>
      <c r="Q923" s="65"/>
      <c r="R923" s="106"/>
      <c r="S923" s="31">
        <f t="shared" si="29"/>
        <v>271497.34999999998</v>
      </c>
      <c r="T923" s="39" t="s">
        <v>46</v>
      </c>
    </row>
    <row r="924" spans="1:20" x14ac:dyDescent="0.25">
      <c r="A924" s="20">
        <v>42133</v>
      </c>
      <c r="B924" s="183">
        <v>20498</v>
      </c>
      <c r="C924" s="14" t="s">
        <v>26</v>
      </c>
      <c r="D924" s="105">
        <v>2720</v>
      </c>
      <c r="E924" s="23">
        <v>42133</v>
      </c>
      <c r="F924" s="106">
        <v>2720</v>
      </c>
      <c r="G924" s="31">
        <f t="shared" si="28"/>
        <v>0</v>
      </c>
      <c r="H924" s="19" t="s">
        <v>9</v>
      </c>
      <c r="K924" s="3"/>
      <c r="M924" s="20">
        <v>42147</v>
      </c>
      <c r="N924" s="183">
        <v>22026</v>
      </c>
      <c r="O924" s="14" t="s">
        <v>24</v>
      </c>
      <c r="P924" s="105">
        <v>34906.400000000001</v>
      </c>
      <c r="Q924" s="65"/>
      <c r="R924" s="106"/>
      <c r="S924" s="31">
        <f t="shared" si="29"/>
        <v>34906.400000000001</v>
      </c>
      <c r="T924" s="39" t="s">
        <v>46</v>
      </c>
    </row>
    <row r="925" spans="1:20" x14ac:dyDescent="0.25">
      <c r="A925" s="20">
        <v>42133</v>
      </c>
      <c r="B925" s="183">
        <v>20499</v>
      </c>
      <c r="C925" s="14" t="s">
        <v>829</v>
      </c>
      <c r="D925" s="105">
        <v>6231.2</v>
      </c>
      <c r="E925" s="23">
        <v>42133</v>
      </c>
      <c r="F925" s="106">
        <v>6231.2</v>
      </c>
      <c r="G925" s="31">
        <f t="shared" si="28"/>
        <v>0</v>
      </c>
      <c r="H925" s="19" t="s">
        <v>9</v>
      </c>
      <c r="K925" s="3"/>
      <c r="M925" s="20">
        <v>42147</v>
      </c>
      <c r="N925" s="183">
        <v>22059</v>
      </c>
      <c r="O925" s="14" t="s">
        <v>24</v>
      </c>
      <c r="P925" s="105">
        <v>9384</v>
      </c>
      <c r="Q925" s="65"/>
      <c r="R925" s="106"/>
      <c r="S925" s="31">
        <f t="shared" si="29"/>
        <v>9384</v>
      </c>
      <c r="T925" s="39" t="s">
        <v>1013</v>
      </c>
    </row>
    <row r="926" spans="1:20" x14ac:dyDescent="0.25">
      <c r="A926" s="20">
        <v>42133</v>
      </c>
      <c r="B926" s="183">
        <v>20500</v>
      </c>
      <c r="C926" s="14" t="s">
        <v>23</v>
      </c>
      <c r="D926" s="105">
        <v>2791.95</v>
      </c>
      <c r="E926" s="23">
        <v>42133</v>
      </c>
      <c r="F926" s="106">
        <v>2791.95</v>
      </c>
      <c r="G926" s="31">
        <f t="shared" si="28"/>
        <v>0</v>
      </c>
      <c r="H926" s="19" t="s">
        <v>9</v>
      </c>
      <c r="K926" s="3"/>
      <c r="M926" s="20">
        <v>42147</v>
      </c>
      <c r="N926" s="183">
        <v>22061</v>
      </c>
      <c r="O926" s="14" t="s">
        <v>24</v>
      </c>
      <c r="P926" s="105">
        <v>28755.8</v>
      </c>
      <c r="Q926" s="65"/>
      <c r="R926" s="106"/>
      <c r="S926" s="31">
        <f t="shared" si="29"/>
        <v>28755.8</v>
      </c>
      <c r="T926" s="39" t="s">
        <v>1257</v>
      </c>
    </row>
    <row r="927" spans="1:20" x14ac:dyDescent="0.25">
      <c r="A927" s="20">
        <v>42133</v>
      </c>
      <c r="B927" s="183">
        <v>20501</v>
      </c>
      <c r="C927" s="14" t="s">
        <v>829</v>
      </c>
      <c r="D927" s="105">
        <v>367.2</v>
      </c>
      <c r="E927" s="23">
        <v>42133</v>
      </c>
      <c r="F927" s="106">
        <v>367.2</v>
      </c>
      <c r="G927" s="31">
        <f t="shared" si="28"/>
        <v>0</v>
      </c>
      <c r="H927" s="19" t="s">
        <v>9</v>
      </c>
      <c r="K927" s="3"/>
      <c r="M927" s="20">
        <v>42148</v>
      </c>
      <c r="N927" s="183">
        <v>22105</v>
      </c>
      <c r="O927" s="14" t="s">
        <v>24</v>
      </c>
      <c r="P927" s="105">
        <v>9352.4</v>
      </c>
      <c r="Q927" s="65"/>
      <c r="R927" s="106"/>
      <c r="S927" s="31">
        <f t="shared" si="29"/>
        <v>9352.4</v>
      </c>
      <c r="T927" s="39" t="s">
        <v>312</v>
      </c>
    </row>
    <row r="928" spans="1:20" x14ac:dyDescent="0.25">
      <c r="A928" s="20">
        <v>42133</v>
      </c>
      <c r="B928" s="183">
        <v>20502</v>
      </c>
      <c r="C928" s="14" t="s">
        <v>83</v>
      </c>
      <c r="D928" s="105">
        <v>7588.8</v>
      </c>
      <c r="E928" s="23">
        <v>42134</v>
      </c>
      <c r="F928" s="106">
        <v>7588.8</v>
      </c>
      <c r="G928" s="31">
        <f t="shared" si="28"/>
        <v>0</v>
      </c>
      <c r="H928" s="19" t="s">
        <v>59</v>
      </c>
      <c r="K928" s="3"/>
      <c r="M928" s="20">
        <v>42148</v>
      </c>
      <c r="N928" s="183">
        <v>22117</v>
      </c>
      <c r="O928" s="14" t="s">
        <v>24</v>
      </c>
      <c r="P928" s="105">
        <v>1416</v>
      </c>
      <c r="Q928" s="65"/>
      <c r="R928" s="106"/>
      <c r="S928" s="31">
        <f t="shared" si="29"/>
        <v>1416</v>
      </c>
      <c r="T928" s="39" t="s">
        <v>9</v>
      </c>
    </row>
    <row r="929" spans="1:20" x14ac:dyDescent="0.25">
      <c r="A929" s="20">
        <v>42133</v>
      </c>
      <c r="B929" s="183">
        <v>20503</v>
      </c>
      <c r="C929" s="14" t="s">
        <v>151</v>
      </c>
      <c r="D929" s="105">
        <v>2809.6</v>
      </c>
      <c r="E929" s="23">
        <v>42134</v>
      </c>
      <c r="F929" s="106">
        <v>2809.6</v>
      </c>
      <c r="G929" s="31">
        <f t="shared" si="28"/>
        <v>0</v>
      </c>
      <c r="H929" s="19" t="s">
        <v>9</v>
      </c>
      <c r="K929" s="3"/>
      <c r="M929" s="20">
        <v>42148</v>
      </c>
      <c r="N929" s="183">
        <v>22132</v>
      </c>
      <c r="O929" s="14" t="s">
        <v>24</v>
      </c>
      <c r="P929" s="105">
        <v>67618.8</v>
      </c>
      <c r="Q929" s="65"/>
      <c r="R929" s="106"/>
      <c r="S929" s="31">
        <f t="shared" si="29"/>
        <v>67618.8</v>
      </c>
      <c r="T929" s="39" t="s">
        <v>187</v>
      </c>
    </row>
    <row r="930" spans="1:20" x14ac:dyDescent="0.25">
      <c r="A930" s="20">
        <v>42133</v>
      </c>
      <c r="B930" s="183">
        <v>20504</v>
      </c>
      <c r="C930" s="14" t="s">
        <v>225</v>
      </c>
      <c r="D930" s="105">
        <v>2526.1999999999998</v>
      </c>
      <c r="E930" s="23">
        <v>42133</v>
      </c>
      <c r="F930" s="106">
        <v>2526.1999999999998</v>
      </c>
      <c r="G930" s="31">
        <f t="shared" si="28"/>
        <v>0</v>
      </c>
      <c r="H930" s="19" t="s">
        <v>9</v>
      </c>
      <c r="J930" s="107"/>
      <c r="K930" s="3"/>
      <c r="M930" s="20">
        <v>42149</v>
      </c>
      <c r="N930" s="183">
        <v>22222</v>
      </c>
      <c r="O930" s="14" t="s">
        <v>24</v>
      </c>
      <c r="P930" s="105">
        <v>196068.75</v>
      </c>
      <c r="Q930" s="65"/>
      <c r="R930" s="106"/>
      <c r="S930" s="31">
        <f t="shared" si="29"/>
        <v>196068.75</v>
      </c>
      <c r="T930" s="39" t="s">
        <v>59</v>
      </c>
    </row>
    <row r="931" spans="1:20" x14ac:dyDescent="0.25">
      <c r="A931" s="20">
        <v>42133</v>
      </c>
      <c r="B931" s="183">
        <v>20505</v>
      </c>
      <c r="C931" s="14" t="s">
        <v>99</v>
      </c>
      <c r="D931" s="105">
        <v>2739.8</v>
      </c>
      <c r="E931" s="23">
        <v>42133</v>
      </c>
      <c r="F931" s="106">
        <v>2739.8</v>
      </c>
      <c r="G931" s="31">
        <f t="shared" si="28"/>
        <v>0</v>
      </c>
      <c r="H931" s="19" t="s">
        <v>41</v>
      </c>
      <c r="K931" s="3"/>
      <c r="M931" s="20">
        <v>42150</v>
      </c>
      <c r="N931" s="183">
        <v>22249</v>
      </c>
      <c r="O931" s="148" t="s">
        <v>24</v>
      </c>
      <c r="P931" s="149">
        <v>13574.4</v>
      </c>
      <c r="Q931" s="65"/>
      <c r="R931" s="106"/>
      <c r="S931" s="31">
        <f t="shared" si="29"/>
        <v>13574.4</v>
      </c>
      <c r="T931" s="39" t="s">
        <v>1273</v>
      </c>
    </row>
    <row r="932" spans="1:20" x14ac:dyDescent="0.25">
      <c r="A932" s="20">
        <v>42133</v>
      </c>
      <c r="B932" s="183">
        <v>20506</v>
      </c>
      <c r="C932" s="14" t="s">
        <v>906</v>
      </c>
      <c r="D932" s="105">
        <v>952</v>
      </c>
      <c r="E932" s="23">
        <v>42133</v>
      </c>
      <c r="F932" s="106">
        <v>952</v>
      </c>
      <c r="G932" s="31">
        <f t="shared" si="28"/>
        <v>0</v>
      </c>
      <c r="H932" s="19" t="s">
        <v>9</v>
      </c>
      <c r="K932" s="3"/>
      <c r="M932" s="20">
        <v>42150</v>
      </c>
      <c r="N932" s="183">
        <v>22270</v>
      </c>
      <c r="O932" s="14" t="s">
        <v>24</v>
      </c>
      <c r="P932" s="105">
        <v>19896.8</v>
      </c>
      <c r="Q932" s="65"/>
      <c r="R932" s="106"/>
      <c r="S932" s="31">
        <f t="shared" si="29"/>
        <v>19896.8</v>
      </c>
      <c r="T932" s="39" t="s">
        <v>773</v>
      </c>
    </row>
    <row r="933" spans="1:20" x14ac:dyDescent="0.25">
      <c r="A933" s="20">
        <v>42133</v>
      </c>
      <c r="B933" s="183">
        <v>20507</v>
      </c>
      <c r="C933" s="14" t="s">
        <v>226</v>
      </c>
      <c r="D933" s="105">
        <v>986</v>
      </c>
      <c r="E933" s="23">
        <v>42133</v>
      </c>
      <c r="F933" s="106">
        <v>986</v>
      </c>
      <c r="G933" s="31">
        <f t="shared" si="28"/>
        <v>0</v>
      </c>
      <c r="H933" s="19" t="s">
        <v>9</v>
      </c>
      <c r="K933" s="3"/>
      <c r="M933" s="20">
        <v>42150</v>
      </c>
      <c r="N933" s="183">
        <v>22321</v>
      </c>
      <c r="O933" s="14" t="s">
        <v>24</v>
      </c>
      <c r="P933" s="105">
        <v>58520.4</v>
      </c>
      <c r="Q933" s="65"/>
      <c r="R933" s="106"/>
      <c r="S933" s="31">
        <f t="shared" si="29"/>
        <v>58520.4</v>
      </c>
      <c r="T933" s="39" t="s">
        <v>187</v>
      </c>
    </row>
    <row r="934" spans="1:20" x14ac:dyDescent="0.25">
      <c r="A934" s="20">
        <v>42133</v>
      </c>
      <c r="B934" s="183">
        <v>20508</v>
      </c>
      <c r="C934" s="14" t="s">
        <v>24</v>
      </c>
      <c r="D934" s="105">
        <v>61964.3</v>
      </c>
      <c r="E934" s="23">
        <v>42153</v>
      </c>
      <c r="F934" s="106">
        <v>61964.3</v>
      </c>
      <c r="G934" s="31">
        <f t="shared" si="28"/>
        <v>0</v>
      </c>
      <c r="H934" s="19" t="s">
        <v>9</v>
      </c>
      <c r="K934" s="3"/>
      <c r="M934" s="20">
        <v>42150</v>
      </c>
      <c r="N934" s="183">
        <v>22322</v>
      </c>
      <c r="O934" s="14" t="s">
        <v>24</v>
      </c>
      <c r="P934" s="105">
        <v>202131.42</v>
      </c>
      <c r="Q934" s="65"/>
      <c r="R934" s="106"/>
      <c r="S934" s="31">
        <f t="shared" si="29"/>
        <v>202131.42</v>
      </c>
      <c r="T934" s="39" t="s">
        <v>187</v>
      </c>
    </row>
    <row r="935" spans="1:20" x14ac:dyDescent="0.25">
      <c r="A935" s="20">
        <v>42133</v>
      </c>
      <c r="B935" s="183">
        <v>20509</v>
      </c>
      <c r="C935" s="14" t="s">
        <v>169</v>
      </c>
      <c r="D935" s="105">
        <v>693</v>
      </c>
      <c r="E935" s="23">
        <v>42134</v>
      </c>
      <c r="F935" s="106">
        <v>693</v>
      </c>
      <c r="G935" s="31">
        <f t="shared" si="28"/>
        <v>0</v>
      </c>
      <c r="H935" s="19" t="s">
        <v>59</v>
      </c>
      <c r="K935" s="3"/>
      <c r="M935" s="20">
        <v>42151</v>
      </c>
      <c r="N935" s="183">
        <v>22356</v>
      </c>
      <c r="O935" s="14" t="s">
        <v>24</v>
      </c>
      <c r="P935" s="105">
        <v>9051.6</v>
      </c>
      <c r="Q935" s="65"/>
      <c r="R935" s="106"/>
      <c r="S935" s="31">
        <f t="shared" si="29"/>
        <v>9051.6</v>
      </c>
      <c r="T935" s="39" t="s">
        <v>773</v>
      </c>
    </row>
    <row r="936" spans="1:20" x14ac:dyDescent="0.25">
      <c r="A936" s="20">
        <v>42133</v>
      </c>
      <c r="B936" s="183">
        <v>20510</v>
      </c>
      <c r="C936" s="14" t="s">
        <v>238</v>
      </c>
      <c r="D936" s="105">
        <v>390</v>
      </c>
      <c r="E936" s="23">
        <v>42134</v>
      </c>
      <c r="F936" s="106">
        <v>390</v>
      </c>
      <c r="G936" s="31">
        <f t="shared" si="28"/>
        <v>0</v>
      </c>
      <c r="H936" s="19" t="s">
        <v>59</v>
      </c>
      <c r="K936" s="3"/>
      <c r="M936" s="20">
        <v>42151</v>
      </c>
      <c r="N936" s="183">
        <v>22423</v>
      </c>
      <c r="O936" s="14" t="s">
        <v>24</v>
      </c>
      <c r="P936" s="105">
        <v>34758.339999999997</v>
      </c>
      <c r="Q936" s="23"/>
      <c r="R936" s="106"/>
      <c r="S936" s="31">
        <f t="shared" si="29"/>
        <v>34758.339999999997</v>
      </c>
      <c r="T936" s="39" t="s">
        <v>9</v>
      </c>
    </row>
    <row r="937" spans="1:20" x14ac:dyDescent="0.25">
      <c r="A937" s="20">
        <v>42133</v>
      </c>
      <c r="B937" s="183">
        <v>20511</v>
      </c>
      <c r="C937" s="14" t="s">
        <v>81</v>
      </c>
      <c r="D937" s="105">
        <v>1740.6</v>
      </c>
      <c r="E937" s="23">
        <v>42134</v>
      </c>
      <c r="F937" s="106">
        <v>1740.6</v>
      </c>
      <c r="G937" s="31">
        <f t="shared" si="28"/>
        <v>0</v>
      </c>
      <c r="H937" s="19" t="s">
        <v>59</v>
      </c>
      <c r="K937" s="3"/>
      <c r="M937" s="20">
        <v>42152</v>
      </c>
      <c r="N937" s="183">
        <v>22433</v>
      </c>
      <c r="O937" s="14" t="s">
        <v>24</v>
      </c>
      <c r="P937" s="105">
        <v>62658</v>
      </c>
      <c r="Q937" s="23"/>
      <c r="R937" s="106"/>
      <c r="S937" s="31">
        <f t="shared" si="29"/>
        <v>62658</v>
      </c>
      <c r="T937" s="39" t="s">
        <v>9</v>
      </c>
    </row>
    <row r="938" spans="1:20" x14ac:dyDescent="0.25">
      <c r="A938" s="20">
        <v>42133</v>
      </c>
      <c r="B938" s="183">
        <v>20512</v>
      </c>
      <c r="C938" s="14" t="s">
        <v>120</v>
      </c>
      <c r="D938" s="105">
        <v>1177.8</v>
      </c>
      <c r="E938" s="23">
        <v>42134</v>
      </c>
      <c r="F938" s="106">
        <v>1177.8</v>
      </c>
      <c r="G938" s="31">
        <f t="shared" si="28"/>
        <v>0</v>
      </c>
      <c r="H938" s="19" t="s">
        <v>59</v>
      </c>
      <c r="K938" s="3"/>
      <c r="M938" s="20">
        <v>42152</v>
      </c>
      <c r="N938" s="183">
        <v>22463</v>
      </c>
      <c r="O938" s="14" t="s">
        <v>24</v>
      </c>
      <c r="P938" s="105">
        <v>33576.5</v>
      </c>
      <c r="Q938" s="23"/>
      <c r="R938" s="106"/>
      <c r="S938" s="31">
        <f t="shared" si="29"/>
        <v>33576.5</v>
      </c>
      <c r="T938" s="39" t="s">
        <v>9</v>
      </c>
    </row>
    <row r="939" spans="1:20" x14ac:dyDescent="0.25">
      <c r="A939" s="20">
        <v>42133</v>
      </c>
      <c r="B939" s="183">
        <v>20513</v>
      </c>
      <c r="C939" s="14" t="s">
        <v>118</v>
      </c>
      <c r="D939" s="105">
        <v>6182.6</v>
      </c>
      <c r="E939" s="23">
        <v>42144</v>
      </c>
      <c r="F939" s="106">
        <v>6182.6</v>
      </c>
      <c r="G939" s="31">
        <f t="shared" si="28"/>
        <v>0</v>
      </c>
      <c r="H939" s="19" t="s">
        <v>59</v>
      </c>
      <c r="J939" s="107"/>
      <c r="K939" s="3"/>
      <c r="M939" s="20">
        <v>42152</v>
      </c>
      <c r="N939" s="183">
        <v>22499</v>
      </c>
      <c r="O939" s="14" t="s">
        <v>24</v>
      </c>
      <c r="P939" s="105">
        <v>176348.1</v>
      </c>
      <c r="Q939" s="23"/>
      <c r="R939" s="106"/>
      <c r="S939" s="31">
        <f t="shared" si="29"/>
        <v>176348.1</v>
      </c>
      <c r="T939" s="39" t="s">
        <v>1013</v>
      </c>
    </row>
    <row r="940" spans="1:20" x14ac:dyDescent="0.25">
      <c r="A940" s="20">
        <v>42133</v>
      </c>
      <c r="B940" s="183">
        <v>20514</v>
      </c>
      <c r="C940" s="14" t="s">
        <v>35</v>
      </c>
      <c r="D940" s="105">
        <v>24088.5</v>
      </c>
      <c r="E940" s="23">
        <v>42133</v>
      </c>
      <c r="F940" s="106">
        <v>24088.5</v>
      </c>
      <c r="G940" s="31">
        <f t="shared" si="28"/>
        <v>0</v>
      </c>
      <c r="H940" s="19" t="s">
        <v>773</v>
      </c>
      <c r="K940" s="3"/>
      <c r="M940" s="20">
        <v>42152</v>
      </c>
      <c r="N940" s="183">
        <v>22533</v>
      </c>
      <c r="O940" s="14" t="s">
        <v>24</v>
      </c>
      <c r="P940" s="105">
        <v>76880.5</v>
      </c>
      <c r="Q940" s="23"/>
      <c r="R940" s="106"/>
      <c r="S940" s="31">
        <f t="shared" si="29"/>
        <v>76880.5</v>
      </c>
      <c r="T940" s="39" t="s">
        <v>46</v>
      </c>
    </row>
    <row r="941" spans="1:20" x14ac:dyDescent="0.25">
      <c r="A941" s="20">
        <v>42133</v>
      </c>
      <c r="B941" s="183">
        <v>20515</v>
      </c>
      <c r="C941" s="14" t="s">
        <v>35</v>
      </c>
      <c r="D941" s="105">
        <v>525</v>
      </c>
      <c r="E941" s="23">
        <v>42133</v>
      </c>
      <c r="F941" s="106">
        <v>525</v>
      </c>
      <c r="G941" s="31">
        <f t="shared" si="28"/>
        <v>0</v>
      </c>
      <c r="H941" s="19" t="s">
        <v>773</v>
      </c>
      <c r="K941" s="3"/>
      <c r="M941" s="20">
        <v>42152</v>
      </c>
      <c r="N941" s="183">
        <v>22537</v>
      </c>
      <c r="O941" s="14" t="s">
        <v>24</v>
      </c>
      <c r="P941" s="105">
        <v>5661</v>
      </c>
      <c r="Q941" s="23"/>
      <c r="R941" s="106"/>
      <c r="S941" s="31">
        <f t="shared" si="29"/>
        <v>5661</v>
      </c>
      <c r="T941" s="39" t="s">
        <v>46</v>
      </c>
    </row>
    <row r="942" spans="1:20" x14ac:dyDescent="0.25">
      <c r="A942" s="20">
        <v>42133</v>
      </c>
      <c r="B942" s="183">
        <v>20516</v>
      </c>
      <c r="C942" s="14" t="s">
        <v>112</v>
      </c>
      <c r="D942" s="105">
        <v>6546.4</v>
      </c>
      <c r="E942" s="23">
        <v>42133</v>
      </c>
      <c r="F942" s="106">
        <v>6546.4</v>
      </c>
      <c r="G942" s="31">
        <f t="shared" si="28"/>
        <v>0</v>
      </c>
      <c r="H942" s="19" t="s">
        <v>9</v>
      </c>
      <c r="K942" s="3"/>
      <c r="M942" s="20">
        <v>42152</v>
      </c>
      <c r="N942" s="183">
        <v>22545</v>
      </c>
      <c r="O942" s="14" t="s">
        <v>24</v>
      </c>
      <c r="P942" s="105">
        <v>10082.4</v>
      </c>
      <c r="Q942" s="23"/>
      <c r="R942" s="106"/>
      <c r="S942" s="31">
        <f t="shared" si="29"/>
        <v>10082.4</v>
      </c>
      <c r="T942" s="39" t="s">
        <v>9</v>
      </c>
    </row>
    <row r="943" spans="1:20" x14ac:dyDescent="0.25">
      <c r="A943" s="20">
        <v>42133</v>
      </c>
      <c r="B943" s="183">
        <v>20517</v>
      </c>
      <c r="C943" s="14" t="s">
        <v>56</v>
      </c>
      <c r="D943" s="105">
        <v>8284</v>
      </c>
      <c r="E943" s="23">
        <v>42133</v>
      </c>
      <c r="F943" s="106">
        <v>8284</v>
      </c>
      <c r="G943" s="31">
        <f t="shared" si="28"/>
        <v>0</v>
      </c>
      <c r="H943" s="19" t="s">
        <v>773</v>
      </c>
      <c r="K943" s="3"/>
      <c r="M943" s="20">
        <v>42153</v>
      </c>
      <c r="N943" s="183">
        <v>22600</v>
      </c>
      <c r="O943" s="14" t="s">
        <v>24</v>
      </c>
      <c r="P943" s="105">
        <v>3154.4</v>
      </c>
      <c r="Q943" s="23"/>
      <c r="R943" s="106"/>
      <c r="S943" s="31">
        <f t="shared" si="29"/>
        <v>3154.4</v>
      </c>
      <c r="T943" s="39" t="s">
        <v>9</v>
      </c>
    </row>
    <row r="944" spans="1:20" x14ac:dyDescent="0.25">
      <c r="A944" s="20">
        <v>42133</v>
      </c>
      <c r="B944" s="183">
        <v>20518</v>
      </c>
      <c r="C944" s="14" t="s">
        <v>63</v>
      </c>
      <c r="D944" s="105">
        <v>2958.3</v>
      </c>
      <c r="E944" s="23">
        <v>42135</v>
      </c>
      <c r="F944" s="106">
        <v>2958.3</v>
      </c>
      <c r="G944" s="31">
        <f t="shared" si="28"/>
        <v>0</v>
      </c>
      <c r="H944" s="19" t="s">
        <v>773</v>
      </c>
      <c r="K944" s="3"/>
      <c r="M944" s="20">
        <v>42153</v>
      </c>
      <c r="N944" s="183">
        <v>22658</v>
      </c>
      <c r="O944" s="14" t="s">
        <v>24</v>
      </c>
      <c r="P944" s="105">
        <v>223209.2</v>
      </c>
      <c r="Q944" s="23"/>
      <c r="R944" s="106"/>
      <c r="S944" s="31">
        <f t="shared" si="29"/>
        <v>223209.2</v>
      </c>
      <c r="T944" s="39" t="s">
        <v>46</v>
      </c>
    </row>
    <row r="945" spans="1:20" x14ac:dyDescent="0.25">
      <c r="A945" s="20">
        <v>42133</v>
      </c>
      <c r="B945" s="183">
        <v>20519</v>
      </c>
      <c r="C945" s="14" t="s">
        <v>256</v>
      </c>
      <c r="D945" s="105">
        <v>8762.6</v>
      </c>
      <c r="E945" s="23">
        <v>42133</v>
      </c>
      <c r="F945" s="106">
        <v>8762.6</v>
      </c>
      <c r="G945" s="31">
        <f t="shared" si="28"/>
        <v>0</v>
      </c>
      <c r="H945" s="19" t="s">
        <v>773</v>
      </c>
      <c r="K945" s="3"/>
      <c r="M945" s="20">
        <v>42153</v>
      </c>
      <c r="N945" s="183">
        <v>22664</v>
      </c>
      <c r="O945" s="14" t="s">
        <v>24</v>
      </c>
      <c r="P945" s="105">
        <v>186433.9</v>
      </c>
      <c r="Q945" s="23"/>
      <c r="R945" s="106"/>
      <c r="S945" s="31">
        <f t="shared" si="29"/>
        <v>186433.9</v>
      </c>
      <c r="T945" s="39" t="s">
        <v>587</v>
      </c>
    </row>
    <row r="946" spans="1:20" x14ac:dyDescent="0.25">
      <c r="A946" s="20">
        <v>42133</v>
      </c>
      <c r="B946" s="183">
        <v>20520</v>
      </c>
      <c r="C946" s="14" t="s">
        <v>37</v>
      </c>
      <c r="D946" s="105">
        <v>23939.1</v>
      </c>
      <c r="E946" s="23">
        <v>42136</v>
      </c>
      <c r="F946" s="106">
        <v>23939.1</v>
      </c>
      <c r="G946" s="31">
        <f t="shared" si="28"/>
        <v>0</v>
      </c>
      <c r="H946" s="19" t="s">
        <v>773</v>
      </c>
      <c r="I946" s="3"/>
      <c r="J946" s="42"/>
      <c r="K946" s="3"/>
      <c r="M946" s="20">
        <v>42154</v>
      </c>
      <c r="N946" s="183">
        <v>22734</v>
      </c>
      <c r="O946" s="14" t="s">
        <v>24</v>
      </c>
      <c r="P946" s="105">
        <v>15339.8</v>
      </c>
      <c r="Q946" s="23"/>
      <c r="R946" s="106"/>
      <c r="S946" s="31">
        <f t="shared" si="29"/>
        <v>15339.8</v>
      </c>
      <c r="T946" s="39" t="s">
        <v>15</v>
      </c>
    </row>
    <row r="947" spans="1:20" x14ac:dyDescent="0.25">
      <c r="A947" s="20">
        <v>42133</v>
      </c>
      <c r="B947" s="183">
        <v>20521</v>
      </c>
      <c r="C947" s="14" t="s">
        <v>37</v>
      </c>
      <c r="D947" s="105">
        <v>618.70000000000005</v>
      </c>
      <c r="E947" s="23">
        <v>42136</v>
      </c>
      <c r="F947" s="106">
        <v>618.70000000000005</v>
      </c>
      <c r="G947" s="31">
        <f t="shared" si="28"/>
        <v>0</v>
      </c>
      <c r="H947" s="19" t="s">
        <v>773</v>
      </c>
      <c r="I947" s="3"/>
      <c r="J947" s="42"/>
      <c r="K947" s="3"/>
      <c r="M947" s="20">
        <v>42154</v>
      </c>
      <c r="N947" s="183">
        <v>22737</v>
      </c>
      <c r="O947" s="14" t="s">
        <v>24</v>
      </c>
      <c r="P947" s="105">
        <v>2620.46</v>
      </c>
      <c r="Q947" s="23"/>
      <c r="R947" s="106"/>
      <c r="S947" s="31">
        <f t="shared" si="29"/>
        <v>2620.46</v>
      </c>
      <c r="T947" s="39" t="s">
        <v>9</v>
      </c>
    </row>
    <row r="948" spans="1:20" x14ac:dyDescent="0.25">
      <c r="A948" s="20">
        <v>42133</v>
      </c>
      <c r="B948" s="183">
        <v>20522</v>
      </c>
      <c r="C948" s="14" t="s">
        <v>1117</v>
      </c>
      <c r="D948" s="105">
        <v>1180.8</v>
      </c>
      <c r="E948" s="23">
        <v>42133</v>
      </c>
      <c r="F948" s="106">
        <v>1180.8</v>
      </c>
      <c r="G948" s="31">
        <f t="shared" si="28"/>
        <v>0</v>
      </c>
      <c r="H948" s="19" t="s">
        <v>9</v>
      </c>
      <c r="I948" s="3"/>
      <c r="J948" s="42"/>
      <c r="K948" s="3"/>
      <c r="M948" s="20">
        <v>42154</v>
      </c>
      <c r="N948" s="183">
        <v>22762</v>
      </c>
      <c r="O948" s="14" t="s">
        <v>24</v>
      </c>
      <c r="P948" s="105">
        <v>17805.8</v>
      </c>
      <c r="Q948" s="23"/>
      <c r="R948" s="106"/>
      <c r="S948" s="31">
        <f t="shared" si="29"/>
        <v>17805.8</v>
      </c>
      <c r="T948" s="39" t="s">
        <v>9</v>
      </c>
    </row>
    <row r="949" spans="1:20" x14ac:dyDescent="0.25">
      <c r="A949" s="20">
        <v>42133</v>
      </c>
      <c r="B949" s="183">
        <v>20523</v>
      </c>
      <c r="C949" s="14" t="s">
        <v>82</v>
      </c>
      <c r="D949" s="105">
        <v>2577</v>
      </c>
      <c r="E949" s="23">
        <v>42134</v>
      </c>
      <c r="F949" s="106">
        <v>2577</v>
      </c>
      <c r="G949" s="31">
        <f t="shared" si="28"/>
        <v>0</v>
      </c>
      <c r="H949" s="19" t="s">
        <v>59</v>
      </c>
      <c r="I949" s="3"/>
      <c r="J949" s="42"/>
      <c r="K949" s="3"/>
      <c r="M949" s="20">
        <v>42154</v>
      </c>
      <c r="N949" s="183">
        <v>22767</v>
      </c>
      <c r="O949" s="14" t="s">
        <v>24</v>
      </c>
      <c r="P949" s="105">
        <v>273495.59999999998</v>
      </c>
      <c r="Q949" s="23"/>
      <c r="R949" s="106"/>
      <c r="S949" s="31">
        <f t="shared" si="29"/>
        <v>273495.59999999998</v>
      </c>
      <c r="T949" s="39" t="s">
        <v>46</v>
      </c>
    </row>
    <row r="950" spans="1:20" x14ac:dyDescent="0.25">
      <c r="A950" s="20">
        <v>42133</v>
      </c>
      <c r="B950" s="183">
        <v>20524</v>
      </c>
      <c r="C950" s="14" t="s">
        <v>53</v>
      </c>
      <c r="D950" s="105">
        <v>2502.4</v>
      </c>
      <c r="E950" s="23">
        <v>42138</v>
      </c>
      <c r="F950" s="106">
        <v>2502.4</v>
      </c>
      <c r="G950" s="31">
        <f t="shared" si="28"/>
        <v>0</v>
      </c>
      <c r="H950" s="19" t="s">
        <v>59</v>
      </c>
      <c r="I950" s="3"/>
      <c r="J950" s="42"/>
      <c r="K950" s="3"/>
      <c r="M950" s="20">
        <v>42154</v>
      </c>
      <c r="N950" s="183">
        <v>22775</v>
      </c>
      <c r="O950" s="14" t="s">
        <v>24</v>
      </c>
      <c r="P950" s="105">
        <v>173626.76</v>
      </c>
      <c r="Q950" s="23"/>
      <c r="R950" s="106"/>
      <c r="S950" s="31">
        <f t="shared" si="29"/>
        <v>173626.76</v>
      </c>
      <c r="T950" s="39" t="s">
        <v>1013</v>
      </c>
    </row>
    <row r="951" spans="1:20" x14ac:dyDescent="0.25">
      <c r="A951" s="20">
        <v>42133</v>
      </c>
      <c r="B951" s="183">
        <v>20525</v>
      </c>
      <c r="C951" s="14" t="s">
        <v>86</v>
      </c>
      <c r="D951" s="105">
        <v>501.95</v>
      </c>
      <c r="E951" s="23">
        <v>42133</v>
      </c>
      <c r="F951" s="106">
        <v>501.95</v>
      </c>
      <c r="G951" s="31">
        <f t="shared" si="28"/>
        <v>0</v>
      </c>
      <c r="H951" s="19" t="s">
        <v>9</v>
      </c>
      <c r="I951" s="3"/>
      <c r="J951" s="42"/>
      <c r="K951" s="3"/>
      <c r="M951" s="20">
        <v>42154</v>
      </c>
      <c r="N951" s="183">
        <v>22789</v>
      </c>
      <c r="O951" s="14" t="s">
        <v>24</v>
      </c>
      <c r="P951" s="105">
        <v>8010</v>
      </c>
      <c r="Q951" s="23"/>
      <c r="R951" s="106"/>
      <c r="S951" s="31">
        <f t="shared" si="29"/>
        <v>8010</v>
      </c>
      <c r="T951" s="39" t="s">
        <v>9</v>
      </c>
    </row>
    <row r="952" spans="1:20" x14ac:dyDescent="0.25">
      <c r="A952" s="20">
        <v>42133</v>
      </c>
      <c r="B952" s="183">
        <v>20526</v>
      </c>
      <c r="C952" s="14" t="s">
        <v>294</v>
      </c>
      <c r="D952" s="105">
        <v>855.2</v>
      </c>
      <c r="E952" s="23">
        <v>42133</v>
      </c>
      <c r="F952" s="106">
        <v>855.2</v>
      </c>
      <c r="G952" s="31">
        <f t="shared" si="28"/>
        <v>0</v>
      </c>
      <c r="H952" s="19" t="s">
        <v>9</v>
      </c>
      <c r="I952" s="3"/>
      <c r="J952" s="42"/>
      <c r="K952" s="3"/>
      <c r="M952" s="20">
        <v>42155</v>
      </c>
      <c r="N952" s="183">
        <v>22848</v>
      </c>
      <c r="O952" s="14" t="s">
        <v>24</v>
      </c>
      <c r="P952" s="105">
        <v>13212.6</v>
      </c>
      <c r="Q952" s="23"/>
      <c r="R952" s="106"/>
      <c r="S952" s="31">
        <f t="shared" si="29"/>
        <v>13212.6</v>
      </c>
      <c r="T952" s="39" t="s">
        <v>9</v>
      </c>
    </row>
    <row r="953" spans="1:20" x14ac:dyDescent="0.25">
      <c r="A953" s="20">
        <v>42133</v>
      </c>
      <c r="B953" s="183">
        <v>20527</v>
      </c>
      <c r="C953" s="14" t="s">
        <v>294</v>
      </c>
      <c r="D953" s="105">
        <v>390</v>
      </c>
      <c r="E953" s="23">
        <v>42133</v>
      </c>
      <c r="F953" s="106">
        <v>390</v>
      </c>
      <c r="G953" s="31">
        <f t="shared" si="28"/>
        <v>0</v>
      </c>
      <c r="H953" s="19" t="s">
        <v>9</v>
      </c>
      <c r="I953" s="3"/>
      <c r="J953" s="42"/>
      <c r="K953" s="3"/>
      <c r="M953" s="20">
        <v>42155</v>
      </c>
      <c r="N953" s="183">
        <v>22857</v>
      </c>
      <c r="O953" s="14" t="s">
        <v>24</v>
      </c>
      <c r="P953" s="105">
        <v>8408.4</v>
      </c>
      <c r="Q953" s="23"/>
      <c r="R953" s="106"/>
      <c r="S953" s="31">
        <f t="shared" si="29"/>
        <v>8408.4</v>
      </c>
      <c r="T953" s="39" t="s">
        <v>59</v>
      </c>
    </row>
    <row r="954" spans="1:20" x14ac:dyDescent="0.25">
      <c r="A954" s="20">
        <v>42133</v>
      </c>
      <c r="B954" s="183">
        <v>20528</v>
      </c>
      <c r="C954" s="14" t="s">
        <v>32</v>
      </c>
      <c r="D954" s="105">
        <v>69346.8</v>
      </c>
      <c r="E954" s="23">
        <v>42140</v>
      </c>
      <c r="F954" s="106">
        <v>69346.8</v>
      </c>
      <c r="G954" s="31">
        <f t="shared" si="28"/>
        <v>0</v>
      </c>
      <c r="H954" s="19" t="s">
        <v>9</v>
      </c>
      <c r="I954" s="3"/>
      <c r="J954" s="42"/>
      <c r="K954" s="3"/>
      <c r="M954" s="20">
        <v>42125</v>
      </c>
      <c r="N954" s="183">
        <v>19662</v>
      </c>
      <c r="O954" s="14" t="s">
        <v>50</v>
      </c>
      <c r="P954" s="105">
        <v>2415.8000000000002</v>
      </c>
      <c r="Q954" s="23">
        <v>42125</v>
      </c>
      <c r="R954" s="106">
        <v>2415.8000000000002</v>
      </c>
      <c r="S954" s="25">
        <f t="shared" si="29"/>
        <v>0</v>
      </c>
      <c r="T954" s="39" t="s">
        <v>94</v>
      </c>
    </row>
    <row r="955" spans="1:20" x14ac:dyDescent="0.25">
      <c r="A955" s="20">
        <v>42133</v>
      </c>
      <c r="B955" s="183">
        <v>20529</v>
      </c>
      <c r="C955" s="14" t="s">
        <v>131</v>
      </c>
      <c r="D955" s="105">
        <v>11405.7</v>
      </c>
      <c r="E955" s="23">
        <v>42133</v>
      </c>
      <c r="F955" s="106">
        <v>11405.7</v>
      </c>
      <c r="G955" s="31">
        <f t="shared" si="28"/>
        <v>0</v>
      </c>
      <c r="H955" s="19" t="s">
        <v>9</v>
      </c>
      <c r="I955" s="3"/>
      <c r="J955" s="42"/>
      <c r="K955" s="3"/>
      <c r="M955" s="20">
        <v>42126</v>
      </c>
      <c r="N955" s="183">
        <v>19778</v>
      </c>
      <c r="O955" s="40" t="s">
        <v>50</v>
      </c>
      <c r="P955" s="105">
        <v>2978.4</v>
      </c>
      <c r="Q955" s="23">
        <v>42126</v>
      </c>
      <c r="R955" s="106">
        <v>2978.4</v>
      </c>
      <c r="S955" s="25">
        <f t="shared" si="29"/>
        <v>0</v>
      </c>
      <c r="T955" s="41" t="s">
        <v>41</v>
      </c>
    </row>
    <row r="956" spans="1:20" x14ac:dyDescent="0.25">
      <c r="A956" s="20">
        <v>42133</v>
      </c>
      <c r="B956" s="183">
        <v>20530</v>
      </c>
      <c r="C956" s="14" t="s">
        <v>375</v>
      </c>
      <c r="D956" s="105">
        <v>6339.4</v>
      </c>
      <c r="E956" s="23">
        <v>42133</v>
      </c>
      <c r="F956" s="106">
        <v>6339.4</v>
      </c>
      <c r="G956" s="31">
        <f t="shared" si="28"/>
        <v>0</v>
      </c>
      <c r="H956" s="19" t="s">
        <v>9</v>
      </c>
      <c r="I956" s="3"/>
      <c r="J956" s="42"/>
      <c r="K956" s="3"/>
      <c r="M956" s="20">
        <v>42127</v>
      </c>
      <c r="N956" s="183">
        <v>19867</v>
      </c>
      <c r="O956" s="40" t="s">
        <v>50</v>
      </c>
      <c r="P956" s="105">
        <v>4468.3999999999996</v>
      </c>
      <c r="Q956" s="23">
        <v>42127</v>
      </c>
      <c r="R956" s="106">
        <v>4468.3999999999996</v>
      </c>
      <c r="S956" s="31">
        <f t="shared" si="29"/>
        <v>0</v>
      </c>
      <c r="T956" s="41" t="s">
        <v>62</v>
      </c>
    </row>
    <row r="957" spans="1:20" x14ac:dyDescent="0.25">
      <c r="A957" s="20">
        <v>42133</v>
      </c>
      <c r="B957" s="183">
        <v>20531</v>
      </c>
      <c r="C957" s="14" t="s">
        <v>130</v>
      </c>
      <c r="D957" s="105">
        <v>5203.1000000000004</v>
      </c>
      <c r="E957" s="23">
        <v>42133</v>
      </c>
      <c r="F957" s="106">
        <v>5203.1000000000004</v>
      </c>
      <c r="G957" s="31">
        <f t="shared" si="28"/>
        <v>0</v>
      </c>
      <c r="H957" s="19" t="s">
        <v>1013</v>
      </c>
      <c r="I957" s="3"/>
      <c r="J957" s="42"/>
      <c r="K957" s="3"/>
      <c r="M957" s="20">
        <v>42129</v>
      </c>
      <c r="N957" s="183">
        <v>20057</v>
      </c>
      <c r="O957" s="14" t="s">
        <v>50</v>
      </c>
      <c r="P957" s="105">
        <v>2008.8</v>
      </c>
      <c r="Q957" s="23">
        <v>42129</v>
      </c>
      <c r="R957" s="106">
        <v>2008.8</v>
      </c>
      <c r="S957" s="31">
        <f t="shared" si="29"/>
        <v>0</v>
      </c>
      <c r="T957" s="39" t="s">
        <v>94</v>
      </c>
    </row>
    <row r="958" spans="1:20" x14ac:dyDescent="0.25">
      <c r="A958" s="20">
        <v>42133</v>
      </c>
      <c r="B958" s="183">
        <v>20532</v>
      </c>
      <c r="C958" s="14" t="s">
        <v>723</v>
      </c>
      <c r="D958" s="105">
        <v>1938</v>
      </c>
      <c r="E958" s="23">
        <v>42133</v>
      </c>
      <c r="F958" s="106">
        <v>1938</v>
      </c>
      <c r="G958" s="31">
        <f t="shared" si="28"/>
        <v>0</v>
      </c>
      <c r="H958" s="19" t="s">
        <v>9</v>
      </c>
      <c r="I958" s="3"/>
      <c r="J958" s="42"/>
      <c r="K958" s="3"/>
      <c r="M958" s="20">
        <v>42132</v>
      </c>
      <c r="N958" s="183">
        <v>20392</v>
      </c>
      <c r="O958" s="14" t="s">
        <v>50</v>
      </c>
      <c r="P958" s="105">
        <v>2998.8</v>
      </c>
      <c r="Q958" s="23">
        <v>42132</v>
      </c>
      <c r="R958" s="106">
        <v>2998.8</v>
      </c>
      <c r="S958" s="31">
        <f t="shared" si="29"/>
        <v>0</v>
      </c>
      <c r="T958" s="19" t="s">
        <v>9</v>
      </c>
    </row>
    <row r="959" spans="1:20" x14ac:dyDescent="0.25">
      <c r="A959" s="20">
        <v>42133</v>
      </c>
      <c r="B959" s="183">
        <v>20533</v>
      </c>
      <c r="C959" s="14" t="s">
        <v>125</v>
      </c>
      <c r="D959" s="105">
        <v>1960</v>
      </c>
      <c r="E959" s="23">
        <v>42135</v>
      </c>
      <c r="F959" s="106">
        <v>1960</v>
      </c>
      <c r="G959" s="31">
        <f t="shared" si="28"/>
        <v>0</v>
      </c>
      <c r="H959" s="19" t="s">
        <v>9</v>
      </c>
      <c r="I959" s="3"/>
      <c r="J959" s="42"/>
      <c r="K959" s="3"/>
      <c r="M959" s="20">
        <v>42132</v>
      </c>
      <c r="N959" s="183">
        <v>20393</v>
      </c>
      <c r="O959" s="14" t="s">
        <v>50</v>
      </c>
      <c r="P959" s="105">
        <v>312</v>
      </c>
      <c r="Q959" s="23">
        <v>42132</v>
      </c>
      <c r="R959" s="106">
        <v>312</v>
      </c>
      <c r="S959" s="31">
        <f t="shared" si="29"/>
        <v>0</v>
      </c>
      <c r="T959" s="19" t="s">
        <v>27</v>
      </c>
    </row>
    <row r="960" spans="1:20" x14ac:dyDescent="0.25">
      <c r="A960" s="20">
        <v>42133</v>
      </c>
      <c r="B960" s="183">
        <v>20534</v>
      </c>
      <c r="C960" s="14" t="s">
        <v>1267</v>
      </c>
      <c r="D960" s="105">
        <v>6000</v>
      </c>
      <c r="E960" s="23">
        <v>42135</v>
      </c>
      <c r="F960" s="106">
        <v>6000</v>
      </c>
      <c r="G960" s="31">
        <f t="shared" si="28"/>
        <v>0</v>
      </c>
      <c r="H960" s="19" t="s">
        <v>94</v>
      </c>
      <c r="I960" s="3"/>
      <c r="J960" s="42"/>
      <c r="K960" s="3"/>
      <c r="M960" s="20">
        <v>42133</v>
      </c>
      <c r="N960" s="183">
        <v>20543</v>
      </c>
      <c r="O960" s="14" t="s">
        <v>50</v>
      </c>
      <c r="P960" s="105">
        <v>2835.4</v>
      </c>
      <c r="Q960" s="23">
        <v>42135</v>
      </c>
      <c r="R960" s="106">
        <v>2835.4</v>
      </c>
      <c r="S960" s="31">
        <f t="shared" si="29"/>
        <v>0</v>
      </c>
      <c r="T960" s="19" t="s">
        <v>94</v>
      </c>
    </row>
    <row r="961" spans="1:20" x14ac:dyDescent="0.25">
      <c r="A961" s="20">
        <v>42133</v>
      </c>
      <c r="B961" s="183">
        <v>20535</v>
      </c>
      <c r="C961" s="14" t="s">
        <v>135</v>
      </c>
      <c r="D961" s="105">
        <v>4863.3999999999996</v>
      </c>
      <c r="E961" s="23">
        <v>42133</v>
      </c>
      <c r="F961" s="106">
        <v>4863.3999999999996</v>
      </c>
      <c r="G961" s="31">
        <f t="shared" si="28"/>
        <v>0</v>
      </c>
      <c r="H961" s="19" t="s">
        <v>9</v>
      </c>
      <c r="I961" s="3"/>
      <c r="J961" s="42"/>
      <c r="K961" s="3"/>
      <c r="M961" s="20">
        <v>42134</v>
      </c>
      <c r="N961" s="183">
        <v>20618</v>
      </c>
      <c r="O961" s="14" t="s">
        <v>50</v>
      </c>
      <c r="P961" s="105">
        <v>1468.8</v>
      </c>
      <c r="Q961" s="23">
        <v>42134</v>
      </c>
      <c r="R961" s="118">
        <v>1468.8</v>
      </c>
      <c r="S961" s="31">
        <f t="shared" si="29"/>
        <v>0</v>
      </c>
      <c r="T961" s="56" t="s">
        <v>9</v>
      </c>
    </row>
    <row r="962" spans="1:20" x14ac:dyDescent="0.25">
      <c r="A962" s="20">
        <v>42133</v>
      </c>
      <c r="B962" s="183">
        <v>20536</v>
      </c>
      <c r="C962" s="14" t="s">
        <v>422</v>
      </c>
      <c r="D962" s="105">
        <v>407.4</v>
      </c>
      <c r="E962" s="23">
        <v>42133</v>
      </c>
      <c r="F962" s="106">
        <v>407.4</v>
      </c>
      <c r="G962" s="31">
        <f t="shared" si="28"/>
        <v>0</v>
      </c>
      <c r="H962" s="19" t="s">
        <v>9</v>
      </c>
      <c r="K962" s="3"/>
      <c r="M962" s="20">
        <v>42138</v>
      </c>
      <c r="N962" s="183">
        <v>21014</v>
      </c>
      <c r="O962" s="14" t="s">
        <v>50</v>
      </c>
      <c r="P962" s="105">
        <v>3180.6</v>
      </c>
      <c r="Q962" s="23">
        <v>42138</v>
      </c>
      <c r="R962" s="106">
        <v>3180.6</v>
      </c>
      <c r="S962" s="48">
        <f t="shared" si="29"/>
        <v>0</v>
      </c>
      <c r="T962" s="39" t="s">
        <v>41</v>
      </c>
    </row>
    <row r="963" spans="1:20" x14ac:dyDescent="0.25">
      <c r="A963" s="20">
        <v>42133</v>
      </c>
      <c r="B963" s="183">
        <v>20537</v>
      </c>
      <c r="C963" s="14" t="s">
        <v>332</v>
      </c>
      <c r="D963" s="105">
        <v>2157.6</v>
      </c>
      <c r="E963" s="23">
        <v>42133</v>
      </c>
      <c r="F963" s="106">
        <v>2157.6</v>
      </c>
      <c r="G963" s="31">
        <f t="shared" ref="G963:G1026" si="30">D963-F963</f>
        <v>0</v>
      </c>
      <c r="H963" s="19" t="s">
        <v>9</v>
      </c>
      <c r="K963" s="3"/>
      <c r="M963" s="20">
        <v>42139</v>
      </c>
      <c r="N963" s="183">
        <v>21110</v>
      </c>
      <c r="O963" s="14" t="s">
        <v>50</v>
      </c>
      <c r="P963" s="105">
        <v>413.4</v>
      </c>
      <c r="Q963" s="23">
        <v>42139</v>
      </c>
      <c r="R963" s="106">
        <v>413.4</v>
      </c>
      <c r="S963" s="48">
        <f t="shared" ref="S963:S1026" si="31">P963-R963</f>
        <v>0</v>
      </c>
      <c r="T963" s="39" t="s">
        <v>94</v>
      </c>
    </row>
    <row r="964" spans="1:20" x14ac:dyDescent="0.25">
      <c r="A964" s="20">
        <v>42133</v>
      </c>
      <c r="B964" s="183">
        <v>20538</v>
      </c>
      <c r="C964" s="14" t="s">
        <v>66</v>
      </c>
      <c r="D964" s="105">
        <v>2341.0500000000002</v>
      </c>
      <c r="E964" s="23">
        <v>42133</v>
      </c>
      <c r="F964" s="106">
        <v>2341.0500000000002</v>
      </c>
      <c r="G964" s="31">
        <f t="shared" si="30"/>
        <v>0</v>
      </c>
      <c r="H964" s="19" t="s">
        <v>9</v>
      </c>
      <c r="J964" s="107"/>
      <c r="K964" s="3"/>
      <c r="M964" s="20">
        <v>42140</v>
      </c>
      <c r="N964" s="183">
        <v>21264</v>
      </c>
      <c r="O964" s="14" t="s">
        <v>50</v>
      </c>
      <c r="P964" s="105">
        <v>2485.1999999999998</v>
      </c>
      <c r="Q964" s="23">
        <v>42140</v>
      </c>
      <c r="R964" s="106">
        <v>2485.1999999999998</v>
      </c>
      <c r="S964" s="31">
        <f t="shared" si="31"/>
        <v>0</v>
      </c>
      <c r="T964" s="19" t="s">
        <v>94</v>
      </c>
    </row>
    <row r="965" spans="1:20" x14ac:dyDescent="0.25">
      <c r="A965" s="20">
        <v>42133</v>
      </c>
      <c r="B965" s="183">
        <v>20539</v>
      </c>
      <c r="C965" s="14" t="s">
        <v>141</v>
      </c>
      <c r="D965" s="105">
        <v>5216.3999999999996</v>
      </c>
      <c r="E965" s="23">
        <v>42149</v>
      </c>
      <c r="F965" s="106">
        <v>5216.3999999999996</v>
      </c>
      <c r="G965" s="31">
        <f t="shared" si="30"/>
        <v>0</v>
      </c>
      <c r="H965" s="19" t="s">
        <v>9</v>
      </c>
      <c r="K965" s="3"/>
      <c r="M965" s="20">
        <v>42141</v>
      </c>
      <c r="N965" s="183">
        <v>21351</v>
      </c>
      <c r="O965" s="14" t="s">
        <v>50</v>
      </c>
      <c r="P965" s="105">
        <v>1368</v>
      </c>
      <c r="Q965" s="23">
        <v>42142</v>
      </c>
      <c r="R965" s="118">
        <v>1368</v>
      </c>
      <c r="S965" s="31">
        <f t="shared" si="31"/>
        <v>0</v>
      </c>
      <c r="T965" s="62" t="s">
        <v>1257</v>
      </c>
    </row>
    <row r="966" spans="1:20" x14ac:dyDescent="0.25">
      <c r="A966" s="20">
        <v>42133</v>
      </c>
      <c r="B966" s="183">
        <v>20540</v>
      </c>
      <c r="C966" s="14" t="s">
        <v>128</v>
      </c>
      <c r="D966" s="105">
        <v>3431.6</v>
      </c>
      <c r="E966" s="23">
        <v>42133</v>
      </c>
      <c r="F966" s="106">
        <v>3431.6</v>
      </c>
      <c r="G966" s="31">
        <f t="shared" si="30"/>
        <v>0</v>
      </c>
      <c r="H966" s="19" t="s">
        <v>9</v>
      </c>
      <c r="K966" s="3"/>
      <c r="M966" s="20">
        <v>42142</v>
      </c>
      <c r="N966" s="183">
        <v>21427</v>
      </c>
      <c r="O966" s="14" t="s">
        <v>50</v>
      </c>
      <c r="P966" s="105">
        <v>704.6</v>
      </c>
      <c r="Q966" s="23">
        <v>42142</v>
      </c>
      <c r="R966" s="118">
        <v>704.6</v>
      </c>
      <c r="S966" s="31">
        <f t="shared" si="31"/>
        <v>0</v>
      </c>
      <c r="T966" s="56" t="s">
        <v>94</v>
      </c>
    </row>
    <row r="967" spans="1:20" x14ac:dyDescent="0.25">
      <c r="A967" s="20">
        <v>42133</v>
      </c>
      <c r="B967" s="183">
        <v>20541</v>
      </c>
      <c r="C967" s="14" t="s">
        <v>215</v>
      </c>
      <c r="D967" s="105">
        <v>20392.8</v>
      </c>
      <c r="E967" s="23">
        <v>42133</v>
      </c>
      <c r="F967" s="106">
        <v>20392.8</v>
      </c>
      <c r="G967" s="31">
        <f t="shared" si="30"/>
        <v>0</v>
      </c>
      <c r="H967" s="19" t="s">
        <v>1257</v>
      </c>
      <c r="K967" s="3"/>
      <c r="M967" s="20">
        <v>42143</v>
      </c>
      <c r="N967" s="183">
        <v>21592</v>
      </c>
      <c r="O967" s="14" t="s">
        <v>50</v>
      </c>
      <c r="P967" s="105">
        <v>2287.6</v>
      </c>
      <c r="Q967" s="23">
        <v>42143</v>
      </c>
      <c r="R967" s="118">
        <v>2287.6</v>
      </c>
      <c r="S967" s="31">
        <f t="shared" si="31"/>
        <v>0</v>
      </c>
      <c r="T967" s="56" t="s">
        <v>94</v>
      </c>
    </row>
    <row r="968" spans="1:20" x14ac:dyDescent="0.25">
      <c r="A968" s="20">
        <v>42133</v>
      </c>
      <c r="B968" s="183">
        <v>20542</v>
      </c>
      <c r="C968" s="14" t="s">
        <v>791</v>
      </c>
      <c r="D968" s="105">
        <v>2037.75</v>
      </c>
      <c r="E968" s="23">
        <v>42142</v>
      </c>
      <c r="F968" s="106">
        <v>2037.75</v>
      </c>
      <c r="G968" s="31">
        <f t="shared" si="30"/>
        <v>0</v>
      </c>
      <c r="H968" s="19" t="s">
        <v>9</v>
      </c>
      <c r="J968" s="107"/>
      <c r="K968" s="3"/>
      <c r="M968" s="20">
        <v>42146</v>
      </c>
      <c r="N968" s="183">
        <v>21931</v>
      </c>
      <c r="O968" s="14" t="s">
        <v>50</v>
      </c>
      <c r="P968" s="105">
        <v>2053.1999999999998</v>
      </c>
      <c r="Q968" s="23">
        <v>42147</v>
      </c>
      <c r="R968" s="106">
        <v>2053.1999999999998</v>
      </c>
      <c r="S968" s="31">
        <f t="shared" si="31"/>
        <v>0</v>
      </c>
      <c r="T968" s="39" t="s">
        <v>94</v>
      </c>
    </row>
    <row r="969" spans="1:20" x14ac:dyDescent="0.25">
      <c r="A969" s="20">
        <v>42133</v>
      </c>
      <c r="B969" s="183">
        <v>20543</v>
      </c>
      <c r="C969" s="14" t="s">
        <v>50</v>
      </c>
      <c r="D969" s="105">
        <v>2835.4</v>
      </c>
      <c r="E969" s="23">
        <v>42135</v>
      </c>
      <c r="F969" s="106">
        <v>2835.4</v>
      </c>
      <c r="G969" s="31">
        <f t="shared" si="30"/>
        <v>0</v>
      </c>
      <c r="H969" s="19" t="s">
        <v>94</v>
      </c>
      <c r="K969" s="3"/>
      <c r="M969" s="20">
        <v>42147</v>
      </c>
      <c r="N969" s="183">
        <v>22031</v>
      </c>
      <c r="O969" s="14" t="s">
        <v>50</v>
      </c>
      <c r="P969" s="105">
        <v>4394.3</v>
      </c>
      <c r="Q969" s="65">
        <v>42153</v>
      </c>
      <c r="R969" s="106">
        <v>4394.3</v>
      </c>
      <c r="S969" s="31">
        <f t="shared" si="31"/>
        <v>0</v>
      </c>
      <c r="T969" s="39" t="s">
        <v>1273</v>
      </c>
    </row>
    <row r="970" spans="1:20" x14ac:dyDescent="0.25">
      <c r="A970" s="20">
        <v>42133</v>
      </c>
      <c r="B970" s="183">
        <v>20544</v>
      </c>
      <c r="C970" s="14" t="s">
        <v>93</v>
      </c>
      <c r="D970" s="105">
        <v>2448</v>
      </c>
      <c r="E970" s="23">
        <v>42135</v>
      </c>
      <c r="F970" s="106">
        <v>2448</v>
      </c>
      <c r="G970" s="31">
        <f t="shared" si="30"/>
        <v>0</v>
      </c>
      <c r="H970" s="19" t="s">
        <v>94</v>
      </c>
      <c r="K970" s="3"/>
      <c r="M970" s="20">
        <v>42149</v>
      </c>
      <c r="N970" s="183">
        <v>22209</v>
      </c>
      <c r="O970" s="14" t="s">
        <v>50</v>
      </c>
      <c r="P970" s="105">
        <v>1879.8</v>
      </c>
      <c r="Q970" s="65">
        <v>42150</v>
      </c>
      <c r="R970" s="106">
        <v>1879.8</v>
      </c>
      <c r="S970" s="31">
        <f t="shared" si="31"/>
        <v>0</v>
      </c>
      <c r="T970" s="39" t="s">
        <v>94</v>
      </c>
    </row>
    <row r="971" spans="1:20" x14ac:dyDescent="0.25">
      <c r="A971" s="20">
        <v>42133</v>
      </c>
      <c r="B971" s="183">
        <v>20545</v>
      </c>
      <c r="C971" s="14" t="s">
        <v>95</v>
      </c>
      <c r="D971" s="105">
        <v>5763</v>
      </c>
      <c r="E971" s="23">
        <v>42135</v>
      </c>
      <c r="F971" s="106">
        <v>5763</v>
      </c>
      <c r="G971" s="31">
        <f t="shared" si="30"/>
        <v>0</v>
      </c>
      <c r="H971" s="19" t="s">
        <v>94</v>
      </c>
      <c r="J971" s="107"/>
      <c r="K971" s="3"/>
      <c r="M971" s="20">
        <v>42152</v>
      </c>
      <c r="N971" s="183">
        <v>22491</v>
      </c>
      <c r="O971" s="14" t="s">
        <v>50</v>
      </c>
      <c r="P971" s="105">
        <v>2945.6</v>
      </c>
      <c r="Q971" s="23">
        <v>42153</v>
      </c>
      <c r="R971" s="106">
        <v>2945.6</v>
      </c>
      <c r="S971" s="31">
        <f t="shared" si="31"/>
        <v>0</v>
      </c>
      <c r="T971" s="39" t="s">
        <v>94</v>
      </c>
    </row>
    <row r="972" spans="1:20" x14ac:dyDescent="0.25">
      <c r="A972" s="20">
        <v>42133</v>
      </c>
      <c r="B972" s="183">
        <v>20546</v>
      </c>
      <c r="C972" s="14" t="s">
        <v>14</v>
      </c>
      <c r="D972" s="105">
        <v>13685.2</v>
      </c>
      <c r="E972" s="23">
        <v>42149</v>
      </c>
      <c r="F972" s="106">
        <v>13685.2</v>
      </c>
      <c r="G972" s="31">
        <f t="shared" si="30"/>
        <v>0</v>
      </c>
      <c r="H972" s="19" t="s">
        <v>9</v>
      </c>
      <c r="K972" s="3"/>
      <c r="M972" s="20">
        <v>42153</v>
      </c>
      <c r="N972" s="183">
        <v>22599</v>
      </c>
      <c r="O972" s="14" t="s">
        <v>50</v>
      </c>
      <c r="P972" s="105">
        <v>2363.4</v>
      </c>
      <c r="Q972" s="23">
        <v>42153</v>
      </c>
      <c r="R972" s="106">
        <v>2363.4</v>
      </c>
      <c r="S972" s="31">
        <f t="shared" si="31"/>
        <v>0</v>
      </c>
      <c r="T972" s="39" t="s">
        <v>1257</v>
      </c>
    </row>
    <row r="973" spans="1:20" x14ac:dyDescent="0.25">
      <c r="A973" s="20">
        <v>42133</v>
      </c>
      <c r="B973" s="183">
        <v>20547</v>
      </c>
      <c r="C973" s="14" t="s">
        <v>1357</v>
      </c>
      <c r="D973" s="105">
        <v>3944.4</v>
      </c>
      <c r="E973" s="23">
        <v>42135</v>
      </c>
      <c r="F973" s="106">
        <v>3944.4</v>
      </c>
      <c r="G973" s="31">
        <f t="shared" si="30"/>
        <v>0</v>
      </c>
      <c r="H973" s="19" t="s">
        <v>94</v>
      </c>
      <c r="K973" s="3"/>
      <c r="M973" s="20">
        <v>42154</v>
      </c>
      <c r="N973" s="183">
        <v>22756</v>
      </c>
      <c r="O973" s="14" t="s">
        <v>50</v>
      </c>
      <c r="P973" s="105">
        <v>3510</v>
      </c>
      <c r="Q973" s="23"/>
      <c r="R973" s="106"/>
      <c r="S973" s="31">
        <f t="shared" si="31"/>
        <v>3510</v>
      </c>
      <c r="T973" s="39" t="s">
        <v>94</v>
      </c>
    </row>
    <row r="974" spans="1:20" x14ac:dyDescent="0.25">
      <c r="A974" s="20">
        <v>42133</v>
      </c>
      <c r="B974" s="183">
        <v>20548</v>
      </c>
      <c r="C974" s="14" t="s">
        <v>697</v>
      </c>
      <c r="D974" s="105">
        <v>99516.6</v>
      </c>
      <c r="E974" s="23">
        <v>42135</v>
      </c>
      <c r="F974" s="106">
        <v>99516.6</v>
      </c>
      <c r="G974" s="31">
        <f t="shared" si="30"/>
        <v>0</v>
      </c>
      <c r="H974" s="19" t="s">
        <v>9</v>
      </c>
      <c r="K974" s="3"/>
      <c r="M974" s="20">
        <v>42154</v>
      </c>
      <c r="N974" s="183">
        <v>22758</v>
      </c>
      <c r="O974" s="14" t="s">
        <v>50</v>
      </c>
      <c r="P974" s="105">
        <v>1412.8</v>
      </c>
      <c r="Q974" s="23"/>
      <c r="R974" s="106"/>
      <c r="S974" s="31">
        <f t="shared" si="31"/>
        <v>1412.8</v>
      </c>
      <c r="T974" s="39" t="s">
        <v>94</v>
      </c>
    </row>
    <row r="975" spans="1:20" x14ac:dyDescent="0.25">
      <c r="A975" s="20">
        <v>42133</v>
      </c>
      <c r="B975" s="183">
        <v>20549</v>
      </c>
      <c r="C975" s="14" t="s">
        <v>125</v>
      </c>
      <c r="D975" s="105">
        <v>30140.799999999999</v>
      </c>
      <c r="E975" s="12" t="s">
        <v>1358</v>
      </c>
      <c r="F975" s="106">
        <f>20140.8+10000</f>
        <v>30140.799999999999</v>
      </c>
      <c r="G975" s="31">
        <f t="shared" si="30"/>
        <v>0</v>
      </c>
      <c r="H975" s="19" t="s">
        <v>94</v>
      </c>
      <c r="K975" s="3"/>
      <c r="M975" s="20">
        <v>42138</v>
      </c>
      <c r="N975" s="183">
        <v>21063</v>
      </c>
      <c r="O975" s="14" t="s">
        <v>353</v>
      </c>
      <c r="P975" s="105">
        <v>1032</v>
      </c>
      <c r="Q975" s="23">
        <v>42138</v>
      </c>
      <c r="R975" s="106">
        <v>1032</v>
      </c>
      <c r="S975" s="48">
        <f t="shared" si="31"/>
        <v>0</v>
      </c>
      <c r="T975" s="39" t="s">
        <v>9</v>
      </c>
    </row>
    <row r="976" spans="1:20" x14ac:dyDescent="0.25">
      <c r="A976" s="20">
        <v>42133</v>
      </c>
      <c r="B976" s="183">
        <v>20550</v>
      </c>
      <c r="C976" s="14" t="s">
        <v>100</v>
      </c>
      <c r="D976" s="105">
        <v>2282.8000000000002</v>
      </c>
      <c r="E976" s="23">
        <v>42133</v>
      </c>
      <c r="F976" s="106">
        <v>2282.8000000000002</v>
      </c>
      <c r="G976" s="31">
        <f t="shared" si="30"/>
        <v>0</v>
      </c>
      <c r="H976" s="19" t="s">
        <v>9</v>
      </c>
      <c r="K976" s="3"/>
      <c r="M976" s="20">
        <v>42145</v>
      </c>
      <c r="N976" s="183">
        <v>21810</v>
      </c>
      <c r="O976" s="15" t="s">
        <v>353</v>
      </c>
      <c r="P976" s="122">
        <v>1207.2</v>
      </c>
      <c r="Q976" s="23">
        <v>42145</v>
      </c>
      <c r="R976" s="118">
        <v>1207.2</v>
      </c>
      <c r="S976" s="31">
        <f t="shared" si="31"/>
        <v>0</v>
      </c>
      <c r="T976" s="68" t="s">
        <v>9</v>
      </c>
    </row>
    <row r="977" spans="1:20" x14ac:dyDescent="0.25">
      <c r="A977" s="20">
        <v>42133</v>
      </c>
      <c r="B977" s="183">
        <v>20551</v>
      </c>
      <c r="C977" s="14" t="s">
        <v>89</v>
      </c>
      <c r="D977" s="105">
        <v>3571.4</v>
      </c>
      <c r="E977" s="23">
        <v>42133</v>
      </c>
      <c r="F977" s="106">
        <v>3571.4</v>
      </c>
      <c r="G977" s="31">
        <f t="shared" si="30"/>
        <v>0</v>
      </c>
      <c r="H977" s="19" t="s">
        <v>9</v>
      </c>
      <c r="K977" s="3"/>
      <c r="M977" s="20">
        <v>42152</v>
      </c>
      <c r="N977" s="183">
        <v>22536</v>
      </c>
      <c r="O977" s="14" t="s">
        <v>353</v>
      </c>
      <c r="P977" s="105">
        <v>1519.2</v>
      </c>
      <c r="Q977" s="23">
        <v>42152</v>
      </c>
      <c r="R977" s="106">
        <v>1519.2</v>
      </c>
      <c r="S977" s="31">
        <f t="shared" si="31"/>
        <v>0</v>
      </c>
      <c r="T977" s="39" t="s">
        <v>9</v>
      </c>
    </row>
    <row r="978" spans="1:20" x14ac:dyDescent="0.25">
      <c r="A978" s="20">
        <v>42133</v>
      </c>
      <c r="B978" s="183">
        <v>20552</v>
      </c>
      <c r="C978" s="14" t="s">
        <v>305</v>
      </c>
      <c r="D978" s="105">
        <v>314.89999999999998</v>
      </c>
      <c r="E978" s="23">
        <v>42133</v>
      </c>
      <c r="F978" s="106">
        <v>314.89999999999998</v>
      </c>
      <c r="G978" s="31">
        <f t="shared" si="30"/>
        <v>0</v>
      </c>
      <c r="H978" s="19" t="s">
        <v>9</v>
      </c>
      <c r="I978" s="3"/>
      <c r="J978" s="42"/>
      <c r="K978" s="3"/>
      <c r="M978" s="20">
        <v>42125</v>
      </c>
      <c r="N978" s="183">
        <v>19628</v>
      </c>
      <c r="O978" s="14" t="s">
        <v>143</v>
      </c>
      <c r="P978" s="105">
        <v>2241</v>
      </c>
      <c r="Q978" s="23">
        <v>42128</v>
      </c>
      <c r="R978" s="106">
        <v>2241</v>
      </c>
      <c r="S978" s="25">
        <f t="shared" si="31"/>
        <v>0</v>
      </c>
      <c r="T978" s="19" t="s">
        <v>1257</v>
      </c>
    </row>
    <row r="979" spans="1:20" x14ac:dyDescent="0.25">
      <c r="A979" s="20">
        <v>42133</v>
      </c>
      <c r="B979" s="183">
        <v>20553</v>
      </c>
      <c r="C979" s="14" t="s">
        <v>106</v>
      </c>
      <c r="D979" s="105">
        <v>6771.2</v>
      </c>
      <c r="E979" s="23">
        <v>42134</v>
      </c>
      <c r="F979" s="106">
        <v>6771.2</v>
      </c>
      <c r="G979" s="31">
        <f t="shared" si="30"/>
        <v>0</v>
      </c>
      <c r="H979" s="19" t="s">
        <v>9</v>
      </c>
      <c r="I979" s="3"/>
      <c r="J979" s="42"/>
      <c r="K979" s="3"/>
      <c r="M979" s="20">
        <v>42127</v>
      </c>
      <c r="N979" s="183">
        <v>19838</v>
      </c>
      <c r="O979" s="40" t="s">
        <v>143</v>
      </c>
      <c r="P979" s="105">
        <v>4468.8</v>
      </c>
      <c r="Q979" s="23">
        <v>42128</v>
      </c>
      <c r="R979" s="106">
        <v>4468.8</v>
      </c>
      <c r="S979" s="31">
        <f t="shared" si="31"/>
        <v>0</v>
      </c>
      <c r="T979" s="41" t="s">
        <v>9</v>
      </c>
    </row>
    <row r="980" spans="1:20" x14ac:dyDescent="0.25">
      <c r="A980" s="20">
        <v>42133</v>
      </c>
      <c r="B980" s="183">
        <v>20554</v>
      </c>
      <c r="C980" s="14" t="s">
        <v>738</v>
      </c>
      <c r="D980" s="105">
        <v>38019</v>
      </c>
      <c r="E980" s="23">
        <v>42137</v>
      </c>
      <c r="F980" s="106">
        <v>38019</v>
      </c>
      <c r="G980" s="31">
        <f t="shared" si="30"/>
        <v>0</v>
      </c>
      <c r="H980" s="19" t="s">
        <v>1273</v>
      </c>
      <c r="I980" s="3"/>
      <c r="J980" s="42"/>
      <c r="K980" s="3"/>
      <c r="M980" s="20">
        <v>42127</v>
      </c>
      <c r="N980" s="183">
        <v>19839</v>
      </c>
      <c r="O980" s="40" t="s">
        <v>143</v>
      </c>
      <c r="P980" s="105">
        <v>24605.25</v>
      </c>
      <c r="Q980" s="23">
        <v>42128</v>
      </c>
      <c r="R980" s="106">
        <v>24605.25</v>
      </c>
      <c r="S980" s="31">
        <f t="shared" si="31"/>
        <v>0</v>
      </c>
      <c r="T980" s="41" t="s">
        <v>9</v>
      </c>
    </row>
    <row r="981" spans="1:20" x14ac:dyDescent="0.25">
      <c r="A981" s="20">
        <v>42133</v>
      </c>
      <c r="B981" s="183">
        <v>20555</v>
      </c>
      <c r="C981" s="14" t="s">
        <v>116</v>
      </c>
      <c r="D981" s="105">
        <v>982.8</v>
      </c>
      <c r="E981" s="23">
        <v>42133</v>
      </c>
      <c r="F981" s="106">
        <v>982.8</v>
      </c>
      <c r="G981" s="31">
        <f t="shared" si="30"/>
        <v>0</v>
      </c>
      <c r="H981" s="19" t="s">
        <v>9</v>
      </c>
      <c r="I981" s="3"/>
      <c r="J981" s="42"/>
      <c r="K981" s="3"/>
      <c r="M981" s="20">
        <v>42128</v>
      </c>
      <c r="N981" s="183">
        <v>19978</v>
      </c>
      <c r="O981" s="14" t="s">
        <v>143</v>
      </c>
      <c r="P981" s="105">
        <v>22832.5</v>
      </c>
      <c r="Q981" s="23">
        <v>42128</v>
      </c>
      <c r="R981" s="106">
        <v>22832.5</v>
      </c>
      <c r="S981" s="31">
        <f t="shared" si="31"/>
        <v>0</v>
      </c>
      <c r="T981" s="19" t="s">
        <v>1257</v>
      </c>
    </row>
    <row r="982" spans="1:20" x14ac:dyDescent="0.25">
      <c r="A982" s="20">
        <v>42133</v>
      </c>
      <c r="B982" s="183">
        <v>20556</v>
      </c>
      <c r="C982" s="14" t="s">
        <v>55</v>
      </c>
      <c r="D982" s="105">
        <v>24785.45</v>
      </c>
      <c r="E982" s="23">
        <v>42133</v>
      </c>
      <c r="F982" s="106">
        <v>24785.45</v>
      </c>
      <c r="G982" s="31">
        <f t="shared" si="30"/>
        <v>0</v>
      </c>
      <c r="H982" s="19" t="s">
        <v>46</v>
      </c>
      <c r="I982" s="3"/>
      <c r="J982" s="42"/>
      <c r="K982" s="3"/>
      <c r="M982" s="20">
        <v>42135</v>
      </c>
      <c r="N982" s="183">
        <v>20711</v>
      </c>
      <c r="O982" s="150" t="s">
        <v>143</v>
      </c>
      <c r="P982" s="105">
        <v>16958.400000000001</v>
      </c>
      <c r="Q982" s="23">
        <v>42135</v>
      </c>
      <c r="R982" s="106">
        <v>16958.400000000001</v>
      </c>
      <c r="S982" s="31">
        <f t="shared" si="31"/>
        <v>0</v>
      </c>
      <c r="T982" s="19" t="s">
        <v>1257</v>
      </c>
    </row>
    <row r="983" spans="1:20" x14ac:dyDescent="0.25">
      <c r="A983" s="20">
        <v>42133</v>
      </c>
      <c r="B983" s="183">
        <v>20557</v>
      </c>
      <c r="C983" s="14" t="s">
        <v>912</v>
      </c>
      <c r="D983" s="105">
        <v>4828</v>
      </c>
      <c r="E983" s="23">
        <v>42137</v>
      </c>
      <c r="F983" s="106">
        <v>4828</v>
      </c>
      <c r="G983" s="31">
        <f t="shared" si="30"/>
        <v>0</v>
      </c>
      <c r="H983" s="19" t="s">
        <v>1273</v>
      </c>
      <c r="I983" s="3"/>
      <c r="J983" s="42"/>
      <c r="K983" s="3"/>
      <c r="M983" s="20">
        <v>42136</v>
      </c>
      <c r="N983" s="183">
        <v>20852</v>
      </c>
      <c r="O983" s="14" t="s">
        <v>143</v>
      </c>
      <c r="P983" s="105">
        <v>22144.400000000001</v>
      </c>
      <c r="Q983" s="23">
        <v>42139</v>
      </c>
      <c r="R983" s="106">
        <v>22144.400000000001</v>
      </c>
      <c r="S983" s="31">
        <f t="shared" si="31"/>
        <v>0</v>
      </c>
      <c r="T983" s="39" t="s">
        <v>9</v>
      </c>
    </row>
    <row r="984" spans="1:20" x14ac:dyDescent="0.25">
      <c r="A984" s="20">
        <v>42133</v>
      </c>
      <c r="B984" s="183">
        <v>20558</v>
      </c>
      <c r="C984" s="14" t="s">
        <v>71</v>
      </c>
      <c r="D984" s="105">
        <v>7840</v>
      </c>
      <c r="E984" s="23">
        <v>42133</v>
      </c>
      <c r="F984" s="106">
        <v>7840</v>
      </c>
      <c r="G984" s="31">
        <f t="shared" si="30"/>
        <v>0</v>
      </c>
      <c r="H984" s="19" t="s">
        <v>9</v>
      </c>
      <c r="I984" s="3"/>
      <c r="J984" s="42"/>
      <c r="K984" s="3"/>
      <c r="M984" s="20">
        <v>42142</v>
      </c>
      <c r="N984" s="183">
        <v>21465</v>
      </c>
      <c r="O984" s="14" t="s">
        <v>143</v>
      </c>
      <c r="P984" s="105">
        <v>7851.2</v>
      </c>
      <c r="Q984" s="65">
        <v>42142</v>
      </c>
      <c r="R984" s="106">
        <v>7851.2</v>
      </c>
      <c r="S984" s="31">
        <f t="shared" si="31"/>
        <v>0</v>
      </c>
      <c r="T984" s="19" t="s">
        <v>41</v>
      </c>
    </row>
    <row r="985" spans="1:20" x14ac:dyDescent="0.25">
      <c r="A985" s="20">
        <v>42133</v>
      </c>
      <c r="B985" s="183">
        <v>20559</v>
      </c>
      <c r="C985" s="14" t="s">
        <v>285</v>
      </c>
      <c r="D985" s="105">
        <v>506</v>
      </c>
      <c r="E985" s="23">
        <v>42133</v>
      </c>
      <c r="F985" s="106">
        <v>506</v>
      </c>
      <c r="G985" s="31">
        <f t="shared" si="30"/>
        <v>0</v>
      </c>
      <c r="H985" s="19" t="s">
        <v>41</v>
      </c>
      <c r="I985" s="3"/>
      <c r="J985" s="42"/>
      <c r="K985" s="3"/>
      <c r="M985" s="20">
        <v>42142</v>
      </c>
      <c r="N985" s="183">
        <v>21475</v>
      </c>
      <c r="O985" s="14" t="s">
        <v>143</v>
      </c>
      <c r="P985" s="105">
        <v>13153.5</v>
      </c>
      <c r="Q985" s="65">
        <v>42142</v>
      </c>
      <c r="R985" s="106">
        <v>13153.5</v>
      </c>
      <c r="S985" s="31">
        <f t="shared" si="31"/>
        <v>0</v>
      </c>
      <c r="T985" s="19" t="s">
        <v>9</v>
      </c>
    </row>
    <row r="986" spans="1:20" x14ac:dyDescent="0.25">
      <c r="A986" s="20">
        <v>42133</v>
      </c>
      <c r="B986" s="183">
        <v>20560</v>
      </c>
      <c r="C986" s="14" t="s">
        <v>213</v>
      </c>
      <c r="D986" s="105">
        <v>4264</v>
      </c>
      <c r="E986" s="23">
        <v>42133</v>
      </c>
      <c r="F986" s="106">
        <v>4264</v>
      </c>
      <c r="G986" s="31">
        <f t="shared" si="30"/>
        <v>0</v>
      </c>
      <c r="H986" s="19" t="s">
        <v>41</v>
      </c>
      <c r="I986" s="3"/>
      <c r="J986" s="42"/>
      <c r="K986" s="3"/>
      <c r="M986" s="20">
        <v>42145</v>
      </c>
      <c r="N986" s="183">
        <v>21769</v>
      </c>
      <c r="O986" s="207" t="s">
        <v>143</v>
      </c>
      <c r="P986" s="122">
        <v>2018.48</v>
      </c>
      <c r="Q986" s="23">
        <v>42145</v>
      </c>
      <c r="R986" s="118">
        <v>2018.48</v>
      </c>
      <c r="S986" s="31">
        <f t="shared" si="31"/>
        <v>0</v>
      </c>
      <c r="T986" s="68" t="s">
        <v>1257</v>
      </c>
    </row>
    <row r="987" spans="1:20" x14ac:dyDescent="0.25">
      <c r="A987" s="20">
        <v>42133</v>
      </c>
      <c r="B987" s="183">
        <v>20561</v>
      </c>
      <c r="C987" s="26" t="s">
        <v>218</v>
      </c>
      <c r="D987" s="108">
        <v>0</v>
      </c>
      <c r="E987" s="23"/>
      <c r="F987" s="106"/>
      <c r="G987" s="31">
        <f t="shared" si="30"/>
        <v>0</v>
      </c>
      <c r="H987" s="19" t="s">
        <v>13</v>
      </c>
      <c r="I987" s="3"/>
      <c r="J987" s="42"/>
      <c r="K987" s="3"/>
      <c r="M987" s="20">
        <v>42146</v>
      </c>
      <c r="N987" s="183">
        <v>21948</v>
      </c>
      <c r="O987" s="14" t="s">
        <v>143</v>
      </c>
      <c r="P987" s="105">
        <v>13390.6</v>
      </c>
      <c r="Q987" s="23">
        <v>42149</v>
      </c>
      <c r="R987" s="106">
        <v>13390.6</v>
      </c>
      <c r="S987" s="31">
        <f t="shared" si="31"/>
        <v>0</v>
      </c>
      <c r="T987" s="39" t="s">
        <v>59</v>
      </c>
    </row>
    <row r="988" spans="1:20" x14ac:dyDescent="0.25">
      <c r="A988" s="20">
        <v>42133</v>
      </c>
      <c r="B988" s="183">
        <v>20562</v>
      </c>
      <c r="C988" s="185" t="s">
        <v>218</v>
      </c>
      <c r="D988" s="108">
        <v>0</v>
      </c>
      <c r="E988" s="23"/>
      <c r="F988" s="106"/>
      <c r="G988" s="31">
        <f t="shared" si="30"/>
        <v>0</v>
      </c>
      <c r="H988" s="19" t="s">
        <v>13</v>
      </c>
      <c r="I988" s="3"/>
      <c r="J988" s="42"/>
      <c r="K988" s="3"/>
      <c r="M988" s="20">
        <v>42152</v>
      </c>
      <c r="N988" s="183">
        <v>22479</v>
      </c>
      <c r="O988" s="14" t="s">
        <v>143</v>
      </c>
      <c r="P988" s="105">
        <v>13212</v>
      </c>
      <c r="Q988" s="23">
        <v>42152</v>
      </c>
      <c r="R988" s="106">
        <v>13212</v>
      </c>
      <c r="S988" s="31">
        <f t="shared" si="31"/>
        <v>0</v>
      </c>
      <c r="T988" s="39" t="s">
        <v>1257</v>
      </c>
    </row>
    <row r="989" spans="1:20" x14ac:dyDescent="0.25">
      <c r="A989" s="20">
        <v>42133</v>
      </c>
      <c r="B989" s="183">
        <v>20563</v>
      </c>
      <c r="C989" s="14" t="s">
        <v>852</v>
      </c>
      <c r="D989" s="105">
        <v>3720.5</v>
      </c>
      <c r="E989" s="23">
        <v>42133</v>
      </c>
      <c r="F989" s="106">
        <v>3720.5</v>
      </c>
      <c r="G989" s="31">
        <f t="shared" si="30"/>
        <v>0</v>
      </c>
      <c r="H989" s="19" t="s">
        <v>41</v>
      </c>
      <c r="I989" s="3"/>
      <c r="J989" s="42"/>
      <c r="K989" s="3"/>
      <c r="M989" s="20">
        <v>42128</v>
      </c>
      <c r="N989" s="183">
        <v>20017</v>
      </c>
      <c r="O989" s="14" t="s">
        <v>195</v>
      </c>
      <c r="P989" s="105">
        <v>142071.06</v>
      </c>
      <c r="Q989" s="30" t="s">
        <v>1310</v>
      </c>
      <c r="R989" s="106">
        <v>142071.06</v>
      </c>
      <c r="S989" s="31">
        <f t="shared" si="31"/>
        <v>0</v>
      </c>
      <c r="T989" s="19" t="s">
        <v>149</v>
      </c>
    </row>
    <row r="990" spans="1:20" x14ac:dyDescent="0.25">
      <c r="A990" s="20">
        <v>42133</v>
      </c>
      <c r="B990" s="183">
        <v>20564</v>
      </c>
      <c r="C990" s="14" t="s">
        <v>102</v>
      </c>
      <c r="D990" s="105">
        <v>2511.6</v>
      </c>
      <c r="E990" s="23">
        <v>42133</v>
      </c>
      <c r="F990" s="106">
        <v>2511.6</v>
      </c>
      <c r="G990" s="31">
        <f t="shared" si="30"/>
        <v>0</v>
      </c>
      <c r="H990" s="19" t="s">
        <v>9</v>
      </c>
      <c r="I990" s="3"/>
      <c r="J990" s="42"/>
      <c r="K990" s="3"/>
      <c r="M990" s="20">
        <v>42131</v>
      </c>
      <c r="N990" s="183">
        <v>20326</v>
      </c>
      <c r="O990" s="14" t="s">
        <v>195</v>
      </c>
      <c r="P990" s="105">
        <v>132913.39000000001</v>
      </c>
      <c r="Q990" s="30" t="s">
        <v>1340</v>
      </c>
      <c r="R990" s="106">
        <v>132913.39000000001</v>
      </c>
      <c r="S990" s="31">
        <f t="shared" si="31"/>
        <v>0</v>
      </c>
      <c r="T990" s="39" t="s">
        <v>149</v>
      </c>
    </row>
    <row r="991" spans="1:20" x14ac:dyDescent="0.25">
      <c r="A991" s="20">
        <v>42133</v>
      </c>
      <c r="B991" s="183">
        <v>20565</v>
      </c>
      <c r="C991" s="14" t="s">
        <v>38</v>
      </c>
      <c r="D991" s="105">
        <v>33751.25</v>
      </c>
      <c r="E991" s="23" t="s">
        <v>1359</v>
      </c>
      <c r="F991" s="106">
        <f>50.25+33701</f>
        <v>33751.25</v>
      </c>
      <c r="G991" s="31">
        <f t="shared" si="30"/>
        <v>0</v>
      </c>
      <c r="H991" s="19" t="s">
        <v>1013</v>
      </c>
      <c r="I991" s="3"/>
      <c r="J991" s="42"/>
      <c r="K991" s="3"/>
      <c r="M991" s="20">
        <v>42131</v>
      </c>
      <c r="N991" s="183">
        <v>20329</v>
      </c>
      <c r="O991" s="14" t="s">
        <v>195</v>
      </c>
      <c r="P991" s="105">
        <v>1560</v>
      </c>
      <c r="Q991" s="23">
        <v>42133</v>
      </c>
      <c r="R991" s="106">
        <v>1560</v>
      </c>
      <c r="S991" s="31">
        <f t="shared" si="31"/>
        <v>0</v>
      </c>
      <c r="T991" s="39" t="s">
        <v>149</v>
      </c>
    </row>
    <row r="992" spans="1:20" x14ac:dyDescent="0.25">
      <c r="A992" s="20">
        <v>42133</v>
      </c>
      <c r="B992" s="183">
        <v>20566</v>
      </c>
      <c r="C992" s="14" t="s">
        <v>411</v>
      </c>
      <c r="D992" s="105">
        <v>2350.6</v>
      </c>
      <c r="E992" s="23">
        <v>42133</v>
      </c>
      <c r="F992" s="106">
        <v>2350.6</v>
      </c>
      <c r="G992" s="31">
        <f t="shared" si="30"/>
        <v>0</v>
      </c>
      <c r="H992" s="19" t="s">
        <v>9</v>
      </c>
      <c r="I992" s="3"/>
      <c r="J992" s="42"/>
      <c r="K992" s="3"/>
      <c r="M992" s="20">
        <v>42135</v>
      </c>
      <c r="N992" s="183">
        <v>20777</v>
      </c>
      <c r="O992" s="14" t="s">
        <v>195</v>
      </c>
      <c r="P992" s="105">
        <v>158680.97</v>
      </c>
      <c r="Q992" s="30" t="s">
        <v>1360</v>
      </c>
      <c r="R992" s="106">
        <v>158680.97</v>
      </c>
      <c r="S992" s="31">
        <f t="shared" si="31"/>
        <v>0</v>
      </c>
      <c r="T992" s="19" t="s">
        <v>149</v>
      </c>
    </row>
    <row r="993" spans="1:20" x14ac:dyDescent="0.25">
      <c r="A993" s="20">
        <v>42133</v>
      </c>
      <c r="B993" s="183">
        <v>20567</v>
      </c>
      <c r="C993" s="14" t="s">
        <v>191</v>
      </c>
      <c r="D993" s="105">
        <v>18841.599999999999</v>
      </c>
      <c r="E993" s="23">
        <v>42133</v>
      </c>
      <c r="F993" s="106">
        <v>18841.599999999999</v>
      </c>
      <c r="G993" s="31">
        <f t="shared" si="30"/>
        <v>0</v>
      </c>
      <c r="H993" s="19" t="s">
        <v>9</v>
      </c>
      <c r="I993" s="3"/>
      <c r="J993" s="42"/>
      <c r="K993" s="3"/>
      <c r="M993" s="20">
        <v>42138</v>
      </c>
      <c r="N993" s="183">
        <v>21071</v>
      </c>
      <c r="O993" s="14" t="s">
        <v>195</v>
      </c>
      <c r="P993" s="105">
        <v>137904.16</v>
      </c>
      <c r="Q993" s="30" t="s">
        <v>1361</v>
      </c>
      <c r="R993" s="106">
        <v>137904.16</v>
      </c>
      <c r="S993" s="48">
        <f t="shared" si="31"/>
        <v>0</v>
      </c>
      <c r="T993" s="39" t="s">
        <v>149</v>
      </c>
    </row>
    <row r="994" spans="1:20" x14ac:dyDescent="0.25">
      <c r="A994" s="20">
        <v>42133</v>
      </c>
      <c r="B994" s="183">
        <v>20568</v>
      </c>
      <c r="C994" s="14" t="s">
        <v>336</v>
      </c>
      <c r="D994" s="105">
        <v>4297.1000000000004</v>
      </c>
      <c r="E994" s="23">
        <v>42133</v>
      </c>
      <c r="F994" s="106">
        <v>4297.1000000000004</v>
      </c>
      <c r="G994" s="31">
        <f t="shared" si="30"/>
        <v>0</v>
      </c>
      <c r="H994" s="19" t="s">
        <v>9</v>
      </c>
      <c r="K994" s="3"/>
      <c r="M994" s="20">
        <v>42142</v>
      </c>
      <c r="N994" s="183">
        <v>21513</v>
      </c>
      <c r="O994" s="14" t="s">
        <v>195</v>
      </c>
      <c r="P994" s="105">
        <v>158276.14000000001</v>
      </c>
      <c r="Q994" s="23">
        <v>42149</v>
      </c>
      <c r="R994" s="118">
        <v>158276.14000000001</v>
      </c>
      <c r="S994" s="31">
        <f t="shared" si="31"/>
        <v>0</v>
      </c>
      <c r="T994" s="56" t="s">
        <v>149</v>
      </c>
    </row>
    <row r="995" spans="1:20" x14ac:dyDescent="0.25">
      <c r="A995" s="20">
        <v>42133</v>
      </c>
      <c r="B995" s="183">
        <v>20569</v>
      </c>
      <c r="C995" s="14" t="s">
        <v>111</v>
      </c>
      <c r="D995" s="105">
        <v>299512</v>
      </c>
      <c r="E995" s="23">
        <v>42140</v>
      </c>
      <c r="F995" s="106">
        <v>299512</v>
      </c>
      <c r="G995" s="31">
        <f t="shared" si="30"/>
        <v>0</v>
      </c>
      <c r="H995" s="19" t="s">
        <v>9</v>
      </c>
      <c r="K995" s="3"/>
      <c r="M995" s="20">
        <v>42145</v>
      </c>
      <c r="N995" s="183">
        <v>21829</v>
      </c>
      <c r="O995" s="15" t="s">
        <v>195</v>
      </c>
      <c r="P995" s="122">
        <v>135955.53</v>
      </c>
      <c r="Q995" s="23">
        <v>42149</v>
      </c>
      <c r="R995" s="118">
        <v>135955.53</v>
      </c>
      <c r="S995" s="31">
        <f t="shared" si="31"/>
        <v>0</v>
      </c>
      <c r="T995" s="68" t="s">
        <v>149</v>
      </c>
    </row>
    <row r="996" spans="1:20" x14ac:dyDescent="0.25">
      <c r="A996" s="20">
        <v>42133</v>
      </c>
      <c r="B996" s="183">
        <v>20570</v>
      </c>
      <c r="C996" s="14" t="s">
        <v>484</v>
      </c>
      <c r="D996" s="105">
        <v>15673.2</v>
      </c>
      <c r="E996" s="23">
        <v>42140</v>
      </c>
      <c r="F996" s="106">
        <v>15673.2</v>
      </c>
      <c r="G996" s="31">
        <f t="shared" si="30"/>
        <v>0</v>
      </c>
      <c r="H996" s="19" t="s">
        <v>9</v>
      </c>
      <c r="K996" s="3"/>
      <c r="M996" s="20">
        <v>42146</v>
      </c>
      <c r="N996" s="183">
        <v>21834</v>
      </c>
      <c r="O996" s="15" t="s">
        <v>195</v>
      </c>
      <c r="P996" s="122">
        <v>20398</v>
      </c>
      <c r="Q996" s="23">
        <v>42149</v>
      </c>
      <c r="R996" s="118">
        <v>20398</v>
      </c>
      <c r="S996" s="31">
        <f t="shared" si="31"/>
        <v>0</v>
      </c>
      <c r="T996" s="68" t="s">
        <v>773</v>
      </c>
    </row>
    <row r="997" spans="1:20" x14ac:dyDescent="0.25">
      <c r="A997" s="20">
        <v>42133</v>
      </c>
      <c r="B997" s="183">
        <v>20571</v>
      </c>
      <c r="C997" s="14" t="s">
        <v>136</v>
      </c>
      <c r="D997" s="105">
        <v>18196.8</v>
      </c>
      <c r="E997" s="23">
        <v>42136</v>
      </c>
      <c r="F997" s="106">
        <v>18196.8</v>
      </c>
      <c r="G997" s="31">
        <f t="shared" si="30"/>
        <v>0</v>
      </c>
      <c r="H997" s="19" t="s">
        <v>9</v>
      </c>
      <c r="K997" s="3"/>
      <c r="M997" s="20">
        <v>42149</v>
      </c>
      <c r="N997" s="183">
        <v>22232</v>
      </c>
      <c r="O997" s="14" t="s">
        <v>195</v>
      </c>
      <c r="P997" s="105">
        <v>157658.62</v>
      </c>
      <c r="Q997" s="65">
        <v>42151</v>
      </c>
      <c r="R997" s="106">
        <v>157658.62</v>
      </c>
      <c r="S997" s="31">
        <f t="shared" si="31"/>
        <v>0</v>
      </c>
      <c r="T997" s="39" t="s">
        <v>149</v>
      </c>
    </row>
    <row r="998" spans="1:20" x14ac:dyDescent="0.25">
      <c r="A998" s="20">
        <v>42133</v>
      </c>
      <c r="B998" s="183">
        <v>20572</v>
      </c>
      <c r="C998" s="14" t="s">
        <v>154</v>
      </c>
      <c r="D998" s="105">
        <v>15453.6</v>
      </c>
      <c r="E998" s="23">
        <v>42134</v>
      </c>
      <c r="F998" s="106">
        <v>15453.6</v>
      </c>
      <c r="G998" s="31">
        <f t="shared" si="30"/>
        <v>0</v>
      </c>
      <c r="H998" s="19" t="s">
        <v>1257</v>
      </c>
      <c r="K998" s="3"/>
      <c r="M998" s="20">
        <v>42152</v>
      </c>
      <c r="N998" s="183">
        <v>22524</v>
      </c>
      <c r="O998" s="14" t="s">
        <v>195</v>
      </c>
      <c r="P998" s="105">
        <v>141038.28</v>
      </c>
      <c r="Q998" s="30" t="s">
        <v>1362</v>
      </c>
      <c r="R998" s="106">
        <v>141038.28</v>
      </c>
      <c r="S998" s="31">
        <f t="shared" si="31"/>
        <v>0</v>
      </c>
      <c r="T998" s="39" t="s">
        <v>149</v>
      </c>
    </row>
    <row r="999" spans="1:20" x14ac:dyDescent="0.25">
      <c r="A999" s="20">
        <v>42133</v>
      </c>
      <c r="B999" s="183">
        <v>20573</v>
      </c>
      <c r="C999" s="14" t="s">
        <v>440</v>
      </c>
      <c r="D999" s="105">
        <v>13827</v>
      </c>
      <c r="E999" s="23">
        <v>42133</v>
      </c>
      <c r="F999" s="106">
        <v>13827</v>
      </c>
      <c r="G999" s="31">
        <f t="shared" si="30"/>
        <v>0</v>
      </c>
      <c r="H999" s="19" t="s">
        <v>9</v>
      </c>
      <c r="J999" s="107"/>
      <c r="K999" s="3"/>
      <c r="M999" s="20">
        <v>42152</v>
      </c>
      <c r="N999" s="183">
        <v>22526</v>
      </c>
      <c r="O999" s="14" t="s">
        <v>195</v>
      </c>
      <c r="P999" s="105">
        <v>2439</v>
      </c>
      <c r="Q999" s="30" t="s">
        <v>1362</v>
      </c>
      <c r="R999" s="106">
        <v>2439</v>
      </c>
      <c r="S999" s="31">
        <f t="shared" si="31"/>
        <v>0</v>
      </c>
      <c r="T999" s="39" t="s">
        <v>149</v>
      </c>
    </row>
    <row r="1000" spans="1:20" x14ac:dyDescent="0.25">
      <c r="A1000" s="20">
        <v>42133</v>
      </c>
      <c r="B1000" s="183">
        <v>20574</v>
      </c>
      <c r="C1000" s="14" t="s">
        <v>91</v>
      </c>
      <c r="D1000" s="105">
        <v>25180.2</v>
      </c>
      <c r="E1000" s="23">
        <v>42134</v>
      </c>
      <c r="F1000" s="106">
        <v>25180.2</v>
      </c>
      <c r="G1000" s="31">
        <f t="shared" si="30"/>
        <v>0</v>
      </c>
      <c r="H1000" s="19" t="s">
        <v>59</v>
      </c>
      <c r="J1000" s="107"/>
      <c r="K1000" s="3"/>
      <c r="M1000" s="20">
        <v>42132</v>
      </c>
      <c r="N1000" s="183">
        <v>20343</v>
      </c>
      <c r="O1000" s="14" t="s">
        <v>1128</v>
      </c>
      <c r="P1000" s="105">
        <v>2343</v>
      </c>
      <c r="Q1000" s="23">
        <v>42132</v>
      </c>
      <c r="R1000" s="106">
        <v>2343</v>
      </c>
      <c r="S1000" s="31">
        <f t="shared" si="31"/>
        <v>0</v>
      </c>
      <c r="T1000" s="19" t="s">
        <v>9</v>
      </c>
    </row>
    <row r="1001" spans="1:20" x14ac:dyDescent="0.25">
      <c r="A1001" s="20">
        <v>42133</v>
      </c>
      <c r="B1001" s="183">
        <v>20575</v>
      </c>
      <c r="C1001" s="14" t="s">
        <v>235</v>
      </c>
      <c r="D1001" s="105">
        <v>2016.3</v>
      </c>
      <c r="E1001" s="23">
        <v>42136</v>
      </c>
      <c r="F1001" s="106">
        <v>2016.3</v>
      </c>
      <c r="G1001" s="31">
        <f t="shared" si="30"/>
        <v>0</v>
      </c>
      <c r="H1001" s="19" t="s">
        <v>1257</v>
      </c>
      <c r="K1001" s="3"/>
      <c r="M1001" s="20">
        <v>42133</v>
      </c>
      <c r="N1001" s="183">
        <v>20476</v>
      </c>
      <c r="O1001" s="14" t="s">
        <v>1128</v>
      </c>
      <c r="P1001" s="105">
        <v>5521.1</v>
      </c>
      <c r="Q1001" s="23">
        <v>42133</v>
      </c>
      <c r="R1001" s="106">
        <v>5521.1</v>
      </c>
      <c r="S1001" s="31">
        <f t="shared" si="31"/>
        <v>0</v>
      </c>
      <c r="T1001" s="39" t="s">
        <v>9</v>
      </c>
    </row>
    <row r="1002" spans="1:20" x14ac:dyDescent="0.25">
      <c r="A1002" s="20">
        <v>42133</v>
      </c>
      <c r="B1002" s="183">
        <v>20576</v>
      </c>
      <c r="C1002" s="14" t="s">
        <v>720</v>
      </c>
      <c r="D1002" s="105">
        <v>470.4</v>
      </c>
      <c r="E1002" s="23">
        <v>42133</v>
      </c>
      <c r="F1002" s="106">
        <v>470.4</v>
      </c>
      <c r="G1002" s="31">
        <f t="shared" si="30"/>
        <v>0</v>
      </c>
      <c r="H1002" s="19" t="s">
        <v>9</v>
      </c>
      <c r="K1002" s="3"/>
      <c r="M1002" s="20">
        <v>42137</v>
      </c>
      <c r="N1002" s="183">
        <v>20874</v>
      </c>
      <c r="O1002" s="14" t="s">
        <v>1128</v>
      </c>
      <c r="P1002" s="105">
        <v>2227.1999999999998</v>
      </c>
      <c r="Q1002" s="23">
        <v>42137</v>
      </c>
      <c r="R1002" s="106">
        <v>2227.1999999999998</v>
      </c>
      <c r="S1002" s="31">
        <f t="shared" si="31"/>
        <v>0</v>
      </c>
      <c r="T1002" s="39" t="s">
        <v>9</v>
      </c>
    </row>
    <row r="1003" spans="1:20" x14ac:dyDescent="0.25">
      <c r="A1003" s="20">
        <v>42133</v>
      </c>
      <c r="B1003" s="183">
        <v>20577</v>
      </c>
      <c r="C1003" s="14" t="s">
        <v>1338</v>
      </c>
      <c r="D1003" s="105">
        <v>64622.239999999998</v>
      </c>
      <c r="E1003" s="23">
        <v>42140</v>
      </c>
      <c r="F1003" s="106">
        <v>64622.239999999998</v>
      </c>
      <c r="G1003" s="31">
        <f t="shared" si="30"/>
        <v>0</v>
      </c>
      <c r="H1003" s="19" t="s">
        <v>59</v>
      </c>
      <c r="K1003" s="3"/>
      <c r="M1003" s="20">
        <v>42125</v>
      </c>
      <c r="N1003" s="183">
        <v>19638</v>
      </c>
      <c r="O1003" s="14" t="s">
        <v>571</v>
      </c>
      <c r="P1003" s="105">
        <v>379427.4</v>
      </c>
      <c r="Q1003" s="23">
        <v>42135</v>
      </c>
      <c r="R1003" s="106">
        <v>379427.4</v>
      </c>
      <c r="S1003" s="25">
        <f t="shared" si="31"/>
        <v>0</v>
      </c>
      <c r="T1003" s="19" t="s">
        <v>1013</v>
      </c>
    </row>
    <row r="1004" spans="1:20" x14ac:dyDescent="0.25">
      <c r="A1004" s="20">
        <v>42133</v>
      </c>
      <c r="B1004" s="183">
        <v>20578</v>
      </c>
      <c r="C1004" s="14" t="s">
        <v>440</v>
      </c>
      <c r="D1004" s="105">
        <v>534.6</v>
      </c>
      <c r="E1004" s="23">
        <v>42133</v>
      </c>
      <c r="F1004" s="106">
        <v>534.6</v>
      </c>
      <c r="G1004" s="31">
        <f t="shared" si="30"/>
        <v>0</v>
      </c>
      <c r="H1004" s="19" t="s">
        <v>9</v>
      </c>
      <c r="K1004" s="3"/>
      <c r="M1004" s="20">
        <v>42127</v>
      </c>
      <c r="N1004" s="183">
        <v>19819</v>
      </c>
      <c r="O1004" s="40" t="s">
        <v>571</v>
      </c>
      <c r="P1004" s="105">
        <v>10481</v>
      </c>
      <c r="Q1004" s="23">
        <v>42127</v>
      </c>
      <c r="R1004" s="106">
        <v>10481</v>
      </c>
      <c r="S1004" s="31">
        <f t="shared" si="31"/>
        <v>0</v>
      </c>
      <c r="T1004" s="41" t="s">
        <v>9</v>
      </c>
    </row>
    <row r="1005" spans="1:20" x14ac:dyDescent="0.25">
      <c r="A1005" s="20">
        <v>42133</v>
      </c>
      <c r="B1005" s="183">
        <v>20579</v>
      </c>
      <c r="C1005" s="14" t="s">
        <v>383</v>
      </c>
      <c r="D1005" s="105">
        <v>2646</v>
      </c>
      <c r="E1005" s="23">
        <v>42133</v>
      </c>
      <c r="F1005" s="106">
        <v>2646</v>
      </c>
      <c r="G1005" s="31">
        <f t="shared" si="30"/>
        <v>0</v>
      </c>
      <c r="H1005" s="19" t="s">
        <v>9</v>
      </c>
      <c r="K1005" s="3"/>
      <c r="M1005" s="20">
        <v>42130</v>
      </c>
      <c r="N1005" s="183">
        <v>20195</v>
      </c>
      <c r="O1005" s="14" t="s">
        <v>571</v>
      </c>
      <c r="P1005" s="105">
        <v>31885.01</v>
      </c>
      <c r="Q1005" s="23">
        <v>42135</v>
      </c>
      <c r="R1005" s="106">
        <v>31885.01</v>
      </c>
      <c r="S1005" s="31">
        <f t="shared" si="31"/>
        <v>0</v>
      </c>
      <c r="T1005" s="39" t="s">
        <v>9</v>
      </c>
    </row>
    <row r="1006" spans="1:20" x14ac:dyDescent="0.25">
      <c r="A1006" s="20">
        <v>42133</v>
      </c>
      <c r="B1006" s="183">
        <v>20580</v>
      </c>
      <c r="C1006" s="14" t="s">
        <v>47</v>
      </c>
      <c r="D1006" s="105">
        <v>22476.11</v>
      </c>
      <c r="E1006" s="23">
        <v>42135</v>
      </c>
      <c r="F1006" s="106">
        <v>22476.11</v>
      </c>
      <c r="G1006" s="31">
        <f t="shared" si="30"/>
        <v>0</v>
      </c>
      <c r="H1006" s="19" t="s">
        <v>1257</v>
      </c>
      <c r="K1006" s="3"/>
      <c r="M1006" s="20">
        <v>42132</v>
      </c>
      <c r="N1006" s="183">
        <v>20430</v>
      </c>
      <c r="O1006" s="14" t="s">
        <v>571</v>
      </c>
      <c r="P1006" s="105">
        <v>17237.5</v>
      </c>
      <c r="Q1006" s="23">
        <v>42133</v>
      </c>
      <c r="R1006" s="106">
        <v>17237.5</v>
      </c>
      <c r="S1006" s="31">
        <f t="shared" si="31"/>
        <v>0</v>
      </c>
      <c r="T1006" s="19" t="s">
        <v>9</v>
      </c>
    </row>
    <row r="1007" spans="1:20" x14ac:dyDescent="0.25">
      <c r="A1007" s="20">
        <v>42133</v>
      </c>
      <c r="B1007" s="183">
        <v>20581</v>
      </c>
      <c r="C1007" s="14" t="s">
        <v>59</v>
      </c>
      <c r="D1007" s="105">
        <v>138.6</v>
      </c>
      <c r="E1007" s="23">
        <v>42135</v>
      </c>
      <c r="F1007" s="106">
        <v>138.6</v>
      </c>
      <c r="G1007" s="31">
        <f t="shared" si="30"/>
        <v>0</v>
      </c>
      <c r="H1007" s="39" t="s">
        <v>9</v>
      </c>
      <c r="K1007" s="3"/>
      <c r="M1007" s="20">
        <v>42133</v>
      </c>
      <c r="N1007" s="183">
        <v>20588</v>
      </c>
      <c r="O1007" s="14" t="s">
        <v>571</v>
      </c>
      <c r="P1007" s="105">
        <v>26063.8</v>
      </c>
      <c r="Q1007" s="23">
        <v>42135</v>
      </c>
      <c r="R1007" s="106">
        <v>26063.8</v>
      </c>
      <c r="S1007" s="31">
        <f t="shared" si="31"/>
        <v>0</v>
      </c>
      <c r="T1007" s="39" t="s">
        <v>149</v>
      </c>
    </row>
    <row r="1008" spans="1:20" x14ac:dyDescent="0.25">
      <c r="A1008" s="20">
        <v>42133</v>
      </c>
      <c r="B1008" s="183">
        <v>20582</v>
      </c>
      <c r="C1008" s="14" t="s">
        <v>1363</v>
      </c>
      <c r="D1008" s="105">
        <v>15903.63</v>
      </c>
      <c r="E1008" s="23">
        <v>42133</v>
      </c>
      <c r="F1008" s="106">
        <v>15903.63</v>
      </c>
      <c r="G1008" s="31">
        <f t="shared" si="30"/>
        <v>0</v>
      </c>
      <c r="H1008" s="39" t="s">
        <v>9</v>
      </c>
      <c r="K1008" s="3"/>
      <c r="M1008" s="20">
        <v>42138</v>
      </c>
      <c r="N1008" s="183">
        <v>21022</v>
      </c>
      <c r="O1008" s="14" t="s">
        <v>571</v>
      </c>
      <c r="P1008" s="105">
        <v>11158</v>
      </c>
      <c r="Q1008" s="23">
        <v>42138</v>
      </c>
      <c r="R1008" s="106">
        <v>11158</v>
      </c>
      <c r="S1008" s="48">
        <f t="shared" si="31"/>
        <v>0</v>
      </c>
      <c r="T1008" s="39" t="s">
        <v>9</v>
      </c>
    </row>
    <row r="1009" spans="1:20" x14ac:dyDescent="0.25">
      <c r="A1009" s="20">
        <v>42133</v>
      </c>
      <c r="B1009" s="183">
        <v>20583</v>
      </c>
      <c r="C1009" s="14" t="s">
        <v>35</v>
      </c>
      <c r="D1009" s="105">
        <v>25597</v>
      </c>
      <c r="E1009" s="23">
        <v>42134</v>
      </c>
      <c r="F1009" s="106">
        <v>25597</v>
      </c>
      <c r="G1009" s="31">
        <f t="shared" si="30"/>
        <v>0</v>
      </c>
      <c r="H1009" s="39" t="s">
        <v>773</v>
      </c>
      <c r="K1009" s="3"/>
      <c r="M1009" s="20">
        <v>42139</v>
      </c>
      <c r="N1009" s="183">
        <v>21097</v>
      </c>
      <c r="O1009" s="14" t="s">
        <v>571</v>
      </c>
      <c r="P1009" s="105">
        <v>7462</v>
      </c>
      <c r="Q1009" s="23">
        <v>42139</v>
      </c>
      <c r="R1009" s="106">
        <v>7462</v>
      </c>
      <c r="S1009" s="48">
        <f t="shared" si="31"/>
        <v>0</v>
      </c>
      <c r="T1009" s="39" t="s">
        <v>15</v>
      </c>
    </row>
    <row r="1010" spans="1:20" x14ac:dyDescent="0.25">
      <c r="A1010" s="20">
        <v>42133</v>
      </c>
      <c r="B1010" s="183">
        <v>20584</v>
      </c>
      <c r="C1010" s="14" t="s">
        <v>821</v>
      </c>
      <c r="D1010" s="105">
        <v>5979</v>
      </c>
      <c r="E1010" s="23">
        <v>42133</v>
      </c>
      <c r="F1010" s="106">
        <v>5979</v>
      </c>
      <c r="G1010" s="31">
        <f t="shared" si="30"/>
        <v>0</v>
      </c>
      <c r="H1010" s="39" t="s">
        <v>9</v>
      </c>
      <c r="K1010" s="3"/>
      <c r="M1010" s="20">
        <v>42139</v>
      </c>
      <c r="N1010" s="183">
        <v>21199</v>
      </c>
      <c r="O1010" s="14" t="s">
        <v>571</v>
      </c>
      <c r="P1010" s="105">
        <v>71250.899999999994</v>
      </c>
      <c r="Q1010" s="23">
        <v>42140</v>
      </c>
      <c r="R1010" s="106">
        <v>71250.899999999994</v>
      </c>
      <c r="S1010" s="48">
        <f t="shared" si="31"/>
        <v>0</v>
      </c>
      <c r="T1010" s="39" t="s">
        <v>59</v>
      </c>
    </row>
    <row r="1011" spans="1:20" x14ac:dyDescent="0.25">
      <c r="A1011" s="20">
        <v>42133</v>
      </c>
      <c r="B1011" s="183">
        <v>20585</v>
      </c>
      <c r="C1011" s="14" t="s">
        <v>1262</v>
      </c>
      <c r="D1011" s="105">
        <v>118641.73</v>
      </c>
      <c r="E1011" s="23">
        <v>42142</v>
      </c>
      <c r="F1011" s="106">
        <v>118641.73</v>
      </c>
      <c r="G1011" s="31">
        <f t="shared" si="30"/>
        <v>0</v>
      </c>
      <c r="H1011" s="39" t="s">
        <v>773</v>
      </c>
      <c r="K1011" s="3"/>
      <c r="M1011" s="20">
        <v>42140</v>
      </c>
      <c r="N1011" s="183">
        <v>21287</v>
      </c>
      <c r="O1011" s="14" t="s">
        <v>571</v>
      </c>
      <c r="P1011" s="105">
        <v>59583</v>
      </c>
      <c r="Q1011" s="23">
        <v>42140</v>
      </c>
      <c r="R1011" s="124">
        <v>32000</v>
      </c>
      <c r="S1011" s="55">
        <f t="shared" si="31"/>
        <v>27583</v>
      </c>
      <c r="T1011" s="62" t="s">
        <v>1257</v>
      </c>
    </row>
    <row r="1012" spans="1:20" x14ac:dyDescent="0.25">
      <c r="A1012" s="20">
        <v>42133</v>
      </c>
      <c r="B1012" s="183">
        <v>20586</v>
      </c>
      <c r="C1012" s="14" t="s">
        <v>108</v>
      </c>
      <c r="D1012" s="105">
        <v>13843.2</v>
      </c>
      <c r="E1012" s="23" t="s">
        <v>1314</v>
      </c>
      <c r="F1012" s="106">
        <f>478.8+13364.4</f>
        <v>13843.199999999999</v>
      </c>
      <c r="G1012" s="31">
        <f t="shared" si="30"/>
        <v>0</v>
      </c>
      <c r="H1012" s="39" t="s">
        <v>41</v>
      </c>
      <c r="K1012" s="3"/>
      <c r="M1012" s="20">
        <v>42142</v>
      </c>
      <c r="N1012" s="183">
        <v>21497</v>
      </c>
      <c r="O1012" s="14" t="s">
        <v>571</v>
      </c>
      <c r="P1012" s="105">
        <v>4166.3999999999996</v>
      </c>
      <c r="Q1012" s="23">
        <v>42142</v>
      </c>
      <c r="R1012" s="106">
        <v>4166.3999999999996</v>
      </c>
      <c r="S1012" s="31">
        <f t="shared" si="31"/>
        <v>0</v>
      </c>
      <c r="T1012" s="19" t="s">
        <v>41</v>
      </c>
    </row>
    <row r="1013" spans="1:20" x14ac:dyDescent="0.25">
      <c r="A1013" s="20">
        <v>42133</v>
      </c>
      <c r="B1013" s="183">
        <v>20587</v>
      </c>
      <c r="C1013" s="14" t="s">
        <v>24</v>
      </c>
      <c r="D1013" s="105">
        <v>253170.5</v>
      </c>
      <c r="E1013" s="23">
        <v>42153</v>
      </c>
      <c r="F1013" s="106">
        <v>253170.5</v>
      </c>
      <c r="G1013" s="31">
        <f t="shared" si="30"/>
        <v>0</v>
      </c>
      <c r="H1013" s="39" t="s">
        <v>46</v>
      </c>
      <c r="K1013" s="3"/>
      <c r="M1013" s="20">
        <v>42142</v>
      </c>
      <c r="N1013" s="183">
        <v>21499</v>
      </c>
      <c r="O1013" s="14" t="s">
        <v>571</v>
      </c>
      <c r="P1013" s="105">
        <v>4394</v>
      </c>
      <c r="Q1013" s="23">
        <v>42142</v>
      </c>
      <c r="R1013" s="106">
        <v>4394</v>
      </c>
      <c r="S1013" s="31">
        <f t="shared" si="31"/>
        <v>0</v>
      </c>
      <c r="T1013" s="19" t="s">
        <v>41</v>
      </c>
    </row>
    <row r="1014" spans="1:20" x14ac:dyDescent="0.25">
      <c r="A1014" s="20">
        <v>42133</v>
      </c>
      <c r="B1014" s="183">
        <v>20588</v>
      </c>
      <c r="C1014" s="14" t="s">
        <v>571</v>
      </c>
      <c r="D1014" s="105">
        <v>26063.8</v>
      </c>
      <c r="E1014" s="23">
        <v>42135</v>
      </c>
      <c r="F1014" s="106">
        <v>26063.8</v>
      </c>
      <c r="G1014" s="31">
        <f t="shared" si="30"/>
        <v>0</v>
      </c>
      <c r="H1014" s="39" t="s">
        <v>149</v>
      </c>
      <c r="K1014" s="3"/>
      <c r="M1014" s="20">
        <v>42144</v>
      </c>
      <c r="N1014" s="183">
        <v>21690</v>
      </c>
      <c r="O1014" s="14" t="s">
        <v>571</v>
      </c>
      <c r="P1014" s="105">
        <v>9500</v>
      </c>
      <c r="Q1014" s="23">
        <v>42144</v>
      </c>
      <c r="R1014" s="106">
        <v>9500</v>
      </c>
      <c r="S1014" s="31">
        <f t="shared" si="31"/>
        <v>0</v>
      </c>
      <c r="T1014" s="39" t="s">
        <v>94</v>
      </c>
    </row>
    <row r="1015" spans="1:20" x14ac:dyDescent="0.25">
      <c r="A1015" s="20">
        <v>42133</v>
      </c>
      <c r="B1015" s="183">
        <v>20589</v>
      </c>
      <c r="C1015" s="14" t="s">
        <v>24</v>
      </c>
      <c r="D1015" s="105">
        <v>58558</v>
      </c>
      <c r="E1015" s="23">
        <v>42153</v>
      </c>
      <c r="F1015" s="106">
        <v>58558</v>
      </c>
      <c r="G1015" s="31">
        <f t="shared" si="30"/>
        <v>0</v>
      </c>
      <c r="H1015" s="39" t="s">
        <v>9</v>
      </c>
      <c r="K1015" s="3"/>
      <c r="M1015" s="20">
        <v>42146</v>
      </c>
      <c r="N1015" s="183">
        <v>21930</v>
      </c>
      <c r="O1015" s="14" t="s">
        <v>571</v>
      </c>
      <c r="P1015" s="105">
        <v>23411</v>
      </c>
      <c r="Q1015" s="23">
        <v>42147</v>
      </c>
      <c r="R1015" s="106">
        <v>23411</v>
      </c>
      <c r="S1015" s="31">
        <f t="shared" si="31"/>
        <v>0</v>
      </c>
      <c r="T1015" s="39" t="s">
        <v>94</v>
      </c>
    </row>
    <row r="1016" spans="1:20" x14ac:dyDescent="0.25">
      <c r="A1016" s="20">
        <v>42134</v>
      </c>
      <c r="B1016" s="183">
        <v>20590</v>
      </c>
      <c r="C1016" s="14" t="s">
        <v>1101</v>
      </c>
      <c r="D1016" s="105">
        <v>421.6</v>
      </c>
      <c r="E1016" s="51">
        <v>42134</v>
      </c>
      <c r="F1016" s="106">
        <v>421.6</v>
      </c>
      <c r="G1016" s="31">
        <f t="shared" si="30"/>
        <v>0</v>
      </c>
      <c r="H1016" s="39" t="s">
        <v>9</v>
      </c>
      <c r="K1016" s="3"/>
      <c r="M1016" s="20">
        <v>42147</v>
      </c>
      <c r="N1016" s="183">
        <v>22060</v>
      </c>
      <c r="O1016" s="14" t="s">
        <v>571</v>
      </c>
      <c r="P1016" s="105">
        <v>101213.5</v>
      </c>
      <c r="Q1016" s="65"/>
      <c r="R1016" s="106"/>
      <c r="S1016" s="31">
        <f t="shared" si="31"/>
        <v>101213.5</v>
      </c>
      <c r="T1016" s="39" t="s">
        <v>1013</v>
      </c>
    </row>
    <row r="1017" spans="1:20" x14ac:dyDescent="0.25">
      <c r="A1017" s="20">
        <v>42134</v>
      </c>
      <c r="B1017" s="183">
        <v>20591</v>
      </c>
      <c r="C1017" s="150" t="s">
        <v>1020</v>
      </c>
      <c r="D1017" s="105">
        <v>5914.4</v>
      </c>
      <c r="E1017" s="23">
        <v>42134</v>
      </c>
      <c r="F1017" s="106">
        <v>5914.4</v>
      </c>
      <c r="G1017" s="31">
        <f t="shared" si="30"/>
        <v>0</v>
      </c>
      <c r="H1017" s="39" t="s">
        <v>9</v>
      </c>
      <c r="K1017" s="3"/>
      <c r="M1017" s="20">
        <v>42153</v>
      </c>
      <c r="N1017" s="183">
        <v>22662</v>
      </c>
      <c r="O1017" s="14" t="s">
        <v>571</v>
      </c>
      <c r="P1017" s="105">
        <v>6253</v>
      </c>
      <c r="Q1017" s="23">
        <v>42154</v>
      </c>
      <c r="R1017" s="106">
        <v>6253</v>
      </c>
      <c r="S1017" s="31">
        <f t="shared" si="31"/>
        <v>0</v>
      </c>
      <c r="T1017" s="39" t="s">
        <v>9</v>
      </c>
    </row>
    <row r="1018" spans="1:20" x14ac:dyDescent="0.25">
      <c r="A1018" s="20">
        <v>42134</v>
      </c>
      <c r="B1018" s="183">
        <v>20592</v>
      </c>
      <c r="C1018" s="14" t="s">
        <v>18</v>
      </c>
      <c r="D1018" s="105">
        <v>2926.95</v>
      </c>
      <c r="E1018" s="23">
        <v>42134</v>
      </c>
      <c r="F1018" s="106">
        <v>2926.95</v>
      </c>
      <c r="G1018" s="31">
        <f t="shared" si="30"/>
        <v>0</v>
      </c>
      <c r="H1018" s="39" t="s">
        <v>9</v>
      </c>
      <c r="K1018" s="3"/>
      <c r="M1018" s="20">
        <v>42153</v>
      </c>
      <c r="N1018" s="183">
        <v>22668</v>
      </c>
      <c r="O1018" s="14" t="s">
        <v>571</v>
      </c>
      <c r="P1018" s="105">
        <v>7000</v>
      </c>
      <c r="Q1018" s="23"/>
      <c r="R1018" s="106"/>
      <c r="S1018" s="31">
        <f t="shared" si="31"/>
        <v>7000</v>
      </c>
      <c r="T1018" s="39" t="s">
        <v>9</v>
      </c>
    </row>
    <row r="1019" spans="1:20" x14ac:dyDescent="0.25">
      <c r="A1019" s="20">
        <v>42134</v>
      </c>
      <c r="B1019" s="183">
        <v>20593</v>
      </c>
      <c r="C1019" s="14" t="s">
        <v>383</v>
      </c>
      <c r="D1019" s="105">
        <v>5426.4</v>
      </c>
      <c r="E1019" s="23">
        <v>42134</v>
      </c>
      <c r="F1019" s="106">
        <v>5426.4</v>
      </c>
      <c r="G1019" s="31">
        <f t="shared" si="30"/>
        <v>0</v>
      </c>
      <c r="H1019" s="39" t="s">
        <v>9</v>
      </c>
      <c r="K1019" s="3"/>
      <c r="M1019" s="20">
        <v>42128</v>
      </c>
      <c r="N1019" s="183">
        <v>19964</v>
      </c>
      <c r="O1019" s="14" t="s">
        <v>106</v>
      </c>
      <c r="P1019" s="105">
        <v>25758.400000000001</v>
      </c>
      <c r="Q1019" s="23">
        <v>42128</v>
      </c>
      <c r="R1019" s="106">
        <v>25758.400000000001</v>
      </c>
      <c r="S1019" s="31">
        <f t="shared" si="31"/>
        <v>0</v>
      </c>
      <c r="T1019" s="19" t="s">
        <v>94</v>
      </c>
    </row>
    <row r="1020" spans="1:20" x14ac:dyDescent="0.25">
      <c r="A1020" s="20">
        <v>42134</v>
      </c>
      <c r="B1020" s="183">
        <v>20594</v>
      </c>
      <c r="C1020" s="14" t="s">
        <v>21</v>
      </c>
      <c r="D1020" s="105">
        <v>13066.5</v>
      </c>
      <c r="E1020" s="23">
        <v>42134</v>
      </c>
      <c r="F1020" s="106">
        <v>13066.5</v>
      </c>
      <c r="G1020" s="31">
        <f t="shared" si="30"/>
        <v>0</v>
      </c>
      <c r="H1020" s="56" t="s">
        <v>9</v>
      </c>
      <c r="K1020" s="3"/>
      <c r="M1020" s="20">
        <v>42128</v>
      </c>
      <c r="N1020" s="183">
        <v>19996</v>
      </c>
      <c r="O1020" s="14" t="s">
        <v>106</v>
      </c>
      <c r="P1020" s="105">
        <v>3822</v>
      </c>
      <c r="Q1020" s="23">
        <v>42131</v>
      </c>
      <c r="R1020" s="106">
        <v>3822</v>
      </c>
      <c r="S1020" s="31">
        <f t="shared" si="31"/>
        <v>0</v>
      </c>
      <c r="T1020" s="19" t="s">
        <v>9</v>
      </c>
    </row>
    <row r="1021" spans="1:20" x14ac:dyDescent="0.25">
      <c r="A1021" s="20">
        <v>42134</v>
      </c>
      <c r="B1021" s="183">
        <v>20595</v>
      </c>
      <c r="C1021" s="14" t="s">
        <v>86</v>
      </c>
      <c r="D1021" s="105">
        <v>310.3</v>
      </c>
      <c r="E1021" s="23">
        <v>42134</v>
      </c>
      <c r="F1021" s="106">
        <v>310.3</v>
      </c>
      <c r="G1021" s="31">
        <f t="shared" si="30"/>
        <v>0</v>
      </c>
      <c r="H1021" s="39" t="s">
        <v>9</v>
      </c>
      <c r="K1021" s="3"/>
      <c r="M1021" s="20">
        <v>42129</v>
      </c>
      <c r="N1021" s="183">
        <v>20079</v>
      </c>
      <c r="O1021" s="14" t="s">
        <v>106</v>
      </c>
      <c r="P1021" s="105">
        <v>14637.6</v>
      </c>
      <c r="Q1021" s="23">
        <v>42129</v>
      </c>
      <c r="R1021" s="106">
        <v>14637.6</v>
      </c>
      <c r="S1021" s="31">
        <f t="shared" si="31"/>
        <v>0</v>
      </c>
      <c r="T1021" s="39" t="s">
        <v>1273</v>
      </c>
    </row>
    <row r="1022" spans="1:20" x14ac:dyDescent="0.25">
      <c r="A1022" s="20">
        <v>42134</v>
      </c>
      <c r="B1022" s="183">
        <v>20596</v>
      </c>
      <c r="C1022" s="14" t="s">
        <v>121</v>
      </c>
      <c r="D1022" s="105">
        <v>3047.3</v>
      </c>
      <c r="E1022" s="23">
        <v>42134</v>
      </c>
      <c r="F1022" s="106">
        <v>3047.3</v>
      </c>
      <c r="G1022" s="31">
        <f t="shared" si="30"/>
        <v>0</v>
      </c>
      <c r="H1022" s="56" t="s">
        <v>9</v>
      </c>
      <c r="J1022" s="107"/>
      <c r="K1022" s="3"/>
      <c r="M1022" s="20">
        <v>42130</v>
      </c>
      <c r="N1022" s="183">
        <v>20187</v>
      </c>
      <c r="O1022" s="14" t="s">
        <v>106</v>
      </c>
      <c r="P1022" s="105">
        <v>2795.6</v>
      </c>
      <c r="Q1022" s="23">
        <v>42131</v>
      </c>
      <c r="R1022" s="106">
        <v>2795.6</v>
      </c>
      <c r="S1022" s="31">
        <f t="shared" si="31"/>
        <v>0</v>
      </c>
      <c r="T1022" s="39" t="s">
        <v>9</v>
      </c>
    </row>
    <row r="1023" spans="1:20" x14ac:dyDescent="0.25">
      <c r="A1023" s="20">
        <v>42134</v>
      </c>
      <c r="B1023" s="183">
        <v>20597</v>
      </c>
      <c r="C1023" s="14" t="s">
        <v>88</v>
      </c>
      <c r="D1023" s="105">
        <v>513.4</v>
      </c>
      <c r="E1023" s="23">
        <v>42134</v>
      </c>
      <c r="F1023" s="106">
        <v>513.4</v>
      </c>
      <c r="G1023" s="31">
        <f t="shared" si="30"/>
        <v>0</v>
      </c>
      <c r="H1023" s="56" t="s">
        <v>9</v>
      </c>
      <c r="J1023" s="107"/>
      <c r="K1023" s="3"/>
      <c r="M1023" s="20">
        <v>42131</v>
      </c>
      <c r="N1023" s="183">
        <v>20297</v>
      </c>
      <c r="O1023" s="14" t="s">
        <v>106</v>
      </c>
      <c r="P1023" s="105">
        <v>21586.2</v>
      </c>
      <c r="Q1023" s="23">
        <v>42131</v>
      </c>
      <c r="R1023" s="106">
        <v>21586.2</v>
      </c>
      <c r="S1023" s="31">
        <f t="shared" si="31"/>
        <v>0</v>
      </c>
      <c r="T1023" s="19" t="s">
        <v>1257</v>
      </c>
    </row>
    <row r="1024" spans="1:20" x14ac:dyDescent="0.25">
      <c r="A1024" s="20">
        <v>42134</v>
      </c>
      <c r="B1024" s="183">
        <v>20598</v>
      </c>
      <c r="C1024" s="14" t="s">
        <v>720</v>
      </c>
      <c r="D1024" s="105">
        <v>10468.200000000001</v>
      </c>
      <c r="E1024" s="23">
        <v>42134</v>
      </c>
      <c r="F1024" s="106">
        <v>10468.200000000001</v>
      </c>
      <c r="G1024" s="31">
        <f t="shared" si="30"/>
        <v>0</v>
      </c>
      <c r="H1024" s="56" t="s">
        <v>9</v>
      </c>
      <c r="K1024" s="3"/>
      <c r="M1024" s="20">
        <v>42132</v>
      </c>
      <c r="N1024" s="183">
        <v>20431</v>
      </c>
      <c r="O1024" s="14" t="s">
        <v>106</v>
      </c>
      <c r="P1024" s="105">
        <v>3281.6</v>
      </c>
      <c r="Q1024" s="23">
        <v>42133</v>
      </c>
      <c r="R1024" s="106">
        <v>3281.6</v>
      </c>
      <c r="S1024" s="31">
        <f t="shared" si="31"/>
        <v>0</v>
      </c>
      <c r="T1024" s="19" t="s">
        <v>94</v>
      </c>
    </row>
    <row r="1025" spans="1:20" x14ac:dyDescent="0.25">
      <c r="A1025" s="20">
        <v>42134</v>
      </c>
      <c r="B1025" s="183">
        <v>20599</v>
      </c>
      <c r="C1025" s="14" t="s">
        <v>14</v>
      </c>
      <c r="D1025" s="105">
        <v>14088.5</v>
      </c>
      <c r="E1025" s="23">
        <v>42149</v>
      </c>
      <c r="F1025" s="106">
        <v>14088.5</v>
      </c>
      <c r="G1025" s="31">
        <f t="shared" si="30"/>
        <v>0</v>
      </c>
      <c r="H1025" s="56" t="s">
        <v>9</v>
      </c>
      <c r="K1025" s="3"/>
      <c r="M1025" s="20">
        <v>42133</v>
      </c>
      <c r="N1025" s="183">
        <v>20553</v>
      </c>
      <c r="O1025" s="14" t="s">
        <v>106</v>
      </c>
      <c r="P1025" s="105">
        <v>6771.2</v>
      </c>
      <c r="Q1025" s="23">
        <v>42134</v>
      </c>
      <c r="R1025" s="106">
        <v>6771.2</v>
      </c>
      <c r="S1025" s="31">
        <f t="shared" si="31"/>
        <v>0</v>
      </c>
      <c r="T1025" s="19" t="s">
        <v>9</v>
      </c>
    </row>
    <row r="1026" spans="1:20" x14ac:dyDescent="0.25">
      <c r="A1026" s="20">
        <v>42134</v>
      </c>
      <c r="B1026" s="183">
        <v>20600</v>
      </c>
      <c r="C1026" s="14" t="s">
        <v>137</v>
      </c>
      <c r="D1026" s="105">
        <v>1219.2</v>
      </c>
      <c r="E1026" s="23">
        <v>42134</v>
      </c>
      <c r="F1026" s="106">
        <v>1219.2</v>
      </c>
      <c r="G1026" s="31">
        <f t="shared" si="30"/>
        <v>0</v>
      </c>
      <c r="H1026" s="56" t="s">
        <v>9</v>
      </c>
      <c r="I1026" s="3"/>
      <c r="J1026" s="42"/>
      <c r="K1026" s="3"/>
      <c r="M1026" s="20">
        <v>42135</v>
      </c>
      <c r="N1026" s="183">
        <v>20728</v>
      </c>
      <c r="O1026" s="14" t="s">
        <v>106</v>
      </c>
      <c r="P1026" s="105">
        <v>30608.400000000001</v>
      </c>
      <c r="Q1026" s="23" t="s">
        <v>1364</v>
      </c>
      <c r="R1026" s="106">
        <f>29400+1208.4</f>
        <v>30608.400000000001</v>
      </c>
      <c r="S1026" s="48">
        <f t="shared" si="31"/>
        <v>0</v>
      </c>
      <c r="T1026" s="19" t="s">
        <v>94</v>
      </c>
    </row>
    <row r="1027" spans="1:20" x14ac:dyDescent="0.25">
      <c r="A1027" s="20">
        <v>42134</v>
      </c>
      <c r="B1027" s="183">
        <v>20601</v>
      </c>
      <c r="C1027" s="14" t="s">
        <v>122</v>
      </c>
      <c r="D1027" s="105">
        <v>10489.6</v>
      </c>
      <c r="E1027" s="23">
        <v>42134</v>
      </c>
      <c r="F1027" s="118">
        <v>10489.6</v>
      </c>
      <c r="G1027" s="31">
        <f t="shared" ref="G1027:G1090" si="32">D1027-F1027</f>
        <v>0</v>
      </c>
      <c r="H1027" s="56" t="s">
        <v>9</v>
      </c>
      <c r="I1027" s="3"/>
      <c r="J1027" s="42"/>
      <c r="K1027" s="3"/>
      <c r="M1027" s="20">
        <v>42136</v>
      </c>
      <c r="N1027" s="183">
        <v>20843</v>
      </c>
      <c r="O1027" s="150" t="s">
        <v>106</v>
      </c>
      <c r="P1027" s="105">
        <v>9826.4</v>
      </c>
      <c r="Q1027" s="23">
        <v>42137</v>
      </c>
      <c r="R1027" s="106">
        <v>9826.4</v>
      </c>
      <c r="S1027" s="31">
        <f t="shared" ref="S1027:S1090" si="33">P1027-R1027</f>
        <v>0</v>
      </c>
      <c r="T1027" s="39" t="s">
        <v>1273</v>
      </c>
    </row>
    <row r="1028" spans="1:20" x14ac:dyDescent="0.25">
      <c r="A1028" s="20">
        <v>42134</v>
      </c>
      <c r="B1028" s="183">
        <v>20602</v>
      </c>
      <c r="C1028" s="14" t="s">
        <v>236</v>
      </c>
      <c r="D1028" s="105">
        <v>50172.45</v>
      </c>
      <c r="E1028" s="12" t="s">
        <v>1282</v>
      </c>
      <c r="F1028" s="118">
        <f>24555.76+25616.69</f>
        <v>50172.45</v>
      </c>
      <c r="G1028" s="31">
        <f t="shared" si="32"/>
        <v>0</v>
      </c>
      <c r="H1028" s="56" t="s">
        <v>773</v>
      </c>
      <c r="I1028" s="3"/>
      <c r="J1028" s="42"/>
      <c r="K1028" s="3"/>
      <c r="M1028" s="20">
        <v>42137</v>
      </c>
      <c r="N1028" s="183">
        <v>20953</v>
      </c>
      <c r="O1028" s="14" t="s">
        <v>106</v>
      </c>
      <c r="P1028" s="105">
        <v>57078.1</v>
      </c>
      <c r="Q1028" s="23" t="s">
        <v>1365</v>
      </c>
      <c r="R1028" s="106">
        <f>50000+7078.1</f>
        <v>57078.1</v>
      </c>
      <c r="S1028" s="31">
        <f t="shared" si="33"/>
        <v>0</v>
      </c>
      <c r="T1028" s="19" t="s">
        <v>1273</v>
      </c>
    </row>
    <row r="1029" spans="1:20" x14ac:dyDescent="0.25">
      <c r="A1029" s="20">
        <v>42134</v>
      </c>
      <c r="B1029" s="183">
        <v>20603</v>
      </c>
      <c r="C1029" s="14" t="s">
        <v>213</v>
      </c>
      <c r="D1029" s="105">
        <v>7660.8</v>
      </c>
      <c r="E1029" s="23">
        <v>42134</v>
      </c>
      <c r="F1029" s="118">
        <v>7660.8</v>
      </c>
      <c r="G1029" s="31">
        <f t="shared" si="32"/>
        <v>0</v>
      </c>
      <c r="H1029" s="56" t="s">
        <v>773</v>
      </c>
      <c r="I1029" s="3"/>
      <c r="J1029" s="42"/>
      <c r="K1029" s="3"/>
      <c r="M1029" s="20">
        <v>42138</v>
      </c>
      <c r="N1029" s="183">
        <v>21028</v>
      </c>
      <c r="O1029" s="14" t="s">
        <v>106</v>
      </c>
      <c r="P1029" s="105">
        <v>21768.2</v>
      </c>
      <c r="Q1029" s="23">
        <v>42142</v>
      </c>
      <c r="R1029" s="106">
        <v>21768.2</v>
      </c>
      <c r="S1029" s="48">
        <f t="shared" si="33"/>
        <v>0</v>
      </c>
      <c r="T1029" s="39" t="s">
        <v>9</v>
      </c>
    </row>
    <row r="1030" spans="1:20" x14ac:dyDescent="0.25">
      <c r="A1030" s="20">
        <v>42134</v>
      </c>
      <c r="B1030" s="183">
        <v>20604</v>
      </c>
      <c r="C1030" s="14" t="s">
        <v>1058</v>
      </c>
      <c r="D1030" s="105">
        <v>4746</v>
      </c>
      <c r="E1030" s="23">
        <v>42134</v>
      </c>
      <c r="F1030" s="118">
        <v>4746</v>
      </c>
      <c r="G1030" s="31">
        <f t="shared" si="32"/>
        <v>0</v>
      </c>
      <c r="H1030" s="56" t="s">
        <v>9</v>
      </c>
      <c r="I1030" s="3"/>
      <c r="J1030" s="42"/>
      <c r="K1030" s="3"/>
      <c r="M1030" s="20">
        <v>42139</v>
      </c>
      <c r="N1030" s="183">
        <v>21190</v>
      </c>
      <c r="O1030" s="14" t="s">
        <v>106</v>
      </c>
      <c r="P1030" s="105">
        <v>1867.6</v>
      </c>
      <c r="Q1030" s="23">
        <v>42139</v>
      </c>
      <c r="R1030" s="106">
        <v>1867.6</v>
      </c>
      <c r="S1030" s="48">
        <f t="shared" si="33"/>
        <v>0</v>
      </c>
      <c r="T1030" s="39" t="s">
        <v>9</v>
      </c>
    </row>
    <row r="1031" spans="1:20" x14ac:dyDescent="0.25">
      <c r="A1031" s="20">
        <v>42134</v>
      </c>
      <c r="B1031" s="183">
        <v>20605</v>
      </c>
      <c r="C1031" s="14" t="s">
        <v>1256</v>
      </c>
      <c r="D1031" s="105">
        <v>10124.799999999999</v>
      </c>
      <c r="E1031" s="23">
        <v>42134</v>
      </c>
      <c r="F1031" s="118">
        <v>10124.799999999999</v>
      </c>
      <c r="G1031" s="31">
        <f t="shared" si="32"/>
        <v>0</v>
      </c>
      <c r="H1031" s="56" t="s">
        <v>1257</v>
      </c>
      <c r="I1031" s="3"/>
      <c r="J1031" s="42"/>
      <c r="K1031" s="3"/>
      <c r="M1031" s="20">
        <v>42142</v>
      </c>
      <c r="N1031" s="183">
        <v>21509</v>
      </c>
      <c r="O1031" s="14" t="s">
        <v>106</v>
      </c>
      <c r="P1031" s="105">
        <v>545.6</v>
      </c>
      <c r="Q1031" s="23">
        <v>42142</v>
      </c>
      <c r="R1031" s="106">
        <v>545.6</v>
      </c>
      <c r="S1031" s="31">
        <f t="shared" si="33"/>
        <v>0</v>
      </c>
      <c r="T1031" s="39" t="s">
        <v>9</v>
      </c>
    </row>
    <row r="1032" spans="1:20" x14ac:dyDescent="0.25">
      <c r="A1032" s="20">
        <v>42134</v>
      </c>
      <c r="B1032" s="183">
        <v>20606</v>
      </c>
      <c r="C1032" s="14" t="s">
        <v>1256</v>
      </c>
      <c r="D1032" s="105">
        <v>147.6</v>
      </c>
      <c r="E1032" s="23">
        <v>42134</v>
      </c>
      <c r="F1032" s="118">
        <v>147.6</v>
      </c>
      <c r="G1032" s="31">
        <f t="shared" si="32"/>
        <v>0</v>
      </c>
      <c r="H1032" s="56" t="s">
        <v>1257</v>
      </c>
      <c r="I1032" s="3"/>
      <c r="J1032" s="42"/>
      <c r="K1032" s="3"/>
      <c r="M1032" s="20">
        <v>42144</v>
      </c>
      <c r="N1032" s="183">
        <v>21691</v>
      </c>
      <c r="O1032" s="150" t="s">
        <v>106</v>
      </c>
      <c r="P1032" s="105">
        <v>58841.72</v>
      </c>
      <c r="Q1032" s="23">
        <v>42144</v>
      </c>
      <c r="R1032" s="106">
        <v>58841.72</v>
      </c>
      <c r="S1032" s="31">
        <f t="shared" si="33"/>
        <v>0</v>
      </c>
      <c r="T1032" s="39" t="s">
        <v>46</v>
      </c>
    </row>
    <row r="1033" spans="1:20" x14ac:dyDescent="0.25">
      <c r="A1033" s="20">
        <v>42134</v>
      </c>
      <c r="B1033" s="183">
        <v>20607</v>
      </c>
      <c r="C1033" s="14" t="s">
        <v>854</v>
      </c>
      <c r="D1033" s="105">
        <v>2982</v>
      </c>
      <c r="E1033" s="23">
        <v>42134</v>
      </c>
      <c r="F1033" s="118">
        <v>2982</v>
      </c>
      <c r="G1033" s="31">
        <f t="shared" si="32"/>
        <v>0</v>
      </c>
      <c r="H1033" s="56" t="s">
        <v>9</v>
      </c>
      <c r="I1033" s="3"/>
      <c r="J1033" s="42"/>
      <c r="K1033" s="3"/>
      <c r="M1033" s="20">
        <v>42145</v>
      </c>
      <c r="N1033" s="183">
        <v>21784</v>
      </c>
      <c r="O1033" s="15" t="s">
        <v>106</v>
      </c>
      <c r="P1033" s="122">
        <v>31185.200000000001</v>
      </c>
      <c r="Q1033" s="23">
        <v>42147</v>
      </c>
      <c r="R1033" s="118">
        <v>31185.200000000001</v>
      </c>
      <c r="S1033" s="31">
        <f t="shared" si="33"/>
        <v>0</v>
      </c>
      <c r="T1033" s="68" t="s">
        <v>1273</v>
      </c>
    </row>
    <row r="1034" spans="1:20" x14ac:dyDescent="0.25">
      <c r="A1034" s="20">
        <v>42134</v>
      </c>
      <c r="B1034" s="183">
        <v>20608</v>
      </c>
      <c r="C1034" s="14" t="s">
        <v>112</v>
      </c>
      <c r="D1034" s="105">
        <v>8389.6</v>
      </c>
      <c r="E1034" s="23">
        <v>42134</v>
      </c>
      <c r="F1034" s="118">
        <f>5450+2939.6</f>
        <v>8389.6</v>
      </c>
      <c r="G1034" s="31">
        <f t="shared" si="32"/>
        <v>0</v>
      </c>
      <c r="H1034" s="56" t="s">
        <v>9</v>
      </c>
      <c r="I1034" s="3"/>
      <c r="J1034" s="42"/>
      <c r="K1034" s="3"/>
      <c r="M1034" s="20">
        <v>42146</v>
      </c>
      <c r="N1034" s="183">
        <v>21935</v>
      </c>
      <c r="O1034" s="14" t="s">
        <v>106</v>
      </c>
      <c r="P1034" s="105">
        <v>19796.8</v>
      </c>
      <c r="Q1034" s="23">
        <v>42147</v>
      </c>
      <c r="R1034" s="106">
        <v>19796.8</v>
      </c>
      <c r="S1034" s="31">
        <f t="shared" si="33"/>
        <v>0</v>
      </c>
      <c r="T1034" s="39" t="s">
        <v>1273</v>
      </c>
    </row>
    <row r="1035" spans="1:20" x14ac:dyDescent="0.25">
      <c r="A1035" s="20">
        <v>42134</v>
      </c>
      <c r="B1035" s="183">
        <v>20609</v>
      </c>
      <c r="C1035" s="14" t="s">
        <v>112</v>
      </c>
      <c r="D1035" s="105">
        <v>1728.8</v>
      </c>
      <c r="E1035" s="23">
        <v>42134</v>
      </c>
      <c r="F1035" s="118">
        <v>1728.8</v>
      </c>
      <c r="G1035" s="31">
        <f t="shared" si="32"/>
        <v>0</v>
      </c>
      <c r="H1035" s="56" t="s">
        <v>9</v>
      </c>
      <c r="I1035" s="3"/>
      <c r="J1035" s="42"/>
      <c r="K1035" s="3"/>
      <c r="M1035" s="20">
        <v>42147</v>
      </c>
      <c r="N1035" s="183">
        <v>22033</v>
      </c>
      <c r="O1035" s="14" t="s">
        <v>106</v>
      </c>
      <c r="P1035" s="105">
        <v>3919.68</v>
      </c>
      <c r="Q1035" s="65">
        <v>42149</v>
      </c>
      <c r="R1035" s="106">
        <v>3919.68</v>
      </c>
      <c r="S1035" s="31">
        <f t="shared" si="33"/>
        <v>0</v>
      </c>
      <c r="T1035" s="39" t="s">
        <v>15</v>
      </c>
    </row>
    <row r="1036" spans="1:20" x14ac:dyDescent="0.25">
      <c r="A1036" s="20">
        <v>42134</v>
      </c>
      <c r="B1036" s="183">
        <v>20610</v>
      </c>
      <c r="C1036" s="14" t="s">
        <v>482</v>
      </c>
      <c r="D1036" s="105">
        <v>1404.2</v>
      </c>
      <c r="E1036" s="23">
        <v>42134</v>
      </c>
      <c r="F1036" s="118">
        <v>1404.2</v>
      </c>
      <c r="G1036" s="31">
        <f t="shared" si="32"/>
        <v>0</v>
      </c>
      <c r="H1036" s="56" t="s">
        <v>9</v>
      </c>
      <c r="I1036" s="3"/>
      <c r="J1036" s="42"/>
      <c r="K1036" s="3"/>
      <c r="M1036" s="20">
        <v>42154</v>
      </c>
      <c r="N1036" s="183">
        <v>22788</v>
      </c>
      <c r="O1036" s="14" t="s">
        <v>106</v>
      </c>
      <c r="P1036" s="105">
        <v>9414.6</v>
      </c>
      <c r="Q1036" s="23"/>
      <c r="R1036" s="106"/>
      <c r="S1036" s="31">
        <f t="shared" si="33"/>
        <v>9414.6</v>
      </c>
      <c r="T1036" s="39" t="s">
        <v>9</v>
      </c>
    </row>
    <row r="1037" spans="1:20" x14ac:dyDescent="0.25">
      <c r="A1037" s="20">
        <v>42134</v>
      </c>
      <c r="B1037" s="183">
        <v>20611</v>
      </c>
      <c r="C1037" s="26" t="s">
        <v>218</v>
      </c>
      <c r="D1037" s="108">
        <v>0</v>
      </c>
      <c r="E1037" s="23"/>
      <c r="F1037" s="118"/>
      <c r="G1037" s="31">
        <f t="shared" si="32"/>
        <v>0</v>
      </c>
      <c r="H1037" s="56" t="s">
        <v>13</v>
      </c>
      <c r="I1037" s="3"/>
      <c r="J1037" s="42"/>
      <c r="K1037" s="3"/>
      <c r="M1037" s="20">
        <v>42149</v>
      </c>
      <c r="N1037" s="183">
        <v>22201</v>
      </c>
      <c r="O1037" s="14" t="s">
        <v>1366</v>
      </c>
      <c r="P1037" s="105">
        <v>10389.200000000001</v>
      </c>
      <c r="Q1037" s="65"/>
      <c r="R1037" s="106"/>
      <c r="S1037" s="31">
        <f t="shared" si="33"/>
        <v>10389.200000000001</v>
      </c>
      <c r="T1037" s="39" t="s">
        <v>94</v>
      </c>
    </row>
    <row r="1038" spans="1:20" x14ac:dyDescent="0.25">
      <c r="A1038" s="20">
        <v>42134</v>
      </c>
      <c r="B1038" s="183">
        <v>20612</v>
      </c>
      <c r="C1038" s="14" t="s">
        <v>125</v>
      </c>
      <c r="D1038" s="105">
        <v>11638</v>
      </c>
      <c r="E1038" s="23">
        <v>42134</v>
      </c>
      <c r="F1038" s="118">
        <v>11638</v>
      </c>
      <c r="G1038" s="31">
        <f t="shared" si="32"/>
        <v>0</v>
      </c>
      <c r="H1038" s="56" t="s">
        <v>9</v>
      </c>
      <c r="I1038" s="3"/>
      <c r="J1038" s="42"/>
      <c r="K1038" s="3"/>
      <c r="M1038" s="20">
        <v>42150</v>
      </c>
      <c r="N1038" s="183">
        <v>22313</v>
      </c>
      <c r="O1038" s="14" t="s">
        <v>1366</v>
      </c>
      <c r="P1038" s="105">
        <v>21605.5</v>
      </c>
      <c r="Q1038" s="65">
        <v>42151</v>
      </c>
      <c r="R1038" s="106">
        <v>21605.5</v>
      </c>
      <c r="S1038" s="31">
        <f t="shared" si="33"/>
        <v>0</v>
      </c>
      <c r="T1038" s="39" t="s">
        <v>1273</v>
      </c>
    </row>
    <row r="1039" spans="1:20" x14ac:dyDescent="0.25">
      <c r="A1039" s="20">
        <v>42134</v>
      </c>
      <c r="B1039" s="183">
        <v>20613</v>
      </c>
      <c r="C1039" s="14" t="s">
        <v>130</v>
      </c>
      <c r="D1039" s="105">
        <v>8336.4</v>
      </c>
      <c r="E1039" s="23">
        <v>42134</v>
      </c>
      <c r="F1039" s="118">
        <v>8336.4</v>
      </c>
      <c r="G1039" s="31">
        <f t="shared" si="32"/>
        <v>0</v>
      </c>
      <c r="H1039" s="56" t="s">
        <v>1257</v>
      </c>
      <c r="I1039" s="3"/>
      <c r="J1039" s="42"/>
      <c r="K1039" s="3"/>
      <c r="M1039" s="20">
        <v>42152</v>
      </c>
      <c r="N1039" s="183">
        <v>22504</v>
      </c>
      <c r="O1039" s="14" t="s">
        <v>1366</v>
      </c>
      <c r="P1039" s="105">
        <v>74056.399999999994</v>
      </c>
      <c r="Q1039" s="23"/>
      <c r="R1039" s="106"/>
      <c r="S1039" s="31">
        <f t="shared" si="33"/>
        <v>74056.399999999994</v>
      </c>
      <c r="T1039" s="39" t="s">
        <v>1273</v>
      </c>
    </row>
    <row r="1040" spans="1:20" x14ac:dyDescent="0.25">
      <c r="A1040" s="20">
        <v>42134</v>
      </c>
      <c r="B1040" s="183">
        <v>20614</v>
      </c>
      <c r="C1040" s="14" t="s">
        <v>131</v>
      </c>
      <c r="D1040" s="105">
        <v>9980.7000000000007</v>
      </c>
      <c r="E1040" s="23">
        <v>42135</v>
      </c>
      <c r="F1040" s="118">
        <v>9980.7000000000007</v>
      </c>
      <c r="G1040" s="31">
        <f t="shared" si="32"/>
        <v>0</v>
      </c>
      <c r="H1040" s="56" t="s">
        <v>1257</v>
      </c>
      <c r="I1040" s="3"/>
      <c r="J1040" s="42"/>
      <c r="K1040" s="3"/>
      <c r="M1040" s="20">
        <v>42150</v>
      </c>
      <c r="N1040" s="183">
        <v>22301</v>
      </c>
      <c r="O1040" s="14" t="s">
        <v>1367</v>
      </c>
      <c r="P1040" s="105">
        <v>7614</v>
      </c>
      <c r="Q1040" s="65">
        <v>42151</v>
      </c>
      <c r="R1040" s="106">
        <v>7614</v>
      </c>
      <c r="S1040" s="31">
        <f t="shared" si="33"/>
        <v>0</v>
      </c>
      <c r="T1040" s="39" t="s">
        <v>9</v>
      </c>
    </row>
    <row r="1041" spans="1:20" x14ac:dyDescent="0.25">
      <c r="A1041" s="20">
        <v>42134</v>
      </c>
      <c r="B1041" s="183">
        <v>20615</v>
      </c>
      <c r="C1041" s="14" t="s">
        <v>165</v>
      </c>
      <c r="D1041" s="105">
        <v>2394</v>
      </c>
      <c r="E1041" s="23">
        <v>42135</v>
      </c>
      <c r="F1041" s="118">
        <v>2394</v>
      </c>
      <c r="G1041" s="31">
        <f t="shared" si="32"/>
        <v>0</v>
      </c>
      <c r="H1041" s="56" t="s">
        <v>1257</v>
      </c>
      <c r="I1041" s="3"/>
      <c r="J1041" s="42"/>
      <c r="K1041" s="3"/>
      <c r="M1041" s="20">
        <v>42140</v>
      </c>
      <c r="N1041" s="183">
        <v>21304</v>
      </c>
      <c r="O1041" s="14" t="s">
        <v>1368</v>
      </c>
      <c r="P1041" s="105">
        <v>21880.799999999999</v>
      </c>
      <c r="Q1041" s="23">
        <v>42142</v>
      </c>
      <c r="R1041" s="118">
        <v>21880.799999999999</v>
      </c>
      <c r="S1041" s="31">
        <f t="shared" si="33"/>
        <v>0</v>
      </c>
      <c r="T1041" s="62" t="s">
        <v>1273</v>
      </c>
    </row>
    <row r="1042" spans="1:20" x14ac:dyDescent="0.25">
      <c r="A1042" s="20">
        <v>42134</v>
      </c>
      <c r="B1042" s="183">
        <v>20616</v>
      </c>
      <c r="C1042" s="14" t="s">
        <v>24</v>
      </c>
      <c r="D1042" s="105">
        <v>2534.4</v>
      </c>
      <c r="E1042" s="23">
        <v>42153</v>
      </c>
      <c r="F1042" s="118">
        <v>2534.4</v>
      </c>
      <c r="G1042" s="31">
        <f t="shared" si="32"/>
        <v>0</v>
      </c>
      <c r="H1042" s="56" t="s">
        <v>9</v>
      </c>
      <c r="K1042" s="3"/>
      <c r="M1042" s="20">
        <v>42126</v>
      </c>
      <c r="N1042" s="183">
        <v>19809</v>
      </c>
      <c r="O1042" s="40" t="s">
        <v>154</v>
      </c>
      <c r="P1042" s="105">
        <v>18139.5</v>
      </c>
      <c r="Q1042" s="23">
        <v>42127</v>
      </c>
      <c r="R1042" s="106">
        <v>18139.5</v>
      </c>
      <c r="S1042" s="31">
        <f t="shared" si="33"/>
        <v>0</v>
      </c>
      <c r="T1042" s="41" t="s">
        <v>773</v>
      </c>
    </row>
    <row r="1043" spans="1:20" x14ac:dyDescent="0.25">
      <c r="A1043" s="20">
        <v>42134</v>
      </c>
      <c r="B1043" s="183">
        <v>20617</v>
      </c>
      <c r="C1043" s="14" t="s">
        <v>399</v>
      </c>
      <c r="D1043" s="105">
        <v>401.2</v>
      </c>
      <c r="E1043" s="23">
        <v>42134</v>
      </c>
      <c r="F1043" s="118">
        <v>401.2</v>
      </c>
      <c r="G1043" s="31">
        <f t="shared" si="32"/>
        <v>0</v>
      </c>
      <c r="H1043" s="56" t="s">
        <v>1257</v>
      </c>
      <c r="K1043" s="3"/>
      <c r="M1043" s="20">
        <v>42133</v>
      </c>
      <c r="N1043" s="183">
        <v>20572</v>
      </c>
      <c r="O1043" s="14" t="s">
        <v>154</v>
      </c>
      <c r="P1043" s="105">
        <v>15453.6</v>
      </c>
      <c r="Q1043" s="23">
        <v>42134</v>
      </c>
      <c r="R1043" s="106">
        <v>15453.6</v>
      </c>
      <c r="S1043" s="31">
        <f t="shared" si="33"/>
        <v>0</v>
      </c>
      <c r="T1043" s="19" t="s">
        <v>1257</v>
      </c>
    </row>
    <row r="1044" spans="1:20" x14ac:dyDescent="0.25">
      <c r="A1044" s="20">
        <v>42134</v>
      </c>
      <c r="B1044" s="183">
        <v>20618</v>
      </c>
      <c r="C1044" s="14" t="s">
        <v>50</v>
      </c>
      <c r="D1044" s="105">
        <v>1468.8</v>
      </c>
      <c r="E1044" s="23">
        <v>42134</v>
      </c>
      <c r="F1044" s="118">
        <v>1468.8</v>
      </c>
      <c r="G1044" s="31">
        <f t="shared" si="32"/>
        <v>0</v>
      </c>
      <c r="H1044" s="56" t="s">
        <v>9</v>
      </c>
      <c r="K1044" s="3"/>
      <c r="M1044" s="20">
        <v>42140</v>
      </c>
      <c r="N1044" s="183">
        <v>21285</v>
      </c>
      <c r="O1044" s="150" t="s">
        <v>154</v>
      </c>
      <c r="P1044" s="105">
        <v>16998.400000000001</v>
      </c>
      <c r="Q1044" s="23">
        <v>42141</v>
      </c>
      <c r="R1044" s="118">
        <v>16998.400000000001</v>
      </c>
      <c r="S1044" s="31">
        <f t="shared" si="33"/>
        <v>0</v>
      </c>
      <c r="T1044" s="62" t="s">
        <v>773</v>
      </c>
    </row>
    <row r="1045" spans="1:20" x14ac:dyDescent="0.25">
      <c r="A1045" s="20">
        <v>42134</v>
      </c>
      <c r="B1045" s="183">
        <v>20619</v>
      </c>
      <c r="C1045" s="14" t="s">
        <v>215</v>
      </c>
      <c r="D1045" s="105">
        <v>27674.9</v>
      </c>
      <c r="E1045" s="23">
        <v>42134</v>
      </c>
      <c r="F1045" s="118">
        <v>27674.9</v>
      </c>
      <c r="G1045" s="31">
        <f t="shared" si="32"/>
        <v>0</v>
      </c>
      <c r="H1045" s="56" t="s">
        <v>1257</v>
      </c>
      <c r="K1045" s="3"/>
      <c r="M1045" s="20">
        <v>42147</v>
      </c>
      <c r="N1045" s="183">
        <v>22052</v>
      </c>
      <c r="O1045" s="14" t="s">
        <v>154</v>
      </c>
      <c r="P1045" s="105">
        <v>15464.4</v>
      </c>
      <c r="Q1045" s="65">
        <v>42148</v>
      </c>
      <c r="R1045" s="106">
        <v>15464.4</v>
      </c>
      <c r="S1045" s="31">
        <f t="shared" si="33"/>
        <v>0</v>
      </c>
      <c r="T1045" s="39" t="s">
        <v>773</v>
      </c>
    </row>
    <row r="1046" spans="1:20" x14ac:dyDescent="0.25">
      <c r="A1046" s="20">
        <v>42134</v>
      </c>
      <c r="B1046" s="183">
        <v>20620</v>
      </c>
      <c r="C1046" s="14" t="s">
        <v>164</v>
      </c>
      <c r="D1046" s="105">
        <v>2631</v>
      </c>
      <c r="E1046" s="23">
        <v>42134</v>
      </c>
      <c r="F1046" s="118">
        <v>2631</v>
      </c>
      <c r="G1046" s="31">
        <f t="shared" si="32"/>
        <v>0</v>
      </c>
      <c r="H1046" s="56" t="s">
        <v>9</v>
      </c>
      <c r="K1046" s="3"/>
      <c r="M1046" s="20">
        <v>42132</v>
      </c>
      <c r="N1046" s="183">
        <v>20412</v>
      </c>
      <c r="O1046" s="14" t="s">
        <v>861</v>
      </c>
      <c r="P1046" s="105">
        <v>6475.7</v>
      </c>
      <c r="Q1046" s="23">
        <v>42132</v>
      </c>
      <c r="R1046" s="106">
        <v>6475.7</v>
      </c>
      <c r="S1046" s="31">
        <f t="shared" si="33"/>
        <v>0</v>
      </c>
      <c r="T1046" s="19" t="s">
        <v>9</v>
      </c>
    </row>
    <row r="1047" spans="1:20" x14ac:dyDescent="0.25">
      <c r="A1047" s="20">
        <v>42134</v>
      </c>
      <c r="B1047" s="183">
        <v>20621</v>
      </c>
      <c r="C1047" s="14" t="s">
        <v>1338</v>
      </c>
      <c r="D1047" s="105">
        <v>6029.64</v>
      </c>
      <c r="E1047" s="23">
        <v>42140</v>
      </c>
      <c r="F1047" s="118">
        <v>6029.64</v>
      </c>
      <c r="G1047" s="31">
        <f t="shared" si="32"/>
        <v>0</v>
      </c>
      <c r="H1047" s="56" t="s">
        <v>59</v>
      </c>
      <c r="K1047" s="3"/>
      <c r="M1047" s="20">
        <v>42132</v>
      </c>
      <c r="N1047" s="183">
        <v>20415</v>
      </c>
      <c r="O1047" s="14" t="s">
        <v>861</v>
      </c>
      <c r="P1047" s="105">
        <v>673.75</v>
      </c>
      <c r="Q1047" s="23">
        <v>42132</v>
      </c>
      <c r="R1047" s="106">
        <v>673.75</v>
      </c>
      <c r="S1047" s="31">
        <f t="shared" si="33"/>
        <v>0</v>
      </c>
      <c r="T1047" s="19" t="s">
        <v>9</v>
      </c>
    </row>
    <row r="1048" spans="1:20" x14ac:dyDescent="0.25">
      <c r="A1048" s="20">
        <v>42134</v>
      </c>
      <c r="B1048" s="183">
        <v>20622</v>
      </c>
      <c r="C1048" s="14" t="s">
        <v>152</v>
      </c>
      <c r="D1048" s="105">
        <v>9426.6</v>
      </c>
      <c r="E1048" s="23">
        <v>42134</v>
      </c>
      <c r="F1048" s="118">
        <v>9426.6</v>
      </c>
      <c r="G1048" s="31">
        <f t="shared" si="32"/>
        <v>0</v>
      </c>
      <c r="H1048" s="56" t="s">
        <v>59</v>
      </c>
      <c r="J1048" s="107"/>
      <c r="K1048" s="3"/>
      <c r="M1048" s="20">
        <v>42132</v>
      </c>
      <c r="N1048" s="183">
        <v>20416</v>
      </c>
      <c r="O1048" s="14" t="s">
        <v>861</v>
      </c>
      <c r="P1048" s="105">
        <v>519.79999999999995</v>
      </c>
      <c r="Q1048" s="23">
        <v>42132</v>
      </c>
      <c r="R1048" s="106">
        <v>519.79999999999995</v>
      </c>
      <c r="S1048" s="31">
        <f t="shared" si="33"/>
        <v>0</v>
      </c>
      <c r="T1048" s="19" t="s">
        <v>9</v>
      </c>
    </row>
    <row r="1049" spans="1:20" x14ac:dyDescent="0.25">
      <c r="A1049" s="20">
        <v>42134</v>
      </c>
      <c r="B1049" s="183">
        <v>20623</v>
      </c>
      <c r="C1049" s="14" t="s">
        <v>155</v>
      </c>
      <c r="D1049" s="105">
        <v>1306.2</v>
      </c>
      <c r="E1049" s="23">
        <v>42134</v>
      </c>
      <c r="F1049" s="118">
        <v>1306.2</v>
      </c>
      <c r="G1049" s="31">
        <f t="shared" si="32"/>
        <v>0</v>
      </c>
      <c r="H1049" s="56" t="s">
        <v>59</v>
      </c>
      <c r="K1049" s="3"/>
      <c r="M1049" s="20">
        <v>42131</v>
      </c>
      <c r="N1049" s="183">
        <v>20303</v>
      </c>
      <c r="O1049" s="14" t="s">
        <v>249</v>
      </c>
      <c r="P1049" s="105">
        <v>2383.1999999999998</v>
      </c>
      <c r="Q1049" s="23">
        <v>42132</v>
      </c>
      <c r="R1049" s="106">
        <v>2383.1999999999998</v>
      </c>
      <c r="S1049" s="31">
        <f t="shared" si="33"/>
        <v>0</v>
      </c>
      <c r="T1049" s="19" t="s">
        <v>94</v>
      </c>
    </row>
    <row r="1050" spans="1:20" x14ac:dyDescent="0.25">
      <c r="A1050" s="20">
        <v>42134</v>
      </c>
      <c r="B1050" s="183">
        <v>20624</v>
      </c>
      <c r="C1050" s="14" t="s">
        <v>102</v>
      </c>
      <c r="D1050" s="105">
        <v>2279.1999999999998</v>
      </c>
      <c r="E1050" s="23">
        <v>42134</v>
      </c>
      <c r="F1050" s="118">
        <v>2279.1999999999998</v>
      </c>
      <c r="G1050" s="31">
        <f t="shared" si="32"/>
        <v>0</v>
      </c>
      <c r="H1050" s="56" t="s">
        <v>9</v>
      </c>
      <c r="K1050" s="3"/>
      <c r="M1050" s="20">
        <v>42130</v>
      </c>
      <c r="N1050" s="183">
        <v>20182</v>
      </c>
      <c r="O1050" s="14" t="s">
        <v>251</v>
      </c>
      <c r="P1050" s="105">
        <v>24416</v>
      </c>
      <c r="Q1050" s="23">
        <v>42131</v>
      </c>
      <c r="R1050" s="106">
        <v>24416</v>
      </c>
      <c r="S1050" s="31">
        <f t="shared" si="33"/>
        <v>0</v>
      </c>
      <c r="T1050" s="39" t="s">
        <v>94</v>
      </c>
    </row>
    <row r="1051" spans="1:20" x14ac:dyDescent="0.25">
      <c r="A1051" s="20">
        <v>42134</v>
      </c>
      <c r="B1051" s="183">
        <v>20625</v>
      </c>
      <c r="C1051" s="14" t="s">
        <v>148</v>
      </c>
      <c r="D1051" s="105">
        <v>4730.3999999999996</v>
      </c>
      <c r="E1051" s="23">
        <v>42134</v>
      </c>
      <c r="F1051" s="118">
        <v>4730.3999999999996</v>
      </c>
      <c r="G1051" s="31">
        <f t="shared" si="32"/>
        <v>0</v>
      </c>
      <c r="H1051" s="56" t="s">
        <v>9</v>
      </c>
      <c r="K1051" s="3"/>
      <c r="M1051" s="20">
        <v>42131</v>
      </c>
      <c r="N1051" s="183">
        <v>20283</v>
      </c>
      <c r="O1051" s="14" t="s">
        <v>251</v>
      </c>
      <c r="P1051" s="105">
        <v>4116</v>
      </c>
      <c r="Q1051" s="23">
        <v>42131</v>
      </c>
      <c r="R1051" s="106">
        <v>4116</v>
      </c>
      <c r="S1051" s="31">
        <f t="shared" si="33"/>
        <v>0</v>
      </c>
      <c r="T1051" s="19" t="s">
        <v>41</v>
      </c>
    </row>
    <row r="1052" spans="1:20" x14ac:dyDescent="0.25">
      <c r="A1052" s="20">
        <v>42134</v>
      </c>
      <c r="B1052" s="183">
        <v>20626</v>
      </c>
      <c r="C1052" s="14" t="s">
        <v>872</v>
      </c>
      <c r="D1052" s="105">
        <v>495.3</v>
      </c>
      <c r="E1052" s="23">
        <v>42134</v>
      </c>
      <c r="F1052" s="118">
        <v>495.3</v>
      </c>
      <c r="G1052" s="31">
        <f t="shared" si="32"/>
        <v>0</v>
      </c>
      <c r="H1052" s="56" t="s">
        <v>59</v>
      </c>
      <c r="K1052" s="3"/>
      <c r="M1052" s="20">
        <v>42137</v>
      </c>
      <c r="N1052" s="183">
        <v>20951</v>
      </c>
      <c r="O1052" s="14" t="s">
        <v>251</v>
      </c>
      <c r="P1052" s="105">
        <v>22576.400000000001</v>
      </c>
      <c r="Q1052" s="23">
        <v>42138</v>
      </c>
      <c r="R1052" s="106">
        <v>22576.400000000001</v>
      </c>
      <c r="S1052" s="31">
        <f t="shared" si="33"/>
        <v>0</v>
      </c>
      <c r="T1052" s="19" t="s">
        <v>1273</v>
      </c>
    </row>
    <row r="1053" spans="1:20" x14ac:dyDescent="0.25">
      <c r="A1053" s="20">
        <v>42134</v>
      </c>
      <c r="B1053" s="183">
        <v>20627</v>
      </c>
      <c r="C1053" s="14" t="s">
        <v>82</v>
      </c>
      <c r="D1053" s="105">
        <v>2375.1</v>
      </c>
      <c r="E1053" s="23">
        <v>42134</v>
      </c>
      <c r="F1053" s="118">
        <v>2375.1</v>
      </c>
      <c r="G1053" s="31">
        <f t="shared" si="32"/>
        <v>0</v>
      </c>
      <c r="H1053" s="56" t="s">
        <v>59</v>
      </c>
      <c r="K1053" s="3"/>
      <c r="M1053" s="20">
        <v>42145</v>
      </c>
      <c r="N1053" s="183">
        <v>21775</v>
      </c>
      <c r="O1053" s="15" t="s">
        <v>251</v>
      </c>
      <c r="P1053" s="122">
        <v>25172</v>
      </c>
      <c r="Q1053" s="23">
        <v>42146</v>
      </c>
      <c r="R1053" s="118">
        <v>25172</v>
      </c>
      <c r="S1053" s="31">
        <f t="shared" si="33"/>
        <v>0</v>
      </c>
      <c r="T1053" s="68" t="s">
        <v>1273</v>
      </c>
    </row>
    <row r="1054" spans="1:20" x14ac:dyDescent="0.25">
      <c r="A1054" s="20">
        <v>42134</v>
      </c>
      <c r="B1054" s="183">
        <v>20628</v>
      </c>
      <c r="C1054" s="14" t="s">
        <v>151</v>
      </c>
      <c r="D1054" s="105">
        <v>5260.2</v>
      </c>
      <c r="E1054" s="23">
        <v>42136</v>
      </c>
      <c r="F1054" s="118">
        <v>5260.2</v>
      </c>
      <c r="G1054" s="31">
        <f t="shared" si="32"/>
        <v>0</v>
      </c>
      <c r="H1054" s="56" t="s">
        <v>9</v>
      </c>
      <c r="K1054" s="3"/>
      <c r="M1054" s="20">
        <v>42151</v>
      </c>
      <c r="N1054" s="183">
        <v>22411</v>
      </c>
      <c r="O1054" s="14" t="s">
        <v>1369</v>
      </c>
      <c r="P1054" s="105">
        <v>29422</v>
      </c>
      <c r="Q1054" s="23">
        <v>42152</v>
      </c>
      <c r="R1054" s="106">
        <v>29422</v>
      </c>
      <c r="S1054" s="31">
        <f t="shared" si="33"/>
        <v>0</v>
      </c>
      <c r="T1054" s="39" t="s">
        <v>1273</v>
      </c>
    </row>
    <row r="1055" spans="1:20" x14ac:dyDescent="0.25">
      <c r="A1055" s="20">
        <v>42134</v>
      </c>
      <c r="B1055" s="183">
        <v>20629</v>
      </c>
      <c r="C1055" s="14" t="s">
        <v>26</v>
      </c>
      <c r="D1055" s="105">
        <v>2194</v>
      </c>
      <c r="E1055" s="23">
        <v>42134</v>
      </c>
      <c r="F1055" s="118">
        <v>2194</v>
      </c>
      <c r="G1055" s="31">
        <f t="shared" si="32"/>
        <v>0</v>
      </c>
      <c r="H1055" s="56" t="s">
        <v>9</v>
      </c>
      <c r="K1055" s="3"/>
      <c r="M1055" s="20">
        <v>42139</v>
      </c>
      <c r="N1055" s="183">
        <v>21182</v>
      </c>
      <c r="O1055" s="14" t="s">
        <v>689</v>
      </c>
      <c r="P1055" s="105">
        <v>10179</v>
      </c>
      <c r="Q1055" s="23">
        <v>42140</v>
      </c>
      <c r="R1055" s="106">
        <v>10179</v>
      </c>
      <c r="S1055" s="48">
        <f t="shared" si="33"/>
        <v>0</v>
      </c>
      <c r="T1055" s="39" t="s">
        <v>1273</v>
      </c>
    </row>
    <row r="1056" spans="1:20" x14ac:dyDescent="0.25">
      <c r="A1056" s="20">
        <v>42134</v>
      </c>
      <c r="B1056" s="183">
        <v>20630</v>
      </c>
      <c r="C1056" s="14" t="s">
        <v>112</v>
      </c>
      <c r="D1056" s="105">
        <v>4754.3999999999996</v>
      </c>
      <c r="E1056" s="23">
        <v>42136</v>
      </c>
      <c r="F1056" s="118">
        <v>4754.3999999999996</v>
      </c>
      <c r="G1056" s="31">
        <f t="shared" si="32"/>
        <v>0</v>
      </c>
      <c r="H1056" s="56" t="s">
        <v>9</v>
      </c>
      <c r="K1056" s="3"/>
      <c r="M1056" s="20">
        <v>42140</v>
      </c>
      <c r="N1056" s="183">
        <v>21294</v>
      </c>
      <c r="O1056" s="14" t="s">
        <v>689</v>
      </c>
      <c r="P1056" s="105">
        <v>4872</v>
      </c>
      <c r="Q1056" s="23">
        <v>42142</v>
      </c>
      <c r="R1056" s="118">
        <v>4872</v>
      </c>
      <c r="S1056" s="31">
        <f t="shared" si="33"/>
        <v>0</v>
      </c>
      <c r="T1056" s="62" t="s">
        <v>1273</v>
      </c>
    </row>
    <row r="1057" spans="1:20" x14ac:dyDescent="0.25">
      <c r="A1057" s="20">
        <v>42134</v>
      </c>
      <c r="B1057" s="183">
        <v>20631</v>
      </c>
      <c r="C1057" s="14" t="s">
        <v>141</v>
      </c>
      <c r="D1057" s="105">
        <v>470.8</v>
      </c>
      <c r="E1057" s="23">
        <v>42134</v>
      </c>
      <c r="F1057" s="118">
        <v>470.8</v>
      </c>
      <c r="G1057" s="31">
        <f t="shared" si="32"/>
        <v>0</v>
      </c>
      <c r="H1057" s="56" t="s">
        <v>9</v>
      </c>
      <c r="K1057" s="3"/>
      <c r="M1057" s="20">
        <v>42141</v>
      </c>
      <c r="N1057" s="183">
        <v>21327</v>
      </c>
      <c r="O1057" s="14" t="s">
        <v>1171</v>
      </c>
      <c r="P1057" s="105">
        <v>5144.6000000000004</v>
      </c>
      <c r="Q1057" s="23">
        <v>42141</v>
      </c>
      <c r="R1057" s="118">
        <v>5144.6000000000004</v>
      </c>
      <c r="S1057" s="31">
        <f t="shared" si="33"/>
        <v>0</v>
      </c>
      <c r="T1057" s="62" t="s">
        <v>9</v>
      </c>
    </row>
    <row r="1058" spans="1:20" x14ac:dyDescent="0.25">
      <c r="A1058" s="20">
        <v>42134</v>
      </c>
      <c r="B1058" s="183">
        <v>20632</v>
      </c>
      <c r="C1058" s="14" t="s">
        <v>32</v>
      </c>
      <c r="D1058" s="105">
        <v>58452.3</v>
      </c>
      <c r="E1058" s="23">
        <v>42140</v>
      </c>
      <c r="F1058" s="118">
        <v>58452.3</v>
      </c>
      <c r="G1058" s="31">
        <f t="shared" si="32"/>
        <v>0</v>
      </c>
      <c r="H1058" s="56" t="s">
        <v>9</v>
      </c>
      <c r="I1058" s="3"/>
      <c r="J1058" s="42"/>
      <c r="K1058" s="3"/>
      <c r="M1058" s="20">
        <v>42125</v>
      </c>
      <c r="N1058" s="183">
        <v>19616</v>
      </c>
      <c r="O1058" s="14" t="s">
        <v>121</v>
      </c>
      <c r="P1058" s="105">
        <v>1162.8</v>
      </c>
      <c r="Q1058" s="23">
        <v>42125</v>
      </c>
      <c r="R1058" s="106">
        <v>1162.8</v>
      </c>
      <c r="S1058" s="25">
        <f t="shared" si="33"/>
        <v>0</v>
      </c>
      <c r="T1058" s="19" t="s">
        <v>9</v>
      </c>
    </row>
    <row r="1059" spans="1:20" x14ac:dyDescent="0.25">
      <c r="A1059" s="20">
        <v>42134</v>
      </c>
      <c r="B1059" s="183">
        <v>20633</v>
      </c>
      <c r="C1059" s="14" t="s">
        <v>24</v>
      </c>
      <c r="D1059" s="105">
        <v>46569.2</v>
      </c>
      <c r="E1059" s="23">
        <v>42153</v>
      </c>
      <c r="F1059" s="118">
        <v>46569.2</v>
      </c>
      <c r="G1059" s="31">
        <f t="shared" si="32"/>
        <v>0</v>
      </c>
      <c r="H1059" s="56" t="s">
        <v>9</v>
      </c>
      <c r="I1059" s="3"/>
      <c r="J1059" s="42"/>
      <c r="K1059" s="3"/>
      <c r="M1059" s="20">
        <v>42126</v>
      </c>
      <c r="N1059" s="183">
        <v>19701</v>
      </c>
      <c r="O1059" s="40" t="s">
        <v>121</v>
      </c>
      <c r="P1059" s="105">
        <v>2208.8000000000002</v>
      </c>
      <c r="Q1059" s="23">
        <v>42126</v>
      </c>
      <c r="R1059" s="106">
        <v>2208.8000000000002</v>
      </c>
      <c r="S1059" s="25">
        <f t="shared" si="33"/>
        <v>0</v>
      </c>
      <c r="T1059" s="41" t="s">
        <v>9</v>
      </c>
    </row>
    <row r="1060" spans="1:20" x14ac:dyDescent="0.25">
      <c r="A1060" s="20">
        <v>42134</v>
      </c>
      <c r="B1060" s="183">
        <v>20634</v>
      </c>
      <c r="C1060" s="14" t="s">
        <v>431</v>
      </c>
      <c r="D1060" s="105">
        <v>2844.3</v>
      </c>
      <c r="E1060" s="23">
        <v>42134</v>
      </c>
      <c r="F1060" s="118">
        <v>2844.3</v>
      </c>
      <c r="G1060" s="31">
        <f t="shared" si="32"/>
        <v>0</v>
      </c>
      <c r="H1060" s="56" t="s">
        <v>9</v>
      </c>
      <c r="I1060" s="3"/>
      <c r="J1060" s="42"/>
      <c r="K1060" s="3"/>
      <c r="M1060" s="20">
        <v>42127</v>
      </c>
      <c r="N1060" s="183">
        <v>19886</v>
      </c>
      <c r="O1060" s="14" t="s">
        <v>121</v>
      </c>
      <c r="P1060" s="105">
        <v>597.6</v>
      </c>
      <c r="Q1060" s="23">
        <v>42127</v>
      </c>
      <c r="R1060" s="106">
        <v>597.6</v>
      </c>
      <c r="S1060" s="31">
        <f t="shared" si="33"/>
        <v>0</v>
      </c>
      <c r="T1060" s="19" t="s">
        <v>9</v>
      </c>
    </row>
    <row r="1061" spans="1:20" x14ac:dyDescent="0.25">
      <c r="A1061" s="20">
        <v>42134</v>
      </c>
      <c r="B1061" s="183">
        <v>20635</v>
      </c>
      <c r="C1061" s="14" t="s">
        <v>1142</v>
      </c>
      <c r="D1061" s="105">
        <v>2575.1999999999998</v>
      </c>
      <c r="E1061" s="23">
        <v>42134</v>
      </c>
      <c r="F1061" s="118">
        <v>2575.1999999999998</v>
      </c>
      <c r="G1061" s="31">
        <f t="shared" si="32"/>
        <v>0</v>
      </c>
      <c r="H1061" s="56" t="s">
        <v>9</v>
      </c>
      <c r="I1061" s="3"/>
      <c r="J1061" s="42"/>
      <c r="K1061" s="3"/>
      <c r="M1061" s="20">
        <v>42128</v>
      </c>
      <c r="N1061" s="183">
        <v>19898</v>
      </c>
      <c r="O1061" s="14" t="s">
        <v>121</v>
      </c>
      <c r="P1061" s="105">
        <v>2163.6</v>
      </c>
      <c r="Q1061" s="23">
        <v>42128</v>
      </c>
      <c r="R1061" s="106">
        <v>2163.6</v>
      </c>
      <c r="S1061" s="31">
        <f t="shared" si="33"/>
        <v>0</v>
      </c>
      <c r="T1061" s="19" t="s">
        <v>9</v>
      </c>
    </row>
    <row r="1062" spans="1:20" x14ac:dyDescent="0.25">
      <c r="A1062" s="20">
        <v>42134</v>
      </c>
      <c r="B1062" s="183">
        <v>20636</v>
      </c>
      <c r="C1062" s="14" t="s">
        <v>100</v>
      </c>
      <c r="D1062" s="105">
        <v>2684.5</v>
      </c>
      <c r="E1062" s="23">
        <v>42134</v>
      </c>
      <c r="F1062" s="118">
        <v>2684.5</v>
      </c>
      <c r="G1062" s="31">
        <f t="shared" si="32"/>
        <v>0</v>
      </c>
      <c r="H1062" s="56" t="s">
        <v>9</v>
      </c>
      <c r="I1062" s="3"/>
      <c r="J1062" s="42"/>
      <c r="K1062" s="3"/>
      <c r="M1062" s="20">
        <v>42129</v>
      </c>
      <c r="N1062" s="183">
        <v>20034</v>
      </c>
      <c r="O1062" s="14" t="s">
        <v>121</v>
      </c>
      <c r="P1062" s="105">
        <v>2725.6</v>
      </c>
      <c r="Q1062" s="23">
        <v>42129</v>
      </c>
      <c r="R1062" s="106">
        <v>2725.6</v>
      </c>
      <c r="S1062" s="31">
        <f t="shared" si="33"/>
        <v>0</v>
      </c>
      <c r="T1062" s="39" t="s">
        <v>9</v>
      </c>
    </row>
    <row r="1063" spans="1:20" x14ac:dyDescent="0.25">
      <c r="A1063" s="20">
        <v>42134</v>
      </c>
      <c r="B1063" s="183">
        <v>20637</v>
      </c>
      <c r="C1063" s="14" t="s">
        <v>229</v>
      </c>
      <c r="D1063" s="105">
        <v>1768</v>
      </c>
      <c r="E1063" s="51">
        <v>42134</v>
      </c>
      <c r="F1063" s="118">
        <v>1768</v>
      </c>
      <c r="G1063" s="31">
        <f t="shared" si="32"/>
        <v>0</v>
      </c>
      <c r="H1063" s="56" t="s">
        <v>9</v>
      </c>
      <c r="I1063" s="3"/>
      <c r="J1063" s="42"/>
      <c r="K1063" s="3"/>
      <c r="M1063" s="20">
        <v>42132</v>
      </c>
      <c r="N1063" s="183">
        <v>20350</v>
      </c>
      <c r="O1063" s="14" t="s">
        <v>121</v>
      </c>
      <c r="P1063" s="105">
        <v>3199.4</v>
      </c>
      <c r="Q1063" s="23">
        <v>42132</v>
      </c>
      <c r="R1063" s="106">
        <v>3199.4</v>
      </c>
      <c r="S1063" s="31">
        <f t="shared" si="33"/>
        <v>0</v>
      </c>
      <c r="T1063" s="19" t="s">
        <v>9</v>
      </c>
    </row>
    <row r="1064" spans="1:20" x14ac:dyDescent="0.25">
      <c r="A1064" s="20">
        <v>42134</v>
      </c>
      <c r="B1064" s="183">
        <v>20638</v>
      </c>
      <c r="C1064" s="14" t="s">
        <v>1306</v>
      </c>
      <c r="D1064" s="105">
        <v>14592</v>
      </c>
      <c r="E1064" s="23">
        <v>42135</v>
      </c>
      <c r="F1064" s="118">
        <v>14592</v>
      </c>
      <c r="G1064" s="31">
        <f t="shared" si="32"/>
        <v>0</v>
      </c>
      <c r="H1064" s="56" t="s">
        <v>773</v>
      </c>
      <c r="I1064" s="3"/>
      <c r="J1064" s="42"/>
      <c r="K1064" s="3"/>
      <c r="M1064" s="20">
        <v>42133</v>
      </c>
      <c r="N1064" s="183">
        <v>20477</v>
      </c>
      <c r="O1064" s="14" t="s">
        <v>121</v>
      </c>
      <c r="P1064" s="105">
        <v>2628.5</v>
      </c>
      <c r="Q1064" s="23">
        <v>42133</v>
      </c>
      <c r="R1064" s="106">
        <v>2628.5</v>
      </c>
      <c r="S1064" s="31">
        <f t="shared" si="33"/>
        <v>0</v>
      </c>
      <c r="T1064" s="39" t="s">
        <v>9</v>
      </c>
    </row>
    <row r="1065" spans="1:20" x14ac:dyDescent="0.25">
      <c r="A1065" s="20">
        <v>42134</v>
      </c>
      <c r="B1065" s="183">
        <v>20639</v>
      </c>
      <c r="C1065" s="150" t="s">
        <v>256</v>
      </c>
      <c r="D1065" s="105">
        <v>8497.7000000000007</v>
      </c>
      <c r="E1065" s="23">
        <v>42135</v>
      </c>
      <c r="F1065" s="118">
        <v>8497.7000000000007</v>
      </c>
      <c r="G1065" s="31">
        <f t="shared" si="32"/>
        <v>0</v>
      </c>
      <c r="H1065" s="56" t="s">
        <v>773</v>
      </c>
      <c r="I1065" s="3"/>
      <c r="J1065" s="42"/>
      <c r="K1065" s="3"/>
      <c r="M1065" s="20">
        <v>42134</v>
      </c>
      <c r="N1065" s="183">
        <v>20596</v>
      </c>
      <c r="O1065" s="14" t="s">
        <v>121</v>
      </c>
      <c r="P1065" s="105">
        <v>3047.3</v>
      </c>
      <c r="Q1065" s="23">
        <v>42134</v>
      </c>
      <c r="R1065" s="106">
        <v>3047.3</v>
      </c>
      <c r="S1065" s="31">
        <f t="shared" si="33"/>
        <v>0</v>
      </c>
      <c r="T1065" s="56" t="s">
        <v>9</v>
      </c>
    </row>
    <row r="1066" spans="1:20" x14ac:dyDescent="0.25">
      <c r="A1066" s="20">
        <v>42134</v>
      </c>
      <c r="B1066" s="183">
        <v>20640</v>
      </c>
      <c r="C1066" s="14" t="s">
        <v>56</v>
      </c>
      <c r="D1066" s="105">
        <v>5758.8</v>
      </c>
      <c r="E1066" s="23">
        <v>42135</v>
      </c>
      <c r="F1066" s="106">
        <v>5758.8</v>
      </c>
      <c r="G1066" s="31">
        <f t="shared" si="32"/>
        <v>0</v>
      </c>
      <c r="H1066" s="39" t="s">
        <v>773</v>
      </c>
      <c r="I1066" s="3"/>
      <c r="J1066" s="42"/>
      <c r="K1066" s="3"/>
      <c r="M1066" s="20">
        <v>42136</v>
      </c>
      <c r="N1066" s="183">
        <v>20797</v>
      </c>
      <c r="O1066" s="14" t="s">
        <v>121</v>
      </c>
      <c r="P1066" s="105">
        <v>2584.8000000000002</v>
      </c>
      <c r="Q1066" s="23">
        <v>42136</v>
      </c>
      <c r="R1066" s="106">
        <v>2584.8000000000002</v>
      </c>
      <c r="S1066" s="31">
        <f t="shared" si="33"/>
        <v>0</v>
      </c>
      <c r="T1066" s="19" t="s">
        <v>9</v>
      </c>
    </row>
    <row r="1067" spans="1:20" x14ac:dyDescent="0.25">
      <c r="A1067" s="20">
        <v>42134</v>
      </c>
      <c r="B1067" s="183">
        <v>20641</v>
      </c>
      <c r="C1067" s="14" t="s">
        <v>35</v>
      </c>
      <c r="D1067" s="105">
        <v>25470.5</v>
      </c>
      <c r="E1067" s="23">
        <v>42135</v>
      </c>
      <c r="F1067" s="106">
        <v>25470.5</v>
      </c>
      <c r="G1067" s="31">
        <f t="shared" si="32"/>
        <v>0</v>
      </c>
      <c r="H1067" s="39" t="s">
        <v>9</v>
      </c>
      <c r="I1067" s="3"/>
      <c r="J1067" s="42"/>
      <c r="K1067" s="3"/>
      <c r="M1067" s="20">
        <v>42137</v>
      </c>
      <c r="N1067" s="183">
        <v>20947</v>
      </c>
      <c r="O1067" s="14" t="s">
        <v>121</v>
      </c>
      <c r="P1067" s="105">
        <v>2590.6</v>
      </c>
      <c r="Q1067" s="23">
        <v>42137</v>
      </c>
      <c r="R1067" s="106">
        <v>2590.6</v>
      </c>
      <c r="S1067" s="31">
        <f t="shared" si="33"/>
        <v>0</v>
      </c>
      <c r="T1067" s="19" t="s">
        <v>9</v>
      </c>
    </row>
    <row r="1068" spans="1:20" x14ac:dyDescent="0.25">
      <c r="A1068" s="20">
        <v>42134</v>
      </c>
      <c r="B1068" s="183">
        <v>20642</v>
      </c>
      <c r="C1068" s="14" t="s">
        <v>55</v>
      </c>
      <c r="D1068" s="105">
        <v>24972.75</v>
      </c>
      <c r="E1068" s="23">
        <v>42134</v>
      </c>
      <c r="F1068" s="106">
        <v>24972.75</v>
      </c>
      <c r="G1068" s="31">
        <f t="shared" si="32"/>
        <v>0</v>
      </c>
      <c r="H1068" s="39" t="s">
        <v>9</v>
      </c>
      <c r="I1068" s="3"/>
      <c r="J1068" s="42"/>
      <c r="K1068" s="3"/>
      <c r="M1068" s="20">
        <v>42139</v>
      </c>
      <c r="N1068" s="183">
        <v>21086</v>
      </c>
      <c r="O1068" s="14" t="s">
        <v>121</v>
      </c>
      <c r="P1068" s="105">
        <v>2774.4</v>
      </c>
      <c r="Q1068" s="23">
        <v>42139</v>
      </c>
      <c r="R1068" s="106">
        <v>2774.4</v>
      </c>
      <c r="S1068" s="48">
        <f t="shared" si="33"/>
        <v>0</v>
      </c>
      <c r="T1068" s="39" t="s">
        <v>9</v>
      </c>
    </row>
    <row r="1069" spans="1:20" x14ac:dyDescent="0.25">
      <c r="A1069" s="20">
        <v>42134</v>
      </c>
      <c r="B1069" s="183">
        <v>20643</v>
      </c>
      <c r="C1069" s="26" t="s">
        <v>218</v>
      </c>
      <c r="D1069" s="108">
        <v>0</v>
      </c>
      <c r="E1069" s="23"/>
      <c r="F1069" s="106"/>
      <c r="G1069" s="31">
        <f t="shared" si="32"/>
        <v>0</v>
      </c>
      <c r="H1069" s="39" t="s">
        <v>13</v>
      </c>
      <c r="I1069" s="3"/>
      <c r="J1069" s="42"/>
      <c r="K1069" s="3"/>
      <c r="M1069" s="20">
        <v>42140</v>
      </c>
      <c r="N1069" s="183">
        <v>21221</v>
      </c>
      <c r="O1069" s="14" t="s">
        <v>121</v>
      </c>
      <c r="P1069" s="105">
        <v>2406</v>
      </c>
      <c r="Q1069" s="23">
        <v>42140</v>
      </c>
      <c r="R1069" s="106">
        <v>2406</v>
      </c>
      <c r="S1069" s="48">
        <f t="shared" si="33"/>
        <v>0</v>
      </c>
      <c r="T1069" s="39" t="s">
        <v>9</v>
      </c>
    </row>
    <row r="1070" spans="1:20" x14ac:dyDescent="0.25">
      <c r="A1070" s="20">
        <v>42134</v>
      </c>
      <c r="B1070" s="183">
        <v>20644</v>
      </c>
      <c r="C1070" s="14" t="s">
        <v>863</v>
      </c>
      <c r="D1070" s="105">
        <v>5350</v>
      </c>
      <c r="E1070" s="23">
        <v>42134</v>
      </c>
      <c r="F1070" s="106">
        <v>5350</v>
      </c>
      <c r="G1070" s="31">
        <f t="shared" si="32"/>
        <v>0</v>
      </c>
      <c r="H1070" s="39" t="s">
        <v>9</v>
      </c>
      <c r="I1070" s="3"/>
      <c r="J1070" s="42"/>
      <c r="K1070" s="3"/>
      <c r="M1070" s="20">
        <v>42142</v>
      </c>
      <c r="N1070" s="183">
        <v>21400</v>
      </c>
      <c r="O1070" s="14" t="s">
        <v>121</v>
      </c>
      <c r="P1070" s="105">
        <v>2745</v>
      </c>
      <c r="Q1070" s="23">
        <v>42142</v>
      </c>
      <c r="R1070" s="118">
        <v>2745</v>
      </c>
      <c r="S1070" s="31">
        <f t="shared" si="33"/>
        <v>0</v>
      </c>
      <c r="T1070" s="56" t="s">
        <v>9</v>
      </c>
    </row>
    <row r="1071" spans="1:20" x14ac:dyDescent="0.25">
      <c r="A1071" s="20">
        <v>42134</v>
      </c>
      <c r="B1071" s="183">
        <v>20645</v>
      </c>
      <c r="C1071" s="14" t="s">
        <v>863</v>
      </c>
      <c r="D1071" s="105">
        <v>390</v>
      </c>
      <c r="E1071" s="23">
        <v>42134</v>
      </c>
      <c r="F1071" s="106">
        <v>390</v>
      </c>
      <c r="G1071" s="31">
        <f t="shared" si="32"/>
        <v>0</v>
      </c>
      <c r="H1071" s="39" t="s">
        <v>9</v>
      </c>
      <c r="I1071" s="3"/>
      <c r="J1071" s="42"/>
      <c r="K1071" s="3"/>
      <c r="M1071" s="20">
        <v>42142</v>
      </c>
      <c r="N1071" s="183">
        <v>21401</v>
      </c>
      <c r="O1071" s="14" t="s">
        <v>121</v>
      </c>
      <c r="P1071" s="105">
        <v>108</v>
      </c>
      <c r="Q1071" s="23">
        <v>42142</v>
      </c>
      <c r="R1071" s="118">
        <v>108</v>
      </c>
      <c r="S1071" s="31">
        <f t="shared" si="33"/>
        <v>0</v>
      </c>
      <c r="T1071" s="56" t="s">
        <v>9</v>
      </c>
    </row>
    <row r="1072" spans="1:20" x14ac:dyDescent="0.25">
      <c r="A1072" s="20">
        <v>42134</v>
      </c>
      <c r="B1072" s="183">
        <v>20646</v>
      </c>
      <c r="C1072" s="14" t="s">
        <v>1117</v>
      </c>
      <c r="D1072" s="105">
        <v>2557</v>
      </c>
      <c r="E1072" s="23">
        <v>42134</v>
      </c>
      <c r="F1072" s="106">
        <v>2557</v>
      </c>
      <c r="G1072" s="31">
        <f t="shared" si="32"/>
        <v>0</v>
      </c>
      <c r="H1072" s="39" t="s">
        <v>9</v>
      </c>
      <c r="I1072" s="3"/>
      <c r="J1072" s="42"/>
      <c r="K1072" s="3"/>
      <c r="M1072" s="20">
        <v>42143</v>
      </c>
      <c r="N1072" s="183">
        <v>21533</v>
      </c>
      <c r="O1072" s="14" t="s">
        <v>121</v>
      </c>
      <c r="P1072" s="105">
        <v>3406</v>
      </c>
      <c r="Q1072" s="23">
        <v>42143</v>
      </c>
      <c r="R1072" s="118">
        <v>3406</v>
      </c>
      <c r="S1072" s="31">
        <f t="shared" si="33"/>
        <v>0</v>
      </c>
      <c r="T1072" s="56" t="s">
        <v>9</v>
      </c>
    </row>
    <row r="1073" spans="1:20" x14ac:dyDescent="0.25">
      <c r="A1073" s="20">
        <v>42134</v>
      </c>
      <c r="B1073" s="183">
        <v>20647</v>
      </c>
      <c r="C1073" s="110" t="s">
        <v>89</v>
      </c>
      <c r="D1073" s="105">
        <v>1945.6</v>
      </c>
      <c r="E1073" s="23">
        <v>42134</v>
      </c>
      <c r="F1073" s="106">
        <v>1945.6</v>
      </c>
      <c r="G1073" s="31">
        <f t="shared" si="32"/>
        <v>0</v>
      </c>
      <c r="H1073" s="39" t="s">
        <v>9</v>
      </c>
      <c r="I1073" s="3"/>
      <c r="J1073" s="42"/>
      <c r="K1073" s="3"/>
      <c r="M1073" s="20">
        <v>42144</v>
      </c>
      <c r="N1073" s="183">
        <v>21632</v>
      </c>
      <c r="O1073" s="14" t="s">
        <v>121</v>
      </c>
      <c r="P1073" s="105">
        <v>2523.4</v>
      </c>
      <c r="Q1073" s="23">
        <v>42144</v>
      </c>
      <c r="R1073" s="118">
        <v>2523.4</v>
      </c>
      <c r="S1073" s="31">
        <f t="shared" si="33"/>
        <v>0</v>
      </c>
      <c r="T1073" s="62" t="s">
        <v>9</v>
      </c>
    </row>
    <row r="1074" spans="1:20" x14ac:dyDescent="0.25">
      <c r="A1074" s="20">
        <v>42134</v>
      </c>
      <c r="B1074" s="183">
        <v>20648</v>
      </c>
      <c r="C1074" s="14" t="s">
        <v>158</v>
      </c>
      <c r="D1074" s="105">
        <v>1623.6</v>
      </c>
      <c r="E1074" s="23">
        <v>42134</v>
      </c>
      <c r="F1074" s="106">
        <v>1623.6</v>
      </c>
      <c r="G1074" s="31">
        <f t="shared" si="32"/>
        <v>0</v>
      </c>
      <c r="H1074" s="39" t="s">
        <v>9</v>
      </c>
      <c r="I1074" s="3"/>
      <c r="J1074" s="42"/>
      <c r="K1074" s="3"/>
      <c r="M1074" s="20">
        <v>42145</v>
      </c>
      <c r="N1074" s="183">
        <v>21746</v>
      </c>
      <c r="O1074" s="15" t="s">
        <v>121</v>
      </c>
      <c r="P1074" s="122">
        <v>1083.5999999999999</v>
      </c>
      <c r="Q1074" s="23">
        <v>42145</v>
      </c>
      <c r="R1074" s="106">
        <v>1083.5999999999999</v>
      </c>
      <c r="S1074" s="31">
        <f t="shared" si="33"/>
        <v>0</v>
      </c>
      <c r="T1074" s="68" t="s">
        <v>9</v>
      </c>
    </row>
    <row r="1075" spans="1:20" x14ac:dyDescent="0.25">
      <c r="A1075" s="20">
        <v>42134</v>
      </c>
      <c r="B1075" s="183">
        <v>20649</v>
      </c>
      <c r="C1075" s="14" t="s">
        <v>1370</v>
      </c>
      <c r="D1075" s="105">
        <v>816</v>
      </c>
      <c r="E1075" s="23">
        <v>42134</v>
      </c>
      <c r="F1075" s="106">
        <v>816</v>
      </c>
      <c r="G1075" s="31">
        <f t="shared" si="32"/>
        <v>0</v>
      </c>
      <c r="H1075" s="39" t="s">
        <v>9</v>
      </c>
      <c r="I1075" s="3"/>
      <c r="J1075" s="42"/>
      <c r="K1075" s="3"/>
      <c r="M1075" s="20">
        <v>42146</v>
      </c>
      <c r="N1075" s="183">
        <v>21941</v>
      </c>
      <c r="O1075" s="14" t="s">
        <v>121</v>
      </c>
      <c r="P1075" s="105">
        <v>2863.25</v>
      </c>
      <c r="Q1075" s="23">
        <v>42146</v>
      </c>
      <c r="R1075" s="106">
        <v>2863.25</v>
      </c>
      <c r="S1075" s="31">
        <f t="shared" si="33"/>
        <v>0</v>
      </c>
      <c r="T1075" s="39" t="s">
        <v>9</v>
      </c>
    </row>
    <row r="1076" spans="1:20" x14ac:dyDescent="0.25">
      <c r="A1076" s="20">
        <v>42134</v>
      </c>
      <c r="B1076" s="183">
        <v>20650</v>
      </c>
      <c r="C1076" s="14" t="s">
        <v>229</v>
      </c>
      <c r="D1076" s="105">
        <v>3197.76</v>
      </c>
      <c r="E1076" s="23">
        <v>42134</v>
      </c>
      <c r="F1076" s="106">
        <v>3197.76</v>
      </c>
      <c r="G1076" s="31">
        <f t="shared" si="32"/>
        <v>0</v>
      </c>
      <c r="H1076" s="39" t="s">
        <v>9</v>
      </c>
      <c r="I1076" s="3"/>
      <c r="J1076" s="42"/>
      <c r="K1076" s="3"/>
      <c r="M1076" s="20">
        <v>42147</v>
      </c>
      <c r="N1076" s="183">
        <v>22000</v>
      </c>
      <c r="O1076" s="14" t="s">
        <v>121</v>
      </c>
      <c r="P1076" s="105">
        <v>3895.4</v>
      </c>
      <c r="Q1076" s="65">
        <v>42147</v>
      </c>
      <c r="R1076" s="106">
        <v>3895.4</v>
      </c>
      <c r="S1076" s="31">
        <f t="shared" si="33"/>
        <v>0</v>
      </c>
      <c r="T1076" s="39" t="s">
        <v>9</v>
      </c>
    </row>
    <row r="1077" spans="1:20" x14ac:dyDescent="0.25">
      <c r="A1077" s="20">
        <v>42134</v>
      </c>
      <c r="B1077" s="183">
        <v>20651</v>
      </c>
      <c r="C1077" s="14" t="s">
        <v>65</v>
      </c>
      <c r="D1077" s="105">
        <v>36495.040000000001</v>
      </c>
      <c r="E1077" s="23">
        <v>42135</v>
      </c>
      <c r="F1077" s="106">
        <v>36495.040000000001</v>
      </c>
      <c r="G1077" s="31">
        <f t="shared" si="32"/>
        <v>0</v>
      </c>
      <c r="H1077" s="39" t="s">
        <v>62</v>
      </c>
      <c r="I1077" s="3"/>
      <c r="J1077" s="42"/>
      <c r="K1077" s="3"/>
      <c r="M1077" s="20">
        <v>42149</v>
      </c>
      <c r="N1077" s="183">
        <v>22151</v>
      </c>
      <c r="O1077" s="14" t="s">
        <v>121</v>
      </c>
      <c r="P1077" s="105">
        <v>3275.6</v>
      </c>
      <c r="Q1077" s="65">
        <v>42149</v>
      </c>
      <c r="R1077" s="106">
        <v>3275.6</v>
      </c>
      <c r="S1077" s="31">
        <f t="shared" si="33"/>
        <v>0</v>
      </c>
      <c r="T1077" s="39" t="s">
        <v>9</v>
      </c>
    </row>
    <row r="1078" spans="1:20" x14ac:dyDescent="0.25">
      <c r="A1078" s="20">
        <v>42134</v>
      </c>
      <c r="B1078" s="183">
        <v>20652</v>
      </c>
      <c r="C1078" s="14" t="s">
        <v>173</v>
      </c>
      <c r="D1078" s="105">
        <v>30014.240000000002</v>
      </c>
      <c r="E1078" s="30" t="s">
        <v>1474</v>
      </c>
      <c r="F1078" s="144">
        <v>30014.240000000002</v>
      </c>
      <c r="G1078" s="31">
        <f t="shared" si="32"/>
        <v>0</v>
      </c>
      <c r="H1078" s="39" t="s">
        <v>62</v>
      </c>
      <c r="I1078" s="3"/>
      <c r="J1078" s="42"/>
      <c r="K1078" s="3"/>
      <c r="M1078" s="20">
        <v>42151</v>
      </c>
      <c r="N1078" s="183">
        <v>22334</v>
      </c>
      <c r="O1078" s="14" t="s">
        <v>121</v>
      </c>
      <c r="P1078" s="105">
        <v>3162</v>
      </c>
      <c r="Q1078" s="65">
        <v>42151</v>
      </c>
      <c r="R1078" s="106">
        <v>3162</v>
      </c>
      <c r="S1078" s="31">
        <f t="shared" si="33"/>
        <v>0</v>
      </c>
      <c r="T1078" s="39" t="s">
        <v>9</v>
      </c>
    </row>
    <row r="1079" spans="1:20" x14ac:dyDescent="0.25">
      <c r="A1079" s="20">
        <v>42134</v>
      </c>
      <c r="B1079" s="183">
        <v>20653</v>
      </c>
      <c r="C1079" s="14" t="s">
        <v>170</v>
      </c>
      <c r="D1079" s="105">
        <v>5551.2</v>
      </c>
      <c r="E1079" s="23">
        <v>42135</v>
      </c>
      <c r="F1079" s="106">
        <v>5551.2</v>
      </c>
      <c r="G1079" s="31">
        <f t="shared" si="32"/>
        <v>0</v>
      </c>
      <c r="H1079" s="39" t="s">
        <v>62</v>
      </c>
      <c r="I1079" s="3"/>
      <c r="J1079" s="42"/>
      <c r="K1079" s="3"/>
      <c r="M1079" s="20">
        <v>42152</v>
      </c>
      <c r="N1079" s="183">
        <v>22454</v>
      </c>
      <c r="O1079" s="14" t="s">
        <v>121</v>
      </c>
      <c r="P1079" s="105">
        <v>1619</v>
      </c>
      <c r="Q1079" s="23">
        <v>42152</v>
      </c>
      <c r="R1079" s="106">
        <v>1619</v>
      </c>
      <c r="S1079" s="31">
        <f t="shared" si="33"/>
        <v>0</v>
      </c>
      <c r="T1079" s="39" t="s">
        <v>9</v>
      </c>
    </row>
    <row r="1080" spans="1:20" x14ac:dyDescent="0.25">
      <c r="A1080" s="20">
        <v>42134</v>
      </c>
      <c r="B1080" s="183">
        <v>20654</v>
      </c>
      <c r="C1080" s="14" t="s">
        <v>35</v>
      </c>
      <c r="D1080" s="105">
        <v>180</v>
      </c>
      <c r="E1080" s="23">
        <v>42134</v>
      </c>
      <c r="F1080" s="106">
        <v>180</v>
      </c>
      <c r="G1080" s="31">
        <f t="shared" si="32"/>
        <v>0</v>
      </c>
      <c r="H1080" s="39" t="s">
        <v>9</v>
      </c>
      <c r="I1080" s="3"/>
      <c r="J1080" s="42"/>
      <c r="K1080" s="3"/>
      <c r="M1080" s="20">
        <v>42152</v>
      </c>
      <c r="N1080" s="183">
        <v>22525</v>
      </c>
      <c r="O1080" s="14" t="s">
        <v>121</v>
      </c>
      <c r="P1080" s="105">
        <v>597.79999999999995</v>
      </c>
      <c r="Q1080" s="23">
        <v>42152</v>
      </c>
      <c r="R1080" s="106">
        <v>597.79999999999995</v>
      </c>
      <c r="S1080" s="31">
        <f t="shared" si="33"/>
        <v>0</v>
      </c>
      <c r="T1080" s="39" t="s">
        <v>9</v>
      </c>
    </row>
    <row r="1081" spans="1:20" x14ac:dyDescent="0.25">
      <c r="A1081" s="20">
        <v>42134</v>
      </c>
      <c r="B1081" s="183">
        <v>20655</v>
      </c>
      <c r="C1081" s="14" t="s">
        <v>75</v>
      </c>
      <c r="D1081" s="105">
        <v>17145.599999999999</v>
      </c>
      <c r="E1081" s="23">
        <v>42135</v>
      </c>
      <c r="F1081" s="106">
        <v>17145.599999999999</v>
      </c>
      <c r="G1081" s="31">
        <f t="shared" si="32"/>
        <v>0</v>
      </c>
      <c r="H1081" s="39" t="s">
        <v>62</v>
      </c>
      <c r="I1081" s="3"/>
      <c r="J1081" s="42"/>
      <c r="K1081" s="3"/>
      <c r="M1081" s="20">
        <v>42153</v>
      </c>
      <c r="N1081" s="183">
        <v>22589</v>
      </c>
      <c r="O1081" s="14" t="s">
        <v>121</v>
      </c>
      <c r="P1081" s="105">
        <v>2784.6</v>
      </c>
      <c r="Q1081" s="23">
        <v>42153</v>
      </c>
      <c r="R1081" s="106">
        <v>2784.6</v>
      </c>
      <c r="S1081" s="31">
        <f t="shared" si="33"/>
        <v>0</v>
      </c>
      <c r="T1081" s="39" t="s">
        <v>9</v>
      </c>
    </row>
    <row r="1082" spans="1:20" x14ac:dyDescent="0.25">
      <c r="A1082" s="20">
        <v>42134</v>
      </c>
      <c r="B1082" s="183">
        <v>20656</v>
      </c>
      <c r="C1082" s="14" t="s">
        <v>71</v>
      </c>
      <c r="D1082" s="105">
        <v>956.46</v>
      </c>
      <c r="E1082" s="23">
        <v>42134</v>
      </c>
      <c r="F1082" s="106">
        <v>956.46</v>
      </c>
      <c r="G1082" s="31">
        <f t="shared" si="32"/>
        <v>0</v>
      </c>
      <c r="H1082" s="39" t="s">
        <v>9</v>
      </c>
      <c r="I1082" s="3"/>
      <c r="J1082" s="42"/>
      <c r="K1082" s="3"/>
      <c r="M1082" s="20">
        <v>42154</v>
      </c>
      <c r="N1082" s="183">
        <v>22676</v>
      </c>
      <c r="O1082" s="14" t="s">
        <v>121</v>
      </c>
      <c r="P1082" s="105">
        <v>2473.1999999999998</v>
      </c>
      <c r="Q1082" s="23">
        <v>42154</v>
      </c>
      <c r="R1082" s="106">
        <v>2473.1999999999998</v>
      </c>
      <c r="S1082" s="31">
        <f t="shared" si="33"/>
        <v>0</v>
      </c>
      <c r="T1082" s="39" t="s">
        <v>9</v>
      </c>
    </row>
    <row r="1083" spans="1:20" x14ac:dyDescent="0.25">
      <c r="A1083" s="20">
        <v>42134</v>
      </c>
      <c r="B1083" s="183">
        <v>20657</v>
      </c>
      <c r="C1083" s="14" t="s">
        <v>102</v>
      </c>
      <c r="D1083" s="105">
        <v>3612.9</v>
      </c>
      <c r="E1083" s="23">
        <v>42134</v>
      </c>
      <c r="F1083" s="106">
        <v>3612.9</v>
      </c>
      <c r="G1083" s="31">
        <f t="shared" si="32"/>
        <v>0</v>
      </c>
      <c r="H1083" s="39" t="s">
        <v>9</v>
      </c>
      <c r="I1083" s="3"/>
      <c r="J1083" s="42"/>
      <c r="K1083" s="3"/>
      <c r="M1083" s="20">
        <v>42155</v>
      </c>
      <c r="N1083" s="183">
        <v>22791</v>
      </c>
      <c r="O1083" s="14" t="s">
        <v>121</v>
      </c>
      <c r="P1083" s="105">
        <v>3414.8</v>
      </c>
      <c r="Q1083" s="23">
        <v>42155</v>
      </c>
      <c r="R1083" s="106">
        <v>3414.8</v>
      </c>
      <c r="S1083" s="31">
        <f t="shared" si="33"/>
        <v>0</v>
      </c>
      <c r="T1083" s="39" t="s">
        <v>9</v>
      </c>
    </row>
    <row r="1084" spans="1:20" x14ac:dyDescent="0.25">
      <c r="A1084" s="20">
        <v>42134</v>
      </c>
      <c r="B1084" s="183">
        <v>20658</v>
      </c>
      <c r="C1084" s="14" t="s">
        <v>829</v>
      </c>
      <c r="D1084" s="105">
        <v>4333</v>
      </c>
      <c r="E1084" s="23">
        <v>42134</v>
      </c>
      <c r="F1084" s="106">
        <v>4333</v>
      </c>
      <c r="G1084" s="31">
        <f t="shared" si="32"/>
        <v>0</v>
      </c>
      <c r="H1084" s="39" t="s">
        <v>9</v>
      </c>
      <c r="I1084" s="3"/>
      <c r="J1084" s="42"/>
      <c r="K1084" s="3"/>
      <c r="M1084" s="20">
        <v>42143</v>
      </c>
      <c r="N1084" s="183">
        <v>21579</v>
      </c>
      <c r="O1084" s="14" t="s">
        <v>1371</v>
      </c>
      <c r="P1084" s="105">
        <v>4245.26</v>
      </c>
      <c r="Q1084" s="23">
        <v>42143</v>
      </c>
      <c r="R1084" s="106">
        <v>4245.26</v>
      </c>
      <c r="S1084" s="31">
        <f t="shared" si="33"/>
        <v>0</v>
      </c>
      <c r="T1084" s="56" t="s">
        <v>9</v>
      </c>
    </row>
    <row r="1085" spans="1:20" x14ac:dyDescent="0.25">
      <c r="A1085" s="20">
        <v>42134</v>
      </c>
      <c r="B1085" s="183">
        <v>20659</v>
      </c>
      <c r="C1085" s="14" t="s">
        <v>1060</v>
      </c>
      <c r="D1085" s="105">
        <v>39670.400000000001</v>
      </c>
      <c r="E1085" s="23">
        <v>42144</v>
      </c>
      <c r="F1085" s="106">
        <v>39670.400000000001</v>
      </c>
      <c r="G1085" s="31">
        <f t="shared" si="32"/>
        <v>0</v>
      </c>
      <c r="H1085" s="39" t="s">
        <v>1257</v>
      </c>
      <c r="I1085" s="3"/>
      <c r="J1085" s="42"/>
      <c r="K1085" s="3"/>
      <c r="M1085" s="20">
        <v>42135</v>
      </c>
      <c r="N1085" s="183">
        <v>20736</v>
      </c>
      <c r="O1085" s="14" t="s">
        <v>250</v>
      </c>
      <c r="P1085" s="105">
        <v>3819</v>
      </c>
      <c r="Q1085" s="23">
        <v>42136</v>
      </c>
      <c r="R1085" s="106">
        <v>3819</v>
      </c>
      <c r="S1085" s="31">
        <f t="shared" si="33"/>
        <v>0</v>
      </c>
      <c r="T1085" s="19" t="s">
        <v>94</v>
      </c>
    </row>
    <row r="1086" spans="1:20" x14ac:dyDescent="0.25">
      <c r="A1086" s="20">
        <v>42134</v>
      </c>
      <c r="B1086" s="183">
        <v>20660</v>
      </c>
      <c r="C1086" s="14" t="s">
        <v>86</v>
      </c>
      <c r="D1086" s="105">
        <v>316.10000000000002</v>
      </c>
      <c r="E1086" s="23">
        <v>42134</v>
      </c>
      <c r="F1086" s="106">
        <v>316.10000000000002</v>
      </c>
      <c r="G1086" s="31">
        <f t="shared" si="32"/>
        <v>0</v>
      </c>
      <c r="H1086" s="39" t="s">
        <v>9</v>
      </c>
      <c r="I1086" s="3"/>
      <c r="J1086" s="42"/>
      <c r="K1086" s="3"/>
      <c r="M1086" s="20">
        <v>42138</v>
      </c>
      <c r="N1086" s="183">
        <v>21029</v>
      </c>
      <c r="O1086" s="14" t="s">
        <v>250</v>
      </c>
      <c r="P1086" s="105">
        <v>979.8</v>
      </c>
      <c r="Q1086" s="23">
        <v>42139</v>
      </c>
      <c r="R1086" s="106">
        <v>979.8</v>
      </c>
      <c r="S1086" s="48">
        <f t="shared" si="33"/>
        <v>0</v>
      </c>
      <c r="T1086" s="39" t="s">
        <v>1273</v>
      </c>
    </row>
    <row r="1087" spans="1:20" x14ac:dyDescent="0.25">
      <c r="A1087" s="20">
        <v>42134</v>
      </c>
      <c r="B1087" s="183">
        <v>20661</v>
      </c>
      <c r="C1087" s="14" t="s">
        <v>80</v>
      </c>
      <c r="D1087" s="105">
        <v>5443.4</v>
      </c>
      <c r="E1087" s="23">
        <v>42134</v>
      </c>
      <c r="F1087" s="106">
        <v>5443.4</v>
      </c>
      <c r="G1087" s="31">
        <f t="shared" si="32"/>
        <v>0</v>
      </c>
      <c r="H1087" s="39" t="s">
        <v>9</v>
      </c>
      <c r="I1087" s="3"/>
      <c r="J1087" s="42"/>
      <c r="K1087" s="3"/>
      <c r="M1087" s="20">
        <v>42154</v>
      </c>
      <c r="N1087" s="183">
        <v>22759</v>
      </c>
      <c r="O1087" s="14" t="s">
        <v>250</v>
      </c>
      <c r="P1087" s="105">
        <v>4334.6000000000004</v>
      </c>
      <c r="Q1087" s="23">
        <v>42154</v>
      </c>
      <c r="R1087" s="106">
        <v>4334.6000000000004</v>
      </c>
      <c r="S1087" s="31">
        <f t="shared" si="33"/>
        <v>0</v>
      </c>
      <c r="T1087" s="39" t="s">
        <v>1273</v>
      </c>
    </row>
    <row r="1088" spans="1:20" x14ac:dyDescent="0.25">
      <c r="A1088" s="20">
        <v>42134</v>
      </c>
      <c r="B1088" s="183">
        <v>20662</v>
      </c>
      <c r="C1088" s="14" t="s">
        <v>1182</v>
      </c>
      <c r="D1088" s="105">
        <v>6293</v>
      </c>
      <c r="E1088" s="23">
        <v>42134</v>
      </c>
      <c r="F1088" s="106">
        <v>6293</v>
      </c>
      <c r="G1088" s="31">
        <f t="shared" si="32"/>
        <v>0</v>
      </c>
      <c r="H1088" s="39" t="s">
        <v>9</v>
      </c>
      <c r="I1088" s="3"/>
      <c r="J1088" s="42"/>
      <c r="K1088" s="3"/>
      <c r="M1088" s="20">
        <v>42125</v>
      </c>
      <c r="N1088" s="183">
        <v>19655</v>
      </c>
      <c r="O1088" s="14" t="s">
        <v>305</v>
      </c>
      <c r="P1088" s="105">
        <v>2514.5</v>
      </c>
      <c r="Q1088" s="23">
        <v>42125</v>
      </c>
      <c r="R1088" s="106">
        <v>2514.5</v>
      </c>
      <c r="S1088" s="25">
        <f t="shared" si="33"/>
        <v>0</v>
      </c>
      <c r="T1088" s="19" t="s">
        <v>9</v>
      </c>
    </row>
    <row r="1089" spans="1:20" x14ac:dyDescent="0.25">
      <c r="A1089" s="20">
        <v>42134</v>
      </c>
      <c r="B1089" s="183">
        <v>20663</v>
      </c>
      <c r="C1089" s="14" t="s">
        <v>1182</v>
      </c>
      <c r="D1089" s="105">
        <v>400</v>
      </c>
      <c r="E1089" s="23">
        <v>42134</v>
      </c>
      <c r="F1089" s="106">
        <v>400</v>
      </c>
      <c r="G1089" s="31">
        <f t="shared" si="32"/>
        <v>0</v>
      </c>
      <c r="H1089" s="39" t="s">
        <v>9</v>
      </c>
      <c r="I1089" s="3"/>
      <c r="J1089" s="42"/>
      <c r="K1089" s="3"/>
      <c r="M1089" s="20">
        <v>42127</v>
      </c>
      <c r="N1089" s="183">
        <v>19881</v>
      </c>
      <c r="O1089" s="14" t="s">
        <v>305</v>
      </c>
      <c r="P1089" s="105">
        <v>1057.5</v>
      </c>
      <c r="Q1089" s="23">
        <v>42127</v>
      </c>
      <c r="R1089" s="106">
        <v>1057.5</v>
      </c>
      <c r="S1089" s="31">
        <f t="shared" si="33"/>
        <v>0</v>
      </c>
      <c r="T1089" s="19" t="s">
        <v>9</v>
      </c>
    </row>
    <row r="1090" spans="1:20" x14ac:dyDescent="0.25">
      <c r="A1090" s="20">
        <v>42134</v>
      </c>
      <c r="B1090" s="183">
        <v>20664</v>
      </c>
      <c r="C1090" s="14" t="s">
        <v>1101</v>
      </c>
      <c r="D1090" s="105">
        <v>500</v>
      </c>
      <c r="E1090" s="23">
        <v>42134</v>
      </c>
      <c r="F1090" s="106">
        <v>500</v>
      </c>
      <c r="G1090" s="31">
        <f t="shared" si="32"/>
        <v>0</v>
      </c>
      <c r="H1090" s="39" t="s">
        <v>9</v>
      </c>
      <c r="K1090" s="3"/>
      <c r="M1090" s="20">
        <v>42131</v>
      </c>
      <c r="N1090" s="183">
        <v>20270</v>
      </c>
      <c r="O1090" s="14" t="s">
        <v>305</v>
      </c>
      <c r="P1090" s="105">
        <v>1663.8</v>
      </c>
      <c r="Q1090" s="23">
        <v>42131</v>
      </c>
      <c r="R1090" s="106">
        <v>1663.8</v>
      </c>
      <c r="S1090" s="31">
        <f t="shared" si="33"/>
        <v>0</v>
      </c>
      <c r="T1090" s="19" t="s">
        <v>9</v>
      </c>
    </row>
    <row r="1091" spans="1:20" x14ac:dyDescent="0.25">
      <c r="A1091" s="20">
        <v>42134</v>
      </c>
      <c r="B1091" s="183">
        <v>20665</v>
      </c>
      <c r="C1091" s="14" t="s">
        <v>24</v>
      </c>
      <c r="D1091" s="105">
        <v>78254.600000000006</v>
      </c>
      <c r="E1091" s="23">
        <v>42153</v>
      </c>
      <c r="F1091" s="106">
        <v>78254.600000000006</v>
      </c>
      <c r="G1091" s="31">
        <f t="shared" ref="G1091:G1154" si="34">D1091-F1091</f>
        <v>0</v>
      </c>
      <c r="H1091" s="39" t="s">
        <v>9</v>
      </c>
      <c r="K1091" s="3"/>
      <c r="M1091" s="20">
        <v>42132</v>
      </c>
      <c r="N1091" s="183">
        <v>20449</v>
      </c>
      <c r="O1091" s="14" t="s">
        <v>305</v>
      </c>
      <c r="P1091" s="105">
        <v>2194.5</v>
      </c>
      <c r="Q1091" s="23">
        <v>42132</v>
      </c>
      <c r="R1091" s="106">
        <v>2194.5</v>
      </c>
      <c r="S1091" s="31">
        <f t="shared" ref="S1091:S1154" si="35">P1091-R1091</f>
        <v>0</v>
      </c>
      <c r="T1091" s="19" t="s">
        <v>9</v>
      </c>
    </row>
    <row r="1092" spans="1:20" x14ac:dyDescent="0.25">
      <c r="A1092" s="20">
        <v>42135</v>
      </c>
      <c r="B1092" s="183">
        <v>20666</v>
      </c>
      <c r="C1092" s="150" t="s">
        <v>1256</v>
      </c>
      <c r="D1092" s="105">
        <v>7500.8</v>
      </c>
      <c r="E1092" s="23">
        <v>42135</v>
      </c>
      <c r="F1092" s="106">
        <v>7500.8</v>
      </c>
      <c r="G1092" s="31">
        <f t="shared" si="34"/>
        <v>0</v>
      </c>
      <c r="H1092" s="39" t="s">
        <v>1257</v>
      </c>
      <c r="K1092" s="3"/>
      <c r="M1092" s="20">
        <v>42132</v>
      </c>
      <c r="N1092" s="183">
        <v>20455</v>
      </c>
      <c r="O1092" s="150" t="s">
        <v>305</v>
      </c>
      <c r="P1092" s="105">
        <v>259.60000000000002</v>
      </c>
      <c r="Q1092" s="23">
        <v>42132</v>
      </c>
      <c r="R1092" s="106">
        <v>259.60000000000002</v>
      </c>
      <c r="S1092" s="31">
        <f t="shared" si="35"/>
        <v>0</v>
      </c>
      <c r="T1092" s="19" t="s">
        <v>9</v>
      </c>
    </row>
    <row r="1093" spans="1:20" x14ac:dyDescent="0.25">
      <c r="A1093" s="20">
        <v>42135</v>
      </c>
      <c r="B1093" s="183">
        <v>20667</v>
      </c>
      <c r="C1093" s="14" t="s">
        <v>720</v>
      </c>
      <c r="D1093" s="105">
        <v>11515.5</v>
      </c>
      <c r="E1093" s="23">
        <v>42135</v>
      </c>
      <c r="F1093" s="106">
        <v>11515.5</v>
      </c>
      <c r="G1093" s="31">
        <f t="shared" si="34"/>
        <v>0</v>
      </c>
      <c r="H1093" s="39" t="s">
        <v>9</v>
      </c>
      <c r="K1093" s="3"/>
      <c r="M1093" s="20">
        <v>42133</v>
      </c>
      <c r="N1093" s="183">
        <v>20552</v>
      </c>
      <c r="O1093" s="14" t="s">
        <v>305</v>
      </c>
      <c r="P1093" s="105">
        <v>314.89999999999998</v>
      </c>
      <c r="Q1093" s="23">
        <v>42133</v>
      </c>
      <c r="R1093" s="106">
        <v>314.89999999999998</v>
      </c>
      <c r="S1093" s="31">
        <f t="shared" si="35"/>
        <v>0</v>
      </c>
      <c r="T1093" s="19" t="s">
        <v>9</v>
      </c>
    </row>
    <row r="1094" spans="1:20" x14ac:dyDescent="0.25">
      <c r="A1094" s="20">
        <v>42135</v>
      </c>
      <c r="B1094" s="183">
        <v>20668</v>
      </c>
      <c r="C1094" s="14" t="s">
        <v>383</v>
      </c>
      <c r="D1094" s="105">
        <v>5581.2</v>
      </c>
      <c r="E1094" s="23">
        <v>42135</v>
      </c>
      <c r="F1094" s="106">
        <v>5581.2</v>
      </c>
      <c r="G1094" s="31">
        <f t="shared" si="34"/>
        <v>0</v>
      </c>
      <c r="H1094" s="39" t="s">
        <v>9</v>
      </c>
      <c r="K1094" s="3"/>
      <c r="M1094" s="20">
        <v>42141</v>
      </c>
      <c r="N1094" s="183">
        <v>21367</v>
      </c>
      <c r="O1094" s="14" t="s">
        <v>305</v>
      </c>
      <c r="P1094" s="105">
        <v>1955.2</v>
      </c>
      <c r="Q1094" s="23">
        <v>42141</v>
      </c>
      <c r="R1094" s="118">
        <v>1955.2</v>
      </c>
      <c r="S1094" s="31">
        <f t="shared" si="35"/>
        <v>0</v>
      </c>
      <c r="T1094" s="56" t="s">
        <v>9</v>
      </c>
    </row>
    <row r="1095" spans="1:20" x14ac:dyDescent="0.25">
      <c r="A1095" s="20">
        <v>42135</v>
      </c>
      <c r="B1095" s="183">
        <v>20669</v>
      </c>
      <c r="C1095" s="14" t="s">
        <v>103</v>
      </c>
      <c r="D1095" s="105">
        <v>24798.240000000002</v>
      </c>
      <c r="E1095" s="23">
        <v>42138</v>
      </c>
      <c r="F1095" s="106">
        <v>24798.240000000002</v>
      </c>
      <c r="G1095" s="31">
        <f t="shared" si="34"/>
        <v>0</v>
      </c>
      <c r="H1095" s="39" t="s">
        <v>1273</v>
      </c>
      <c r="K1095" s="3"/>
      <c r="M1095" s="20">
        <v>42146</v>
      </c>
      <c r="N1095" s="183">
        <v>21906</v>
      </c>
      <c r="O1095" s="14" t="s">
        <v>305</v>
      </c>
      <c r="P1095" s="105">
        <v>2698.2</v>
      </c>
      <c r="Q1095" s="23">
        <v>42146</v>
      </c>
      <c r="R1095" s="106">
        <v>2698.2</v>
      </c>
      <c r="S1095" s="31">
        <f t="shared" si="35"/>
        <v>0</v>
      </c>
      <c r="T1095" s="39" t="s">
        <v>9</v>
      </c>
    </row>
    <row r="1096" spans="1:20" x14ac:dyDescent="0.25">
      <c r="A1096" s="20">
        <v>42135</v>
      </c>
      <c r="B1096" s="183">
        <v>20670</v>
      </c>
      <c r="C1096" s="14" t="s">
        <v>14</v>
      </c>
      <c r="D1096" s="105">
        <v>17826.900000000001</v>
      </c>
      <c r="E1096" s="23">
        <v>42149</v>
      </c>
      <c r="F1096" s="106">
        <v>17826.900000000001</v>
      </c>
      <c r="G1096" s="31">
        <f t="shared" si="34"/>
        <v>0</v>
      </c>
      <c r="H1096" s="39" t="s">
        <v>15</v>
      </c>
      <c r="K1096" s="3"/>
      <c r="M1096" s="20">
        <v>42149</v>
      </c>
      <c r="N1096" s="183">
        <v>22198</v>
      </c>
      <c r="O1096" s="14" t="s">
        <v>305</v>
      </c>
      <c r="P1096" s="105">
        <v>2580</v>
      </c>
      <c r="Q1096" s="65">
        <v>42149</v>
      </c>
      <c r="R1096" s="106">
        <v>2580</v>
      </c>
      <c r="S1096" s="31">
        <f t="shared" si="35"/>
        <v>0</v>
      </c>
      <c r="T1096" s="39" t="s">
        <v>9</v>
      </c>
    </row>
    <row r="1097" spans="1:20" x14ac:dyDescent="0.25">
      <c r="A1097" s="20">
        <v>42135</v>
      </c>
      <c r="B1097" s="183">
        <v>20671</v>
      </c>
      <c r="C1097" s="14" t="s">
        <v>213</v>
      </c>
      <c r="D1097" s="105">
        <v>27902.7</v>
      </c>
      <c r="E1097" s="23">
        <v>42135</v>
      </c>
      <c r="F1097" s="106">
        <f>271+27631.7</f>
        <v>27902.7</v>
      </c>
      <c r="G1097" s="31">
        <f t="shared" si="34"/>
        <v>0</v>
      </c>
      <c r="H1097" s="39" t="s">
        <v>15</v>
      </c>
      <c r="K1097" s="3"/>
      <c r="M1097" s="20">
        <v>42139</v>
      </c>
      <c r="N1097" s="183">
        <v>21186</v>
      </c>
      <c r="O1097" s="14" t="s">
        <v>1372</v>
      </c>
      <c r="P1097" s="105">
        <v>2329</v>
      </c>
      <c r="Q1097" s="23">
        <v>42140</v>
      </c>
      <c r="R1097" s="106">
        <v>2329</v>
      </c>
      <c r="S1097" s="48">
        <f t="shared" si="35"/>
        <v>0</v>
      </c>
      <c r="T1097" s="39" t="s">
        <v>1273</v>
      </c>
    </row>
    <row r="1098" spans="1:20" x14ac:dyDescent="0.25">
      <c r="A1098" s="20">
        <v>42135</v>
      </c>
      <c r="B1098" s="183">
        <v>20672</v>
      </c>
      <c r="C1098" s="14" t="s">
        <v>37</v>
      </c>
      <c r="D1098" s="105">
        <v>25875</v>
      </c>
      <c r="E1098" s="23">
        <v>42145</v>
      </c>
      <c r="F1098" s="106">
        <v>25875</v>
      </c>
      <c r="G1098" s="31">
        <f t="shared" si="34"/>
        <v>0</v>
      </c>
      <c r="H1098" s="39" t="s">
        <v>773</v>
      </c>
      <c r="K1098" s="3"/>
      <c r="M1098" s="20">
        <v>42125</v>
      </c>
      <c r="N1098" s="183">
        <v>19670</v>
      </c>
      <c r="O1098" s="14" t="s">
        <v>93</v>
      </c>
      <c r="P1098" s="105">
        <v>3794.4</v>
      </c>
      <c r="Q1098" s="23">
        <v>42125</v>
      </c>
      <c r="R1098" s="106">
        <v>3794.4</v>
      </c>
      <c r="S1098" s="25">
        <f t="shared" si="35"/>
        <v>0</v>
      </c>
      <c r="T1098" s="39" t="s">
        <v>19</v>
      </c>
    </row>
    <row r="1099" spans="1:20" x14ac:dyDescent="0.25">
      <c r="A1099" s="20">
        <v>42135</v>
      </c>
      <c r="B1099" s="183">
        <v>20673</v>
      </c>
      <c r="C1099" s="14" t="s">
        <v>1175</v>
      </c>
      <c r="D1099" s="105">
        <v>22324.400000000001</v>
      </c>
      <c r="E1099" s="23">
        <v>42135</v>
      </c>
      <c r="F1099" s="106">
        <v>22324.400000000001</v>
      </c>
      <c r="G1099" s="31">
        <f t="shared" si="34"/>
        <v>0</v>
      </c>
      <c r="H1099" s="39" t="s">
        <v>9</v>
      </c>
      <c r="J1099" s="107"/>
      <c r="K1099" s="3"/>
      <c r="M1099" s="20">
        <v>42126</v>
      </c>
      <c r="N1099" s="183">
        <v>19797</v>
      </c>
      <c r="O1099" s="40" t="s">
        <v>93</v>
      </c>
      <c r="P1099" s="105">
        <v>2695</v>
      </c>
      <c r="Q1099" s="23">
        <v>42128</v>
      </c>
      <c r="R1099" s="106">
        <v>2695</v>
      </c>
      <c r="S1099" s="31">
        <f t="shared" si="35"/>
        <v>0</v>
      </c>
      <c r="T1099" s="41" t="s">
        <v>19</v>
      </c>
    </row>
    <row r="1100" spans="1:20" x14ac:dyDescent="0.25">
      <c r="A1100" s="20">
        <v>42135</v>
      </c>
      <c r="B1100" s="183">
        <v>20674</v>
      </c>
      <c r="C1100" s="14" t="s">
        <v>226</v>
      </c>
      <c r="D1100" s="105">
        <v>2305.1999999999998</v>
      </c>
      <c r="E1100" s="23">
        <v>42138</v>
      </c>
      <c r="F1100" s="106">
        <v>2305.1999999999998</v>
      </c>
      <c r="G1100" s="31">
        <f t="shared" si="34"/>
        <v>0</v>
      </c>
      <c r="H1100" s="39" t="s">
        <v>149</v>
      </c>
      <c r="J1100" s="107"/>
      <c r="K1100" s="3"/>
      <c r="M1100" s="20">
        <v>42128</v>
      </c>
      <c r="N1100" s="183">
        <v>19958</v>
      </c>
      <c r="O1100" s="14" t="s">
        <v>93</v>
      </c>
      <c r="P1100" s="105">
        <v>1455.2</v>
      </c>
      <c r="Q1100" s="23">
        <v>42128</v>
      </c>
      <c r="R1100" s="106">
        <v>1455.2</v>
      </c>
      <c r="S1100" s="31">
        <f t="shared" si="35"/>
        <v>0</v>
      </c>
      <c r="T1100" s="19" t="s">
        <v>9</v>
      </c>
    </row>
    <row r="1101" spans="1:20" x14ac:dyDescent="0.25">
      <c r="A1101" s="20">
        <v>42135</v>
      </c>
      <c r="B1101" s="183">
        <v>20675</v>
      </c>
      <c r="C1101" s="14" t="s">
        <v>122</v>
      </c>
      <c r="D1101" s="105">
        <v>9592</v>
      </c>
      <c r="E1101" s="23">
        <v>42135</v>
      </c>
      <c r="F1101" s="106">
        <v>9592</v>
      </c>
      <c r="G1101" s="31">
        <f t="shared" si="34"/>
        <v>0</v>
      </c>
      <c r="H1101" s="39" t="s">
        <v>9</v>
      </c>
      <c r="K1101" s="3"/>
      <c r="M1101" s="20">
        <v>42130</v>
      </c>
      <c r="N1101" s="183">
        <v>20184</v>
      </c>
      <c r="O1101" s="150" t="s">
        <v>93</v>
      </c>
      <c r="P1101" s="105">
        <v>1679.6</v>
      </c>
      <c r="Q1101" s="23">
        <v>42131</v>
      </c>
      <c r="R1101" s="106">
        <v>1679.6</v>
      </c>
      <c r="S1101" s="31">
        <f t="shared" si="35"/>
        <v>0</v>
      </c>
      <c r="T1101" s="39" t="s">
        <v>94</v>
      </c>
    </row>
    <row r="1102" spans="1:20" x14ac:dyDescent="0.25">
      <c r="A1102" s="20">
        <v>42135</v>
      </c>
      <c r="B1102" s="183">
        <v>20676</v>
      </c>
      <c r="C1102" s="14" t="s">
        <v>22</v>
      </c>
      <c r="D1102" s="105">
        <v>2340</v>
      </c>
      <c r="E1102" s="23">
        <v>42135</v>
      </c>
      <c r="F1102" s="106">
        <v>2340</v>
      </c>
      <c r="G1102" s="31">
        <f t="shared" si="34"/>
        <v>0</v>
      </c>
      <c r="H1102" s="39" t="s">
        <v>9</v>
      </c>
      <c r="K1102" s="3"/>
      <c r="M1102" s="20">
        <v>42132</v>
      </c>
      <c r="N1102" s="183">
        <v>20398</v>
      </c>
      <c r="O1102" s="150" t="s">
        <v>93</v>
      </c>
      <c r="P1102" s="105">
        <v>3440.8</v>
      </c>
      <c r="Q1102" s="23">
        <v>42133</v>
      </c>
      <c r="R1102" s="106">
        <v>3440.8</v>
      </c>
      <c r="S1102" s="31">
        <f t="shared" si="35"/>
        <v>0</v>
      </c>
      <c r="T1102" s="19" t="s">
        <v>94</v>
      </c>
    </row>
    <row r="1103" spans="1:20" x14ac:dyDescent="0.25">
      <c r="A1103" s="20">
        <v>42135</v>
      </c>
      <c r="B1103" s="183">
        <v>20677</v>
      </c>
      <c r="C1103" s="14" t="s">
        <v>854</v>
      </c>
      <c r="D1103" s="105">
        <v>2412.5</v>
      </c>
      <c r="E1103" s="23">
        <v>42135</v>
      </c>
      <c r="F1103" s="106">
        <v>2412.5</v>
      </c>
      <c r="G1103" s="31">
        <f t="shared" si="34"/>
        <v>0</v>
      </c>
      <c r="H1103" s="39" t="s">
        <v>9</v>
      </c>
      <c r="K1103" s="3"/>
      <c r="M1103" s="20">
        <v>42133</v>
      </c>
      <c r="N1103" s="183">
        <v>20544</v>
      </c>
      <c r="O1103" s="14" t="s">
        <v>93</v>
      </c>
      <c r="P1103" s="105">
        <v>2448</v>
      </c>
      <c r="Q1103" s="23">
        <v>42135</v>
      </c>
      <c r="R1103" s="106">
        <v>2448</v>
      </c>
      <c r="S1103" s="31">
        <f t="shared" si="35"/>
        <v>0</v>
      </c>
      <c r="T1103" s="19" t="s">
        <v>94</v>
      </c>
    </row>
    <row r="1104" spans="1:20" x14ac:dyDescent="0.25">
      <c r="A1104" s="20">
        <v>42135</v>
      </c>
      <c r="B1104" s="183">
        <v>20678</v>
      </c>
      <c r="C1104" s="14" t="s">
        <v>114</v>
      </c>
      <c r="D1104" s="105">
        <v>1224</v>
      </c>
      <c r="E1104" s="23">
        <v>42135</v>
      </c>
      <c r="F1104" s="106">
        <v>1224</v>
      </c>
      <c r="G1104" s="31">
        <f t="shared" si="34"/>
        <v>0</v>
      </c>
      <c r="H1104" s="39" t="s">
        <v>9</v>
      </c>
      <c r="K1104" s="3"/>
      <c r="M1104" s="20">
        <v>42136</v>
      </c>
      <c r="N1104" s="183">
        <v>20844</v>
      </c>
      <c r="O1104" s="14" t="s">
        <v>93</v>
      </c>
      <c r="P1104" s="105">
        <v>1346.4</v>
      </c>
      <c r="Q1104" s="23">
        <v>42137</v>
      </c>
      <c r="R1104" s="106">
        <v>1346.4</v>
      </c>
      <c r="S1104" s="31">
        <f t="shared" si="35"/>
        <v>0</v>
      </c>
      <c r="T1104" s="39" t="s">
        <v>1273</v>
      </c>
    </row>
    <row r="1105" spans="1:20" x14ac:dyDescent="0.25">
      <c r="A1105" s="20">
        <v>42135</v>
      </c>
      <c r="B1105" s="183">
        <v>20679</v>
      </c>
      <c r="C1105" s="14" t="s">
        <v>20</v>
      </c>
      <c r="D1105" s="105">
        <v>11959.1</v>
      </c>
      <c r="E1105" s="23">
        <v>42137</v>
      </c>
      <c r="F1105" s="106">
        <v>11959.1</v>
      </c>
      <c r="G1105" s="31">
        <f t="shared" si="34"/>
        <v>0</v>
      </c>
      <c r="H1105" s="39" t="s">
        <v>94</v>
      </c>
      <c r="K1105" s="3"/>
      <c r="M1105" s="20">
        <v>42137</v>
      </c>
      <c r="N1105" s="183">
        <v>20935</v>
      </c>
      <c r="O1105" s="14" t="s">
        <v>93</v>
      </c>
      <c r="P1105" s="105">
        <v>1394</v>
      </c>
      <c r="Q1105" s="23">
        <v>42137</v>
      </c>
      <c r="R1105" s="106">
        <v>1394</v>
      </c>
      <c r="S1105" s="31">
        <f t="shared" si="35"/>
        <v>0</v>
      </c>
      <c r="T1105" s="19" t="s">
        <v>94</v>
      </c>
    </row>
    <row r="1106" spans="1:20" x14ac:dyDescent="0.25">
      <c r="A1106" s="20">
        <v>42135</v>
      </c>
      <c r="B1106" s="183">
        <v>20680</v>
      </c>
      <c r="C1106" s="14" t="s">
        <v>23</v>
      </c>
      <c r="D1106" s="105">
        <v>1458</v>
      </c>
      <c r="E1106" s="23">
        <v>42135</v>
      </c>
      <c r="F1106" s="106">
        <v>1458</v>
      </c>
      <c r="G1106" s="31">
        <f t="shared" si="34"/>
        <v>0</v>
      </c>
      <c r="H1106" s="39" t="s">
        <v>9</v>
      </c>
      <c r="I1106" s="3"/>
      <c r="J1106" s="42"/>
      <c r="K1106" s="3"/>
      <c r="M1106" s="20">
        <v>42138</v>
      </c>
      <c r="N1106" s="183">
        <v>21031</v>
      </c>
      <c r="O1106" s="14" t="s">
        <v>93</v>
      </c>
      <c r="P1106" s="105">
        <v>1655.8</v>
      </c>
      <c r="Q1106" s="23">
        <v>42139</v>
      </c>
      <c r="R1106" s="106">
        <v>1655.8</v>
      </c>
      <c r="S1106" s="48">
        <f t="shared" si="35"/>
        <v>0</v>
      </c>
      <c r="T1106" s="39" t="s">
        <v>1273</v>
      </c>
    </row>
    <row r="1107" spans="1:20" x14ac:dyDescent="0.25">
      <c r="A1107" s="20">
        <v>42135</v>
      </c>
      <c r="B1107" s="183">
        <v>20681</v>
      </c>
      <c r="C1107" s="14" t="s">
        <v>112</v>
      </c>
      <c r="D1107" s="105">
        <v>2214.8000000000002</v>
      </c>
      <c r="E1107" s="23">
        <v>42135</v>
      </c>
      <c r="F1107" s="106">
        <v>2214.8000000000002</v>
      </c>
      <c r="G1107" s="31">
        <f t="shared" si="34"/>
        <v>0</v>
      </c>
      <c r="H1107" s="39" t="s">
        <v>9</v>
      </c>
      <c r="I1107" s="3"/>
      <c r="J1107" s="42"/>
      <c r="K1107" s="3"/>
      <c r="M1107" s="20">
        <v>42139</v>
      </c>
      <c r="N1107" s="183">
        <v>21185</v>
      </c>
      <c r="O1107" s="14" t="s">
        <v>93</v>
      </c>
      <c r="P1107" s="105">
        <v>1958.4</v>
      </c>
      <c r="Q1107" s="23">
        <v>42140</v>
      </c>
      <c r="R1107" s="106">
        <v>1958.4</v>
      </c>
      <c r="S1107" s="48">
        <f t="shared" si="35"/>
        <v>0</v>
      </c>
      <c r="T1107" s="39" t="s">
        <v>1273</v>
      </c>
    </row>
    <row r="1108" spans="1:20" x14ac:dyDescent="0.25">
      <c r="A1108" s="20">
        <v>42135</v>
      </c>
      <c r="B1108" s="183">
        <v>20682</v>
      </c>
      <c r="C1108" s="14" t="s">
        <v>226</v>
      </c>
      <c r="D1108" s="105">
        <v>1644</v>
      </c>
      <c r="E1108" s="23">
        <v>42135</v>
      </c>
      <c r="F1108" s="106">
        <v>1644</v>
      </c>
      <c r="G1108" s="31">
        <f t="shared" si="34"/>
        <v>0</v>
      </c>
      <c r="H1108" s="39" t="s">
        <v>94</v>
      </c>
      <c r="I1108" s="3"/>
      <c r="J1108" s="42"/>
      <c r="K1108" s="3"/>
      <c r="M1108" s="20">
        <v>42140</v>
      </c>
      <c r="N1108" s="183">
        <v>21292</v>
      </c>
      <c r="O1108" s="14" t="s">
        <v>93</v>
      </c>
      <c r="P1108" s="105">
        <v>2947</v>
      </c>
      <c r="Q1108" s="23">
        <v>42142</v>
      </c>
      <c r="R1108" s="118">
        <v>2947</v>
      </c>
      <c r="S1108" s="31">
        <f t="shared" si="35"/>
        <v>0</v>
      </c>
      <c r="T1108" s="62" t="s">
        <v>1273</v>
      </c>
    </row>
    <row r="1109" spans="1:20" x14ac:dyDescent="0.25">
      <c r="A1109" s="20">
        <v>42135</v>
      </c>
      <c r="B1109" s="183">
        <v>20683</v>
      </c>
      <c r="C1109" s="14" t="s">
        <v>1175</v>
      </c>
      <c r="D1109" s="105">
        <v>23514.400000000001</v>
      </c>
      <c r="E1109" s="23">
        <v>42135</v>
      </c>
      <c r="F1109" s="106">
        <v>23514.400000000001</v>
      </c>
      <c r="G1109" s="31">
        <f t="shared" si="34"/>
        <v>0</v>
      </c>
      <c r="H1109" s="39" t="s">
        <v>9</v>
      </c>
      <c r="I1109" s="3"/>
      <c r="J1109" s="42"/>
      <c r="K1109" s="3"/>
      <c r="M1109" s="20">
        <v>42145</v>
      </c>
      <c r="N1109" s="183">
        <v>21781</v>
      </c>
      <c r="O1109" s="15" t="s">
        <v>93</v>
      </c>
      <c r="P1109" s="122">
        <v>2042.4</v>
      </c>
      <c r="Q1109" s="23">
        <v>42145</v>
      </c>
      <c r="R1109" s="118">
        <v>2042.4</v>
      </c>
      <c r="S1109" s="31">
        <f t="shared" si="35"/>
        <v>0</v>
      </c>
      <c r="T1109" s="68" t="s">
        <v>62</v>
      </c>
    </row>
    <row r="1110" spans="1:20" x14ac:dyDescent="0.25">
      <c r="A1110" s="20">
        <v>42135</v>
      </c>
      <c r="B1110" s="183">
        <v>20684</v>
      </c>
      <c r="C1110" s="26" t="s">
        <v>218</v>
      </c>
      <c r="D1110" s="108">
        <v>0</v>
      </c>
      <c r="E1110" s="23"/>
      <c r="F1110" s="106"/>
      <c r="G1110" s="31">
        <f t="shared" si="34"/>
        <v>0</v>
      </c>
      <c r="H1110" s="39" t="s">
        <v>13</v>
      </c>
      <c r="I1110" s="3"/>
      <c r="J1110" s="42"/>
      <c r="K1110" s="3"/>
      <c r="M1110" s="20">
        <v>42146</v>
      </c>
      <c r="N1110" s="183">
        <v>21937</v>
      </c>
      <c r="O1110" s="14" t="s">
        <v>93</v>
      </c>
      <c r="P1110" s="105">
        <v>2982.2</v>
      </c>
      <c r="Q1110" s="23">
        <v>42147</v>
      </c>
      <c r="R1110" s="106">
        <v>2982.2</v>
      </c>
      <c r="S1110" s="31">
        <f t="shared" si="35"/>
        <v>0</v>
      </c>
      <c r="T1110" s="39" t="s">
        <v>1273</v>
      </c>
    </row>
    <row r="1111" spans="1:20" x14ac:dyDescent="0.25">
      <c r="A1111" s="20">
        <v>42135</v>
      </c>
      <c r="B1111" s="183">
        <v>20685</v>
      </c>
      <c r="C1111" s="14" t="s">
        <v>1261</v>
      </c>
      <c r="D1111" s="105">
        <v>18240.400000000001</v>
      </c>
      <c r="E1111" s="23">
        <v>42135</v>
      </c>
      <c r="F1111" s="106">
        <v>18240.400000000001</v>
      </c>
      <c r="G1111" s="31">
        <f t="shared" si="34"/>
        <v>0</v>
      </c>
      <c r="H1111" s="39" t="s">
        <v>9</v>
      </c>
      <c r="I1111" s="3"/>
      <c r="J1111" s="42"/>
      <c r="K1111" s="3"/>
      <c r="M1111" s="20">
        <v>42153</v>
      </c>
      <c r="N1111" s="183">
        <v>22608</v>
      </c>
      <c r="O1111" s="14" t="s">
        <v>93</v>
      </c>
      <c r="P1111" s="105">
        <v>2964</v>
      </c>
      <c r="Q1111" s="23">
        <v>42154</v>
      </c>
      <c r="R1111" s="106">
        <v>2964</v>
      </c>
      <c r="S1111" s="31">
        <f t="shared" si="35"/>
        <v>0</v>
      </c>
      <c r="T1111" s="39" t="s">
        <v>94</v>
      </c>
    </row>
    <row r="1112" spans="1:20" x14ac:dyDescent="0.25">
      <c r="A1112" s="20">
        <v>42135</v>
      </c>
      <c r="B1112" s="183">
        <v>20686</v>
      </c>
      <c r="C1112" s="14" t="s">
        <v>1297</v>
      </c>
      <c r="D1112" s="105">
        <v>4483.3999999999996</v>
      </c>
      <c r="E1112" s="23">
        <v>42135</v>
      </c>
      <c r="F1112" s="106">
        <v>4483.3999999999996</v>
      </c>
      <c r="G1112" s="31">
        <f t="shared" si="34"/>
        <v>0</v>
      </c>
      <c r="H1112" s="39" t="s">
        <v>46</v>
      </c>
      <c r="I1112" s="3"/>
      <c r="J1112" s="42"/>
      <c r="K1112" s="3"/>
      <c r="M1112" s="20">
        <v>42154</v>
      </c>
      <c r="N1112" s="183">
        <v>22752</v>
      </c>
      <c r="O1112" s="14" t="s">
        <v>93</v>
      </c>
      <c r="P1112" s="105">
        <v>2390.1999999999998</v>
      </c>
      <c r="Q1112" s="23">
        <v>42154</v>
      </c>
      <c r="R1112" s="106">
        <v>2390.1999999999998</v>
      </c>
      <c r="S1112" s="31">
        <f t="shared" si="35"/>
        <v>0</v>
      </c>
      <c r="T1112" s="39" t="s">
        <v>1273</v>
      </c>
    </row>
    <row r="1113" spans="1:20" x14ac:dyDescent="0.25">
      <c r="A1113" s="20">
        <v>42135</v>
      </c>
      <c r="B1113" s="183">
        <v>20687</v>
      </c>
      <c r="C1113" s="14" t="s">
        <v>1190</v>
      </c>
      <c r="D1113" s="105">
        <v>2290.4</v>
      </c>
      <c r="E1113" s="23">
        <v>42135</v>
      </c>
      <c r="F1113" s="106">
        <v>2290.4</v>
      </c>
      <c r="G1113" s="31">
        <f t="shared" si="34"/>
        <v>0</v>
      </c>
      <c r="H1113" s="39" t="s">
        <v>9</v>
      </c>
      <c r="I1113" s="3"/>
      <c r="J1113" s="42"/>
      <c r="K1113" s="3"/>
      <c r="M1113" s="20">
        <v>42125</v>
      </c>
      <c r="N1113" s="183">
        <v>19669</v>
      </c>
      <c r="O1113" s="14" t="s">
        <v>95</v>
      </c>
      <c r="P1113" s="105">
        <v>5378.8</v>
      </c>
      <c r="Q1113" s="23">
        <v>42125</v>
      </c>
      <c r="R1113" s="106">
        <v>5378.8</v>
      </c>
      <c r="S1113" s="25">
        <f t="shared" si="35"/>
        <v>0</v>
      </c>
      <c r="T1113" s="39" t="s">
        <v>19</v>
      </c>
    </row>
    <row r="1114" spans="1:20" x14ac:dyDescent="0.25">
      <c r="A1114" s="20">
        <v>42135</v>
      </c>
      <c r="B1114" s="183">
        <v>20688</v>
      </c>
      <c r="C1114" s="14" t="s">
        <v>940</v>
      </c>
      <c r="D1114" s="105">
        <v>2245.6</v>
      </c>
      <c r="E1114" s="23">
        <v>42135</v>
      </c>
      <c r="F1114" s="106">
        <v>2245.6</v>
      </c>
      <c r="G1114" s="31">
        <f t="shared" si="34"/>
        <v>0</v>
      </c>
      <c r="H1114" s="39" t="s">
        <v>9</v>
      </c>
      <c r="I1114" s="3"/>
      <c r="J1114" s="42"/>
      <c r="K1114" s="3"/>
      <c r="M1114" s="20">
        <v>42126</v>
      </c>
      <c r="N1114" s="183">
        <v>19796</v>
      </c>
      <c r="O1114" s="40" t="s">
        <v>95</v>
      </c>
      <c r="P1114" s="105">
        <v>5285</v>
      </c>
      <c r="Q1114" s="23">
        <v>42128</v>
      </c>
      <c r="R1114" s="106">
        <v>5285</v>
      </c>
      <c r="S1114" s="31">
        <f t="shared" si="35"/>
        <v>0</v>
      </c>
      <c r="T1114" s="41" t="s">
        <v>19</v>
      </c>
    </row>
    <row r="1115" spans="1:20" x14ac:dyDescent="0.25">
      <c r="A1115" s="20">
        <v>42135</v>
      </c>
      <c r="B1115" s="183">
        <v>20689</v>
      </c>
      <c r="C1115" s="14" t="s">
        <v>256</v>
      </c>
      <c r="D1115" s="105">
        <v>4862</v>
      </c>
      <c r="E1115" s="23">
        <v>42136</v>
      </c>
      <c r="F1115" s="106">
        <v>4862</v>
      </c>
      <c r="G1115" s="31">
        <f t="shared" si="34"/>
        <v>0</v>
      </c>
      <c r="H1115" s="39" t="s">
        <v>773</v>
      </c>
      <c r="I1115" s="3"/>
      <c r="J1115" s="42"/>
      <c r="K1115" s="3"/>
      <c r="M1115" s="20">
        <v>42129</v>
      </c>
      <c r="N1115" s="183">
        <v>20083</v>
      </c>
      <c r="O1115" s="14" t="s">
        <v>95</v>
      </c>
      <c r="P1115" s="105">
        <v>1798.6</v>
      </c>
      <c r="Q1115" s="23">
        <v>42129</v>
      </c>
      <c r="R1115" s="106">
        <v>1798.6</v>
      </c>
      <c r="S1115" s="31">
        <f t="shared" si="35"/>
        <v>0</v>
      </c>
      <c r="T1115" s="39" t="s">
        <v>9</v>
      </c>
    </row>
    <row r="1116" spans="1:20" x14ac:dyDescent="0.25">
      <c r="A1116" s="20">
        <v>42135</v>
      </c>
      <c r="B1116" s="183">
        <v>20690</v>
      </c>
      <c r="C1116" s="14" t="s">
        <v>14</v>
      </c>
      <c r="D1116" s="105">
        <v>90082.85</v>
      </c>
      <c r="E1116" s="23" t="s">
        <v>1341</v>
      </c>
      <c r="F1116" s="106">
        <f>48458.23+41624.62</f>
        <v>90082.85</v>
      </c>
      <c r="G1116" s="31">
        <f t="shared" si="34"/>
        <v>0</v>
      </c>
      <c r="H1116" s="39" t="s">
        <v>9</v>
      </c>
      <c r="I1116" s="3"/>
      <c r="J1116" s="42"/>
      <c r="K1116" s="3"/>
      <c r="M1116" s="20">
        <v>42130</v>
      </c>
      <c r="N1116" s="183">
        <v>20183</v>
      </c>
      <c r="O1116" s="14" t="s">
        <v>95</v>
      </c>
      <c r="P1116" s="105">
        <v>1734</v>
      </c>
      <c r="Q1116" s="23">
        <v>42131</v>
      </c>
      <c r="R1116" s="106">
        <v>1734</v>
      </c>
      <c r="S1116" s="31">
        <f t="shared" si="35"/>
        <v>0</v>
      </c>
      <c r="T1116" s="39" t="s">
        <v>94</v>
      </c>
    </row>
    <row r="1117" spans="1:20" x14ac:dyDescent="0.25">
      <c r="A1117" s="20">
        <v>42135</v>
      </c>
      <c r="B1117" s="183">
        <v>20691</v>
      </c>
      <c r="C1117" s="14" t="s">
        <v>125</v>
      </c>
      <c r="D1117" s="105">
        <v>36266.5</v>
      </c>
      <c r="E1117" s="12" t="s">
        <v>1373</v>
      </c>
      <c r="F1117" s="106">
        <f>35000+1266.5</f>
        <v>36266.5</v>
      </c>
      <c r="G1117" s="31">
        <f t="shared" si="34"/>
        <v>0</v>
      </c>
      <c r="H1117" s="39" t="s">
        <v>9</v>
      </c>
      <c r="I1117" s="3"/>
      <c r="J1117" s="42"/>
      <c r="K1117" s="3"/>
      <c r="M1117" s="20">
        <v>42131</v>
      </c>
      <c r="N1117" s="183">
        <v>20291</v>
      </c>
      <c r="O1117" s="14" t="s">
        <v>95</v>
      </c>
      <c r="P1117" s="105">
        <v>1938</v>
      </c>
      <c r="Q1117" s="23">
        <v>42132</v>
      </c>
      <c r="R1117" s="106">
        <v>1938</v>
      </c>
      <c r="S1117" s="31">
        <f t="shared" si="35"/>
        <v>0</v>
      </c>
      <c r="T1117" s="19" t="s">
        <v>1273</v>
      </c>
    </row>
    <row r="1118" spans="1:20" x14ac:dyDescent="0.25">
      <c r="A1118" s="20">
        <v>42135</v>
      </c>
      <c r="B1118" s="183">
        <v>20692</v>
      </c>
      <c r="C1118" s="14" t="s">
        <v>56</v>
      </c>
      <c r="D1118" s="105">
        <v>9996</v>
      </c>
      <c r="E1118" s="23">
        <v>42136</v>
      </c>
      <c r="F1118" s="106">
        <v>9996</v>
      </c>
      <c r="G1118" s="31">
        <f t="shared" si="34"/>
        <v>0</v>
      </c>
      <c r="H1118" s="39" t="s">
        <v>41</v>
      </c>
      <c r="I1118" s="3"/>
      <c r="J1118" s="42"/>
      <c r="K1118" s="3"/>
      <c r="M1118" s="20">
        <v>42132</v>
      </c>
      <c r="N1118" s="183">
        <v>20413</v>
      </c>
      <c r="O1118" s="14" t="s">
        <v>95</v>
      </c>
      <c r="P1118" s="105">
        <v>1999.2</v>
      </c>
      <c r="Q1118" s="23">
        <v>42133</v>
      </c>
      <c r="R1118" s="106">
        <v>1999.2</v>
      </c>
      <c r="S1118" s="31">
        <f t="shared" si="35"/>
        <v>0</v>
      </c>
      <c r="T1118" s="19" t="s">
        <v>94</v>
      </c>
    </row>
    <row r="1119" spans="1:20" x14ac:dyDescent="0.25">
      <c r="A1119" s="20">
        <v>42135</v>
      </c>
      <c r="B1119" s="183">
        <v>20693</v>
      </c>
      <c r="C1119" s="14" t="s">
        <v>1069</v>
      </c>
      <c r="D1119" s="105">
        <v>2342</v>
      </c>
      <c r="E1119" s="23">
        <v>42136</v>
      </c>
      <c r="F1119" s="106">
        <v>2342</v>
      </c>
      <c r="G1119" s="31">
        <f t="shared" si="34"/>
        <v>0</v>
      </c>
      <c r="H1119" s="39" t="s">
        <v>773</v>
      </c>
      <c r="I1119" s="3"/>
      <c r="J1119" s="42"/>
      <c r="K1119" s="3"/>
      <c r="M1119" s="20">
        <v>42133</v>
      </c>
      <c r="N1119" s="183">
        <v>20545</v>
      </c>
      <c r="O1119" s="14" t="s">
        <v>95</v>
      </c>
      <c r="P1119" s="105">
        <v>5763</v>
      </c>
      <c r="Q1119" s="23">
        <v>42135</v>
      </c>
      <c r="R1119" s="106">
        <v>5763</v>
      </c>
      <c r="S1119" s="31">
        <f t="shared" si="35"/>
        <v>0</v>
      </c>
      <c r="T1119" s="19" t="s">
        <v>94</v>
      </c>
    </row>
    <row r="1120" spans="1:20" x14ac:dyDescent="0.25">
      <c r="A1120" s="20">
        <v>42135</v>
      </c>
      <c r="B1120" s="183">
        <v>20694</v>
      </c>
      <c r="C1120" s="14" t="s">
        <v>1053</v>
      </c>
      <c r="D1120" s="105">
        <v>62210.400000000001</v>
      </c>
      <c r="E1120" s="23">
        <v>42137</v>
      </c>
      <c r="F1120" s="106">
        <v>62210.400000000001</v>
      </c>
      <c r="G1120" s="31">
        <f t="shared" si="34"/>
        <v>0</v>
      </c>
      <c r="H1120" s="39" t="s">
        <v>9</v>
      </c>
      <c r="I1120" s="3"/>
      <c r="J1120" s="42"/>
      <c r="K1120" s="3"/>
      <c r="M1120" s="20">
        <v>42135</v>
      </c>
      <c r="N1120" s="183">
        <v>20739</v>
      </c>
      <c r="O1120" s="14" t="s">
        <v>95</v>
      </c>
      <c r="P1120" s="105">
        <v>2774.4</v>
      </c>
      <c r="Q1120" s="23">
        <v>42136</v>
      </c>
      <c r="R1120" s="106">
        <v>2774.4</v>
      </c>
      <c r="S1120" s="31">
        <f t="shared" si="35"/>
        <v>0</v>
      </c>
      <c r="T1120" s="19" t="s">
        <v>94</v>
      </c>
    </row>
    <row r="1121" spans="1:20" x14ac:dyDescent="0.25">
      <c r="A1121" s="20">
        <v>42135</v>
      </c>
      <c r="B1121" s="183">
        <v>20695</v>
      </c>
      <c r="C1121" s="14" t="s">
        <v>233</v>
      </c>
      <c r="D1121" s="105">
        <v>13474</v>
      </c>
      <c r="E1121" s="23">
        <v>42136</v>
      </c>
      <c r="F1121" s="106">
        <v>13474</v>
      </c>
      <c r="G1121" s="31">
        <f t="shared" si="34"/>
        <v>0</v>
      </c>
      <c r="H1121" s="39" t="s">
        <v>773</v>
      </c>
      <c r="I1121" s="3"/>
      <c r="J1121" s="42"/>
      <c r="K1121" s="3"/>
      <c r="M1121" s="20">
        <v>42137</v>
      </c>
      <c r="N1121" s="183">
        <v>20936</v>
      </c>
      <c r="O1121" s="14" t="s">
        <v>95</v>
      </c>
      <c r="P1121" s="105">
        <v>1778.2</v>
      </c>
      <c r="Q1121" s="23">
        <v>42137</v>
      </c>
      <c r="R1121" s="106">
        <v>1778.2</v>
      </c>
      <c r="S1121" s="31">
        <f t="shared" si="35"/>
        <v>0</v>
      </c>
      <c r="T1121" s="19" t="s">
        <v>94</v>
      </c>
    </row>
    <row r="1122" spans="1:20" x14ac:dyDescent="0.25">
      <c r="A1122" s="20">
        <v>42135</v>
      </c>
      <c r="B1122" s="183">
        <v>20696</v>
      </c>
      <c r="C1122" s="14" t="s">
        <v>24</v>
      </c>
      <c r="D1122" s="105">
        <v>109853.2</v>
      </c>
      <c r="E1122" s="23">
        <v>42153</v>
      </c>
      <c r="F1122" s="106">
        <v>109853.2</v>
      </c>
      <c r="G1122" s="31">
        <f t="shared" si="34"/>
        <v>0</v>
      </c>
      <c r="H1122" s="39" t="s">
        <v>9</v>
      </c>
      <c r="I1122" s="3"/>
      <c r="J1122" s="42"/>
      <c r="K1122" s="3"/>
      <c r="M1122" s="20">
        <v>42138</v>
      </c>
      <c r="N1122" s="183">
        <v>21032</v>
      </c>
      <c r="O1122" s="14" t="s">
        <v>95</v>
      </c>
      <c r="P1122" s="105">
        <v>1961.8</v>
      </c>
      <c r="Q1122" s="23">
        <v>42139</v>
      </c>
      <c r="R1122" s="106">
        <v>1961.8</v>
      </c>
      <c r="S1122" s="48">
        <f t="shared" si="35"/>
        <v>0</v>
      </c>
      <c r="T1122" s="39" t="s">
        <v>1273</v>
      </c>
    </row>
    <row r="1123" spans="1:20" x14ac:dyDescent="0.25">
      <c r="A1123" s="20">
        <v>42135</v>
      </c>
      <c r="B1123" s="183">
        <v>20697</v>
      </c>
      <c r="C1123" s="14" t="s">
        <v>26</v>
      </c>
      <c r="D1123" s="105">
        <v>1632</v>
      </c>
      <c r="E1123" s="23">
        <v>42135</v>
      </c>
      <c r="F1123" s="106">
        <v>1632</v>
      </c>
      <c r="G1123" s="31">
        <f t="shared" si="34"/>
        <v>0</v>
      </c>
      <c r="H1123" s="39" t="s">
        <v>27</v>
      </c>
      <c r="I1123" s="3"/>
      <c r="J1123" s="42"/>
      <c r="K1123" s="3"/>
      <c r="M1123" s="20">
        <v>42140</v>
      </c>
      <c r="N1123" s="183">
        <v>21293</v>
      </c>
      <c r="O1123" s="14" t="s">
        <v>95</v>
      </c>
      <c r="P1123" s="105">
        <v>5383</v>
      </c>
      <c r="Q1123" s="23">
        <v>42142</v>
      </c>
      <c r="R1123" s="118">
        <v>5383</v>
      </c>
      <c r="S1123" s="31">
        <f t="shared" si="35"/>
        <v>0</v>
      </c>
      <c r="T1123" s="62" t="s">
        <v>1273</v>
      </c>
    </row>
    <row r="1124" spans="1:20" x14ac:dyDescent="0.25">
      <c r="A1124" s="20">
        <v>42135</v>
      </c>
      <c r="B1124" s="183">
        <v>20698</v>
      </c>
      <c r="C1124" s="14" t="s">
        <v>83</v>
      </c>
      <c r="D1124" s="105">
        <v>4719.2</v>
      </c>
      <c r="E1124" s="23">
        <v>42135</v>
      </c>
      <c r="F1124" s="106">
        <v>4719.2</v>
      </c>
      <c r="G1124" s="31">
        <f t="shared" si="34"/>
        <v>0</v>
      </c>
      <c r="H1124" s="39" t="s">
        <v>59</v>
      </c>
      <c r="I1124" s="3"/>
      <c r="J1124" s="42"/>
      <c r="K1124" s="3"/>
      <c r="M1124" s="20">
        <v>42142</v>
      </c>
      <c r="N1124" s="183">
        <v>21491</v>
      </c>
      <c r="O1124" s="150" t="s">
        <v>95</v>
      </c>
      <c r="P1124" s="105">
        <v>1778.4</v>
      </c>
      <c r="Q1124" s="65">
        <v>42143</v>
      </c>
      <c r="R1124" s="106">
        <v>1778.4</v>
      </c>
      <c r="S1124" s="31">
        <f t="shared" si="35"/>
        <v>0</v>
      </c>
      <c r="T1124" s="19" t="s">
        <v>1273</v>
      </c>
    </row>
    <row r="1125" spans="1:20" x14ac:dyDescent="0.25">
      <c r="A1125" s="20">
        <v>42135</v>
      </c>
      <c r="B1125" s="183">
        <v>20699</v>
      </c>
      <c r="C1125" s="14" t="s">
        <v>122</v>
      </c>
      <c r="D1125" s="105">
        <v>5702.4</v>
      </c>
      <c r="E1125" s="23">
        <v>42135</v>
      </c>
      <c r="F1125" s="106">
        <v>5702.4</v>
      </c>
      <c r="G1125" s="31">
        <f t="shared" si="34"/>
        <v>0</v>
      </c>
      <c r="H1125" s="39" t="s">
        <v>9</v>
      </c>
      <c r="I1125" s="3"/>
      <c r="J1125" s="42"/>
      <c r="K1125" s="3"/>
      <c r="M1125" s="20">
        <v>42144</v>
      </c>
      <c r="N1125" s="183">
        <v>21699</v>
      </c>
      <c r="O1125" s="14" t="s">
        <v>95</v>
      </c>
      <c r="P1125" s="105">
        <v>3063.6</v>
      </c>
      <c r="Q1125" s="23">
        <v>42145</v>
      </c>
      <c r="R1125" s="106">
        <v>3063.6</v>
      </c>
      <c r="S1125" s="31">
        <f t="shared" si="35"/>
        <v>0</v>
      </c>
      <c r="T1125" s="39" t="s">
        <v>1273</v>
      </c>
    </row>
    <row r="1126" spans="1:20" x14ac:dyDescent="0.25">
      <c r="A1126" s="20">
        <v>42135</v>
      </c>
      <c r="B1126" s="183">
        <v>20700</v>
      </c>
      <c r="C1126" s="14" t="s">
        <v>53</v>
      </c>
      <c r="D1126" s="105">
        <v>1020</v>
      </c>
      <c r="E1126" s="23">
        <v>42135</v>
      </c>
      <c r="F1126" s="106">
        <v>1020</v>
      </c>
      <c r="G1126" s="31">
        <f t="shared" si="34"/>
        <v>0</v>
      </c>
      <c r="H1126" s="39" t="s">
        <v>59</v>
      </c>
      <c r="I1126" s="3"/>
      <c r="J1126" s="42"/>
      <c r="K1126" s="3"/>
      <c r="M1126" s="20">
        <v>42145</v>
      </c>
      <c r="N1126" s="183">
        <v>21782</v>
      </c>
      <c r="O1126" s="15" t="s">
        <v>95</v>
      </c>
      <c r="P1126" s="122">
        <v>2149.6999999999998</v>
      </c>
      <c r="Q1126" s="23">
        <v>42145</v>
      </c>
      <c r="R1126" s="118">
        <v>2149.6999999999998</v>
      </c>
      <c r="S1126" s="31">
        <f t="shared" si="35"/>
        <v>0</v>
      </c>
      <c r="T1126" s="68" t="s">
        <v>62</v>
      </c>
    </row>
    <row r="1127" spans="1:20" x14ac:dyDescent="0.25">
      <c r="A1127" s="20">
        <v>42135</v>
      </c>
      <c r="B1127" s="183">
        <v>20701</v>
      </c>
      <c r="C1127" s="14" t="s">
        <v>81</v>
      </c>
      <c r="D1127" s="105">
        <v>1740.6</v>
      </c>
      <c r="E1127" s="23">
        <v>42135</v>
      </c>
      <c r="F1127" s="106">
        <v>1740.6</v>
      </c>
      <c r="G1127" s="31">
        <f t="shared" si="34"/>
        <v>0</v>
      </c>
      <c r="H1127" s="39" t="s">
        <v>59</v>
      </c>
      <c r="I1127" s="3"/>
      <c r="J1127" s="42"/>
      <c r="K1127" s="3"/>
      <c r="M1127" s="20">
        <v>42146</v>
      </c>
      <c r="N1127" s="183">
        <v>21938</v>
      </c>
      <c r="O1127" s="14" t="s">
        <v>95</v>
      </c>
      <c r="P1127" s="105">
        <v>1931.4</v>
      </c>
      <c r="Q1127" s="23">
        <v>42147</v>
      </c>
      <c r="R1127" s="106">
        <v>1931.4</v>
      </c>
      <c r="S1127" s="31">
        <f t="shared" si="35"/>
        <v>0</v>
      </c>
      <c r="T1127" s="39" t="s">
        <v>1273</v>
      </c>
    </row>
    <row r="1128" spans="1:20" x14ac:dyDescent="0.25">
      <c r="A1128" s="20">
        <v>42135</v>
      </c>
      <c r="B1128" s="183">
        <v>20702</v>
      </c>
      <c r="C1128" s="14" t="s">
        <v>169</v>
      </c>
      <c r="D1128" s="105">
        <v>1834.3</v>
      </c>
      <c r="E1128" s="23">
        <v>42136</v>
      </c>
      <c r="F1128" s="106">
        <v>1834.3</v>
      </c>
      <c r="G1128" s="31">
        <f t="shared" si="34"/>
        <v>0</v>
      </c>
      <c r="H1128" s="39" t="s">
        <v>59</v>
      </c>
      <c r="I1128" s="3"/>
      <c r="J1128" s="42"/>
      <c r="K1128" s="3"/>
      <c r="M1128" s="20">
        <v>42147</v>
      </c>
      <c r="N1128" s="183">
        <v>22042</v>
      </c>
      <c r="O1128" s="150" t="s">
        <v>95</v>
      </c>
      <c r="P1128" s="105">
        <v>4544.8</v>
      </c>
      <c r="Q1128" s="65">
        <v>42149</v>
      </c>
      <c r="R1128" s="106">
        <v>4544.8</v>
      </c>
      <c r="S1128" s="31">
        <f t="shared" si="35"/>
        <v>0</v>
      </c>
      <c r="T1128" s="39" t="s">
        <v>1273</v>
      </c>
    </row>
    <row r="1129" spans="1:20" x14ac:dyDescent="0.25">
      <c r="A1129" s="20">
        <v>42135</v>
      </c>
      <c r="B1129" s="183">
        <v>20703</v>
      </c>
      <c r="C1129" s="14" t="s">
        <v>1187</v>
      </c>
      <c r="D1129" s="105">
        <v>514.79999999999995</v>
      </c>
      <c r="E1129" s="23">
        <v>42136</v>
      </c>
      <c r="F1129" s="106">
        <v>514.79999999999995</v>
      </c>
      <c r="G1129" s="31">
        <f t="shared" si="34"/>
        <v>0</v>
      </c>
      <c r="H1129" s="39" t="s">
        <v>59</v>
      </c>
      <c r="I1129" s="3"/>
      <c r="J1129" s="42"/>
      <c r="K1129" s="3"/>
      <c r="M1129" s="20">
        <v>42150</v>
      </c>
      <c r="N1129" s="183">
        <v>22289</v>
      </c>
      <c r="O1129" s="14" t="s">
        <v>95</v>
      </c>
      <c r="P1129" s="105">
        <v>1535.2</v>
      </c>
      <c r="Q1129" s="65">
        <v>42151</v>
      </c>
      <c r="R1129" s="106">
        <v>1535.2</v>
      </c>
      <c r="S1129" s="31">
        <f t="shared" si="35"/>
        <v>0</v>
      </c>
      <c r="T1129" s="39" t="s">
        <v>62</v>
      </c>
    </row>
    <row r="1130" spans="1:20" x14ac:dyDescent="0.25">
      <c r="A1130" s="20">
        <v>42135</v>
      </c>
      <c r="B1130" s="183">
        <v>20704</v>
      </c>
      <c r="C1130" s="14" t="s">
        <v>25</v>
      </c>
      <c r="D1130" s="105">
        <v>809.6</v>
      </c>
      <c r="E1130" s="23">
        <v>42135</v>
      </c>
      <c r="F1130" s="106">
        <v>809.6</v>
      </c>
      <c r="G1130" s="31">
        <f t="shared" si="34"/>
        <v>0</v>
      </c>
      <c r="H1130" s="39" t="s">
        <v>9</v>
      </c>
      <c r="I1130" s="3"/>
      <c r="J1130" s="42"/>
      <c r="K1130" s="3"/>
      <c r="M1130" s="20">
        <v>42152</v>
      </c>
      <c r="N1130" s="183">
        <v>22496</v>
      </c>
      <c r="O1130" s="14" t="s">
        <v>95</v>
      </c>
      <c r="P1130" s="105">
        <v>1892.4</v>
      </c>
      <c r="Q1130" s="23">
        <v>42153</v>
      </c>
      <c r="R1130" s="106">
        <v>1892.4</v>
      </c>
      <c r="S1130" s="31">
        <f t="shared" si="35"/>
        <v>0</v>
      </c>
      <c r="T1130" s="39" t="s">
        <v>1273</v>
      </c>
    </row>
    <row r="1131" spans="1:20" x14ac:dyDescent="0.25">
      <c r="A1131" s="20">
        <v>42135</v>
      </c>
      <c r="B1131" s="183">
        <v>20705</v>
      </c>
      <c r="C1131" s="14" t="s">
        <v>167</v>
      </c>
      <c r="D1131" s="105">
        <v>393.6</v>
      </c>
      <c r="E1131" s="23">
        <v>42135</v>
      </c>
      <c r="F1131" s="106">
        <v>393.6</v>
      </c>
      <c r="G1131" s="31">
        <f t="shared" si="34"/>
        <v>0</v>
      </c>
      <c r="H1131" s="39" t="s">
        <v>59</v>
      </c>
      <c r="I1131" s="3"/>
      <c r="J1131" s="42"/>
      <c r="K1131" s="3"/>
      <c r="M1131" s="20">
        <v>42152</v>
      </c>
      <c r="N1131" s="183">
        <v>22497</v>
      </c>
      <c r="O1131" s="14" t="s">
        <v>95</v>
      </c>
      <c r="P1131" s="105">
        <v>3735.4</v>
      </c>
      <c r="Q1131" s="23">
        <v>42153</v>
      </c>
      <c r="R1131" s="106">
        <v>3735.4</v>
      </c>
      <c r="S1131" s="31">
        <f t="shared" si="35"/>
        <v>0</v>
      </c>
      <c r="T1131" s="39" t="s">
        <v>94</v>
      </c>
    </row>
    <row r="1132" spans="1:20" x14ac:dyDescent="0.25">
      <c r="A1132" s="20">
        <v>42135</v>
      </c>
      <c r="B1132" s="183">
        <v>20706</v>
      </c>
      <c r="C1132" s="14" t="s">
        <v>82</v>
      </c>
      <c r="D1132" s="105">
        <v>3730.8</v>
      </c>
      <c r="E1132" s="23">
        <v>42135</v>
      </c>
      <c r="F1132" s="106">
        <v>3730.8</v>
      </c>
      <c r="G1132" s="31">
        <f t="shared" si="34"/>
        <v>0</v>
      </c>
      <c r="H1132" s="39" t="s">
        <v>59</v>
      </c>
      <c r="I1132" s="3"/>
      <c r="J1132" s="42"/>
      <c r="K1132" s="3"/>
      <c r="M1132" s="20">
        <v>42153</v>
      </c>
      <c r="N1132" s="183">
        <v>22610</v>
      </c>
      <c r="O1132" s="14" t="s">
        <v>95</v>
      </c>
      <c r="P1132" s="105">
        <v>3952</v>
      </c>
      <c r="Q1132" s="23">
        <v>42154</v>
      </c>
      <c r="R1132" s="106">
        <v>3952</v>
      </c>
      <c r="S1132" s="31">
        <f t="shared" si="35"/>
        <v>0</v>
      </c>
      <c r="T1132" s="39" t="s">
        <v>94</v>
      </c>
    </row>
    <row r="1133" spans="1:20" x14ac:dyDescent="0.25">
      <c r="A1133" s="20">
        <v>42135</v>
      </c>
      <c r="B1133" s="183">
        <v>20707</v>
      </c>
      <c r="C1133" s="14" t="s">
        <v>915</v>
      </c>
      <c r="D1133" s="105">
        <v>854</v>
      </c>
      <c r="E1133" s="23">
        <v>42135</v>
      </c>
      <c r="F1133" s="106">
        <v>854</v>
      </c>
      <c r="G1133" s="31">
        <f t="shared" si="34"/>
        <v>0</v>
      </c>
      <c r="H1133" s="19" t="s">
        <v>59</v>
      </c>
      <c r="I1133" s="3"/>
      <c r="J1133" s="42"/>
      <c r="K1133" s="3"/>
      <c r="M1133" s="20">
        <v>42154</v>
      </c>
      <c r="N1133" s="183">
        <v>22751</v>
      </c>
      <c r="O1133" s="14" t="s">
        <v>95</v>
      </c>
      <c r="P1133" s="105">
        <v>3849.4</v>
      </c>
      <c r="Q1133" s="23">
        <v>42154</v>
      </c>
      <c r="R1133" s="106">
        <v>3849.4</v>
      </c>
      <c r="S1133" s="31">
        <f t="shared" si="35"/>
        <v>0</v>
      </c>
      <c r="T1133" s="39" t="s">
        <v>1273</v>
      </c>
    </row>
    <row r="1134" spans="1:20" x14ac:dyDescent="0.25">
      <c r="A1134" s="20">
        <v>42135</v>
      </c>
      <c r="B1134" s="183">
        <v>20708</v>
      </c>
      <c r="C1134" s="14" t="s">
        <v>130</v>
      </c>
      <c r="D1134" s="105">
        <v>2710.7</v>
      </c>
      <c r="E1134" s="23">
        <v>42135</v>
      </c>
      <c r="F1134" s="106">
        <v>2710.7</v>
      </c>
      <c r="G1134" s="31">
        <f t="shared" si="34"/>
        <v>0</v>
      </c>
      <c r="H1134" s="19" t="s">
        <v>1257</v>
      </c>
      <c r="I1134" s="3"/>
      <c r="J1134" s="42"/>
      <c r="K1134" s="3"/>
      <c r="M1134" s="20">
        <v>42147</v>
      </c>
      <c r="N1134" s="183">
        <v>22045</v>
      </c>
      <c r="O1134" s="14" t="s">
        <v>1374</v>
      </c>
      <c r="P1134" s="105">
        <v>3218.6</v>
      </c>
      <c r="Q1134" s="65">
        <v>42149</v>
      </c>
      <c r="R1134" s="106">
        <v>3218.6</v>
      </c>
      <c r="S1134" s="31">
        <f t="shared" si="35"/>
        <v>0</v>
      </c>
      <c r="T1134" s="39" t="s">
        <v>1273</v>
      </c>
    </row>
    <row r="1135" spans="1:20" x14ac:dyDescent="0.25">
      <c r="A1135" s="20">
        <v>42135</v>
      </c>
      <c r="B1135" s="183">
        <v>20709</v>
      </c>
      <c r="C1135" s="14" t="s">
        <v>131</v>
      </c>
      <c r="D1135" s="105">
        <v>7503.45</v>
      </c>
      <c r="E1135" s="23">
        <v>42136</v>
      </c>
      <c r="F1135" s="106">
        <v>7503.45</v>
      </c>
      <c r="G1135" s="31">
        <f t="shared" si="34"/>
        <v>0</v>
      </c>
      <c r="H1135" s="19" t="s">
        <v>1257</v>
      </c>
      <c r="I1135" s="3"/>
      <c r="J1135" s="42"/>
      <c r="K1135" s="3"/>
      <c r="M1135" s="20">
        <v>42142</v>
      </c>
      <c r="N1135" s="183">
        <v>21490</v>
      </c>
      <c r="O1135" s="14" t="s">
        <v>363</v>
      </c>
      <c r="P1135" s="105">
        <v>1536</v>
      </c>
      <c r="Q1135" s="65">
        <v>42143</v>
      </c>
      <c r="R1135" s="106">
        <v>1536</v>
      </c>
      <c r="S1135" s="31">
        <f t="shared" si="35"/>
        <v>0</v>
      </c>
      <c r="T1135" s="19" t="s">
        <v>1273</v>
      </c>
    </row>
    <row r="1136" spans="1:20" x14ac:dyDescent="0.25">
      <c r="A1136" s="20">
        <v>42135</v>
      </c>
      <c r="B1136" s="183">
        <v>20710</v>
      </c>
      <c r="C1136" s="14" t="s">
        <v>128</v>
      </c>
      <c r="D1136" s="105">
        <v>11092</v>
      </c>
      <c r="E1136" s="23">
        <v>42137</v>
      </c>
      <c r="F1136" s="106">
        <v>11092</v>
      </c>
      <c r="G1136" s="31">
        <f t="shared" si="34"/>
        <v>0</v>
      </c>
      <c r="H1136" s="19" t="s">
        <v>1257</v>
      </c>
      <c r="I1136" s="3"/>
      <c r="J1136" s="42"/>
      <c r="K1136" s="3"/>
      <c r="M1136" s="20">
        <v>42144</v>
      </c>
      <c r="N1136" s="183">
        <v>21698</v>
      </c>
      <c r="O1136" s="14" t="s">
        <v>363</v>
      </c>
      <c r="P1136" s="105">
        <v>655.20000000000005</v>
      </c>
      <c r="Q1136" s="23">
        <v>42145</v>
      </c>
      <c r="R1136" s="106">
        <v>655.20000000000005</v>
      </c>
      <c r="S1136" s="31">
        <f t="shared" si="35"/>
        <v>0</v>
      </c>
      <c r="T1136" s="39" t="s">
        <v>1273</v>
      </c>
    </row>
    <row r="1137" spans="1:20" x14ac:dyDescent="0.25">
      <c r="A1137" s="20">
        <v>42135</v>
      </c>
      <c r="B1137" s="183">
        <v>20711</v>
      </c>
      <c r="C1137" s="110" t="s">
        <v>143</v>
      </c>
      <c r="D1137" s="105">
        <v>16958.400000000001</v>
      </c>
      <c r="E1137" s="23">
        <v>42135</v>
      </c>
      <c r="F1137" s="106">
        <v>16958.400000000001</v>
      </c>
      <c r="G1137" s="31">
        <f t="shared" si="34"/>
        <v>0</v>
      </c>
      <c r="H1137" s="19" t="s">
        <v>1257</v>
      </c>
      <c r="I1137" s="3"/>
      <c r="J1137" s="42"/>
      <c r="K1137" s="3"/>
      <c r="M1137" s="20">
        <v>42146</v>
      </c>
      <c r="N1137" s="183">
        <v>21901</v>
      </c>
      <c r="O1137" s="14" t="s">
        <v>549</v>
      </c>
      <c r="P1137" s="105">
        <v>11358.2</v>
      </c>
      <c r="Q1137" s="23">
        <v>42146</v>
      </c>
      <c r="R1137" s="106">
        <v>11358.2</v>
      </c>
      <c r="S1137" s="31">
        <f t="shared" si="35"/>
        <v>0</v>
      </c>
      <c r="T1137" s="39" t="s">
        <v>1273</v>
      </c>
    </row>
    <row r="1138" spans="1:20" x14ac:dyDescent="0.25">
      <c r="A1138" s="20">
        <v>42135</v>
      </c>
      <c r="B1138" s="183">
        <v>20712</v>
      </c>
      <c r="C1138" s="14" t="s">
        <v>164</v>
      </c>
      <c r="D1138" s="105">
        <v>675.5</v>
      </c>
      <c r="E1138" s="23">
        <v>42135</v>
      </c>
      <c r="F1138" s="106">
        <v>675.5</v>
      </c>
      <c r="G1138" s="31">
        <f t="shared" si="34"/>
        <v>0</v>
      </c>
      <c r="H1138" s="19" t="s">
        <v>9</v>
      </c>
      <c r="J1138" s="107"/>
      <c r="K1138" s="3"/>
      <c r="M1138" s="20">
        <v>42152</v>
      </c>
      <c r="N1138" s="183">
        <v>22514</v>
      </c>
      <c r="O1138" s="14" t="s">
        <v>549</v>
      </c>
      <c r="P1138" s="105">
        <v>17463.25</v>
      </c>
      <c r="Q1138" s="23">
        <v>42153</v>
      </c>
      <c r="R1138" s="106">
        <v>17463.25</v>
      </c>
      <c r="S1138" s="31">
        <f t="shared" si="35"/>
        <v>0</v>
      </c>
      <c r="T1138" s="39" t="s">
        <v>9</v>
      </c>
    </row>
    <row r="1139" spans="1:20" x14ac:dyDescent="0.25">
      <c r="A1139" s="20">
        <v>42135</v>
      </c>
      <c r="B1139" s="183">
        <v>20713</v>
      </c>
      <c r="C1139" s="14" t="s">
        <v>78</v>
      </c>
      <c r="D1139" s="105">
        <v>11558.4</v>
      </c>
      <c r="E1139" s="23">
        <v>42136</v>
      </c>
      <c r="F1139" s="106">
        <v>11558.4</v>
      </c>
      <c r="G1139" s="31">
        <f t="shared" si="34"/>
        <v>0</v>
      </c>
      <c r="H1139" s="19" t="s">
        <v>62</v>
      </c>
      <c r="K1139" s="3"/>
      <c r="M1139" s="20">
        <v>42143</v>
      </c>
      <c r="N1139" s="183">
        <v>21593</v>
      </c>
      <c r="O1139" s="14" t="s">
        <v>138</v>
      </c>
      <c r="P1139" s="105">
        <v>2991.6</v>
      </c>
      <c r="Q1139" s="23">
        <v>42143</v>
      </c>
      <c r="R1139" s="118">
        <v>2991.6</v>
      </c>
      <c r="S1139" s="31">
        <f t="shared" si="35"/>
        <v>0</v>
      </c>
      <c r="T1139" s="56" t="s">
        <v>94</v>
      </c>
    </row>
    <row r="1140" spans="1:20" x14ac:dyDescent="0.25">
      <c r="A1140" s="20">
        <v>42135</v>
      </c>
      <c r="B1140" s="183">
        <v>20714</v>
      </c>
      <c r="C1140" s="14" t="s">
        <v>1375</v>
      </c>
      <c r="D1140" s="105">
        <v>2704.8</v>
      </c>
      <c r="E1140" s="23">
        <v>42136</v>
      </c>
      <c r="F1140" s="106">
        <v>2704.8</v>
      </c>
      <c r="G1140" s="31">
        <f t="shared" si="34"/>
        <v>0</v>
      </c>
      <c r="H1140" s="19" t="s">
        <v>62</v>
      </c>
      <c r="K1140" s="3"/>
      <c r="M1140" s="20">
        <v>42129</v>
      </c>
      <c r="N1140" s="183">
        <v>20090</v>
      </c>
      <c r="O1140" s="150" t="s">
        <v>624</v>
      </c>
      <c r="P1140" s="105">
        <v>3918.2</v>
      </c>
      <c r="Q1140" s="23">
        <v>42129</v>
      </c>
      <c r="R1140" s="106">
        <v>3918.2</v>
      </c>
      <c r="S1140" s="31">
        <f t="shared" si="35"/>
        <v>0</v>
      </c>
      <c r="T1140" s="39" t="s">
        <v>41</v>
      </c>
    </row>
    <row r="1141" spans="1:20" x14ac:dyDescent="0.25">
      <c r="A1141" s="20">
        <v>42135</v>
      </c>
      <c r="B1141" s="183">
        <v>20715</v>
      </c>
      <c r="C1141" s="14" t="s">
        <v>170</v>
      </c>
      <c r="D1141" s="105">
        <v>3592.8</v>
      </c>
      <c r="E1141" s="23">
        <v>42136</v>
      </c>
      <c r="F1141" s="106">
        <v>3592.8</v>
      </c>
      <c r="G1141" s="31">
        <f t="shared" si="34"/>
        <v>0</v>
      </c>
      <c r="H1141" s="19" t="s">
        <v>62</v>
      </c>
      <c r="K1141" s="3"/>
      <c r="M1141" s="20">
        <v>42136</v>
      </c>
      <c r="N1141" s="183">
        <v>20856</v>
      </c>
      <c r="O1141" s="14" t="s">
        <v>624</v>
      </c>
      <c r="P1141" s="105">
        <v>3005.6</v>
      </c>
      <c r="Q1141" s="23">
        <v>42136</v>
      </c>
      <c r="R1141" s="106">
        <v>3005.6</v>
      </c>
      <c r="S1141" s="31">
        <f t="shared" si="35"/>
        <v>0</v>
      </c>
      <c r="T1141" s="39" t="s">
        <v>1257</v>
      </c>
    </row>
    <row r="1142" spans="1:20" x14ac:dyDescent="0.25">
      <c r="A1142" s="20">
        <v>42135</v>
      </c>
      <c r="B1142" s="183">
        <v>20716</v>
      </c>
      <c r="C1142" s="14" t="s">
        <v>32</v>
      </c>
      <c r="D1142" s="105">
        <v>33404.400000000001</v>
      </c>
      <c r="E1142" s="23">
        <v>42140</v>
      </c>
      <c r="F1142" s="106">
        <v>33404.400000000001</v>
      </c>
      <c r="G1142" s="31">
        <f t="shared" si="34"/>
        <v>0</v>
      </c>
      <c r="H1142" s="19" t="s">
        <v>149</v>
      </c>
      <c r="K1142" s="3"/>
      <c r="M1142" s="20">
        <v>42150</v>
      </c>
      <c r="N1142" s="183">
        <v>22300</v>
      </c>
      <c r="O1142" s="14" t="s">
        <v>624</v>
      </c>
      <c r="P1142" s="105">
        <v>4776.8</v>
      </c>
      <c r="Q1142" s="65">
        <v>42150</v>
      </c>
      <c r="R1142" s="106">
        <v>4776.8</v>
      </c>
      <c r="S1142" s="31">
        <f t="shared" si="35"/>
        <v>0</v>
      </c>
      <c r="T1142" s="39" t="s">
        <v>1257</v>
      </c>
    </row>
    <row r="1143" spans="1:20" x14ac:dyDescent="0.25">
      <c r="A1143" s="20">
        <v>42135</v>
      </c>
      <c r="B1143" s="183">
        <v>20717</v>
      </c>
      <c r="C1143" s="14" t="s">
        <v>172</v>
      </c>
      <c r="D1143" s="105">
        <v>7703.4</v>
      </c>
      <c r="E1143" s="23">
        <v>42136</v>
      </c>
      <c r="F1143" s="106">
        <v>7703.4</v>
      </c>
      <c r="G1143" s="31">
        <f t="shared" si="34"/>
        <v>0</v>
      </c>
      <c r="H1143" s="19" t="s">
        <v>62</v>
      </c>
      <c r="K1143" s="3"/>
      <c r="M1143" s="20">
        <v>42147</v>
      </c>
      <c r="N1143" s="183">
        <v>22015</v>
      </c>
      <c r="O1143" s="14" t="s">
        <v>1376</v>
      </c>
      <c r="P1143" s="105">
        <v>3600</v>
      </c>
      <c r="Q1143" s="65">
        <v>42147</v>
      </c>
      <c r="R1143" s="106">
        <v>3600</v>
      </c>
      <c r="S1143" s="31">
        <f t="shared" si="35"/>
        <v>0</v>
      </c>
      <c r="T1143" s="39" t="s">
        <v>9</v>
      </c>
    </row>
    <row r="1144" spans="1:20" x14ac:dyDescent="0.25">
      <c r="A1144" s="20">
        <v>42135</v>
      </c>
      <c r="B1144" s="183">
        <v>20718</v>
      </c>
      <c r="C1144" s="14" t="s">
        <v>178</v>
      </c>
      <c r="D1144" s="105">
        <v>997.6</v>
      </c>
      <c r="E1144" s="23">
        <v>42136</v>
      </c>
      <c r="F1144" s="106">
        <v>997.6</v>
      </c>
      <c r="G1144" s="48">
        <f t="shared" si="34"/>
        <v>0</v>
      </c>
      <c r="H1144" s="19" t="s">
        <v>62</v>
      </c>
      <c r="K1144" s="3"/>
      <c r="M1144" s="20">
        <v>42130</v>
      </c>
      <c r="N1144" s="183">
        <v>20176</v>
      </c>
      <c r="O1144" s="14" t="s">
        <v>100</v>
      </c>
      <c r="P1144" s="105">
        <v>3083.7</v>
      </c>
      <c r="Q1144" s="23">
        <v>42130</v>
      </c>
      <c r="R1144" s="106">
        <v>3083.7</v>
      </c>
      <c r="S1144" s="31">
        <f t="shared" si="35"/>
        <v>0</v>
      </c>
      <c r="T1144" s="39" t="s">
        <v>9</v>
      </c>
    </row>
    <row r="1145" spans="1:20" x14ac:dyDescent="0.25">
      <c r="A1145" s="20">
        <v>42135</v>
      </c>
      <c r="B1145" s="183">
        <v>20719</v>
      </c>
      <c r="C1145" s="14" t="s">
        <v>178</v>
      </c>
      <c r="D1145" s="105">
        <v>1921.6</v>
      </c>
      <c r="E1145" s="23">
        <v>42136</v>
      </c>
      <c r="F1145" s="106">
        <v>1921.6</v>
      </c>
      <c r="G1145" s="31">
        <f t="shared" si="34"/>
        <v>0</v>
      </c>
      <c r="H1145" s="19" t="s">
        <v>62</v>
      </c>
      <c r="K1145" s="3"/>
      <c r="M1145" s="20">
        <v>42133</v>
      </c>
      <c r="N1145" s="183">
        <v>20550</v>
      </c>
      <c r="O1145" s="14" t="s">
        <v>100</v>
      </c>
      <c r="P1145" s="105">
        <v>2282.8000000000002</v>
      </c>
      <c r="Q1145" s="23">
        <v>42133</v>
      </c>
      <c r="R1145" s="106">
        <v>2282.8000000000002</v>
      </c>
      <c r="S1145" s="31">
        <f t="shared" si="35"/>
        <v>0</v>
      </c>
      <c r="T1145" s="19" t="s">
        <v>9</v>
      </c>
    </row>
    <row r="1146" spans="1:20" x14ac:dyDescent="0.25">
      <c r="A1146" s="20">
        <v>42135</v>
      </c>
      <c r="B1146" s="183">
        <v>20720</v>
      </c>
      <c r="C1146" s="14" t="s">
        <v>84</v>
      </c>
      <c r="D1146" s="105">
        <v>41147.550000000003</v>
      </c>
      <c r="E1146" s="30" t="s">
        <v>1377</v>
      </c>
      <c r="F1146" s="106">
        <v>41147.550000000003</v>
      </c>
      <c r="G1146" s="31">
        <f t="shared" si="34"/>
        <v>0</v>
      </c>
      <c r="H1146" s="19" t="s">
        <v>62</v>
      </c>
      <c r="K1146" s="3"/>
      <c r="M1146" s="20">
        <v>42134</v>
      </c>
      <c r="N1146" s="183">
        <v>20636</v>
      </c>
      <c r="O1146" s="14" t="s">
        <v>100</v>
      </c>
      <c r="P1146" s="105">
        <v>2684.5</v>
      </c>
      <c r="Q1146" s="23">
        <v>42134</v>
      </c>
      <c r="R1146" s="118">
        <v>2684.5</v>
      </c>
      <c r="S1146" s="31">
        <f t="shared" si="35"/>
        <v>0</v>
      </c>
      <c r="T1146" s="56" t="s">
        <v>9</v>
      </c>
    </row>
    <row r="1147" spans="1:20" x14ac:dyDescent="0.25">
      <c r="A1147" s="20">
        <v>42135</v>
      </c>
      <c r="B1147" s="183">
        <v>20721</v>
      </c>
      <c r="C1147" s="14" t="s">
        <v>84</v>
      </c>
      <c r="D1147" s="105">
        <v>10334.4</v>
      </c>
      <c r="E1147" s="30" t="s">
        <v>1378</v>
      </c>
      <c r="F1147" s="106">
        <v>10334.4</v>
      </c>
      <c r="G1147" s="31">
        <f t="shared" si="34"/>
        <v>0</v>
      </c>
      <c r="H1147" s="19" t="s">
        <v>62</v>
      </c>
      <c r="K1147" s="3"/>
      <c r="M1147" s="20">
        <v>42137</v>
      </c>
      <c r="N1147" s="183">
        <v>20929</v>
      </c>
      <c r="O1147" s="14" t="s">
        <v>100</v>
      </c>
      <c r="P1147" s="105">
        <v>2316</v>
      </c>
      <c r="Q1147" s="23">
        <v>42137</v>
      </c>
      <c r="R1147" s="106">
        <v>2316</v>
      </c>
      <c r="S1147" s="31">
        <f t="shared" si="35"/>
        <v>0</v>
      </c>
      <c r="T1147" s="19" t="s">
        <v>9</v>
      </c>
    </row>
    <row r="1148" spans="1:20" x14ac:dyDescent="0.25">
      <c r="A1148" s="20">
        <v>42135</v>
      </c>
      <c r="B1148" s="183">
        <v>20722</v>
      </c>
      <c r="C1148" s="14" t="s">
        <v>375</v>
      </c>
      <c r="D1148" s="105">
        <v>1017.6</v>
      </c>
      <c r="E1148" s="23">
        <v>42135</v>
      </c>
      <c r="F1148" s="106">
        <v>1017.6</v>
      </c>
      <c r="G1148" s="48">
        <f t="shared" si="34"/>
        <v>0</v>
      </c>
      <c r="H1148" s="19" t="s">
        <v>9</v>
      </c>
      <c r="K1148" s="3"/>
      <c r="M1148" s="20">
        <v>42139</v>
      </c>
      <c r="N1148" s="183">
        <v>21162</v>
      </c>
      <c r="O1148" s="14" t="s">
        <v>100</v>
      </c>
      <c r="P1148" s="105">
        <v>179.8</v>
      </c>
      <c r="Q1148" s="23">
        <v>42139</v>
      </c>
      <c r="R1148" s="106">
        <v>179.8</v>
      </c>
      <c r="S1148" s="48">
        <f t="shared" si="35"/>
        <v>0</v>
      </c>
      <c r="T1148" s="39" t="s">
        <v>9</v>
      </c>
    </row>
    <row r="1149" spans="1:20" x14ac:dyDescent="0.25">
      <c r="A1149" s="20">
        <v>42135</v>
      </c>
      <c r="B1149" s="183">
        <v>20723</v>
      </c>
      <c r="C1149" s="14" t="s">
        <v>1262</v>
      </c>
      <c r="D1149" s="105">
        <v>43037.05</v>
      </c>
      <c r="E1149" s="23">
        <v>42142</v>
      </c>
      <c r="F1149" s="106">
        <v>43037.05</v>
      </c>
      <c r="G1149" s="31">
        <f t="shared" si="34"/>
        <v>0</v>
      </c>
      <c r="H1149" s="19" t="s">
        <v>9</v>
      </c>
      <c r="K1149" s="3"/>
      <c r="M1149" s="20">
        <v>42140</v>
      </c>
      <c r="N1149" s="183">
        <v>21276</v>
      </c>
      <c r="O1149" s="14" t="s">
        <v>100</v>
      </c>
      <c r="P1149" s="105">
        <v>2274.1999999999998</v>
      </c>
      <c r="Q1149" s="23">
        <v>42140</v>
      </c>
      <c r="R1149" s="118">
        <v>2274.1999999999998</v>
      </c>
      <c r="S1149" s="31">
        <f t="shared" si="35"/>
        <v>0</v>
      </c>
      <c r="T1149" s="62" t="s">
        <v>9</v>
      </c>
    </row>
    <row r="1150" spans="1:20" x14ac:dyDescent="0.25">
      <c r="A1150" s="20">
        <v>42135</v>
      </c>
      <c r="B1150" s="183">
        <v>20724</v>
      </c>
      <c r="C1150" s="14" t="s">
        <v>173</v>
      </c>
      <c r="D1150" s="105">
        <v>10149</v>
      </c>
      <c r="E1150" s="30" t="s">
        <v>1333</v>
      </c>
      <c r="F1150" s="106">
        <v>10149</v>
      </c>
      <c r="G1150" s="31">
        <f t="shared" si="34"/>
        <v>0</v>
      </c>
      <c r="H1150" s="19" t="s">
        <v>62</v>
      </c>
      <c r="K1150" s="3"/>
      <c r="M1150" s="20">
        <v>42142</v>
      </c>
      <c r="N1150" s="183">
        <v>21392</v>
      </c>
      <c r="O1150" s="14" t="s">
        <v>100</v>
      </c>
      <c r="P1150" s="105">
        <v>2427.8000000000002</v>
      </c>
      <c r="Q1150" s="23">
        <v>42142</v>
      </c>
      <c r="R1150" s="118">
        <v>2427.8000000000002</v>
      </c>
      <c r="S1150" s="31">
        <f t="shared" si="35"/>
        <v>0</v>
      </c>
      <c r="T1150" s="56" t="s">
        <v>9</v>
      </c>
    </row>
    <row r="1151" spans="1:20" x14ac:dyDescent="0.25">
      <c r="A1151" s="20">
        <v>42135</v>
      </c>
      <c r="B1151" s="183">
        <v>20725</v>
      </c>
      <c r="C1151" s="14" t="s">
        <v>24</v>
      </c>
      <c r="D1151" s="105">
        <v>1406.8</v>
      </c>
      <c r="E1151" s="23">
        <v>42153</v>
      </c>
      <c r="F1151" s="106">
        <v>1406.8</v>
      </c>
      <c r="G1151" s="31">
        <f t="shared" si="34"/>
        <v>0</v>
      </c>
      <c r="H1151" s="19" t="s">
        <v>1273</v>
      </c>
      <c r="K1151" s="3"/>
      <c r="M1151" s="20">
        <v>42142</v>
      </c>
      <c r="N1151" s="183">
        <v>21454</v>
      </c>
      <c r="O1151" s="14" t="s">
        <v>100</v>
      </c>
      <c r="P1151" s="105">
        <v>2488.8000000000002</v>
      </c>
      <c r="Q1151" s="65">
        <v>42142</v>
      </c>
      <c r="R1151" s="106">
        <v>2488.8000000000002</v>
      </c>
      <c r="S1151" s="31">
        <f t="shared" si="35"/>
        <v>0</v>
      </c>
      <c r="T1151" s="19" t="s">
        <v>9</v>
      </c>
    </row>
    <row r="1152" spans="1:20" x14ac:dyDescent="0.25">
      <c r="A1152" s="20">
        <v>42135</v>
      </c>
      <c r="B1152" s="183">
        <v>20726</v>
      </c>
      <c r="C1152" s="14" t="s">
        <v>89</v>
      </c>
      <c r="D1152" s="105">
        <v>3232</v>
      </c>
      <c r="E1152" s="23">
        <v>42135</v>
      </c>
      <c r="F1152" s="106">
        <v>3232</v>
      </c>
      <c r="G1152" s="31">
        <f t="shared" si="34"/>
        <v>0</v>
      </c>
      <c r="H1152" s="19" t="s">
        <v>9</v>
      </c>
      <c r="K1152" s="3"/>
      <c r="M1152" s="20">
        <v>42144</v>
      </c>
      <c r="N1152" s="183">
        <v>21683</v>
      </c>
      <c r="O1152" s="14" t="s">
        <v>100</v>
      </c>
      <c r="P1152" s="105">
        <v>1824</v>
      </c>
      <c r="Q1152" s="23"/>
      <c r="R1152" s="118"/>
      <c r="S1152" s="31">
        <f t="shared" si="35"/>
        <v>1824</v>
      </c>
      <c r="T1152" s="56" t="s">
        <v>9</v>
      </c>
    </row>
    <row r="1153" spans="1:20" x14ac:dyDescent="0.25">
      <c r="A1153" s="20">
        <v>42135</v>
      </c>
      <c r="B1153" s="183">
        <v>20727</v>
      </c>
      <c r="C1153" s="14" t="s">
        <v>335</v>
      </c>
      <c r="D1153" s="105">
        <v>220.5</v>
      </c>
      <c r="E1153" s="23">
        <v>42135</v>
      </c>
      <c r="F1153" s="106">
        <v>220.5</v>
      </c>
      <c r="G1153" s="31">
        <f t="shared" si="34"/>
        <v>0</v>
      </c>
      <c r="H1153" s="19" t="s">
        <v>9</v>
      </c>
      <c r="K1153" s="3"/>
      <c r="M1153" s="20">
        <v>42146</v>
      </c>
      <c r="N1153" s="183">
        <v>21943</v>
      </c>
      <c r="O1153" s="14" t="s">
        <v>100</v>
      </c>
      <c r="P1153" s="105">
        <v>2753.1</v>
      </c>
      <c r="Q1153" s="23">
        <v>42146</v>
      </c>
      <c r="R1153" s="106">
        <v>2753.1</v>
      </c>
      <c r="S1153" s="31">
        <f t="shared" si="35"/>
        <v>0</v>
      </c>
      <c r="T1153" s="39" t="s">
        <v>9</v>
      </c>
    </row>
    <row r="1154" spans="1:20" x14ac:dyDescent="0.25">
      <c r="A1154" s="20">
        <v>42135</v>
      </c>
      <c r="B1154" s="183">
        <v>20728</v>
      </c>
      <c r="C1154" s="14" t="s">
        <v>106</v>
      </c>
      <c r="D1154" s="105">
        <v>30608.400000000001</v>
      </c>
      <c r="E1154" s="23" t="s">
        <v>1364</v>
      </c>
      <c r="F1154" s="106">
        <f>29400+1208.4</f>
        <v>30608.400000000001</v>
      </c>
      <c r="G1154" s="48">
        <f t="shared" si="34"/>
        <v>0</v>
      </c>
      <c r="H1154" s="19" t="s">
        <v>94</v>
      </c>
      <c r="K1154" s="3"/>
      <c r="M1154" s="20">
        <v>42148</v>
      </c>
      <c r="N1154" s="183">
        <v>22116</v>
      </c>
      <c r="O1154" s="14" t="s">
        <v>100</v>
      </c>
      <c r="P1154" s="105">
        <v>2457.6</v>
      </c>
      <c r="Q1154" s="65">
        <v>42148</v>
      </c>
      <c r="R1154" s="106">
        <v>2457.6</v>
      </c>
      <c r="S1154" s="31">
        <f t="shared" si="35"/>
        <v>0</v>
      </c>
      <c r="T1154" s="39" t="s">
        <v>9</v>
      </c>
    </row>
    <row r="1155" spans="1:20" x14ac:dyDescent="0.25">
      <c r="A1155" s="20">
        <v>42135</v>
      </c>
      <c r="B1155" s="183">
        <v>20729</v>
      </c>
      <c r="C1155" s="14" t="s">
        <v>1379</v>
      </c>
      <c r="D1155" s="105">
        <v>10708.8</v>
      </c>
      <c r="E1155" s="23">
        <v>42135</v>
      </c>
      <c r="F1155" s="106">
        <v>10708.8</v>
      </c>
      <c r="G1155" s="31">
        <f t="shared" ref="G1155:G1218" si="36">D1155-F1155</f>
        <v>0</v>
      </c>
      <c r="H1155" s="19" t="s">
        <v>9</v>
      </c>
      <c r="K1155" s="3"/>
      <c r="M1155" s="20">
        <v>42150</v>
      </c>
      <c r="N1155" s="183">
        <v>22309</v>
      </c>
      <c r="O1155" s="14" t="s">
        <v>100</v>
      </c>
      <c r="P1155" s="105">
        <v>1365</v>
      </c>
      <c r="Q1155" s="65">
        <v>42150</v>
      </c>
      <c r="R1155" s="106">
        <v>1365</v>
      </c>
      <c r="S1155" s="31">
        <f t="shared" ref="S1155:S1218" si="37">P1155-R1155</f>
        <v>0</v>
      </c>
      <c r="T1155" s="39" t="s">
        <v>9</v>
      </c>
    </row>
    <row r="1156" spans="1:20" x14ac:dyDescent="0.25">
      <c r="A1156" s="20">
        <v>42135</v>
      </c>
      <c r="B1156" s="183">
        <v>20730</v>
      </c>
      <c r="C1156" s="14" t="s">
        <v>75</v>
      </c>
      <c r="D1156" s="105">
        <v>5201.2</v>
      </c>
      <c r="E1156" s="23">
        <v>42136</v>
      </c>
      <c r="F1156" s="106">
        <v>5201.2</v>
      </c>
      <c r="G1156" s="31">
        <f t="shared" si="36"/>
        <v>0</v>
      </c>
      <c r="H1156" s="19" t="s">
        <v>62</v>
      </c>
      <c r="K1156" s="3"/>
      <c r="M1156" s="20">
        <v>42152</v>
      </c>
      <c r="N1156" s="183">
        <v>22487</v>
      </c>
      <c r="O1156" s="14" t="s">
        <v>100</v>
      </c>
      <c r="P1156" s="105">
        <v>2291.6</v>
      </c>
      <c r="Q1156" s="23">
        <v>42152</v>
      </c>
      <c r="R1156" s="106">
        <v>2291.6</v>
      </c>
      <c r="S1156" s="31">
        <f t="shared" si="37"/>
        <v>0</v>
      </c>
      <c r="T1156" s="39" t="s">
        <v>9</v>
      </c>
    </row>
    <row r="1157" spans="1:20" x14ac:dyDescent="0.25">
      <c r="A1157" s="20">
        <v>42135</v>
      </c>
      <c r="B1157" s="183">
        <v>20731</v>
      </c>
      <c r="C1157" s="14" t="s">
        <v>229</v>
      </c>
      <c r="D1157" s="105">
        <v>296</v>
      </c>
      <c r="E1157" s="23">
        <v>42136</v>
      </c>
      <c r="F1157" s="106">
        <v>296</v>
      </c>
      <c r="G1157" s="31">
        <f t="shared" si="36"/>
        <v>0</v>
      </c>
      <c r="H1157" s="19" t="s">
        <v>9</v>
      </c>
      <c r="K1157" s="3"/>
      <c r="M1157" s="20">
        <v>42132</v>
      </c>
      <c r="N1157" s="183">
        <v>20419</v>
      </c>
      <c r="O1157" s="14" t="s">
        <v>224</v>
      </c>
      <c r="P1157" s="105">
        <v>3095.9</v>
      </c>
      <c r="Q1157" s="23">
        <v>42133</v>
      </c>
      <c r="R1157" s="106">
        <v>3095.9</v>
      </c>
      <c r="S1157" s="31">
        <f t="shared" si="37"/>
        <v>0</v>
      </c>
      <c r="T1157" s="19" t="s">
        <v>94</v>
      </c>
    </row>
    <row r="1158" spans="1:20" x14ac:dyDescent="0.25">
      <c r="A1158" s="20">
        <v>42135</v>
      </c>
      <c r="B1158" s="183">
        <v>20732</v>
      </c>
      <c r="C1158" s="14" t="s">
        <v>213</v>
      </c>
      <c r="D1158" s="105">
        <v>491992.8</v>
      </c>
      <c r="E1158" s="23">
        <v>42137</v>
      </c>
      <c r="F1158" s="106">
        <v>491992.8</v>
      </c>
      <c r="G1158" s="31">
        <f t="shared" si="36"/>
        <v>0</v>
      </c>
      <c r="H1158" s="19" t="s">
        <v>9</v>
      </c>
      <c r="K1158" s="3"/>
      <c r="M1158" s="20">
        <v>42139</v>
      </c>
      <c r="N1158" s="183">
        <v>21180</v>
      </c>
      <c r="O1158" s="14" t="s">
        <v>224</v>
      </c>
      <c r="P1158" s="105">
        <v>3705.14</v>
      </c>
      <c r="Q1158" s="23">
        <v>42140</v>
      </c>
      <c r="R1158" s="106">
        <v>3705.14</v>
      </c>
      <c r="S1158" s="48">
        <f t="shared" si="37"/>
        <v>0</v>
      </c>
      <c r="T1158" s="39" t="s">
        <v>9</v>
      </c>
    </row>
    <row r="1159" spans="1:20" x14ac:dyDescent="0.25">
      <c r="A1159" s="20">
        <v>42135</v>
      </c>
      <c r="B1159" s="183">
        <v>20733</v>
      </c>
      <c r="C1159" s="14" t="s">
        <v>79</v>
      </c>
      <c r="D1159" s="105">
        <v>1280.28</v>
      </c>
      <c r="E1159" s="23">
        <v>42136</v>
      </c>
      <c r="F1159" s="106">
        <v>1280.28</v>
      </c>
      <c r="G1159" s="31">
        <f t="shared" si="36"/>
        <v>0</v>
      </c>
      <c r="H1159" s="19" t="s">
        <v>62</v>
      </c>
      <c r="J1159" s="107"/>
      <c r="K1159" s="3"/>
      <c r="M1159" s="20">
        <v>42146</v>
      </c>
      <c r="N1159" s="183">
        <v>21905</v>
      </c>
      <c r="O1159" s="150" t="s">
        <v>224</v>
      </c>
      <c r="P1159" s="105">
        <v>3375.4</v>
      </c>
      <c r="Q1159" s="23">
        <v>42146</v>
      </c>
      <c r="R1159" s="106">
        <v>3375.4</v>
      </c>
      <c r="S1159" s="31">
        <f t="shared" si="37"/>
        <v>0</v>
      </c>
      <c r="T1159" s="39" t="s">
        <v>1013</v>
      </c>
    </row>
    <row r="1160" spans="1:20" x14ac:dyDescent="0.25">
      <c r="A1160" s="20">
        <v>42135</v>
      </c>
      <c r="B1160" s="183">
        <v>20734</v>
      </c>
      <c r="C1160" s="14" t="s">
        <v>135</v>
      </c>
      <c r="D1160" s="105">
        <v>164</v>
      </c>
      <c r="E1160" s="23">
        <v>42135</v>
      </c>
      <c r="F1160" s="106">
        <v>164</v>
      </c>
      <c r="G1160" s="31">
        <f t="shared" si="36"/>
        <v>0</v>
      </c>
      <c r="H1160" s="19" t="s">
        <v>9</v>
      </c>
      <c r="K1160" s="3"/>
      <c r="M1160" s="20">
        <v>42129</v>
      </c>
      <c r="N1160" s="183">
        <v>20041</v>
      </c>
      <c r="O1160" s="14" t="s">
        <v>148</v>
      </c>
      <c r="P1160" s="105">
        <v>4017.6</v>
      </c>
      <c r="Q1160" s="23">
        <v>42129</v>
      </c>
      <c r="R1160" s="106">
        <v>4017.6</v>
      </c>
      <c r="S1160" s="31">
        <f t="shared" si="37"/>
        <v>0</v>
      </c>
      <c r="T1160" s="39" t="s">
        <v>9</v>
      </c>
    </row>
    <row r="1161" spans="1:20" x14ac:dyDescent="0.25">
      <c r="A1161" s="20">
        <v>42135</v>
      </c>
      <c r="B1161" s="183">
        <v>20735</v>
      </c>
      <c r="C1161" s="14" t="s">
        <v>141</v>
      </c>
      <c r="D1161" s="105">
        <v>837</v>
      </c>
      <c r="E1161" s="23">
        <v>42141</v>
      </c>
      <c r="F1161" s="106">
        <v>837</v>
      </c>
      <c r="G1161" s="31">
        <f t="shared" si="36"/>
        <v>0</v>
      </c>
      <c r="H1161" s="19" t="s">
        <v>9</v>
      </c>
      <c r="K1161" s="3"/>
      <c r="M1161" s="20">
        <v>42134</v>
      </c>
      <c r="N1161" s="183">
        <v>20625</v>
      </c>
      <c r="O1161" s="14" t="s">
        <v>148</v>
      </c>
      <c r="P1161" s="105">
        <v>4730.3999999999996</v>
      </c>
      <c r="Q1161" s="23">
        <v>42134</v>
      </c>
      <c r="R1161" s="118">
        <v>4730.3999999999996</v>
      </c>
      <c r="S1161" s="31">
        <f t="shared" si="37"/>
        <v>0</v>
      </c>
      <c r="T1161" s="56" t="s">
        <v>9</v>
      </c>
    </row>
    <row r="1162" spans="1:20" x14ac:dyDescent="0.25">
      <c r="A1162" s="20">
        <v>42135</v>
      </c>
      <c r="B1162" s="183">
        <v>20736</v>
      </c>
      <c r="C1162" s="14" t="s">
        <v>250</v>
      </c>
      <c r="D1162" s="105">
        <v>3819</v>
      </c>
      <c r="E1162" s="23">
        <v>42136</v>
      </c>
      <c r="F1162" s="106">
        <v>3819</v>
      </c>
      <c r="G1162" s="31">
        <f t="shared" si="36"/>
        <v>0</v>
      </c>
      <c r="H1162" s="19" t="s">
        <v>94</v>
      </c>
      <c r="K1162" s="3"/>
      <c r="M1162" s="20">
        <v>42148</v>
      </c>
      <c r="N1162" s="183">
        <v>22078</v>
      </c>
      <c r="O1162" s="14" t="s">
        <v>148</v>
      </c>
      <c r="P1162" s="105">
        <v>6592.2</v>
      </c>
      <c r="Q1162" s="65">
        <v>42148</v>
      </c>
      <c r="R1162" s="106">
        <v>6592.2</v>
      </c>
      <c r="S1162" s="31">
        <f t="shared" si="37"/>
        <v>0</v>
      </c>
      <c r="T1162" s="39" t="s">
        <v>9</v>
      </c>
    </row>
    <row r="1163" spans="1:20" x14ac:dyDescent="0.25">
      <c r="A1163" s="20">
        <v>42135</v>
      </c>
      <c r="B1163" s="183">
        <v>20737</v>
      </c>
      <c r="C1163" s="14" t="s">
        <v>135</v>
      </c>
      <c r="D1163" s="105">
        <v>320</v>
      </c>
      <c r="E1163" s="23">
        <v>42135</v>
      </c>
      <c r="F1163" s="106">
        <v>320</v>
      </c>
      <c r="G1163" s="31">
        <f t="shared" si="36"/>
        <v>0</v>
      </c>
      <c r="H1163" s="19" t="s">
        <v>9</v>
      </c>
      <c r="K1163" s="3"/>
      <c r="M1163" s="20">
        <v>42153</v>
      </c>
      <c r="N1163" s="183">
        <v>22576</v>
      </c>
      <c r="O1163" s="14" t="s">
        <v>148</v>
      </c>
      <c r="P1163" s="105">
        <v>4544.3999999999996</v>
      </c>
      <c r="Q1163" s="23">
        <v>42153</v>
      </c>
      <c r="R1163" s="106">
        <v>4544.3999999999996</v>
      </c>
      <c r="S1163" s="31">
        <f t="shared" si="37"/>
        <v>0</v>
      </c>
      <c r="T1163" s="39" t="s">
        <v>59</v>
      </c>
    </row>
    <row r="1164" spans="1:20" x14ac:dyDescent="0.25">
      <c r="A1164" s="20">
        <v>42135</v>
      </c>
      <c r="B1164" s="183">
        <v>20738</v>
      </c>
      <c r="C1164" s="14" t="s">
        <v>98</v>
      </c>
      <c r="D1164" s="105">
        <v>2462.4</v>
      </c>
      <c r="E1164" s="23">
        <v>42136</v>
      </c>
      <c r="F1164" s="106">
        <v>2462.4</v>
      </c>
      <c r="G1164" s="31">
        <f t="shared" si="36"/>
        <v>0</v>
      </c>
      <c r="H1164" s="19" t="s">
        <v>94</v>
      </c>
      <c r="K1164" s="3"/>
      <c r="M1164" s="20">
        <v>42154</v>
      </c>
      <c r="N1164" s="183">
        <v>22714</v>
      </c>
      <c r="O1164" s="14" t="s">
        <v>148</v>
      </c>
      <c r="P1164" s="105">
        <v>5957</v>
      </c>
      <c r="Q1164" s="23">
        <v>42154</v>
      </c>
      <c r="R1164" s="106">
        <v>5957</v>
      </c>
      <c r="S1164" s="31">
        <f t="shared" si="37"/>
        <v>0</v>
      </c>
      <c r="T1164" s="39" t="s">
        <v>59</v>
      </c>
    </row>
    <row r="1165" spans="1:20" x14ac:dyDescent="0.25">
      <c r="A1165" s="20">
        <v>42135</v>
      </c>
      <c r="B1165" s="183">
        <v>20739</v>
      </c>
      <c r="C1165" s="14" t="s">
        <v>95</v>
      </c>
      <c r="D1165" s="105">
        <v>2774.4</v>
      </c>
      <c r="E1165" s="23">
        <v>42136</v>
      </c>
      <c r="F1165" s="106">
        <v>2774.4</v>
      </c>
      <c r="G1165" s="31">
        <f t="shared" si="36"/>
        <v>0</v>
      </c>
      <c r="H1165" s="19" t="s">
        <v>94</v>
      </c>
      <c r="K1165" s="3"/>
      <c r="M1165" s="20">
        <v>42155</v>
      </c>
      <c r="N1165" s="183">
        <v>22837</v>
      </c>
      <c r="O1165" s="14" t="s">
        <v>148</v>
      </c>
      <c r="P1165" s="105">
        <v>4865</v>
      </c>
      <c r="Q1165" s="23">
        <v>42155</v>
      </c>
      <c r="R1165" s="106">
        <v>4865</v>
      </c>
      <c r="S1165" s="31">
        <f t="shared" si="37"/>
        <v>0</v>
      </c>
      <c r="T1165" s="39" t="s">
        <v>27</v>
      </c>
    </row>
    <row r="1166" spans="1:20" x14ac:dyDescent="0.25">
      <c r="A1166" s="20">
        <v>42135</v>
      </c>
      <c r="B1166" s="183">
        <v>20740</v>
      </c>
      <c r="C1166" s="14" t="s">
        <v>72</v>
      </c>
      <c r="D1166" s="105">
        <v>20777.2</v>
      </c>
      <c r="E1166" s="30" t="s">
        <v>1380</v>
      </c>
      <c r="F1166" s="106">
        <v>20777.2</v>
      </c>
      <c r="G1166" s="31">
        <f t="shared" si="36"/>
        <v>0</v>
      </c>
      <c r="H1166" s="19" t="s">
        <v>9</v>
      </c>
      <c r="K1166" s="3"/>
      <c r="M1166" s="20">
        <v>42150</v>
      </c>
      <c r="N1166" s="183">
        <v>22269</v>
      </c>
      <c r="O1166" s="14" t="s">
        <v>1381</v>
      </c>
      <c r="P1166" s="105">
        <v>4907.1000000000004</v>
      </c>
      <c r="Q1166" s="65">
        <v>42150</v>
      </c>
      <c r="R1166" s="106">
        <v>4907.1000000000004</v>
      </c>
      <c r="S1166" s="31">
        <f t="shared" si="37"/>
        <v>0</v>
      </c>
      <c r="T1166" s="39" t="s">
        <v>9</v>
      </c>
    </row>
    <row r="1167" spans="1:20" x14ac:dyDescent="0.25">
      <c r="A1167" s="20">
        <v>42135</v>
      </c>
      <c r="B1167" s="183">
        <v>20741</v>
      </c>
      <c r="C1167" s="14" t="s">
        <v>101</v>
      </c>
      <c r="D1167" s="105">
        <v>1397.84</v>
      </c>
      <c r="E1167" s="23">
        <v>42136</v>
      </c>
      <c r="F1167" s="106">
        <v>1397.84</v>
      </c>
      <c r="G1167" s="31">
        <f t="shared" si="36"/>
        <v>0</v>
      </c>
      <c r="H1167" s="19" t="s">
        <v>94</v>
      </c>
      <c r="K1167" s="3"/>
      <c r="M1167" s="20">
        <v>42151</v>
      </c>
      <c r="N1167" s="183">
        <v>22354</v>
      </c>
      <c r="O1167" s="14" t="s">
        <v>1381</v>
      </c>
      <c r="P1167" s="105">
        <v>6223.8</v>
      </c>
      <c r="Q1167" s="65">
        <v>42151</v>
      </c>
      <c r="R1167" s="106">
        <v>6223.8</v>
      </c>
      <c r="S1167" s="31">
        <f t="shared" si="37"/>
        <v>0</v>
      </c>
      <c r="T1167" s="39" t="s">
        <v>9</v>
      </c>
    </row>
    <row r="1168" spans="1:20" x14ac:dyDescent="0.25">
      <c r="A1168" s="20">
        <v>42135</v>
      </c>
      <c r="B1168" s="183">
        <v>20742</v>
      </c>
      <c r="C1168" s="14" t="s">
        <v>176</v>
      </c>
      <c r="D1168" s="105">
        <v>11739.6</v>
      </c>
      <c r="E1168" s="30" t="s">
        <v>1382</v>
      </c>
      <c r="F1168" s="106">
        <v>11739.6</v>
      </c>
      <c r="G1168" s="31">
        <f t="shared" si="36"/>
        <v>0</v>
      </c>
      <c r="H1168" s="19" t="s">
        <v>62</v>
      </c>
      <c r="K1168" s="3"/>
      <c r="M1168" s="20">
        <v>42153</v>
      </c>
      <c r="N1168" s="183">
        <v>22554</v>
      </c>
      <c r="O1168" s="150" t="s">
        <v>1381</v>
      </c>
      <c r="P1168" s="105">
        <v>10375.6</v>
      </c>
      <c r="Q1168" s="23">
        <v>42153</v>
      </c>
      <c r="R1168" s="106">
        <v>10375.6</v>
      </c>
      <c r="S1168" s="31">
        <f t="shared" si="37"/>
        <v>0</v>
      </c>
      <c r="T1168" s="39" t="s">
        <v>9</v>
      </c>
    </row>
    <row r="1169" spans="1:20" x14ac:dyDescent="0.25">
      <c r="A1169" s="20">
        <v>42135</v>
      </c>
      <c r="B1169" s="183">
        <v>20743</v>
      </c>
      <c r="C1169" s="14" t="s">
        <v>426</v>
      </c>
      <c r="D1169" s="105">
        <v>10448.700000000001</v>
      </c>
      <c r="E1169" s="23">
        <v>42136</v>
      </c>
      <c r="F1169" s="106">
        <v>10448.700000000001</v>
      </c>
      <c r="G1169" s="31">
        <f t="shared" si="36"/>
        <v>0</v>
      </c>
      <c r="H1169" s="19" t="s">
        <v>62</v>
      </c>
      <c r="K1169" s="3"/>
      <c r="M1169" s="20">
        <v>42153</v>
      </c>
      <c r="N1169" s="183">
        <v>22555</v>
      </c>
      <c r="O1169" s="14" t="s">
        <v>1381</v>
      </c>
      <c r="P1169" s="105">
        <v>1280.28</v>
      </c>
      <c r="Q1169" s="23">
        <v>42153</v>
      </c>
      <c r="R1169" s="106">
        <v>1280.28</v>
      </c>
      <c r="S1169" s="31">
        <f t="shared" si="37"/>
        <v>0</v>
      </c>
      <c r="T1169" s="39" t="s">
        <v>9</v>
      </c>
    </row>
    <row r="1170" spans="1:20" x14ac:dyDescent="0.25">
      <c r="A1170" s="20">
        <v>42135</v>
      </c>
      <c r="B1170" s="183">
        <v>20744</v>
      </c>
      <c r="C1170" s="14" t="s">
        <v>61</v>
      </c>
      <c r="D1170" s="105">
        <v>4581.8</v>
      </c>
      <c r="E1170" s="23">
        <v>42136</v>
      </c>
      <c r="F1170" s="106">
        <v>4581.8</v>
      </c>
      <c r="G1170" s="31">
        <f t="shared" si="36"/>
        <v>0</v>
      </c>
      <c r="H1170" s="19" t="s">
        <v>62</v>
      </c>
      <c r="K1170" s="3"/>
      <c r="M1170" s="20">
        <v>42125</v>
      </c>
      <c r="N1170" s="183">
        <v>19618</v>
      </c>
      <c r="O1170" s="14" t="s">
        <v>34</v>
      </c>
      <c r="P1170" s="105">
        <v>4356</v>
      </c>
      <c r="Q1170" s="23">
        <v>42125</v>
      </c>
      <c r="R1170" s="106">
        <v>4356</v>
      </c>
      <c r="S1170" s="25">
        <f t="shared" si="37"/>
        <v>0</v>
      </c>
      <c r="T1170" s="19" t="s">
        <v>9</v>
      </c>
    </row>
    <row r="1171" spans="1:20" x14ac:dyDescent="0.25">
      <c r="A1171" s="20">
        <v>42135</v>
      </c>
      <c r="B1171" s="183">
        <v>20745</v>
      </c>
      <c r="C1171" s="14" t="s">
        <v>328</v>
      </c>
      <c r="D1171" s="105">
        <v>60</v>
      </c>
      <c r="E1171" s="23">
        <v>42136</v>
      </c>
      <c r="F1171" s="106">
        <v>60</v>
      </c>
      <c r="G1171" s="31">
        <f t="shared" si="36"/>
        <v>0</v>
      </c>
      <c r="H1171" s="19" t="s">
        <v>9</v>
      </c>
      <c r="J1171" s="107"/>
      <c r="K1171" s="3"/>
      <c r="M1171" s="20">
        <v>42126</v>
      </c>
      <c r="N1171" s="183">
        <v>19721</v>
      </c>
      <c r="O1171" s="40" t="s">
        <v>34</v>
      </c>
      <c r="P1171" s="105">
        <v>4932</v>
      </c>
      <c r="Q1171" s="23">
        <v>42126</v>
      </c>
      <c r="R1171" s="106">
        <v>4932</v>
      </c>
      <c r="S1171" s="25">
        <f t="shared" si="37"/>
        <v>0</v>
      </c>
      <c r="T1171" s="41" t="s">
        <v>9</v>
      </c>
    </row>
    <row r="1172" spans="1:20" x14ac:dyDescent="0.25">
      <c r="A1172" s="20">
        <v>42135</v>
      </c>
      <c r="B1172" s="183">
        <v>20746</v>
      </c>
      <c r="C1172" s="14" t="s">
        <v>1182</v>
      </c>
      <c r="D1172" s="105">
        <v>1256</v>
      </c>
      <c r="E1172" s="23">
        <v>42135</v>
      </c>
      <c r="F1172" s="106">
        <v>1256</v>
      </c>
      <c r="G1172" s="31">
        <f t="shared" si="36"/>
        <v>0</v>
      </c>
      <c r="H1172" s="19" t="s">
        <v>9</v>
      </c>
      <c r="K1172" s="3"/>
      <c r="M1172" s="20">
        <v>42127</v>
      </c>
      <c r="N1172" s="183">
        <v>19859</v>
      </c>
      <c r="O1172" s="40" t="s">
        <v>34</v>
      </c>
      <c r="P1172" s="105">
        <v>3592.8</v>
      </c>
      <c r="Q1172" s="23">
        <v>42127</v>
      </c>
      <c r="R1172" s="106">
        <v>3592.8</v>
      </c>
      <c r="S1172" s="31">
        <f t="shared" si="37"/>
        <v>0</v>
      </c>
      <c r="T1172" s="41" t="s">
        <v>9</v>
      </c>
    </row>
    <row r="1173" spans="1:20" x14ac:dyDescent="0.25">
      <c r="A1173" s="20">
        <v>42135</v>
      </c>
      <c r="B1173" s="183">
        <v>20747</v>
      </c>
      <c r="C1173" s="14" t="s">
        <v>252</v>
      </c>
      <c r="D1173" s="105">
        <v>11341.2</v>
      </c>
      <c r="E1173" s="23">
        <v>42135</v>
      </c>
      <c r="F1173" s="106">
        <v>11341.2</v>
      </c>
      <c r="G1173" s="31">
        <f t="shared" si="36"/>
        <v>0</v>
      </c>
      <c r="H1173" s="19" t="s">
        <v>9</v>
      </c>
      <c r="K1173" s="3"/>
      <c r="M1173" s="20">
        <v>42125</v>
      </c>
      <c r="N1173" s="183">
        <v>19637</v>
      </c>
      <c r="O1173" s="14" t="s">
        <v>135</v>
      </c>
      <c r="P1173" s="105">
        <v>20269.5</v>
      </c>
      <c r="Q1173" s="23">
        <v>42125</v>
      </c>
      <c r="R1173" s="106">
        <v>20269.5</v>
      </c>
      <c r="S1173" s="25">
        <f t="shared" si="37"/>
        <v>0</v>
      </c>
      <c r="T1173" s="19" t="s">
        <v>9</v>
      </c>
    </row>
    <row r="1174" spans="1:20" x14ac:dyDescent="0.25">
      <c r="A1174" s="20">
        <v>42135</v>
      </c>
      <c r="B1174" s="183">
        <v>20748</v>
      </c>
      <c r="C1174" s="14" t="s">
        <v>1172</v>
      </c>
      <c r="D1174" s="105">
        <v>11449.4</v>
      </c>
      <c r="E1174" s="23">
        <v>42135</v>
      </c>
      <c r="F1174" s="106">
        <v>11449.4</v>
      </c>
      <c r="G1174" s="31">
        <f t="shared" si="36"/>
        <v>0</v>
      </c>
      <c r="H1174" s="19" t="s">
        <v>9</v>
      </c>
      <c r="K1174" s="3"/>
      <c r="M1174" s="20">
        <v>42126</v>
      </c>
      <c r="N1174" s="183">
        <v>19769</v>
      </c>
      <c r="O1174" s="40" t="s">
        <v>135</v>
      </c>
      <c r="P1174" s="105">
        <v>1868</v>
      </c>
      <c r="Q1174" s="23">
        <v>42126</v>
      </c>
      <c r="R1174" s="106">
        <v>1868</v>
      </c>
      <c r="S1174" s="25">
        <f t="shared" si="37"/>
        <v>0</v>
      </c>
      <c r="T1174" s="41" t="s">
        <v>9</v>
      </c>
    </row>
    <row r="1175" spans="1:20" x14ac:dyDescent="0.25">
      <c r="A1175" s="20">
        <v>42135</v>
      </c>
      <c r="B1175" s="183">
        <v>20749</v>
      </c>
      <c r="C1175" s="14" t="s">
        <v>141</v>
      </c>
      <c r="D1175" s="105">
        <v>12252.9</v>
      </c>
      <c r="E1175" s="30">
        <v>42160</v>
      </c>
      <c r="F1175" s="144">
        <v>12252.9</v>
      </c>
      <c r="G1175" s="31">
        <f t="shared" si="36"/>
        <v>0</v>
      </c>
      <c r="H1175" s="19" t="s">
        <v>1273</v>
      </c>
      <c r="K1175" s="3"/>
      <c r="M1175" s="20">
        <v>42128</v>
      </c>
      <c r="N1175" s="183">
        <v>19914</v>
      </c>
      <c r="O1175" s="14" t="s">
        <v>135</v>
      </c>
      <c r="P1175" s="105">
        <v>4637.6000000000004</v>
      </c>
      <c r="Q1175" s="23">
        <v>42128</v>
      </c>
      <c r="R1175" s="106">
        <v>4637.6000000000004</v>
      </c>
      <c r="S1175" s="31">
        <f t="shared" si="37"/>
        <v>0</v>
      </c>
      <c r="T1175" s="19" t="s">
        <v>9</v>
      </c>
    </row>
    <row r="1176" spans="1:20" x14ac:dyDescent="0.25">
      <c r="A1176" s="20">
        <v>42135</v>
      </c>
      <c r="B1176" s="183">
        <v>20750</v>
      </c>
      <c r="C1176" s="14" t="s">
        <v>84</v>
      </c>
      <c r="D1176" s="105">
        <v>25060.799999999999</v>
      </c>
      <c r="E1176" s="30" t="s">
        <v>1383</v>
      </c>
      <c r="F1176" s="106">
        <v>25060.799999999999</v>
      </c>
      <c r="G1176" s="31">
        <f t="shared" si="36"/>
        <v>0</v>
      </c>
      <c r="H1176" s="19" t="s">
        <v>62</v>
      </c>
      <c r="K1176" s="3"/>
      <c r="M1176" s="20">
        <v>42129</v>
      </c>
      <c r="N1176" s="183">
        <v>20043</v>
      </c>
      <c r="O1176" s="14" t="s">
        <v>135</v>
      </c>
      <c r="P1176" s="105">
        <v>176</v>
      </c>
      <c r="Q1176" s="23">
        <v>42129</v>
      </c>
      <c r="R1176" s="106">
        <v>176</v>
      </c>
      <c r="S1176" s="31">
        <f t="shared" si="37"/>
        <v>0</v>
      </c>
      <c r="T1176" s="39" t="s">
        <v>9</v>
      </c>
    </row>
    <row r="1177" spans="1:20" x14ac:dyDescent="0.25">
      <c r="A1177" s="20">
        <v>42135</v>
      </c>
      <c r="B1177" s="183">
        <v>20751</v>
      </c>
      <c r="C1177" s="14" t="s">
        <v>1262</v>
      </c>
      <c r="D1177" s="105">
        <v>4081</v>
      </c>
      <c r="E1177" s="23">
        <v>42142</v>
      </c>
      <c r="F1177" s="106">
        <v>4081</v>
      </c>
      <c r="G1177" s="31">
        <f t="shared" si="36"/>
        <v>0</v>
      </c>
      <c r="H1177" s="19" t="s">
        <v>9</v>
      </c>
      <c r="K1177" s="3"/>
      <c r="M1177" s="20">
        <v>42130</v>
      </c>
      <c r="N1177" s="183">
        <v>20124</v>
      </c>
      <c r="O1177" s="14" t="s">
        <v>135</v>
      </c>
      <c r="P1177" s="105">
        <v>6308.5</v>
      </c>
      <c r="Q1177" s="23">
        <v>42130</v>
      </c>
      <c r="R1177" s="106">
        <v>6308.5</v>
      </c>
      <c r="S1177" s="31">
        <f t="shared" si="37"/>
        <v>0</v>
      </c>
      <c r="T1177" s="39" t="s">
        <v>9</v>
      </c>
    </row>
    <row r="1178" spans="1:20" x14ac:dyDescent="0.25">
      <c r="A1178" s="20">
        <v>42135</v>
      </c>
      <c r="B1178" s="183">
        <v>20752</v>
      </c>
      <c r="C1178" s="14" t="s">
        <v>213</v>
      </c>
      <c r="D1178" s="105">
        <v>14820</v>
      </c>
      <c r="E1178" s="23">
        <v>42135</v>
      </c>
      <c r="F1178" s="106">
        <v>14820</v>
      </c>
      <c r="G1178" s="31">
        <f t="shared" si="36"/>
        <v>0</v>
      </c>
      <c r="H1178" s="19" t="s">
        <v>9</v>
      </c>
      <c r="K1178" s="3"/>
      <c r="M1178" s="20">
        <v>42131</v>
      </c>
      <c r="N1178" s="183">
        <v>20229</v>
      </c>
      <c r="O1178" s="14" t="s">
        <v>135</v>
      </c>
      <c r="P1178" s="105">
        <v>12576.8</v>
      </c>
      <c r="Q1178" s="23">
        <v>42131</v>
      </c>
      <c r="R1178" s="106">
        <v>12576.8</v>
      </c>
      <c r="S1178" s="31">
        <f t="shared" si="37"/>
        <v>0</v>
      </c>
      <c r="T1178" s="39" t="s">
        <v>9</v>
      </c>
    </row>
    <row r="1179" spans="1:20" x14ac:dyDescent="0.25">
      <c r="A1179" s="20">
        <v>42135</v>
      </c>
      <c r="B1179" s="183">
        <v>20753</v>
      </c>
      <c r="C1179" s="14" t="s">
        <v>1338</v>
      </c>
      <c r="D1179" s="105">
        <v>104351.5</v>
      </c>
      <c r="E1179" s="23">
        <v>42140</v>
      </c>
      <c r="F1179" s="106">
        <v>104351.5</v>
      </c>
      <c r="G1179" s="31">
        <f t="shared" si="36"/>
        <v>0</v>
      </c>
      <c r="H1179" s="19" t="s">
        <v>46</v>
      </c>
      <c r="K1179" s="3"/>
      <c r="M1179" s="20">
        <v>42132</v>
      </c>
      <c r="N1179" s="183">
        <v>20349</v>
      </c>
      <c r="O1179" s="150" t="s">
        <v>135</v>
      </c>
      <c r="P1179" s="105">
        <v>6796.8</v>
      </c>
      <c r="Q1179" s="23">
        <v>42132</v>
      </c>
      <c r="R1179" s="106">
        <v>6796.8</v>
      </c>
      <c r="S1179" s="31">
        <f t="shared" si="37"/>
        <v>0</v>
      </c>
      <c r="T1179" s="19" t="s">
        <v>9</v>
      </c>
    </row>
    <row r="1180" spans="1:20" x14ac:dyDescent="0.25">
      <c r="A1180" s="20">
        <v>42135</v>
      </c>
      <c r="B1180" s="183">
        <v>20754</v>
      </c>
      <c r="C1180" s="14" t="s">
        <v>68</v>
      </c>
      <c r="D1180" s="105">
        <v>1881.6</v>
      </c>
      <c r="E1180" s="23">
        <v>42137</v>
      </c>
      <c r="F1180" s="106">
        <v>1881.6</v>
      </c>
      <c r="G1180" s="31">
        <f t="shared" si="36"/>
        <v>0</v>
      </c>
      <c r="H1180" s="19" t="s">
        <v>149</v>
      </c>
      <c r="K1180" s="3"/>
      <c r="M1180" s="20">
        <v>42133</v>
      </c>
      <c r="N1180" s="183">
        <v>20535</v>
      </c>
      <c r="O1180" s="14" t="s">
        <v>135</v>
      </c>
      <c r="P1180" s="105">
        <v>4863.3999999999996</v>
      </c>
      <c r="Q1180" s="23">
        <v>42133</v>
      </c>
      <c r="R1180" s="106">
        <v>4863.3999999999996</v>
      </c>
      <c r="S1180" s="31">
        <f t="shared" si="37"/>
        <v>0</v>
      </c>
      <c r="T1180" s="19" t="s">
        <v>9</v>
      </c>
    </row>
    <row r="1181" spans="1:20" x14ac:dyDescent="0.25">
      <c r="A1181" s="20">
        <v>42135</v>
      </c>
      <c r="B1181" s="183">
        <v>20755</v>
      </c>
      <c r="C1181" s="14" t="s">
        <v>675</v>
      </c>
      <c r="D1181" s="105">
        <v>268.60000000000002</v>
      </c>
      <c r="E1181" s="23">
        <v>42135</v>
      </c>
      <c r="F1181" s="106">
        <v>268.60000000000002</v>
      </c>
      <c r="G1181" s="31">
        <f t="shared" si="36"/>
        <v>0</v>
      </c>
      <c r="H1181" s="19" t="s">
        <v>9</v>
      </c>
      <c r="K1181" s="3"/>
      <c r="M1181" s="20">
        <v>42135</v>
      </c>
      <c r="N1181" s="183">
        <v>20734</v>
      </c>
      <c r="O1181" s="14" t="s">
        <v>135</v>
      </c>
      <c r="P1181" s="105">
        <v>164</v>
      </c>
      <c r="Q1181" s="23">
        <v>42135</v>
      </c>
      <c r="R1181" s="106">
        <v>164</v>
      </c>
      <c r="S1181" s="31">
        <f t="shared" si="37"/>
        <v>0</v>
      </c>
      <c r="T1181" s="19" t="s">
        <v>9</v>
      </c>
    </row>
    <row r="1182" spans="1:20" x14ac:dyDescent="0.25">
      <c r="A1182" s="20">
        <v>42135</v>
      </c>
      <c r="B1182" s="183">
        <v>20756</v>
      </c>
      <c r="C1182" s="14" t="s">
        <v>675</v>
      </c>
      <c r="D1182" s="105">
        <v>55.8</v>
      </c>
      <c r="E1182" s="23">
        <v>42135</v>
      </c>
      <c r="F1182" s="106">
        <v>55.8</v>
      </c>
      <c r="G1182" s="31">
        <f t="shared" si="36"/>
        <v>0</v>
      </c>
      <c r="H1182" s="19" t="s">
        <v>9</v>
      </c>
      <c r="K1182" s="3"/>
      <c r="M1182" s="20">
        <v>42135</v>
      </c>
      <c r="N1182" s="183">
        <v>20737</v>
      </c>
      <c r="O1182" s="14" t="s">
        <v>135</v>
      </c>
      <c r="P1182" s="105">
        <v>320</v>
      </c>
      <c r="Q1182" s="23">
        <v>42135</v>
      </c>
      <c r="R1182" s="106">
        <v>320</v>
      </c>
      <c r="S1182" s="31">
        <f t="shared" si="37"/>
        <v>0</v>
      </c>
      <c r="T1182" s="19" t="s">
        <v>9</v>
      </c>
    </row>
    <row r="1183" spans="1:20" x14ac:dyDescent="0.25">
      <c r="A1183" s="20">
        <v>42135</v>
      </c>
      <c r="B1183" s="183">
        <v>20757</v>
      </c>
      <c r="C1183" s="14" t="s">
        <v>202</v>
      </c>
      <c r="D1183" s="105">
        <v>2787.6</v>
      </c>
      <c r="E1183" s="23">
        <v>42137</v>
      </c>
      <c r="F1183" s="106">
        <v>2787.6</v>
      </c>
      <c r="G1183" s="31">
        <f t="shared" si="36"/>
        <v>0</v>
      </c>
      <c r="H1183" s="19" t="s">
        <v>149</v>
      </c>
      <c r="K1183" s="3"/>
      <c r="M1183" s="20">
        <v>42136</v>
      </c>
      <c r="N1183" s="183">
        <v>20802</v>
      </c>
      <c r="O1183" s="14" t="s">
        <v>135</v>
      </c>
      <c r="P1183" s="105">
        <v>17272.8</v>
      </c>
      <c r="Q1183" s="23">
        <v>42136</v>
      </c>
      <c r="R1183" s="106">
        <v>17272.8</v>
      </c>
      <c r="S1183" s="31">
        <f t="shared" si="37"/>
        <v>0</v>
      </c>
      <c r="T1183" s="39" t="s">
        <v>9</v>
      </c>
    </row>
    <row r="1184" spans="1:20" x14ac:dyDescent="0.25">
      <c r="A1184" s="20">
        <v>42135</v>
      </c>
      <c r="B1184" s="183">
        <v>20758</v>
      </c>
      <c r="C1184" s="14" t="s">
        <v>1101</v>
      </c>
      <c r="D1184" s="105">
        <v>162.4</v>
      </c>
      <c r="E1184" s="23">
        <v>42135</v>
      </c>
      <c r="F1184" s="106">
        <v>162.4</v>
      </c>
      <c r="G1184" s="31">
        <f t="shared" si="36"/>
        <v>0</v>
      </c>
      <c r="H1184" s="19" t="s">
        <v>9</v>
      </c>
      <c r="K1184" s="3"/>
      <c r="M1184" s="20">
        <v>42137</v>
      </c>
      <c r="N1184" s="183">
        <v>20881</v>
      </c>
      <c r="O1184" s="14" t="s">
        <v>135</v>
      </c>
      <c r="P1184" s="105">
        <v>184.8</v>
      </c>
      <c r="Q1184" s="23">
        <v>42137</v>
      </c>
      <c r="R1184" s="106">
        <v>184.8</v>
      </c>
      <c r="S1184" s="31">
        <f t="shared" si="37"/>
        <v>0</v>
      </c>
      <c r="T1184" s="39" t="s">
        <v>9</v>
      </c>
    </row>
    <row r="1185" spans="1:20" x14ac:dyDescent="0.25">
      <c r="A1185" s="20">
        <v>42135</v>
      </c>
      <c r="B1185" s="183">
        <v>20759</v>
      </c>
      <c r="C1185" s="14" t="s">
        <v>47</v>
      </c>
      <c r="D1185" s="105">
        <v>6789.6</v>
      </c>
      <c r="E1185" s="23">
        <v>42139</v>
      </c>
      <c r="F1185" s="106">
        <v>6789.6</v>
      </c>
      <c r="G1185" s="31">
        <f t="shared" si="36"/>
        <v>0</v>
      </c>
      <c r="H1185" s="19" t="s">
        <v>9</v>
      </c>
      <c r="K1185" s="3"/>
      <c r="M1185" s="20">
        <v>42139</v>
      </c>
      <c r="N1185" s="183">
        <v>21143</v>
      </c>
      <c r="O1185" s="14" t="s">
        <v>135</v>
      </c>
      <c r="P1185" s="105">
        <v>5183.5</v>
      </c>
      <c r="Q1185" s="23">
        <v>42139</v>
      </c>
      <c r="R1185" s="106">
        <v>5183.5</v>
      </c>
      <c r="S1185" s="48">
        <f t="shared" si="37"/>
        <v>0</v>
      </c>
      <c r="T1185" s="39" t="s">
        <v>9</v>
      </c>
    </row>
    <row r="1186" spans="1:20" x14ac:dyDescent="0.25">
      <c r="A1186" s="20">
        <v>42135</v>
      </c>
      <c r="B1186" s="183">
        <v>20760</v>
      </c>
      <c r="C1186" s="14" t="s">
        <v>574</v>
      </c>
      <c r="D1186" s="105">
        <v>22190.799999999999</v>
      </c>
      <c r="E1186" s="23">
        <v>42137</v>
      </c>
      <c r="F1186" s="106">
        <v>22190.799999999999</v>
      </c>
      <c r="G1186" s="31">
        <f t="shared" si="36"/>
        <v>0</v>
      </c>
      <c r="H1186" s="19" t="s">
        <v>9</v>
      </c>
      <c r="I1186" s="3"/>
      <c r="J1186" s="42"/>
      <c r="K1186" s="3"/>
      <c r="M1186" s="20">
        <v>42141</v>
      </c>
      <c r="N1186" s="183">
        <v>21364</v>
      </c>
      <c r="O1186" s="14" t="s">
        <v>135</v>
      </c>
      <c r="P1186" s="105">
        <v>6023</v>
      </c>
      <c r="Q1186" s="23">
        <v>42141</v>
      </c>
      <c r="R1186" s="118">
        <v>6023</v>
      </c>
      <c r="S1186" s="31">
        <f t="shared" si="37"/>
        <v>0</v>
      </c>
      <c r="T1186" s="56" t="s">
        <v>9</v>
      </c>
    </row>
    <row r="1187" spans="1:20" x14ac:dyDescent="0.25">
      <c r="A1187" s="20">
        <v>42135</v>
      </c>
      <c r="B1187" s="183">
        <v>20761</v>
      </c>
      <c r="C1187" s="14" t="s">
        <v>136</v>
      </c>
      <c r="D1187" s="105">
        <v>34754.800000000003</v>
      </c>
      <c r="E1187" s="23">
        <v>42136</v>
      </c>
      <c r="F1187" s="106">
        <v>34754.800000000003</v>
      </c>
      <c r="G1187" s="31">
        <f t="shared" si="36"/>
        <v>0</v>
      </c>
      <c r="H1187" s="19" t="s">
        <v>9</v>
      </c>
      <c r="I1187" s="3"/>
      <c r="J1187" s="42"/>
      <c r="K1187" s="3"/>
      <c r="M1187" s="20">
        <v>42142</v>
      </c>
      <c r="N1187" s="183">
        <v>21414</v>
      </c>
      <c r="O1187" s="14" t="s">
        <v>135</v>
      </c>
      <c r="P1187" s="105">
        <v>18030</v>
      </c>
      <c r="Q1187" s="23">
        <v>42142</v>
      </c>
      <c r="R1187" s="118">
        <v>18030</v>
      </c>
      <c r="S1187" s="31">
        <f t="shared" si="37"/>
        <v>0</v>
      </c>
      <c r="T1187" s="56" t="s">
        <v>9</v>
      </c>
    </row>
    <row r="1188" spans="1:20" x14ac:dyDescent="0.25">
      <c r="A1188" s="20">
        <v>42135</v>
      </c>
      <c r="B1188" s="183">
        <v>20762</v>
      </c>
      <c r="C1188" s="14" t="s">
        <v>199</v>
      </c>
      <c r="D1188" s="105">
        <v>7838.2</v>
      </c>
      <c r="E1188" s="23">
        <v>42137</v>
      </c>
      <c r="F1188" s="106">
        <v>7838.2</v>
      </c>
      <c r="G1188" s="31">
        <f t="shared" si="36"/>
        <v>0</v>
      </c>
      <c r="H1188" s="19" t="s">
        <v>149</v>
      </c>
      <c r="I1188" s="3"/>
      <c r="J1188" s="42"/>
      <c r="K1188" s="3"/>
      <c r="M1188" s="20">
        <v>42144</v>
      </c>
      <c r="N1188" s="183">
        <v>21640</v>
      </c>
      <c r="O1188" s="14" t="s">
        <v>135</v>
      </c>
      <c r="P1188" s="105">
        <v>5438.8</v>
      </c>
      <c r="Q1188" s="23">
        <v>42144</v>
      </c>
      <c r="R1188" s="118">
        <v>5438.8</v>
      </c>
      <c r="S1188" s="31">
        <f t="shared" si="37"/>
        <v>0</v>
      </c>
      <c r="T1188" s="62" t="s">
        <v>9</v>
      </c>
    </row>
    <row r="1189" spans="1:20" x14ac:dyDescent="0.25">
      <c r="A1189" s="20">
        <v>42135</v>
      </c>
      <c r="B1189" s="183">
        <v>20763</v>
      </c>
      <c r="C1189" s="14" t="s">
        <v>204</v>
      </c>
      <c r="D1189" s="105">
        <v>6348.2</v>
      </c>
      <c r="E1189" s="23">
        <v>42137</v>
      </c>
      <c r="F1189" s="106">
        <v>6348.2</v>
      </c>
      <c r="G1189" s="31">
        <f t="shared" si="36"/>
        <v>0</v>
      </c>
      <c r="H1189" s="19" t="s">
        <v>149</v>
      </c>
      <c r="I1189" s="3"/>
      <c r="J1189" s="42"/>
      <c r="K1189" s="3"/>
      <c r="M1189" s="20">
        <v>42146</v>
      </c>
      <c r="N1189" s="183">
        <v>21861</v>
      </c>
      <c r="O1189" s="14" t="s">
        <v>135</v>
      </c>
      <c r="P1189" s="105">
        <v>16571.099999999999</v>
      </c>
      <c r="Q1189" s="23">
        <v>42146</v>
      </c>
      <c r="R1189" s="106">
        <v>16571.099999999999</v>
      </c>
      <c r="S1189" s="31">
        <f t="shared" si="37"/>
        <v>0</v>
      </c>
      <c r="T1189" s="39" t="s">
        <v>9</v>
      </c>
    </row>
    <row r="1190" spans="1:20" x14ac:dyDescent="0.25">
      <c r="A1190" s="20">
        <v>42135</v>
      </c>
      <c r="B1190" s="183">
        <v>20764</v>
      </c>
      <c r="C1190" s="14" t="s">
        <v>1140</v>
      </c>
      <c r="D1190" s="105">
        <v>4243.8</v>
      </c>
      <c r="E1190" s="23">
        <v>42137</v>
      </c>
      <c r="F1190" s="106">
        <v>4243.8</v>
      </c>
      <c r="G1190" s="31">
        <f t="shared" si="36"/>
        <v>0</v>
      </c>
      <c r="H1190" s="19" t="s">
        <v>149</v>
      </c>
      <c r="I1190" s="3"/>
      <c r="J1190" s="42"/>
      <c r="K1190" s="3"/>
      <c r="M1190" s="20">
        <v>42146</v>
      </c>
      <c r="N1190" s="183">
        <v>21883</v>
      </c>
      <c r="O1190" s="14" t="s">
        <v>135</v>
      </c>
      <c r="P1190" s="105">
        <v>1267.2</v>
      </c>
      <c r="Q1190" s="23">
        <v>42146</v>
      </c>
      <c r="R1190" s="106">
        <v>1267.2</v>
      </c>
      <c r="S1190" s="31">
        <f t="shared" si="37"/>
        <v>0</v>
      </c>
      <c r="T1190" s="39" t="s">
        <v>9</v>
      </c>
    </row>
    <row r="1191" spans="1:20" x14ac:dyDescent="0.25">
      <c r="A1191" s="20">
        <v>42135</v>
      </c>
      <c r="B1191" s="183">
        <v>20765</v>
      </c>
      <c r="C1191" s="14" t="s">
        <v>161</v>
      </c>
      <c r="D1191" s="105">
        <v>24444.47</v>
      </c>
      <c r="E1191" s="23">
        <v>42135</v>
      </c>
      <c r="F1191" s="106">
        <v>24444.47</v>
      </c>
      <c r="G1191" s="31">
        <f t="shared" si="36"/>
        <v>0</v>
      </c>
      <c r="H1191" s="19" t="s">
        <v>9</v>
      </c>
      <c r="I1191" s="3"/>
      <c r="J1191" s="42"/>
      <c r="K1191" s="3"/>
      <c r="M1191" s="20">
        <v>42148</v>
      </c>
      <c r="N1191" s="183">
        <v>22119</v>
      </c>
      <c r="O1191" s="14" t="s">
        <v>135</v>
      </c>
      <c r="P1191" s="105">
        <v>2473.1999999999998</v>
      </c>
      <c r="Q1191" s="65">
        <v>42148</v>
      </c>
      <c r="R1191" s="106">
        <v>2473.1999999999998</v>
      </c>
      <c r="S1191" s="31">
        <f t="shared" si="37"/>
        <v>0</v>
      </c>
      <c r="T1191" s="39" t="s">
        <v>9</v>
      </c>
    </row>
    <row r="1192" spans="1:20" x14ac:dyDescent="0.25">
      <c r="A1192" s="20">
        <v>42135</v>
      </c>
      <c r="B1192" s="183">
        <v>20766</v>
      </c>
      <c r="C1192" s="14" t="s">
        <v>1384</v>
      </c>
      <c r="D1192" s="105">
        <v>36642.07</v>
      </c>
      <c r="E1192" s="51">
        <v>42140</v>
      </c>
      <c r="F1192" s="106">
        <v>36642.07</v>
      </c>
      <c r="G1192" s="31">
        <f t="shared" si="36"/>
        <v>0</v>
      </c>
      <c r="H1192" s="19" t="s">
        <v>149</v>
      </c>
      <c r="I1192" s="3"/>
      <c r="J1192" s="42"/>
      <c r="K1192" s="3"/>
      <c r="M1192" s="20">
        <v>42149</v>
      </c>
      <c r="N1192" s="183">
        <v>22160</v>
      </c>
      <c r="O1192" s="14" t="s">
        <v>135</v>
      </c>
      <c r="P1192" s="105">
        <v>4695.6000000000004</v>
      </c>
      <c r="Q1192" s="65">
        <v>42149</v>
      </c>
      <c r="R1192" s="106">
        <v>4695.6000000000004</v>
      </c>
      <c r="S1192" s="31">
        <f t="shared" si="37"/>
        <v>0</v>
      </c>
      <c r="T1192" s="39" t="s">
        <v>9</v>
      </c>
    </row>
    <row r="1193" spans="1:20" x14ac:dyDescent="0.25">
      <c r="A1193" s="20">
        <v>42135</v>
      </c>
      <c r="B1193" s="183">
        <v>20767</v>
      </c>
      <c r="C1193" s="14" t="s">
        <v>262</v>
      </c>
      <c r="D1193" s="105">
        <v>31887.200000000001</v>
      </c>
      <c r="E1193" s="23">
        <v>42145</v>
      </c>
      <c r="F1193" s="106">
        <v>31887.200000000001</v>
      </c>
      <c r="G1193" s="31">
        <f t="shared" si="36"/>
        <v>0</v>
      </c>
      <c r="H1193" s="19" t="s">
        <v>149</v>
      </c>
      <c r="I1193" s="3"/>
      <c r="J1193" s="42"/>
      <c r="K1193" s="3"/>
      <c r="M1193" s="20">
        <v>42150</v>
      </c>
      <c r="N1193" s="183">
        <v>22291</v>
      </c>
      <c r="O1193" s="14" t="s">
        <v>135</v>
      </c>
      <c r="P1193" s="105">
        <v>1548</v>
      </c>
      <c r="Q1193" s="65">
        <v>42150</v>
      </c>
      <c r="R1193" s="106">
        <v>1548</v>
      </c>
      <c r="S1193" s="31">
        <f t="shared" si="37"/>
        <v>0</v>
      </c>
      <c r="T1193" s="39" t="s">
        <v>9</v>
      </c>
    </row>
    <row r="1194" spans="1:20" x14ac:dyDescent="0.25">
      <c r="A1194" s="20">
        <v>42135</v>
      </c>
      <c r="B1194" s="183">
        <v>20768</v>
      </c>
      <c r="C1194" s="150" t="s">
        <v>80</v>
      </c>
      <c r="D1194" s="105">
        <v>4661.3999999999996</v>
      </c>
      <c r="E1194" s="23">
        <v>42135</v>
      </c>
      <c r="F1194" s="106">
        <v>4661.3999999999996</v>
      </c>
      <c r="G1194" s="31">
        <f t="shared" si="36"/>
        <v>0</v>
      </c>
      <c r="H1194" s="19" t="s">
        <v>9</v>
      </c>
      <c r="I1194" s="3"/>
      <c r="J1194" s="42"/>
      <c r="K1194" s="3"/>
      <c r="M1194" s="20">
        <v>42152</v>
      </c>
      <c r="N1194" s="183">
        <v>22436</v>
      </c>
      <c r="O1194" s="14" t="s">
        <v>135</v>
      </c>
      <c r="P1194" s="105">
        <v>4716</v>
      </c>
      <c r="Q1194" s="23">
        <v>42152</v>
      </c>
      <c r="R1194" s="106">
        <v>4716</v>
      </c>
      <c r="S1194" s="31">
        <f t="shared" si="37"/>
        <v>0</v>
      </c>
      <c r="T1194" s="39" t="s">
        <v>9</v>
      </c>
    </row>
    <row r="1195" spans="1:20" x14ac:dyDescent="0.25">
      <c r="A1195" s="20">
        <v>42135</v>
      </c>
      <c r="B1195" s="183">
        <v>20769</v>
      </c>
      <c r="C1195" s="14" t="s">
        <v>1050</v>
      </c>
      <c r="D1195" s="105">
        <v>14197.56</v>
      </c>
      <c r="E1195" s="30" t="s">
        <v>1385</v>
      </c>
      <c r="F1195" s="106">
        <v>14197.56</v>
      </c>
      <c r="G1195" s="31">
        <f t="shared" si="36"/>
        <v>0</v>
      </c>
      <c r="H1195" s="19" t="s">
        <v>9</v>
      </c>
      <c r="I1195" s="3"/>
      <c r="J1195" s="42"/>
      <c r="K1195" s="3"/>
      <c r="M1195" s="20">
        <v>42153</v>
      </c>
      <c r="N1195" s="183">
        <v>22616</v>
      </c>
      <c r="O1195" s="14" t="s">
        <v>135</v>
      </c>
      <c r="P1195" s="105">
        <v>20067.2</v>
      </c>
      <c r="Q1195" s="23">
        <v>42153</v>
      </c>
      <c r="R1195" s="106">
        <v>20067.2</v>
      </c>
      <c r="S1195" s="31">
        <f t="shared" si="37"/>
        <v>0</v>
      </c>
      <c r="T1195" s="39" t="s">
        <v>9</v>
      </c>
    </row>
    <row r="1196" spans="1:20" x14ac:dyDescent="0.25">
      <c r="A1196" s="20">
        <v>42135</v>
      </c>
      <c r="B1196" s="183">
        <v>20770</v>
      </c>
      <c r="C1196" s="14" t="s">
        <v>203</v>
      </c>
      <c r="D1196" s="105">
        <v>1292</v>
      </c>
      <c r="E1196" s="23">
        <v>42137</v>
      </c>
      <c r="F1196" s="106">
        <v>1292</v>
      </c>
      <c r="G1196" s="31">
        <f t="shared" si="36"/>
        <v>0</v>
      </c>
      <c r="H1196" s="19" t="s">
        <v>149</v>
      </c>
      <c r="I1196" s="3"/>
      <c r="J1196" s="42"/>
      <c r="K1196" s="3"/>
      <c r="M1196" s="20">
        <v>42155</v>
      </c>
      <c r="N1196" s="183">
        <v>22825</v>
      </c>
      <c r="O1196" s="14" t="s">
        <v>135</v>
      </c>
      <c r="P1196" s="105">
        <v>1200.5999999999999</v>
      </c>
      <c r="Q1196" s="23">
        <v>42155</v>
      </c>
      <c r="R1196" s="106">
        <v>1200.5999999999999</v>
      </c>
      <c r="S1196" s="31">
        <f t="shared" si="37"/>
        <v>0</v>
      </c>
      <c r="T1196" s="39" t="s">
        <v>9</v>
      </c>
    </row>
    <row r="1197" spans="1:20" x14ac:dyDescent="0.25">
      <c r="A1197" s="20">
        <v>42135</v>
      </c>
      <c r="B1197" s="183">
        <v>20771</v>
      </c>
      <c r="C1197" s="14" t="s">
        <v>1103</v>
      </c>
      <c r="D1197" s="105">
        <v>21383.599999999999</v>
      </c>
      <c r="E1197" s="23">
        <v>42137</v>
      </c>
      <c r="F1197" s="106">
        <v>21383.599999999999</v>
      </c>
      <c r="G1197" s="31">
        <f t="shared" si="36"/>
        <v>0</v>
      </c>
      <c r="H1197" s="19" t="s">
        <v>149</v>
      </c>
      <c r="I1197" s="3"/>
      <c r="J1197" s="42"/>
      <c r="K1197" s="3"/>
      <c r="M1197" s="20">
        <v>42138</v>
      </c>
      <c r="N1197" s="183">
        <v>21058</v>
      </c>
      <c r="O1197" s="150" t="s">
        <v>261</v>
      </c>
      <c r="P1197" s="105">
        <v>11539.2</v>
      </c>
      <c r="Q1197" s="23">
        <v>42140</v>
      </c>
      <c r="R1197" s="106">
        <v>11539.2</v>
      </c>
      <c r="S1197" s="48">
        <f t="shared" si="37"/>
        <v>0</v>
      </c>
      <c r="T1197" s="39" t="s">
        <v>149</v>
      </c>
    </row>
    <row r="1198" spans="1:20" x14ac:dyDescent="0.25">
      <c r="A1198" s="20">
        <v>42135</v>
      </c>
      <c r="B1198" s="183">
        <v>20772</v>
      </c>
      <c r="C1198" s="14" t="s">
        <v>206</v>
      </c>
      <c r="D1198" s="105">
        <v>24645.15</v>
      </c>
      <c r="E1198" s="23">
        <v>42145</v>
      </c>
      <c r="F1198" s="106">
        <v>24645.15</v>
      </c>
      <c r="G1198" s="31">
        <f t="shared" si="36"/>
        <v>0</v>
      </c>
      <c r="H1198" s="19" t="s">
        <v>149</v>
      </c>
      <c r="I1198" s="3"/>
      <c r="J1198" s="42"/>
      <c r="K1198" s="3"/>
      <c r="M1198" s="20">
        <v>42139</v>
      </c>
      <c r="N1198" s="183">
        <v>21142</v>
      </c>
      <c r="O1198" s="14" t="s">
        <v>261</v>
      </c>
      <c r="P1198" s="105">
        <v>5346.6</v>
      </c>
      <c r="Q1198" s="23">
        <v>42139</v>
      </c>
      <c r="R1198" s="106">
        <v>5346.6</v>
      </c>
      <c r="S1198" s="48">
        <f t="shared" si="37"/>
        <v>0</v>
      </c>
      <c r="T1198" s="39" t="s">
        <v>9</v>
      </c>
    </row>
    <row r="1199" spans="1:20" x14ac:dyDescent="0.25">
      <c r="A1199" s="20">
        <v>42135</v>
      </c>
      <c r="B1199" s="183">
        <v>20773</v>
      </c>
      <c r="C1199" s="14" t="s">
        <v>14</v>
      </c>
      <c r="D1199" s="105">
        <v>22361.62</v>
      </c>
      <c r="E1199" s="23">
        <v>42153</v>
      </c>
      <c r="F1199" s="106">
        <v>22361.62</v>
      </c>
      <c r="G1199" s="31">
        <f t="shared" si="36"/>
        <v>0</v>
      </c>
      <c r="H1199" s="19" t="s">
        <v>15</v>
      </c>
      <c r="I1199" s="3"/>
      <c r="J1199" s="42"/>
      <c r="K1199" s="3"/>
      <c r="M1199" s="20">
        <v>42152</v>
      </c>
      <c r="N1199" s="183">
        <v>22534</v>
      </c>
      <c r="O1199" s="14" t="s">
        <v>261</v>
      </c>
      <c r="P1199" s="105">
        <v>11706.1</v>
      </c>
      <c r="Q1199" s="23">
        <v>42154</v>
      </c>
      <c r="R1199" s="106">
        <v>11706.1</v>
      </c>
      <c r="S1199" s="31">
        <f t="shared" si="37"/>
        <v>0</v>
      </c>
      <c r="T1199" s="39" t="s">
        <v>149</v>
      </c>
    </row>
    <row r="1200" spans="1:20" x14ac:dyDescent="0.25">
      <c r="A1200" s="20">
        <v>42135</v>
      </c>
      <c r="B1200" s="183">
        <v>20774</v>
      </c>
      <c r="C1200" s="14" t="s">
        <v>24</v>
      </c>
      <c r="D1200" s="105">
        <v>16155</v>
      </c>
      <c r="E1200" s="23">
        <v>42153</v>
      </c>
      <c r="F1200" s="106">
        <v>16155</v>
      </c>
      <c r="G1200" s="31">
        <f t="shared" si="36"/>
        <v>0</v>
      </c>
      <c r="H1200" s="19" t="s">
        <v>9</v>
      </c>
      <c r="I1200" s="3"/>
      <c r="J1200" s="42"/>
      <c r="K1200" s="3"/>
      <c r="M1200" s="20">
        <v>42125</v>
      </c>
      <c r="N1200" s="183">
        <v>19679</v>
      </c>
      <c r="O1200" s="14" t="s">
        <v>1271</v>
      </c>
      <c r="P1200" s="105">
        <v>11665.6</v>
      </c>
      <c r="Q1200" s="23">
        <v>42125</v>
      </c>
      <c r="R1200" s="106">
        <v>11665.6</v>
      </c>
      <c r="S1200" s="25">
        <f t="shared" si="37"/>
        <v>0</v>
      </c>
      <c r="T1200" s="39" t="s">
        <v>1257</v>
      </c>
    </row>
    <row r="1201" spans="1:20" x14ac:dyDescent="0.25">
      <c r="A1201" s="20">
        <v>42135</v>
      </c>
      <c r="B1201" s="183">
        <v>20775</v>
      </c>
      <c r="C1201" s="14" t="s">
        <v>90</v>
      </c>
      <c r="D1201" s="105">
        <v>538</v>
      </c>
      <c r="E1201" s="23">
        <v>42135</v>
      </c>
      <c r="F1201" s="106">
        <v>538</v>
      </c>
      <c r="G1201" s="31">
        <f t="shared" si="36"/>
        <v>0</v>
      </c>
      <c r="H1201" s="19" t="s">
        <v>9</v>
      </c>
      <c r="I1201" s="3"/>
      <c r="J1201" s="42"/>
      <c r="K1201" s="3"/>
      <c r="M1201" s="20">
        <v>42127</v>
      </c>
      <c r="N1201" s="183">
        <v>19813</v>
      </c>
      <c r="O1201" s="40" t="s">
        <v>1271</v>
      </c>
      <c r="P1201" s="105">
        <v>29257.32</v>
      </c>
      <c r="Q1201" s="23">
        <v>42128</v>
      </c>
      <c r="R1201" s="106">
        <v>29257.32</v>
      </c>
      <c r="S1201" s="31">
        <f t="shared" si="37"/>
        <v>0</v>
      </c>
      <c r="T1201" s="41" t="s">
        <v>1257</v>
      </c>
    </row>
    <row r="1202" spans="1:20" x14ac:dyDescent="0.25">
      <c r="A1202" s="20">
        <v>42135</v>
      </c>
      <c r="B1202" s="183">
        <v>20776</v>
      </c>
      <c r="C1202" s="14" t="s">
        <v>697</v>
      </c>
      <c r="D1202" s="105">
        <v>9309.6</v>
      </c>
      <c r="E1202" s="23">
        <v>42145</v>
      </c>
      <c r="F1202" s="106">
        <v>9309.6</v>
      </c>
      <c r="G1202" s="31">
        <f t="shared" si="36"/>
        <v>0</v>
      </c>
      <c r="H1202" s="19" t="s">
        <v>9</v>
      </c>
      <c r="K1202" s="3"/>
      <c r="M1202" s="20">
        <v>42128</v>
      </c>
      <c r="N1202" s="183">
        <v>19981</v>
      </c>
      <c r="O1202" s="14" t="s">
        <v>1271</v>
      </c>
      <c r="P1202" s="105">
        <v>6379.2</v>
      </c>
      <c r="Q1202" s="23">
        <v>42130</v>
      </c>
      <c r="R1202" s="106">
        <v>6379.2</v>
      </c>
      <c r="S1202" s="31">
        <f t="shared" si="37"/>
        <v>0</v>
      </c>
      <c r="T1202" s="19" t="s">
        <v>9</v>
      </c>
    </row>
    <row r="1203" spans="1:20" x14ac:dyDescent="0.25">
      <c r="A1203" s="20">
        <v>42135</v>
      </c>
      <c r="B1203" s="183">
        <v>20777</v>
      </c>
      <c r="C1203" s="14" t="s">
        <v>195</v>
      </c>
      <c r="D1203" s="105">
        <v>158680.97</v>
      </c>
      <c r="E1203" s="30" t="s">
        <v>1360</v>
      </c>
      <c r="F1203" s="106">
        <v>158680.97</v>
      </c>
      <c r="G1203" s="31">
        <f t="shared" si="36"/>
        <v>0</v>
      </c>
      <c r="H1203" s="19" t="s">
        <v>149</v>
      </c>
      <c r="K1203" s="3"/>
      <c r="M1203" s="20">
        <v>42130</v>
      </c>
      <c r="N1203" s="183">
        <v>20158</v>
      </c>
      <c r="O1203" s="14" t="s">
        <v>47</v>
      </c>
      <c r="P1203" s="105">
        <v>43209.16</v>
      </c>
      <c r="Q1203" s="23">
        <v>42130</v>
      </c>
      <c r="R1203" s="106">
        <v>43209.16</v>
      </c>
      <c r="S1203" s="31">
        <f t="shared" si="37"/>
        <v>0</v>
      </c>
      <c r="T1203" s="39" t="s">
        <v>9</v>
      </c>
    </row>
    <row r="1204" spans="1:20" x14ac:dyDescent="0.25">
      <c r="A1204" s="20">
        <v>42135</v>
      </c>
      <c r="B1204" s="183">
        <v>20778</v>
      </c>
      <c r="C1204" s="14" t="s">
        <v>733</v>
      </c>
      <c r="D1204" s="105">
        <v>11925.05</v>
      </c>
      <c r="E1204" s="23">
        <v>42137</v>
      </c>
      <c r="F1204" s="106">
        <v>11925.05</v>
      </c>
      <c r="G1204" s="31">
        <f t="shared" si="36"/>
        <v>0</v>
      </c>
      <c r="H1204" s="19" t="s">
        <v>149</v>
      </c>
      <c r="K1204" s="3"/>
      <c r="M1204" s="20">
        <v>42131</v>
      </c>
      <c r="N1204" s="183">
        <v>20250</v>
      </c>
      <c r="O1204" s="14" t="s">
        <v>47</v>
      </c>
      <c r="P1204" s="105">
        <v>22477.87</v>
      </c>
      <c r="Q1204" s="23">
        <v>42132</v>
      </c>
      <c r="R1204" s="106">
        <v>22477.87</v>
      </c>
      <c r="S1204" s="31">
        <f t="shared" si="37"/>
        <v>0</v>
      </c>
      <c r="T1204" s="19" t="s">
        <v>773</v>
      </c>
    </row>
    <row r="1205" spans="1:20" x14ac:dyDescent="0.25">
      <c r="A1205" s="20">
        <v>42135</v>
      </c>
      <c r="B1205" s="183">
        <v>20779</v>
      </c>
      <c r="C1205" s="14" t="s">
        <v>420</v>
      </c>
      <c r="D1205" s="105">
        <v>10457.299999999999</v>
      </c>
      <c r="E1205" s="23">
        <v>42137</v>
      </c>
      <c r="F1205" s="106">
        <v>10457.299999999999</v>
      </c>
      <c r="G1205" s="31">
        <f t="shared" si="36"/>
        <v>0</v>
      </c>
      <c r="H1205" s="19" t="s">
        <v>149</v>
      </c>
      <c r="K1205" s="3"/>
      <c r="M1205" s="20">
        <v>42132</v>
      </c>
      <c r="N1205" s="183">
        <v>20402</v>
      </c>
      <c r="O1205" s="14" t="s">
        <v>47</v>
      </c>
      <c r="P1205" s="105">
        <v>20971.349999999999</v>
      </c>
      <c r="Q1205" s="23">
        <v>42133</v>
      </c>
      <c r="R1205" s="106">
        <v>20971.349999999999</v>
      </c>
      <c r="S1205" s="31">
        <f t="shared" si="37"/>
        <v>0</v>
      </c>
      <c r="T1205" s="19" t="s">
        <v>773</v>
      </c>
    </row>
    <row r="1206" spans="1:20" x14ac:dyDescent="0.25">
      <c r="A1206" s="20">
        <v>42135</v>
      </c>
      <c r="B1206" s="183">
        <v>20780</v>
      </c>
      <c r="C1206" s="14" t="s">
        <v>1275</v>
      </c>
      <c r="D1206" s="105">
        <v>13824.7</v>
      </c>
      <c r="E1206" s="23">
        <v>42137</v>
      </c>
      <c r="F1206" s="106">
        <v>13824.7</v>
      </c>
      <c r="G1206" s="31">
        <f t="shared" si="36"/>
        <v>0</v>
      </c>
      <c r="H1206" s="19" t="s">
        <v>149</v>
      </c>
      <c r="K1206" s="3"/>
      <c r="M1206" s="20">
        <v>42133</v>
      </c>
      <c r="N1206" s="183">
        <v>20580</v>
      </c>
      <c r="O1206" s="14" t="s">
        <v>47</v>
      </c>
      <c r="P1206" s="105">
        <v>22476.11</v>
      </c>
      <c r="Q1206" s="23">
        <v>42135</v>
      </c>
      <c r="R1206" s="106">
        <v>22476.11</v>
      </c>
      <c r="S1206" s="31">
        <f t="shared" si="37"/>
        <v>0</v>
      </c>
      <c r="T1206" s="19" t="s">
        <v>1257</v>
      </c>
    </row>
    <row r="1207" spans="1:20" x14ac:dyDescent="0.25">
      <c r="A1207" s="20">
        <v>42135</v>
      </c>
      <c r="B1207" s="183">
        <v>20781</v>
      </c>
      <c r="C1207" s="14" t="s">
        <v>198</v>
      </c>
      <c r="D1207" s="105">
        <v>14758.32</v>
      </c>
      <c r="E1207" s="23">
        <v>42137</v>
      </c>
      <c r="F1207" s="106">
        <v>14758.32</v>
      </c>
      <c r="G1207" s="31">
        <f t="shared" si="36"/>
        <v>0</v>
      </c>
      <c r="H1207" s="19" t="s">
        <v>149</v>
      </c>
      <c r="J1207" s="107"/>
      <c r="K1207" s="3"/>
      <c r="M1207" s="20">
        <v>42135</v>
      </c>
      <c r="N1207" s="183">
        <v>20759</v>
      </c>
      <c r="O1207" s="14" t="s">
        <v>47</v>
      </c>
      <c r="P1207" s="105">
        <v>6789.6</v>
      </c>
      <c r="Q1207" s="23">
        <v>42139</v>
      </c>
      <c r="R1207" s="106">
        <v>6789.6</v>
      </c>
      <c r="S1207" s="31">
        <f t="shared" si="37"/>
        <v>0</v>
      </c>
      <c r="T1207" s="19" t="s">
        <v>9</v>
      </c>
    </row>
    <row r="1208" spans="1:20" x14ac:dyDescent="0.25">
      <c r="A1208" s="20">
        <v>42135</v>
      </c>
      <c r="B1208" s="183">
        <v>20782</v>
      </c>
      <c r="C1208" s="14" t="s">
        <v>732</v>
      </c>
      <c r="D1208" s="105">
        <v>8578.5</v>
      </c>
      <c r="E1208" s="23">
        <v>42137</v>
      </c>
      <c r="F1208" s="106">
        <v>8578.5</v>
      </c>
      <c r="G1208" s="31">
        <f t="shared" si="36"/>
        <v>0</v>
      </c>
      <c r="H1208" s="19" t="s">
        <v>9</v>
      </c>
      <c r="K1208" s="3"/>
      <c r="M1208" s="20">
        <v>42137</v>
      </c>
      <c r="N1208" s="183">
        <v>20892</v>
      </c>
      <c r="O1208" s="14" t="s">
        <v>47</v>
      </c>
      <c r="P1208" s="105">
        <v>56831.4</v>
      </c>
      <c r="Q1208" s="23" t="s">
        <v>1386</v>
      </c>
      <c r="R1208" s="106">
        <f>50000+6831.4</f>
        <v>56831.4</v>
      </c>
      <c r="S1208" s="31">
        <f t="shared" si="37"/>
        <v>0</v>
      </c>
      <c r="T1208" s="19" t="s">
        <v>9</v>
      </c>
    </row>
    <row r="1209" spans="1:20" x14ac:dyDescent="0.25">
      <c r="A1209" s="20">
        <v>42135</v>
      </c>
      <c r="B1209" s="183">
        <v>20783</v>
      </c>
      <c r="C1209" s="185" t="s">
        <v>218</v>
      </c>
      <c r="D1209" s="108">
        <v>0</v>
      </c>
      <c r="E1209" s="23"/>
      <c r="F1209" s="106"/>
      <c r="G1209" s="31">
        <f t="shared" si="36"/>
        <v>0</v>
      </c>
      <c r="H1209" s="19" t="s">
        <v>13</v>
      </c>
      <c r="K1209" s="3"/>
      <c r="M1209" s="20">
        <v>42138</v>
      </c>
      <c r="N1209" s="183">
        <v>21030</v>
      </c>
      <c r="O1209" s="14" t="s">
        <v>47</v>
      </c>
      <c r="P1209" s="105">
        <v>15888.4</v>
      </c>
      <c r="Q1209" s="23">
        <v>42139</v>
      </c>
      <c r="R1209" s="106">
        <f>376.2+15512.2</f>
        <v>15888.400000000001</v>
      </c>
      <c r="S1209" s="48">
        <f t="shared" si="37"/>
        <v>0</v>
      </c>
      <c r="T1209" s="39" t="s">
        <v>1273</v>
      </c>
    </row>
    <row r="1210" spans="1:20" x14ac:dyDescent="0.25">
      <c r="A1210" s="20">
        <v>42135</v>
      </c>
      <c r="B1210" s="183">
        <v>20784</v>
      </c>
      <c r="C1210" s="14" t="s">
        <v>411</v>
      </c>
      <c r="D1210" s="105">
        <v>2226</v>
      </c>
      <c r="E1210" s="23">
        <v>42135</v>
      </c>
      <c r="F1210" s="106">
        <v>2226</v>
      </c>
      <c r="G1210" s="31">
        <f t="shared" si="36"/>
        <v>0</v>
      </c>
      <c r="H1210" s="19" t="s">
        <v>9</v>
      </c>
      <c r="K1210" s="3"/>
      <c r="M1210" s="20">
        <v>42139</v>
      </c>
      <c r="N1210" s="183">
        <v>21173</v>
      </c>
      <c r="O1210" s="14" t="s">
        <v>47</v>
      </c>
      <c r="P1210" s="105">
        <v>13789.6</v>
      </c>
      <c r="Q1210" s="23">
        <v>42139</v>
      </c>
      <c r="R1210" s="106">
        <v>13789.6</v>
      </c>
      <c r="S1210" s="48">
        <f t="shared" si="37"/>
        <v>0</v>
      </c>
      <c r="T1210" s="39" t="s">
        <v>94</v>
      </c>
    </row>
    <row r="1211" spans="1:20" x14ac:dyDescent="0.25">
      <c r="A1211" s="20">
        <v>42135</v>
      </c>
      <c r="B1211" s="183">
        <v>20785</v>
      </c>
      <c r="C1211" s="14" t="s">
        <v>1182</v>
      </c>
      <c r="D1211" s="105">
        <v>5529</v>
      </c>
      <c r="E1211" s="23">
        <v>42136</v>
      </c>
      <c r="F1211" s="106">
        <v>5529</v>
      </c>
      <c r="G1211" s="31">
        <f t="shared" si="36"/>
        <v>0</v>
      </c>
      <c r="H1211" s="19" t="s">
        <v>9</v>
      </c>
      <c r="K1211" s="3"/>
      <c r="M1211" s="20">
        <v>42140</v>
      </c>
      <c r="N1211" s="183">
        <v>21283</v>
      </c>
      <c r="O1211" s="150" t="s">
        <v>47</v>
      </c>
      <c r="P1211" s="105">
        <v>16508.8</v>
      </c>
      <c r="Q1211" s="23">
        <v>42141</v>
      </c>
      <c r="R1211" s="118">
        <v>16508.8</v>
      </c>
      <c r="S1211" s="31">
        <f t="shared" si="37"/>
        <v>0</v>
      </c>
      <c r="T1211" s="62" t="s">
        <v>9</v>
      </c>
    </row>
    <row r="1212" spans="1:20" x14ac:dyDescent="0.25">
      <c r="A1212" s="20">
        <v>42135</v>
      </c>
      <c r="B1212" s="183">
        <v>20786</v>
      </c>
      <c r="C1212" s="14" t="s">
        <v>32</v>
      </c>
      <c r="D1212" s="105">
        <v>2718</v>
      </c>
      <c r="E1212" s="23">
        <v>42140</v>
      </c>
      <c r="F1212" s="106">
        <v>2718</v>
      </c>
      <c r="G1212" s="31">
        <f t="shared" si="36"/>
        <v>0</v>
      </c>
      <c r="H1212" s="19" t="s">
        <v>9</v>
      </c>
      <c r="K1212" s="3"/>
      <c r="M1212" s="20">
        <v>42142</v>
      </c>
      <c r="N1212" s="183">
        <v>21483</v>
      </c>
      <c r="O1212" s="14" t="s">
        <v>47</v>
      </c>
      <c r="P1212" s="105">
        <v>5625.6</v>
      </c>
      <c r="Q1212" s="65">
        <v>42148</v>
      </c>
      <c r="R1212" s="106">
        <v>5625.6</v>
      </c>
      <c r="S1212" s="31">
        <f t="shared" si="37"/>
        <v>0</v>
      </c>
      <c r="T1212" s="19" t="s">
        <v>9</v>
      </c>
    </row>
    <row r="1213" spans="1:20" x14ac:dyDescent="0.25">
      <c r="A1213" s="20">
        <v>42135</v>
      </c>
      <c r="B1213" s="183">
        <v>20787</v>
      </c>
      <c r="C1213" s="14" t="s">
        <v>454</v>
      </c>
      <c r="D1213" s="105">
        <v>3576.8</v>
      </c>
      <c r="E1213" s="23">
        <v>42136</v>
      </c>
      <c r="F1213" s="106">
        <v>3576.8</v>
      </c>
      <c r="G1213" s="31">
        <f t="shared" si="36"/>
        <v>0</v>
      </c>
      <c r="H1213" s="19" t="s">
        <v>41</v>
      </c>
      <c r="K1213" s="3"/>
      <c r="M1213" s="20">
        <v>42144</v>
      </c>
      <c r="N1213" s="183">
        <v>21671</v>
      </c>
      <c r="O1213" s="14" t="s">
        <v>47</v>
      </c>
      <c r="P1213" s="105">
        <v>50497.254999999997</v>
      </c>
      <c r="Q1213" s="23">
        <v>42144</v>
      </c>
      <c r="R1213" s="118">
        <v>50497.25</v>
      </c>
      <c r="S1213" s="31">
        <f t="shared" si="37"/>
        <v>4.9999999973806553E-3</v>
      </c>
      <c r="T1213" s="62" t="s">
        <v>9</v>
      </c>
    </row>
    <row r="1214" spans="1:20" x14ac:dyDescent="0.25">
      <c r="A1214" s="20">
        <v>42135</v>
      </c>
      <c r="B1214" s="183">
        <v>20788</v>
      </c>
      <c r="C1214" s="14" t="s">
        <v>851</v>
      </c>
      <c r="D1214" s="105">
        <v>2033.2</v>
      </c>
      <c r="E1214" s="23">
        <v>42136</v>
      </c>
      <c r="F1214" s="106">
        <v>2033.2</v>
      </c>
      <c r="G1214" s="31">
        <f t="shared" si="36"/>
        <v>0</v>
      </c>
      <c r="H1214" s="19" t="s">
        <v>41</v>
      </c>
      <c r="K1214" s="3"/>
      <c r="M1214" s="20">
        <v>42145</v>
      </c>
      <c r="N1214" s="183">
        <v>21755</v>
      </c>
      <c r="O1214" s="15" t="s">
        <v>47</v>
      </c>
      <c r="P1214" s="122">
        <v>18456.8</v>
      </c>
      <c r="Q1214" s="23">
        <v>42148</v>
      </c>
      <c r="R1214" s="118">
        <v>18456.8</v>
      </c>
      <c r="S1214" s="31">
        <f t="shared" si="37"/>
        <v>0</v>
      </c>
      <c r="T1214" s="68" t="s">
        <v>773</v>
      </c>
    </row>
    <row r="1215" spans="1:20" x14ac:dyDescent="0.25">
      <c r="A1215" s="20">
        <v>42136</v>
      </c>
      <c r="B1215" s="183">
        <v>20789</v>
      </c>
      <c r="C1215" s="14" t="s">
        <v>229</v>
      </c>
      <c r="D1215" s="105">
        <v>1021.5</v>
      </c>
      <c r="E1215" s="23">
        <v>42136</v>
      </c>
      <c r="F1215" s="106">
        <v>1021.5</v>
      </c>
      <c r="G1215" s="31">
        <f t="shared" si="36"/>
        <v>0</v>
      </c>
      <c r="H1215" s="19" t="s">
        <v>9</v>
      </c>
      <c r="K1215" s="3"/>
      <c r="M1215" s="20">
        <v>42146</v>
      </c>
      <c r="N1215" s="183">
        <v>21922</v>
      </c>
      <c r="O1215" s="14" t="s">
        <v>47</v>
      </c>
      <c r="P1215" s="105">
        <v>14663.2</v>
      </c>
      <c r="Q1215" s="23">
        <v>42148</v>
      </c>
      <c r="R1215" s="106">
        <v>14663.2</v>
      </c>
      <c r="S1215" s="31">
        <f t="shared" si="37"/>
        <v>0</v>
      </c>
      <c r="T1215" s="39" t="s">
        <v>1257</v>
      </c>
    </row>
    <row r="1216" spans="1:20" x14ac:dyDescent="0.25">
      <c r="A1216" s="20">
        <v>42136</v>
      </c>
      <c r="B1216" s="183">
        <v>20790</v>
      </c>
      <c r="C1216" s="14" t="s">
        <v>383</v>
      </c>
      <c r="D1216" s="105">
        <v>5469.4</v>
      </c>
      <c r="E1216" s="23">
        <v>42136</v>
      </c>
      <c r="F1216" s="106">
        <v>5469.4</v>
      </c>
      <c r="G1216" s="31">
        <f t="shared" si="36"/>
        <v>0</v>
      </c>
      <c r="H1216" s="19" t="s">
        <v>9</v>
      </c>
      <c r="K1216" s="3"/>
      <c r="M1216" s="20">
        <v>42147</v>
      </c>
      <c r="N1216" s="183">
        <v>22051</v>
      </c>
      <c r="O1216" s="14" t="s">
        <v>47</v>
      </c>
      <c r="P1216" s="105">
        <v>19299.2</v>
      </c>
      <c r="Q1216" s="65">
        <v>42148</v>
      </c>
      <c r="R1216" s="106">
        <v>19299.2</v>
      </c>
      <c r="S1216" s="31">
        <f t="shared" si="37"/>
        <v>0</v>
      </c>
      <c r="T1216" s="39" t="s">
        <v>773</v>
      </c>
    </row>
    <row r="1217" spans="1:20" x14ac:dyDescent="0.25">
      <c r="A1217" s="20">
        <v>42136</v>
      </c>
      <c r="B1217" s="183">
        <v>20791</v>
      </c>
      <c r="C1217" s="14" t="s">
        <v>18</v>
      </c>
      <c r="D1217" s="105">
        <v>2598</v>
      </c>
      <c r="E1217" s="23">
        <v>42136</v>
      </c>
      <c r="F1217" s="106">
        <v>2598</v>
      </c>
      <c r="G1217" s="31">
        <f t="shared" si="36"/>
        <v>0</v>
      </c>
      <c r="H1217" s="19" t="s">
        <v>9</v>
      </c>
      <c r="K1217" s="3"/>
      <c r="M1217" s="20">
        <v>42149</v>
      </c>
      <c r="N1217" s="183">
        <v>22221</v>
      </c>
      <c r="O1217" s="14" t="s">
        <v>47</v>
      </c>
      <c r="P1217" s="105">
        <v>6534</v>
      </c>
      <c r="Q1217" s="65"/>
      <c r="R1217" s="106"/>
      <c r="S1217" s="31">
        <f t="shared" si="37"/>
        <v>6534</v>
      </c>
      <c r="T1217" s="39" t="s">
        <v>9</v>
      </c>
    </row>
    <row r="1218" spans="1:20" x14ac:dyDescent="0.25">
      <c r="A1218" s="20">
        <v>42136</v>
      </c>
      <c r="B1218" s="183">
        <v>20792</v>
      </c>
      <c r="C1218" s="14" t="s">
        <v>1297</v>
      </c>
      <c r="D1218" s="105">
        <v>7038.3</v>
      </c>
      <c r="E1218" s="23">
        <v>42136</v>
      </c>
      <c r="F1218" s="106">
        <v>7038.3</v>
      </c>
      <c r="G1218" s="31">
        <f t="shared" si="36"/>
        <v>0</v>
      </c>
      <c r="H1218" s="19" t="s">
        <v>9</v>
      </c>
      <c r="K1218" s="3"/>
      <c r="M1218" s="20">
        <v>42151</v>
      </c>
      <c r="N1218" s="183">
        <v>22381</v>
      </c>
      <c r="O1218" s="14" t="s">
        <v>47</v>
      </c>
      <c r="P1218" s="105">
        <v>56792.03</v>
      </c>
      <c r="Q1218" s="23">
        <v>42151</v>
      </c>
      <c r="R1218" s="106">
        <v>56792.03</v>
      </c>
      <c r="S1218" s="31">
        <f t="shared" si="37"/>
        <v>0</v>
      </c>
      <c r="T1218" s="39" t="s">
        <v>9</v>
      </c>
    </row>
    <row r="1219" spans="1:20" x14ac:dyDescent="0.25">
      <c r="A1219" s="20">
        <v>42136</v>
      </c>
      <c r="B1219" s="183">
        <v>20793</v>
      </c>
      <c r="C1219" s="14" t="s">
        <v>1256</v>
      </c>
      <c r="D1219" s="105">
        <v>5656.2</v>
      </c>
      <c r="E1219" s="23">
        <v>42136</v>
      </c>
      <c r="F1219" s="106">
        <v>5656.2</v>
      </c>
      <c r="G1219" s="31">
        <f t="shared" ref="G1219:G1282" si="38">D1219-F1219</f>
        <v>0</v>
      </c>
      <c r="H1219" s="19" t="s">
        <v>1257</v>
      </c>
      <c r="K1219" s="3"/>
      <c r="M1219" s="20">
        <v>42152</v>
      </c>
      <c r="N1219" s="183">
        <v>22511</v>
      </c>
      <c r="O1219" s="14" t="s">
        <v>47</v>
      </c>
      <c r="P1219" s="105">
        <v>18146.8</v>
      </c>
      <c r="Q1219" s="23"/>
      <c r="R1219" s="106"/>
      <c r="S1219" s="31">
        <f t="shared" ref="S1219:S1282" si="39">P1219-R1219</f>
        <v>18146.8</v>
      </c>
      <c r="T1219" s="39" t="s">
        <v>312</v>
      </c>
    </row>
    <row r="1220" spans="1:20" x14ac:dyDescent="0.25">
      <c r="A1220" s="20">
        <v>42136</v>
      </c>
      <c r="B1220" s="183">
        <v>20794</v>
      </c>
      <c r="C1220" s="14" t="s">
        <v>14</v>
      </c>
      <c r="D1220" s="105">
        <v>17851.400000000001</v>
      </c>
      <c r="E1220" s="23">
        <v>42153</v>
      </c>
      <c r="F1220" s="106">
        <v>17851.400000000001</v>
      </c>
      <c r="G1220" s="31">
        <f t="shared" si="38"/>
        <v>0</v>
      </c>
      <c r="H1220" s="19" t="s">
        <v>9</v>
      </c>
      <c r="K1220" s="3"/>
      <c r="M1220" s="20">
        <v>42153</v>
      </c>
      <c r="N1220" s="183">
        <v>22644</v>
      </c>
      <c r="O1220" s="14" t="s">
        <v>47</v>
      </c>
      <c r="P1220" s="105">
        <v>35561.199999999997</v>
      </c>
      <c r="Q1220" s="23"/>
      <c r="R1220" s="106"/>
      <c r="S1220" s="31">
        <f t="shared" si="39"/>
        <v>35561.199999999997</v>
      </c>
      <c r="T1220" s="39" t="s">
        <v>1273</v>
      </c>
    </row>
    <row r="1221" spans="1:20" x14ac:dyDescent="0.25">
      <c r="A1221" s="20">
        <v>42136</v>
      </c>
      <c r="B1221" s="183">
        <v>20795</v>
      </c>
      <c r="C1221" s="26" t="s">
        <v>218</v>
      </c>
      <c r="D1221" s="108">
        <v>0</v>
      </c>
      <c r="E1221" s="23"/>
      <c r="F1221" s="106"/>
      <c r="G1221" s="31">
        <f t="shared" si="38"/>
        <v>0</v>
      </c>
      <c r="H1221" s="19" t="s">
        <v>13</v>
      </c>
      <c r="K1221" s="3"/>
      <c r="M1221" s="20">
        <v>42154</v>
      </c>
      <c r="N1221" s="183">
        <v>22782</v>
      </c>
      <c r="O1221" s="14" t="s">
        <v>47</v>
      </c>
      <c r="P1221" s="105">
        <v>38954.800000000003</v>
      </c>
      <c r="Q1221" s="23"/>
      <c r="R1221" s="106"/>
      <c r="S1221" s="31">
        <f t="shared" si="39"/>
        <v>38954.800000000003</v>
      </c>
      <c r="T1221" s="39" t="s">
        <v>1257</v>
      </c>
    </row>
    <row r="1222" spans="1:20" x14ac:dyDescent="0.25">
      <c r="A1222" s="20">
        <v>42136</v>
      </c>
      <c r="B1222" s="183">
        <v>20796</v>
      </c>
      <c r="C1222" s="14" t="s">
        <v>32</v>
      </c>
      <c r="D1222" s="105">
        <v>96479.6</v>
      </c>
      <c r="E1222" s="23">
        <v>42140</v>
      </c>
      <c r="F1222" s="106">
        <v>96479.6</v>
      </c>
      <c r="G1222" s="31">
        <f t="shared" si="38"/>
        <v>0</v>
      </c>
      <c r="H1222" s="19" t="s">
        <v>1273</v>
      </c>
      <c r="J1222" s="107"/>
      <c r="K1222" s="3"/>
      <c r="M1222" s="20">
        <v>42128</v>
      </c>
      <c r="N1222" s="183">
        <v>19974</v>
      </c>
      <c r="O1222" s="14" t="s">
        <v>252</v>
      </c>
      <c r="P1222" s="105">
        <v>4344.3999999999996</v>
      </c>
      <c r="Q1222" s="23">
        <v>42128</v>
      </c>
      <c r="R1222" s="106">
        <v>4344.3999999999996</v>
      </c>
      <c r="S1222" s="31">
        <f t="shared" si="39"/>
        <v>0</v>
      </c>
      <c r="T1222" s="19" t="s">
        <v>9</v>
      </c>
    </row>
    <row r="1223" spans="1:20" x14ac:dyDescent="0.25">
      <c r="A1223" s="20">
        <v>42136</v>
      </c>
      <c r="B1223" s="183">
        <v>20797</v>
      </c>
      <c r="C1223" s="14" t="s">
        <v>121</v>
      </c>
      <c r="D1223" s="105">
        <v>2584.8000000000002</v>
      </c>
      <c r="E1223" s="23">
        <v>42136</v>
      </c>
      <c r="F1223" s="106">
        <v>2584.8000000000002</v>
      </c>
      <c r="G1223" s="31">
        <f t="shared" si="38"/>
        <v>0</v>
      </c>
      <c r="H1223" s="19" t="s">
        <v>9</v>
      </c>
      <c r="K1223" s="3"/>
      <c r="M1223" s="20">
        <v>42129</v>
      </c>
      <c r="N1223" s="183">
        <v>20098</v>
      </c>
      <c r="O1223" s="14" t="s">
        <v>252</v>
      </c>
      <c r="P1223" s="105">
        <v>8404.2000000000007</v>
      </c>
      <c r="Q1223" s="23">
        <v>42129</v>
      </c>
      <c r="R1223" s="106">
        <v>8404.2000000000007</v>
      </c>
      <c r="S1223" s="31">
        <f t="shared" si="39"/>
        <v>0</v>
      </c>
      <c r="T1223" s="39" t="s">
        <v>9</v>
      </c>
    </row>
    <row r="1224" spans="1:20" x14ac:dyDescent="0.25">
      <c r="A1224" s="20">
        <v>42136</v>
      </c>
      <c r="B1224" s="183">
        <v>20798</v>
      </c>
      <c r="C1224" s="14" t="s">
        <v>1279</v>
      </c>
      <c r="D1224" s="105">
        <v>91366.3</v>
      </c>
      <c r="E1224" s="23">
        <v>42143</v>
      </c>
      <c r="F1224" s="106">
        <v>91366.3</v>
      </c>
      <c r="G1224" s="31">
        <f t="shared" si="38"/>
        <v>0</v>
      </c>
      <c r="H1224" s="19" t="s">
        <v>9</v>
      </c>
      <c r="K1224" s="3"/>
      <c r="M1224" s="20">
        <v>42131</v>
      </c>
      <c r="N1224" s="183">
        <v>20295</v>
      </c>
      <c r="O1224" s="14" t="s">
        <v>252</v>
      </c>
      <c r="P1224" s="105">
        <v>473.8</v>
      </c>
      <c r="Q1224" s="23">
        <v>42131</v>
      </c>
      <c r="R1224" s="106">
        <v>473.8</v>
      </c>
      <c r="S1224" s="31">
        <f t="shared" si="39"/>
        <v>0</v>
      </c>
      <c r="T1224" s="19" t="s">
        <v>9</v>
      </c>
    </row>
    <row r="1225" spans="1:20" x14ac:dyDescent="0.25">
      <c r="A1225" s="20">
        <v>42136</v>
      </c>
      <c r="B1225" s="183">
        <v>20799</v>
      </c>
      <c r="C1225" s="14" t="s">
        <v>296</v>
      </c>
      <c r="D1225" s="105">
        <v>1640.6</v>
      </c>
      <c r="E1225" s="23">
        <v>42136</v>
      </c>
      <c r="F1225" s="106">
        <v>1640.6</v>
      </c>
      <c r="G1225" s="31">
        <f t="shared" si="38"/>
        <v>0</v>
      </c>
      <c r="H1225" s="39" t="s">
        <v>9</v>
      </c>
      <c r="K1225" s="3"/>
      <c r="M1225" s="20">
        <v>42135</v>
      </c>
      <c r="N1225" s="183">
        <v>20747</v>
      </c>
      <c r="O1225" s="14" t="s">
        <v>252</v>
      </c>
      <c r="P1225" s="105">
        <v>11341.2</v>
      </c>
      <c r="Q1225" s="23">
        <v>42135</v>
      </c>
      <c r="R1225" s="106">
        <v>11341.2</v>
      </c>
      <c r="S1225" s="31">
        <f t="shared" si="39"/>
        <v>0</v>
      </c>
      <c r="T1225" s="19" t="s">
        <v>9</v>
      </c>
    </row>
    <row r="1226" spans="1:20" x14ac:dyDescent="0.25">
      <c r="A1226" s="20">
        <v>42136</v>
      </c>
      <c r="B1226" s="183">
        <v>20800</v>
      </c>
      <c r="C1226" s="14" t="s">
        <v>169</v>
      </c>
      <c r="D1226" s="105">
        <v>2114</v>
      </c>
      <c r="E1226" s="23">
        <v>42136</v>
      </c>
      <c r="F1226" s="106">
        <v>2114</v>
      </c>
      <c r="G1226" s="31">
        <f t="shared" si="38"/>
        <v>0</v>
      </c>
      <c r="H1226" s="39" t="s">
        <v>9</v>
      </c>
      <c r="K1226" s="3"/>
      <c r="M1226" s="20">
        <v>42143</v>
      </c>
      <c r="N1226" s="183">
        <v>21591</v>
      </c>
      <c r="O1226" s="14" t="s">
        <v>252</v>
      </c>
      <c r="P1226" s="105">
        <v>4508.3999999999996</v>
      </c>
      <c r="Q1226" s="23">
        <v>42143</v>
      </c>
      <c r="R1226" s="118">
        <v>4508.3999999999996</v>
      </c>
      <c r="S1226" s="31">
        <f t="shared" si="39"/>
        <v>0</v>
      </c>
      <c r="T1226" s="56" t="s">
        <v>9</v>
      </c>
    </row>
    <row r="1227" spans="1:20" x14ac:dyDescent="0.25">
      <c r="A1227" s="20">
        <v>42136</v>
      </c>
      <c r="B1227" s="183">
        <v>20801</v>
      </c>
      <c r="C1227" s="14" t="s">
        <v>14</v>
      </c>
      <c r="D1227" s="105">
        <v>26809.47</v>
      </c>
      <c r="E1227" s="23">
        <v>42153</v>
      </c>
      <c r="F1227" s="106">
        <v>26809.47</v>
      </c>
      <c r="G1227" s="31">
        <f t="shared" si="38"/>
        <v>0</v>
      </c>
      <c r="H1227" s="39" t="s">
        <v>15</v>
      </c>
      <c r="K1227" s="3"/>
      <c r="M1227" s="20">
        <v>42144</v>
      </c>
      <c r="N1227" s="183">
        <v>21695</v>
      </c>
      <c r="O1227" s="14" t="s">
        <v>252</v>
      </c>
      <c r="P1227" s="105">
        <v>4403.3999999999996</v>
      </c>
      <c r="Q1227" s="23">
        <v>42144</v>
      </c>
      <c r="R1227" s="106">
        <v>4403.3999999999996</v>
      </c>
      <c r="S1227" s="31">
        <f t="shared" si="39"/>
        <v>0</v>
      </c>
      <c r="T1227" s="39" t="s">
        <v>9</v>
      </c>
    </row>
    <row r="1228" spans="1:20" x14ac:dyDescent="0.25">
      <c r="A1228" s="20">
        <v>42136</v>
      </c>
      <c r="B1228" s="183">
        <v>20802</v>
      </c>
      <c r="C1228" s="14" t="s">
        <v>135</v>
      </c>
      <c r="D1228" s="105">
        <v>17272.8</v>
      </c>
      <c r="E1228" s="23">
        <v>42136</v>
      </c>
      <c r="F1228" s="106">
        <v>17272.8</v>
      </c>
      <c r="G1228" s="31">
        <f t="shared" si="38"/>
        <v>0</v>
      </c>
      <c r="H1228" s="39" t="s">
        <v>9</v>
      </c>
      <c r="K1228" s="3"/>
      <c r="M1228" s="20">
        <v>42150</v>
      </c>
      <c r="N1228" s="183">
        <v>22319</v>
      </c>
      <c r="O1228" s="14" t="s">
        <v>252</v>
      </c>
      <c r="P1228" s="105">
        <v>5350.8</v>
      </c>
      <c r="Q1228" s="65">
        <v>42150</v>
      </c>
      <c r="R1228" s="106">
        <v>5350.8</v>
      </c>
      <c r="S1228" s="31">
        <f t="shared" si="39"/>
        <v>0</v>
      </c>
      <c r="T1228" s="39" t="s">
        <v>9</v>
      </c>
    </row>
    <row r="1229" spans="1:20" x14ac:dyDescent="0.25">
      <c r="A1229" s="20">
        <v>42136</v>
      </c>
      <c r="B1229" s="183">
        <v>20803</v>
      </c>
      <c r="C1229" s="14" t="s">
        <v>591</v>
      </c>
      <c r="D1229" s="105">
        <v>6475.7</v>
      </c>
      <c r="E1229" s="23">
        <v>42136</v>
      </c>
      <c r="F1229" s="106">
        <v>6475.7</v>
      </c>
      <c r="G1229" s="31">
        <f t="shared" si="38"/>
        <v>0</v>
      </c>
      <c r="H1229" s="39" t="s">
        <v>9</v>
      </c>
      <c r="K1229" s="3"/>
      <c r="M1229" s="20">
        <v>42125</v>
      </c>
      <c r="N1229" s="183">
        <v>19627</v>
      </c>
      <c r="O1229" s="14" t="s">
        <v>130</v>
      </c>
      <c r="P1229" s="105">
        <v>4894.7</v>
      </c>
      <c r="Q1229" s="23">
        <v>42126</v>
      </c>
      <c r="R1229" s="106">
        <v>4894.7</v>
      </c>
      <c r="S1229" s="25">
        <f t="shared" si="39"/>
        <v>0</v>
      </c>
      <c r="T1229" s="19" t="s">
        <v>1257</v>
      </c>
    </row>
    <row r="1230" spans="1:20" x14ac:dyDescent="0.25">
      <c r="A1230" s="20">
        <v>42136</v>
      </c>
      <c r="B1230" s="183">
        <v>20804</v>
      </c>
      <c r="C1230" s="14" t="s">
        <v>854</v>
      </c>
      <c r="D1230" s="105">
        <v>5168.3999999999996</v>
      </c>
      <c r="E1230" s="23">
        <v>42137</v>
      </c>
      <c r="F1230" s="106">
        <v>5168.3999999999996</v>
      </c>
      <c r="G1230" s="31">
        <f t="shared" si="38"/>
        <v>0</v>
      </c>
      <c r="H1230" s="39" t="s">
        <v>9</v>
      </c>
      <c r="K1230" s="3"/>
      <c r="M1230" s="20">
        <v>42126</v>
      </c>
      <c r="N1230" s="183">
        <v>19750</v>
      </c>
      <c r="O1230" s="40" t="s">
        <v>130</v>
      </c>
      <c r="P1230" s="105">
        <v>6369.01</v>
      </c>
      <c r="Q1230" s="23">
        <v>42127</v>
      </c>
      <c r="R1230" s="106">
        <v>6369.01</v>
      </c>
      <c r="S1230" s="25">
        <f t="shared" si="39"/>
        <v>0</v>
      </c>
      <c r="T1230" s="41" t="s">
        <v>1257</v>
      </c>
    </row>
    <row r="1231" spans="1:20" x14ac:dyDescent="0.25">
      <c r="A1231" s="20">
        <v>42136</v>
      </c>
      <c r="B1231" s="183">
        <v>20805</v>
      </c>
      <c r="C1231" s="14" t="s">
        <v>320</v>
      </c>
      <c r="D1231" s="105">
        <v>23152.9</v>
      </c>
      <c r="E1231" s="23">
        <v>42136</v>
      </c>
      <c r="F1231" s="106">
        <v>23152.9</v>
      </c>
      <c r="G1231" s="31">
        <f t="shared" si="38"/>
        <v>0</v>
      </c>
      <c r="H1231" s="39" t="s">
        <v>9</v>
      </c>
      <c r="K1231" s="3"/>
      <c r="M1231" s="20">
        <v>42126</v>
      </c>
      <c r="N1231" s="183">
        <v>19774</v>
      </c>
      <c r="O1231" s="40" t="s">
        <v>130</v>
      </c>
      <c r="P1231" s="105">
        <v>2568.5</v>
      </c>
      <c r="Q1231" s="23">
        <v>42127</v>
      </c>
      <c r="R1231" s="106">
        <v>2568.5</v>
      </c>
      <c r="S1231" s="25">
        <f t="shared" si="39"/>
        <v>0</v>
      </c>
      <c r="T1231" s="41" t="s">
        <v>9</v>
      </c>
    </row>
    <row r="1232" spans="1:20" x14ac:dyDescent="0.25">
      <c r="A1232" s="20">
        <v>42136</v>
      </c>
      <c r="B1232" s="183">
        <v>20806</v>
      </c>
      <c r="C1232" s="14" t="s">
        <v>1261</v>
      </c>
      <c r="D1232" s="105">
        <v>7735.08</v>
      </c>
      <c r="E1232" s="23">
        <v>42136</v>
      </c>
      <c r="F1232" s="106">
        <v>7735.08</v>
      </c>
      <c r="G1232" s="31">
        <f t="shared" si="38"/>
        <v>0</v>
      </c>
      <c r="H1232" s="39" t="s">
        <v>9</v>
      </c>
      <c r="K1232" s="3"/>
      <c r="M1232" s="20">
        <v>42127</v>
      </c>
      <c r="N1232" s="183">
        <v>19835</v>
      </c>
      <c r="O1232" s="40" t="s">
        <v>130</v>
      </c>
      <c r="P1232" s="105">
        <v>5214</v>
      </c>
      <c r="Q1232" s="23" t="s">
        <v>1293</v>
      </c>
      <c r="R1232" s="106">
        <f>2078.49+3135.51</f>
        <v>5214</v>
      </c>
      <c r="S1232" s="31">
        <f t="shared" si="39"/>
        <v>0</v>
      </c>
      <c r="T1232" s="41" t="s">
        <v>62</v>
      </c>
    </row>
    <row r="1233" spans="1:20" x14ac:dyDescent="0.25">
      <c r="A1233" s="20">
        <v>42136</v>
      </c>
      <c r="B1233" s="183">
        <v>20807</v>
      </c>
      <c r="C1233" s="14" t="s">
        <v>1142</v>
      </c>
      <c r="D1233" s="105">
        <v>2616</v>
      </c>
      <c r="E1233" s="23">
        <v>42136</v>
      </c>
      <c r="F1233" s="106">
        <v>2616</v>
      </c>
      <c r="G1233" s="31">
        <f t="shared" si="38"/>
        <v>0</v>
      </c>
      <c r="H1233" s="39" t="s">
        <v>9</v>
      </c>
      <c r="K1233" s="3"/>
      <c r="M1233" s="20">
        <v>42128</v>
      </c>
      <c r="N1233" s="183">
        <v>19940</v>
      </c>
      <c r="O1233" s="14" t="s">
        <v>130</v>
      </c>
      <c r="P1233" s="105">
        <v>6086.2</v>
      </c>
      <c r="Q1233" s="23">
        <v>42128</v>
      </c>
      <c r="R1233" s="106">
        <v>6086.2</v>
      </c>
      <c r="S1233" s="31">
        <f t="shared" si="39"/>
        <v>0</v>
      </c>
      <c r="T1233" s="19" t="s">
        <v>1257</v>
      </c>
    </row>
    <row r="1234" spans="1:20" x14ac:dyDescent="0.25">
      <c r="A1234" s="20">
        <v>42136</v>
      </c>
      <c r="B1234" s="183">
        <v>20808</v>
      </c>
      <c r="C1234" s="14" t="s">
        <v>114</v>
      </c>
      <c r="D1234" s="105">
        <v>1405</v>
      </c>
      <c r="E1234" s="23">
        <v>42136</v>
      </c>
      <c r="F1234" s="106">
        <v>1405</v>
      </c>
      <c r="G1234" s="31">
        <f t="shared" si="38"/>
        <v>0</v>
      </c>
      <c r="H1234" s="39" t="s">
        <v>9</v>
      </c>
      <c r="I1234" s="3"/>
      <c r="J1234" s="42"/>
      <c r="K1234" s="3"/>
      <c r="M1234" s="20">
        <v>42129</v>
      </c>
      <c r="N1234" s="183">
        <v>20075</v>
      </c>
      <c r="O1234" s="14" t="s">
        <v>130</v>
      </c>
      <c r="P1234" s="105">
        <v>2762.8</v>
      </c>
      <c r="Q1234" s="23">
        <v>42132</v>
      </c>
      <c r="R1234" s="106">
        <v>2762.8</v>
      </c>
      <c r="S1234" s="31">
        <f t="shared" si="39"/>
        <v>0</v>
      </c>
      <c r="T1234" s="39" t="s">
        <v>1257</v>
      </c>
    </row>
    <row r="1235" spans="1:20" x14ac:dyDescent="0.25">
      <c r="A1235" s="20">
        <v>42136</v>
      </c>
      <c r="B1235" s="183">
        <v>20809</v>
      </c>
      <c r="C1235" s="14" t="s">
        <v>1193</v>
      </c>
      <c r="D1235" s="105">
        <v>5158.5</v>
      </c>
      <c r="E1235" s="23">
        <v>42136</v>
      </c>
      <c r="F1235" s="106">
        <v>5158.5</v>
      </c>
      <c r="G1235" s="31">
        <f t="shared" si="38"/>
        <v>0</v>
      </c>
      <c r="H1235" s="39" t="s">
        <v>9</v>
      </c>
      <c r="I1235" s="3"/>
      <c r="J1235" s="42"/>
      <c r="K1235" s="3"/>
      <c r="M1235" s="20">
        <v>42130</v>
      </c>
      <c r="N1235" s="183">
        <v>20160</v>
      </c>
      <c r="O1235" s="14" t="s">
        <v>130</v>
      </c>
      <c r="P1235" s="105">
        <v>3748.2</v>
      </c>
      <c r="Q1235" s="23">
        <v>42130</v>
      </c>
      <c r="R1235" s="106">
        <v>3748.2</v>
      </c>
      <c r="S1235" s="31">
        <f t="shared" si="39"/>
        <v>0</v>
      </c>
      <c r="T1235" s="39" t="s">
        <v>46</v>
      </c>
    </row>
    <row r="1236" spans="1:20" x14ac:dyDescent="0.25">
      <c r="A1236" s="20">
        <v>42136</v>
      </c>
      <c r="B1236" s="183">
        <v>20810</v>
      </c>
      <c r="C1236" s="14" t="s">
        <v>37</v>
      </c>
      <c r="D1236" s="105">
        <v>20775.900000000001</v>
      </c>
      <c r="E1236" s="23">
        <v>42145</v>
      </c>
      <c r="F1236" s="106">
        <v>20775.900000000001</v>
      </c>
      <c r="G1236" s="31">
        <f t="shared" si="38"/>
        <v>0</v>
      </c>
      <c r="H1236" s="39" t="s">
        <v>94</v>
      </c>
      <c r="I1236" s="3"/>
      <c r="J1236" s="42"/>
      <c r="K1236" s="3"/>
      <c r="M1236" s="20">
        <v>42131</v>
      </c>
      <c r="N1236" s="183">
        <v>20262</v>
      </c>
      <c r="O1236" s="14" t="s">
        <v>130</v>
      </c>
      <c r="P1236" s="105">
        <v>3048.2</v>
      </c>
      <c r="Q1236" s="23">
        <v>42132</v>
      </c>
      <c r="R1236" s="106">
        <v>3048.2</v>
      </c>
      <c r="S1236" s="31">
        <f t="shared" si="39"/>
        <v>0</v>
      </c>
      <c r="T1236" s="19" t="s">
        <v>1257</v>
      </c>
    </row>
    <row r="1237" spans="1:20" x14ac:dyDescent="0.25">
      <c r="A1237" s="20">
        <v>42136</v>
      </c>
      <c r="B1237" s="183">
        <v>20811</v>
      </c>
      <c r="C1237" s="14" t="s">
        <v>118</v>
      </c>
      <c r="D1237" s="105">
        <v>18504</v>
      </c>
      <c r="E1237" s="23">
        <v>42144</v>
      </c>
      <c r="F1237" s="106">
        <v>18504</v>
      </c>
      <c r="G1237" s="31">
        <f t="shared" si="38"/>
        <v>0</v>
      </c>
      <c r="H1237" s="39" t="s">
        <v>9</v>
      </c>
      <c r="I1237" s="3"/>
      <c r="J1237" s="42"/>
      <c r="K1237" s="3"/>
      <c r="M1237" s="20">
        <v>42132</v>
      </c>
      <c r="N1237" s="183">
        <v>20388</v>
      </c>
      <c r="O1237" s="14" t="s">
        <v>130</v>
      </c>
      <c r="P1237" s="105">
        <v>7171.85</v>
      </c>
      <c r="Q1237" s="23">
        <v>42134</v>
      </c>
      <c r="R1237" s="106">
        <v>7171.85</v>
      </c>
      <c r="S1237" s="31">
        <f t="shared" si="39"/>
        <v>0</v>
      </c>
      <c r="T1237" s="19" t="s">
        <v>1257</v>
      </c>
    </row>
    <row r="1238" spans="1:20" x14ac:dyDescent="0.25">
      <c r="A1238" s="20">
        <v>42136</v>
      </c>
      <c r="B1238" s="183">
        <v>20812</v>
      </c>
      <c r="C1238" s="14" t="s">
        <v>43</v>
      </c>
      <c r="D1238" s="105">
        <v>12134.14</v>
      </c>
      <c r="E1238" s="23">
        <v>42136</v>
      </c>
      <c r="F1238" s="106">
        <v>12134.14</v>
      </c>
      <c r="G1238" s="31">
        <f t="shared" si="38"/>
        <v>0</v>
      </c>
      <c r="H1238" s="39" t="s">
        <v>9</v>
      </c>
      <c r="I1238" s="3"/>
      <c r="J1238" s="42"/>
      <c r="K1238" s="3"/>
      <c r="M1238" s="20">
        <v>42133</v>
      </c>
      <c r="N1238" s="183">
        <v>20531</v>
      </c>
      <c r="O1238" s="14" t="s">
        <v>130</v>
      </c>
      <c r="P1238" s="105">
        <v>5203.1000000000004</v>
      </c>
      <c r="Q1238" s="23">
        <v>42133</v>
      </c>
      <c r="R1238" s="106">
        <v>5203.1000000000004</v>
      </c>
      <c r="S1238" s="31">
        <f t="shared" si="39"/>
        <v>0</v>
      </c>
      <c r="T1238" s="19" t="s">
        <v>1013</v>
      </c>
    </row>
    <row r="1239" spans="1:20" x14ac:dyDescent="0.25">
      <c r="A1239" s="20">
        <v>42136</v>
      </c>
      <c r="B1239" s="183">
        <v>20813</v>
      </c>
      <c r="C1239" s="14" t="s">
        <v>1338</v>
      </c>
      <c r="D1239" s="105">
        <v>7247.05</v>
      </c>
      <c r="E1239" s="23">
        <v>42140</v>
      </c>
      <c r="F1239" s="106">
        <v>7247.05</v>
      </c>
      <c r="G1239" s="31">
        <f t="shared" si="38"/>
        <v>0</v>
      </c>
      <c r="H1239" s="39" t="s">
        <v>59</v>
      </c>
      <c r="I1239" s="3"/>
      <c r="J1239" s="42"/>
      <c r="K1239" s="3"/>
      <c r="M1239" s="20">
        <v>42134</v>
      </c>
      <c r="N1239" s="183">
        <v>20613</v>
      </c>
      <c r="O1239" s="14" t="s">
        <v>130</v>
      </c>
      <c r="P1239" s="105">
        <v>8336.4</v>
      </c>
      <c r="Q1239" s="23">
        <v>42134</v>
      </c>
      <c r="R1239" s="118">
        <v>8336.4</v>
      </c>
      <c r="S1239" s="31">
        <f t="shared" si="39"/>
        <v>0</v>
      </c>
      <c r="T1239" s="56" t="s">
        <v>1257</v>
      </c>
    </row>
    <row r="1240" spans="1:20" x14ac:dyDescent="0.25">
      <c r="A1240" s="20">
        <v>42136</v>
      </c>
      <c r="B1240" s="183">
        <v>20814</v>
      </c>
      <c r="C1240" s="14" t="s">
        <v>1295</v>
      </c>
      <c r="D1240" s="105">
        <v>2831.4</v>
      </c>
      <c r="E1240" s="23">
        <v>42136</v>
      </c>
      <c r="F1240" s="106">
        <v>2831.4</v>
      </c>
      <c r="G1240" s="31">
        <f t="shared" si="38"/>
        <v>0</v>
      </c>
      <c r="H1240" s="39" t="s">
        <v>59</v>
      </c>
      <c r="I1240" s="3"/>
      <c r="J1240" s="42"/>
      <c r="K1240" s="3"/>
      <c r="M1240" s="20">
        <v>42135</v>
      </c>
      <c r="N1240" s="183">
        <v>20708</v>
      </c>
      <c r="O1240" s="14" t="s">
        <v>130</v>
      </c>
      <c r="P1240" s="105">
        <v>2710.7</v>
      </c>
      <c r="Q1240" s="23">
        <v>42135</v>
      </c>
      <c r="R1240" s="106">
        <v>2710.7</v>
      </c>
      <c r="S1240" s="31">
        <f t="shared" si="39"/>
        <v>0</v>
      </c>
      <c r="T1240" s="19" t="s">
        <v>1257</v>
      </c>
    </row>
    <row r="1241" spans="1:20" x14ac:dyDescent="0.25">
      <c r="A1241" s="20">
        <v>42136</v>
      </c>
      <c r="B1241" s="183">
        <v>20815</v>
      </c>
      <c r="C1241" s="14" t="s">
        <v>123</v>
      </c>
      <c r="D1241" s="105">
        <v>6768</v>
      </c>
      <c r="E1241" s="23">
        <v>42136</v>
      </c>
      <c r="F1241" s="106">
        <v>6768</v>
      </c>
      <c r="G1241" s="31">
        <f t="shared" si="38"/>
        <v>0</v>
      </c>
      <c r="H1241" s="39" t="s">
        <v>94</v>
      </c>
      <c r="I1241" s="3"/>
      <c r="J1241" s="42"/>
      <c r="K1241" s="3"/>
      <c r="M1241" s="20">
        <v>42136</v>
      </c>
      <c r="N1241" s="183">
        <v>20836</v>
      </c>
      <c r="O1241" s="14" t="s">
        <v>130</v>
      </c>
      <c r="P1241" s="105">
        <v>3754.8</v>
      </c>
      <c r="Q1241" s="23">
        <v>42138</v>
      </c>
      <c r="R1241" s="106">
        <v>3754.8</v>
      </c>
      <c r="S1241" s="31">
        <f t="shared" si="39"/>
        <v>0</v>
      </c>
      <c r="T1241" s="39" t="s">
        <v>1257</v>
      </c>
    </row>
    <row r="1242" spans="1:20" x14ac:dyDescent="0.25">
      <c r="A1242" s="20">
        <v>42136</v>
      </c>
      <c r="B1242" s="183">
        <v>20816</v>
      </c>
      <c r="C1242" s="14" t="s">
        <v>82</v>
      </c>
      <c r="D1242" s="105">
        <v>2484.3000000000002</v>
      </c>
      <c r="E1242" s="23">
        <v>42136</v>
      </c>
      <c r="F1242" s="106">
        <v>2484.3000000000002</v>
      </c>
      <c r="G1242" s="31">
        <f t="shared" si="38"/>
        <v>0</v>
      </c>
      <c r="H1242" s="39" t="s">
        <v>59</v>
      </c>
      <c r="I1242" s="3"/>
      <c r="J1242" s="42"/>
      <c r="K1242" s="3"/>
      <c r="M1242" s="20">
        <v>42138</v>
      </c>
      <c r="N1242" s="183">
        <v>21018</v>
      </c>
      <c r="O1242" s="14" t="s">
        <v>130</v>
      </c>
      <c r="P1242" s="105">
        <v>3597.8</v>
      </c>
      <c r="Q1242" s="23">
        <v>42142</v>
      </c>
      <c r="R1242" s="106">
        <v>3597.8</v>
      </c>
      <c r="S1242" s="48">
        <f t="shared" si="39"/>
        <v>0</v>
      </c>
      <c r="T1242" s="39" t="s">
        <v>1257</v>
      </c>
    </row>
    <row r="1243" spans="1:20" x14ac:dyDescent="0.25">
      <c r="A1243" s="20">
        <v>42136</v>
      </c>
      <c r="B1243" s="183">
        <v>20817</v>
      </c>
      <c r="C1243" s="14" t="s">
        <v>81</v>
      </c>
      <c r="D1243" s="105">
        <v>1415.6</v>
      </c>
      <c r="E1243" s="23">
        <v>42136</v>
      </c>
      <c r="F1243" s="106">
        <v>1415.6</v>
      </c>
      <c r="G1243" s="31">
        <f t="shared" si="38"/>
        <v>0</v>
      </c>
      <c r="H1243" s="39" t="s">
        <v>27</v>
      </c>
      <c r="I1243" s="3"/>
      <c r="J1243" s="42"/>
      <c r="K1243" s="3"/>
      <c r="M1243" s="20">
        <v>42139</v>
      </c>
      <c r="N1243" s="183">
        <v>21148</v>
      </c>
      <c r="O1243" s="14" t="s">
        <v>130</v>
      </c>
      <c r="P1243" s="105">
        <v>3877.3</v>
      </c>
      <c r="Q1243" s="23">
        <v>42142</v>
      </c>
      <c r="R1243" s="106">
        <v>3877.3</v>
      </c>
      <c r="S1243" s="48">
        <f t="shared" si="39"/>
        <v>0</v>
      </c>
      <c r="T1243" s="39" t="s">
        <v>1257</v>
      </c>
    </row>
    <row r="1244" spans="1:20" x14ac:dyDescent="0.25">
      <c r="A1244" s="20">
        <v>42136</v>
      </c>
      <c r="B1244" s="183">
        <v>20818</v>
      </c>
      <c r="C1244" s="14" t="s">
        <v>137</v>
      </c>
      <c r="D1244" s="105">
        <v>2917.4</v>
      </c>
      <c r="E1244" s="23">
        <v>42136</v>
      </c>
      <c r="F1244" s="106">
        <v>2917.4</v>
      </c>
      <c r="G1244" s="31">
        <f t="shared" si="38"/>
        <v>0</v>
      </c>
      <c r="H1244" s="39" t="s">
        <v>9</v>
      </c>
      <c r="I1244" s="3"/>
      <c r="J1244" s="42"/>
      <c r="K1244" s="3"/>
      <c r="M1244" s="20">
        <v>42140</v>
      </c>
      <c r="N1244" s="183">
        <v>21260</v>
      </c>
      <c r="O1244" s="14" t="s">
        <v>130</v>
      </c>
      <c r="P1244" s="105">
        <v>7741.2</v>
      </c>
      <c r="Q1244" s="23">
        <v>42142</v>
      </c>
      <c r="R1244" s="106">
        <v>7741.2</v>
      </c>
      <c r="S1244" s="31">
        <f t="shared" si="39"/>
        <v>0</v>
      </c>
      <c r="T1244" s="62" t="s">
        <v>1257</v>
      </c>
    </row>
    <row r="1245" spans="1:20" x14ac:dyDescent="0.25">
      <c r="A1245" s="20">
        <v>42136</v>
      </c>
      <c r="B1245" s="183">
        <v>20819</v>
      </c>
      <c r="C1245" s="14" t="s">
        <v>664</v>
      </c>
      <c r="D1245" s="105">
        <v>2240</v>
      </c>
      <c r="E1245" s="23">
        <v>42136</v>
      </c>
      <c r="F1245" s="106">
        <v>2240</v>
      </c>
      <c r="G1245" s="31">
        <f t="shared" si="38"/>
        <v>0</v>
      </c>
      <c r="H1245" s="39" t="s">
        <v>59</v>
      </c>
      <c r="I1245" s="3"/>
      <c r="J1245" s="42"/>
      <c r="K1245" s="3"/>
      <c r="M1245" s="20">
        <v>42141</v>
      </c>
      <c r="N1245" s="183">
        <v>21355</v>
      </c>
      <c r="O1245" s="14" t="s">
        <v>130</v>
      </c>
      <c r="P1245" s="105">
        <v>4640.8</v>
      </c>
      <c r="Q1245" s="23">
        <v>42142</v>
      </c>
      <c r="R1245" s="118">
        <v>4640.8</v>
      </c>
      <c r="S1245" s="31">
        <f t="shared" si="39"/>
        <v>0</v>
      </c>
      <c r="T1245" s="62" t="s">
        <v>9</v>
      </c>
    </row>
    <row r="1246" spans="1:20" x14ac:dyDescent="0.25">
      <c r="A1246" s="20">
        <v>42136</v>
      </c>
      <c r="B1246" s="183">
        <v>20820</v>
      </c>
      <c r="C1246" s="14" t="s">
        <v>102</v>
      </c>
      <c r="D1246" s="105">
        <v>644</v>
      </c>
      <c r="E1246" s="23">
        <v>42136</v>
      </c>
      <c r="F1246" s="106">
        <v>644</v>
      </c>
      <c r="G1246" s="31">
        <f t="shared" si="38"/>
        <v>0</v>
      </c>
      <c r="H1246" s="39" t="s">
        <v>9</v>
      </c>
      <c r="I1246" s="3"/>
      <c r="J1246" s="42"/>
      <c r="K1246" s="3"/>
      <c r="M1246" s="20">
        <v>42142</v>
      </c>
      <c r="N1246" s="183">
        <v>21419</v>
      </c>
      <c r="O1246" s="14" t="s">
        <v>130</v>
      </c>
      <c r="P1246" s="105">
        <v>6849.8</v>
      </c>
      <c r="Q1246" s="23">
        <v>42145</v>
      </c>
      <c r="R1246" s="118">
        <v>6849.8</v>
      </c>
      <c r="S1246" s="31">
        <f t="shared" si="39"/>
        <v>0</v>
      </c>
      <c r="T1246" s="56" t="s">
        <v>1257</v>
      </c>
    </row>
    <row r="1247" spans="1:20" x14ac:dyDescent="0.25">
      <c r="A1247" s="20">
        <v>42136</v>
      </c>
      <c r="B1247" s="183">
        <v>20821</v>
      </c>
      <c r="C1247" s="14" t="s">
        <v>102</v>
      </c>
      <c r="D1247" s="105">
        <v>410.6</v>
      </c>
      <c r="E1247" s="23">
        <v>42136</v>
      </c>
      <c r="F1247" s="106">
        <v>410.6</v>
      </c>
      <c r="G1247" s="31">
        <f t="shared" si="38"/>
        <v>0</v>
      </c>
      <c r="H1247" s="39" t="s">
        <v>9</v>
      </c>
      <c r="I1247" s="3"/>
      <c r="J1247" s="42"/>
      <c r="K1247" s="3"/>
      <c r="M1247" s="20">
        <v>42143</v>
      </c>
      <c r="N1247" s="183">
        <v>21584</v>
      </c>
      <c r="O1247" s="150" t="s">
        <v>130</v>
      </c>
      <c r="P1247" s="105">
        <v>3607</v>
      </c>
      <c r="Q1247" s="23">
        <v>42145</v>
      </c>
      <c r="R1247" s="106">
        <v>3607</v>
      </c>
      <c r="S1247" s="31">
        <f t="shared" si="39"/>
        <v>0</v>
      </c>
      <c r="T1247" s="56" t="s">
        <v>1257</v>
      </c>
    </row>
    <row r="1248" spans="1:20" x14ac:dyDescent="0.25">
      <c r="A1248" s="20">
        <v>42136</v>
      </c>
      <c r="B1248" s="183">
        <v>20822</v>
      </c>
      <c r="C1248" s="14" t="s">
        <v>225</v>
      </c>
      <c r="D1248" s="105">
        <v>2512.8000000000002</v>
      </c>
      <c r="E1248" s="23">
        <v>42136</v>
      </c>
      <c r="F1248" s="106">
        <v>2512.8000000000002</v>
      </c>
      <c r="G1248" s="31">
        <f t="shared" si="38"/>
        <v>0</v>
      </c>
      <c r="H1248" s="39" t="s">
        <v>9</v>
      </c>
      <c r="I1248" s="3"/>
      <c r="J1248" s="42"/>
      <c r="K1248" s="3"/>
      <c r="M1248" s="20">
        <v>42144</v>
      </c>
      <c r="N1248" s="183">
        <v>21675</v>
      </c>
      <c r="O1248" s="14" t="s">
        <v>130</v>
      </c>
      <c r="P1248" s="105">
        <v>3473.55</v>
      </c>
      <c r="Q1248" s="23">
        <v>42145</v>
      </c>
      <c r="R1248" s="118">
        <v>3473.55</v>
      </c>
      <c r="S1248" s="31">
        <f t="shared" si="39"/>
        <v>0</v>
      </c>
      <c r="T1248" s="62" t="s">
        <v>1257</v>
      </c>
    </row>
    <row r="1249" spans="1:20" x14ac:dyDescent="0.25">
      <c r="A1249" s="20">
        <v>42136</v>
      </c>
      <c r="B1249" s="183">
        <v>20823</v>
      </c>
      <c r="C1249" s="14" t="s">
        <v>215</v>
      </c>
      <c r="D1249" s="105">
        <v>48411.05</v>
      </c>
      <c r="E1249" s="23">
        <v>42136</v>
      </c>
      <c r="F1249" s="106">
        <v>48411.05</v>
      </c>
      <c r="G1249" s="31">
        <f t="shared" si="38"/>
        <v>0</v>
      </c>
      <c r="H1249" s="39" t="s">
        <v>46</v>
      </c>
      <c r="I1249" s="3"/>
      <c r="J1249" s="42"/>
      <c r="K1249" s="3"/>
      <c r="M1249" s="20">
        <v>42145</v>
      </c>
      <c r="N1249" s="183">
        <v>21767</v>
      </c>
      <c r="O1249" s="15" t="s">
        <v>130</v>
      </c>
      <c r="P1249" s="122">
        <v>1900.4</v>
      </c>
      <c r="Q1249" s="23">
        <v>42145</v>
      </c>
      <c r="R1249" s="118">
        <v>1900.4</v>
      </c>
      <c r="S1249" s="31">
        <f t="shared" si="39"/>
        <v>0</v>
      </c>
      <c r="T1249" s="68" t="s">
        <v>1257</v>
      </c>
    </row>
    <row r="1250" spans="1:20" x14ac:dyDescent="0.25">
      <c r="A1250" s="20">
        <v>42136</v>
      </c>
      <c r="B1250" s="183">
        <v>20824</v>
      </c>
      <c r="C1250" s="14" t="s">
        <v>151</v>
      </c>
      <c r="D1250" s="105">
        <v>2395.8000000000002</v>
      </c>
      <c r="E1250" s="23">
        <v>42138</v>
      </c>
      <c r="F1250" s="106">
        <v>2395.8000000000002</v>
      </c>
      <c r="G1250" s="31">
        <f t="shared" si="38"/>
        <v>0</v>
      </c>
      <c r="H1250" s="39" t="s">
        <v>9</v>
      </c>
      <c r="I1250" s="3"/>
      <c r="J1250" s="42"/>
      <c r="K1250" s="3"/>
      <c r="M1250" s="20">
        <v>42146</v>
      </c>
      <c r="N1250" s="183">
        <v>21866</v>
      </c>
      <c r="O1250" s="14" t="s">
        <v>130</v>
      </c>
      <c r="P1250" s="105">
        <v>3407</v>
      </c>
      <c r="Q1250" s="23">
        <v>42150</v>
      </c>
      <c r="R1250" s="106">
        <v>3407</v>
      </c>
      <c r="S1250" s="31">
        <f t="shared" si="39"/>
        <v>0</v>
      </c>
      <c r="T1250" s="39" t="s">
        <v>94</v>
      </c>
    </row>
    <row r="1251" spans="1:20" x14ac:dyDescent="0.25">
      <c r="A1251" s="20">
        <v>42136</v>
      </c>
      <c r="B1251" s="183">
        <v>20825</v>
      </c>
      <c r="C1251" s="14" t="s">
        <v>694</v>
      </c>
      <c r="D1251" s="105">
        <v>1274.9000000000001</v>
      </c>
      <c r="E1251" s="23">
        <v>42136</v>
      </c>
      <c r="F1251" s="106">
        <v>1274.9000000000001</v>
      </c>
      <c r="G1251" s="31">
        <f t="shared" si="38"/>
        <v>0</v>
      </c>
      <c r="H1251" s="39" t="s">
        <v>9</v>
      </c>
      <c r="I1251" s="3"/>
      <c r="J1251" s="42"/>
      <c r="K1251" s="3"/>
      <c r="M1251" s="20">
        <v>42147</v>
      </c>
      <c r="N1251" s="183">
        <v>22008</v>
      </c>
      <c r="O1251" s="14" t="s">
        <v>130</v>
      </c>
      <c r="P1251" s="105">
        <v>9575.9500000000007</v>
      </c>
      <c r="Q1251" s="65">
        <v>42150</v>
      </c>
      <c r="R1251" s="106">
        <v>9575.9500000000007</v>
      </c>
      <c r="S1251" s="31">
        <f t="shared" si="39"/>
        <v>0</v>
      </c>
      <c r="T1251" s="39" t="s">
        <v>1257</v>
      </c>
    </row>
    <row r="1252" spans="1:20" x14ac:dyDescent="0.25">
      <c r="A1252" s="20">
        <v>42136</v>
      </c>
      <c r="B1252" s="183">
        <v>20826</v>
      </c>
      <c r="C1252" s="14" t="s">
        <v>375</v>
      </c>
      <c r="D1252" s="105">
        <v>2310</v>
      </c>
      <c r="E1252" s="23">
        <v>42136</v>
      </c>
      <c r="F1252" s="106">
        <v>2310</v>
      </c>
      <c r="G1252" s="31">
        <f t="shared" si="38"/>
        <v>0</v>
      </c>
      <c r="H1252" s="39" t="s">
        <v>9</v>
      </c>
      <c r="I1252" s="3"/>
      <c r="J1252" s="42"/>
      <c r="K1252" s="3"/>
      <c r="M1252" s="20">
        <v>42148</v>
      </c>
      <c r="N1252" s="183">
        <v>22111</v>
      </c>
      <c r="O1252" s="14" t="s">
        <v>130</v>
      </c>
      <c r="P1252" s="105">
        <v>7697.6</v>
      </c>
      <c r="Q1252" s="65">
        <v>42150</v>
      </c>
      <c r="R1252" s="106">
        <v>7697.6</v>
      </c>
      <c r="S1252" s="31">
        <f t="shared" si="39"/>
        <v>0</v>
      </c>
      <c r="T1252" s="39" t="s">
        <v>1257</v>
      </c>
    </row>
    <row r="1253" spans="1:20" x14ac:dyDescent="0.25">
      <c r="A1253" s="20">
        <v>42136</v>
      </c>
      <c r="B1253" s="183">
        <v>20827</v>
      </c>
      <c r="C1253" s="14" t="s">
        <v>333</v>
      </c>
      <c r="D1253" s="105">
        <v>7052.5</v>
      </c>
      <c r="E1253" s="23">
        <v>42136</v>
      </c>
      <c r="F1253" s="106">
        <v>7052.5</v>
      </c>
      <c r="G1253" s="31">
        <f t="shared" si="38"/>
        <v>0</v>
      </c>
      <c r="H1253" s="39" t="s">
        <v>41</v>
      </c>
      <c r="I1253" s="3"/>
      <c r="J1253" s="42"/>
      <c r="K1253" s="3"/>
      <c r="M1253" s="20">
        <v>42149</v>
      </c>
      <c r="N1253" s="183">
        <v>22177</v>
      </c>
      <c r="O1253" s="14" t="s">
        <v>130</v>
      </c>
      <c r="P1253" s="105">
        <v>5413.1</v>
      </c>
      <c r="Q1253" s="65">
        <v>42150</v>
      </c>
      <c r="R1253" s="106">
        <v>5413.1</v>
      </c>
      <c r="S1253" s="31">
        <f t="shared" si="39"/>
        <v>0</v>
      </c>
      <c r="T1253" s="39" t="s">
        <v>1257</v>
      </c>
    </row>
    <row r="1254" spans="1:20" x14ac:dyDescent="0.25">
      <c r="A1254" s="20">
        <v>42136</v>
      </c>
      <c r="B1254" s="183">
        <v>20828</v>
      </c>
      <c r="C1254" s="14" t="s">
        <v>1058</v>
      </c>
      <c r="D1254" s="105">
        <v>4944</v>
      </c>
      <c r="E1254" s="23">
        <v>42136</v>
      </c>
      <c r="F1254" s="106">
        <v>4944</v>
      </c>
      <c r="G1254" s="31">
        <f t="shared" si="38"/>
        <v>0</v>
      </c>
      <c r="H1254" s="39" t="s">
        <v>9</v>
      </c>
      <c r="I1254" s="3"/>
      <c r="J1254" s="42"/>
      <c r="K1254" s="3"/>
      <c r="M1254" s="20">
        <v>42150</v>
      </c>
      <c r="N1254" s="183">
        <v>22303</v>
      </c>
      <c r="O1254" s="14" t="s">
        <v>130</v>
      </c>
      <c r="P1254" s="105">
        <v>1303.4000000000001</v>
      </c>
      <c r="Q1254" s="65">
        <v>42152</v>
      </c>
      <c r="R1254" s="106">
        <v>1303.4000000000001</v>
      </c>
      <c r="S1254" s="31">
        <f t="shared" si="39"/>
        <v>0</v>
      </c>
      <c r="T1254" s="39" t="s">
        <v>1273</v>
      </c>
    </row>
    <row r="1255" spans="1:20" x14ac:dyDescent="0.25">
      <c r="A1255" s="20">
        <v>42136</v>
      </c>
      <c r="B1255" s="183">
        <v>20829</v>
      </c>
      <c r="C1255" s="14" t="s">
        <v>125</v>
      </c>
      <c r="D1255" s="105">
        <v>12135.3</v>
      </c>
      <c r="E1255" s="23">
        <v>42136</v>
      </c>
      <c r="F1255" s="106">
        <v>12135.3</v>
      </c>
      <c r="G1255" s="31">
        <f t="shared" si="38"/>
        <v>0</v>
      </c>
      <c r="H1255" s="39" t="s">
        <v>9</v>
      </c>
      <c r="I1255" s="3"/>
      <c r="J1255" s="42"/>
      <c r="K1255" s="3"/>
      <c r="M1255" s="20">
        <v>42151</v>
      </c>
      <c r="N1255" s="183">
        <v>22360</v>
      </c>
      <c r="O1255" s="14" t="s">
        <v>130</v>
      </c>
      <c r="P1255" s="105">
        <v>5678</v>
      </c>
      <c r="Q1255" s="65">
        <v>42152</v>
      </c>
      <c r="R1255" s="106">
        <v>5678</v>
      </c>
      <c r="S1255" s="31">
        <f t="shared" si="39"/>
        <v>0</v>
      </c>
      <c r="T1255" s="39" t="s">
        <v>1257</v>
      </c>
    </row>
    <row r="1256" spans="1:20" x14ac:dyDescent="0.25">
      <c r="A1256" s="20">
        <v>42136</v>
      </c>
      <c r="B1256" s="183">
        <v>20830</v>
      </c>
      <c r="C1256" s="14" t="s">
        <v>1058</v>
      </c>
      <c r="D1256" s="105">
        <v>40</v>
      </c>
      <c r="E1256" s="23">
        <v>42136</v>
      </c>
      <c r="F1256" s="106">
        <v>40</v>
      </c>
      <c r="G1256" s="31">
        <f t="shared" si="38"/>
        <v>0</v>
      </c>
      <c r="H1256" s="39" t="s">
        <v>9</v>
      </c>
      <c r="I1256" s="3"/>
      <c r="J1256" s="42"/>
      <c r="K1256" s="3"/>
      <c r="M1256" s="20">
        <v>42152</v>
      </c>
      <c r="N1256" s="183">
        <v>22480</v>
      </c>
      <c r="O1256" s="14" t="s">
        <v>130</v>
      </c>
      <c r="P1256" s="105">
        <v>1892</v>
      </c>
      <c r="Q1256" s="23">
        <v>42154</v>
      </c>
      <c r="R1256" s="106">
        <v>1892</v>
      </c>
      <c r="S1256" s="31">
        <f t="shared" si="39"/>
        <v>0</v>
      </c>
      <c r="T1256" s="39" t="s">
        <v>1257</v>
      </c>
    </row>
    <row r="1257" spans="1:20" x14ac:dyDescent="0.25">
      <c r="A1257" s="20">
        <v>42136</v>
      </c>
      <c r="B1257" s="183">
        <v>20831</v>
      </c>
      <c r="C1257" s="14" t="s">
        <v>1297</v>
      </c>
      <c r="D1257" s="105">
        <v>2710.4</v>
      </c>
      <c r="E1257" s="23">
        <v>42136</v>
      </c>
      <c r="F1257" s="106">
        <v>2710.4</v>
      </c>
      <c r="G1257" s="31">
        <f t="shared" si="38"/>
        <v>0</v>
      </c>
      <c r="H1257" s="39" t="s">
        <v>9</v>
      </c>
      <c r="I1257" s="3"/>
      <c r="J1257" s="42"/>
      <c r="K1257" s="3"/>
      <c r="M1257" s="20">
        <v>42153</v>
      </c>
      <c r="N1257" s="183">
        <v>22598</v>
      </c>
      <c r="O1257" s="14" t="s">
        <v>130</v>
      </c>
      <c r="P1257" s="105">
        <v>8435.7999999999993</v>
      </c>
      <c r="Q1257" s="23">
        <v>42154</v>
      </c>
      <c r="R1257" s="106">
        <v>8435.7999999999993</v>
      </c>
      <c r="S1257" s="31">
        <f t="shared" si="39"/>
        <v>0</v>
      </c>
      <c r="T1257" s="39" t="s">
        <v>1257</v>
      </c>
    </row>
    <row r="1258" spans="1:20" x14ac:dyDescent="0.25">
      <c r="A1258" s="20">
        <v>42136</v>
      </c>
      <c r="B1258" s="183">
        <v>20832</v>
      </c>
      <c r="C1258" s="14" t="s">
        <v>24</v>
      </c>
      <c r="D1258" s="105">
        <v>69318.399999999994</v>
      </c>
      <c r="E1258" s="23">
        <v>42153</v>
      </c>
      <c r="F1258" s="106">
        <v>69318.399999999994</v>
      </c>
      <c r="G1258" s="31">
        <f t="shared" si="38"/>
        <v>0</v>
      </c>
      <c r="H1258" s="39" t="s">
        <v>9</v>
      </c>
      <c r="I1258" s="3"/>
      <c r="J1258" s="42"/>
      <c r="K1258" s="3"/>
      <c r="M1258" s="20">
        <v>42154</v>
      </c>
      <c r="N1258" s="183">
        <v>22741</v>
      </c>
      <c r="O1258" s="14" t="s">
        <v>130</v>
      </c>
      <c r="P1258" s="105">
        <v>7898.6</v>
      </c>
      <c r="Q1258" s="23"/>
      <c r="R1258" s="106"/>
      <c r="S1258" s="31">
        <f t="shared" si="39"/>
        <v>7898.6</v>
      </c>
      <c r="T1258" s="39" t="s">
        <v>1257</v>
      </c>
    </row>
    <row r="1259" spans="1:20" x14ac:dyDescent="0.25">
      <c r="A1259" s="20">
        <v>42136</v>
      </c>
      <c r="B1259" s="183">
        <v>20833</v>
      </c>
      <c r="C1259" s="14" t="s">
        <v>239</v>
      </c>
      <c r="D1259" s="105">
        <v>3006.8</v>
      </c>
      <c r="E1259" s="30">
        <v>42159</v>
      </c>
      <c r="F1259" s="144">
        <v>3006.8</v>
      </c>
      <c r="G1259" s="31">
        <f t="shared" si="38"/>
        <v>0</v>
      </c>
      <c r="H1259" s="39" t="s">
        <v>9</v>
      </c>
      <c r="I1259" s="3"/>
      <c r="J1259" s="42"/>
      <c r="K1259" s="3"/>
      <c r="M1259" s="20">
        <v>42155</v>
      </c>
      <c r="N1259" s="183">
        <v>22823</v>
      </c>
      <c r="O1259" s="14" t="s">
        <v>130</v>
      </c>
      <c r="P1259" s="105">
        <v>7242.8</v>
      </c>
      <c r="Q1259" s="23"/>
      <c r="R1259" s="106"/>
      <c r="S1259" s="31">
        <f t="shared" si="39"/>
        <v>7242.8</v>
      </c>
      <c r="T1259" s="39" t="s">
        <v>1257</v>
      </c>
    </row>
    <row r="1260" spans="1:20" x14ac:dyDescent="0.25">
      <c r="A1260" s="20">
        <v>42136</v>
      </c>
      <c r="B1260" s="183">
        <v>20834</v>
      </c>
      <c r="C1260" s="14" t="s">
        <v>99</v>
      </c>
      <c r="D1260" s="105">
        <v>1225</v>
      </c>
      <c r="E1260" s="23">
        <v>42136</v>
      </c>
      <c r="F1260" s="106">
        <v>1225</v>
      </c>
      <c r="G1260" s="31">
        <f t="shared" si="38"/>
        <v>0</v>
      </c>
      <c r="H1260" s="39" t="s">
        <v>9</v>
      </c>
      <c r="I1260" s="3"/>
      <c r="J1260" s="42"/>
      <c r="K1260" s="3"/>
      <c r="M1260" s="20">
        <v>42125</v>
      </c>
      <c r="N1260" s="183">
        <v>19611</v>
      </c>
      <c r="O1260" s="14" t="s">
        <v>83</v>
      </c>
      <c r="P1260" s="105">
        <v>10563.6</v>
      </c>
      <c r="Q1260" s="23">
        <v>42125</v>
      </c>
      <c r="R1260" s="106">
        <v>10563.6</v>
      </c>
      <c r="S1260" s="25">
        <f t="shared" si="39"/>
        <v>0</v>
      </c>
      <c r="T1260" s="19" t="s">
        <v>59</v>
      </c>
    </row>
    <row r="1261" spans="1:20" x14ac:dyDescent="0.25">
      <c r="A1261" s="20">
        <v>42136</v>
      </c>
      <c r="B1261" s="183">
        <v>20835</v>
      </c>
      <c r="C1261" s="14" t="s">
        <v>131</v>
      </c>
      <c r="D1261" s="105">
        <v>5324</v>
      </c>
      <c r="E1261" s="23">
        <v>42139</v>
      </c>
      <c r="F1261" s="106">
        <v>5324</v>
      </c>
      <c r="G1261" s="31">
        <f t="shared" si="38"/>
        <v>0</v>
      </c>
      <c r="H1261" s="39" t="s">
        <v>1257</v>
      </c>
      <c r="I1261" s="3"/>
      <c r="J1261" s="42"/>
      <c r="K1261" s="3"/>
      <c r="M1261" s="20">
        <v>42126</v>
      </c>
      <c r="N1261" s="183">
        <v>19745</v>
      </c>
      <c r="O1261" s="40" t="s">
        <v>83</v>
      </c>
      <c r="P1261" s="105">
        <v>1540.2</v>
      </c>
      <c r="Q1261" s="23">
        <v>42128</v>
      </c>
      <c r="R1261" s="106">
        <v>1540.2</v>
      </c>
      <c r="S1261" s="25">
        <f t="shared" si="39"/>
        <v>0</v>
      </c>
      <c r="T1261" s="41" t="s">
        <v>59</v>
      </c>
    </row>
    <row r="1262" spans="1:20" x14ac:dyDescent="0.25">
      <c r="A1262" s="20">
        <v>42136</v>
      </c>
      <c r="B1262" s="183">
        <v>20836</v>
      </c>
      <c r="C1262" s="14" t="s">
        <v>130</v>
      </c>
      <c r="D1262" s="105">
        <v>3754.8</v>
      </c>
      <c r="E1262" s="23">
        <v>42138</v>
      </c>
      <c r="F1262" s="106">
        <v>3754.8</v>
      </c>
      <c r="G1262" s="31">
        <f t="shared" si="38"/>
        <v>0</v>
      </c>
      <c r="H1262" s="39" t="s">
        <v>1257</v>
      </c>
      <c r="I1262" s="3"/>
      <c r="J1262" s="42"/>
      <c r="K1262" s="3"/>
      <c r="M1262" s="20">
        <v>42127</v>
      </c>
      <c r="N1262" s="183">
        <v>19846</v>
      </c>
      <c r="O1262" s="40" t="s">
        <v>83</v>
      </c>
      <c r="P1262" s="105">
        <v>3583.6</v>
      </c>
      <c r="Q1262" s="23">
        <v>42127</v>
      </c>
      <c r="R1262" s="106">
        <v>3583.6</v>
      </c>
      <c r="S1262" s="31">
        <f t="shared" si="39"/>
        <v>0</v>
      </c>
      <c r="T1262" s="41" t="s">
        <v>59</v>
      </c>
    </row>
    <row r="1263" spans="1:20" x14ac:dyDescent="0.25">
      <c r="A1263" s="20">
        <v>42136</v>
      </c>
      <c r="B1263" s="183">
        <v>20837</v>
      </c>
      <c r="C1263" s="14" t="s">
        <v>906</v>
      </c>
      <c r="D1263" s="105">
        <v>1116</v>
      </c>
      <c r="E1263" s="51">
        <v>42136</v>
      </c>
      <c r="F1263" s="106">
        <v>1116</v>
      </c>
      <c r="G1263" s="31">
        <f t="shared" si="38"/>
        <v>0</v>
      </c>
      <c r="H1263" s="39" t="s">
        <v>62</v>
      </c>
      <c r="I1263" s="3"/>
      <c r="J1263" s="42"/>
      <c r="K1263" s="3"/>
      <c r="M1263" s="20">
        <v>42129</v>
      </c>
      <c r="N1263" s="183">
        <v>20059</v>
      </c>
      <c r="O1263" s="14" t="s">
        <v>83</v>
      </c>
      <c r="P1263" s="105">
        <v>3753.6</v>
      </c>
      <c r="Q1263" s="23">
        <v>42129</v>
      </c>
      <c r="R1263" s="106">
        <v>3753.6</v>
      </c>
      <c r="S1263" s="31">
        <f t="shared" si="39"/>
        <v>0</v>
      </c>
      <c r="T1263" s="39" t="s">
        <v>59</v>
      </c>
    </row>
    <row r="1264" spans="1:20" x14ac:dyDescent="0.25">
      <c r="A1264" s="20">
        <v>42136</v>
      </c>
      <c r="B1264" s="183">
        <v>20838</v>
      </c>
      <c r="C1264" s="14" t="s">
        <v>1182</v>
      </c>
      <c r="D1264" s="105">
        <v>142.6</v>
      </c>
      <c r="E1264" s="23">
        <v>42136</v>
      </c>
      <c r="F1264" s="106">
        <v>142.6</v>
      </c>
      <c r="G1264" s="31">
        <f t="shared" si="38"/>
        <v>0</v>
      </c>
      <c r="H1264" s="39" t="s">
        <v>9</v>
      </c>
      <c r="I1264" s="3"/>
      <c r="J1264" s="42"/>
      <c r="K1264" s="3"/>
      <c r="M1264" s="20">
        <v>42131</v>
      </c>
      <c r="N1264" s="183">
        <v>20254</v>
      </c>
      <c r="O1264" s="14" t="s">
        <v>83</v>
      </c>
      <c r="P1264" s="105">
        <v>7008.08</v>
      </c>
      <c r="Q1264" s="23">
        <v>42131</v>
      </c>
      <c r="R1264" s="106">
        <v>7008.08</v>
      </c>
      <c r="S1264" s="31">
        <f t="shared" si="39"/>
        <v>0</v>
      </c>
      <c r="T1264" s="19" t="s">
        <v>59</v>
      </c>
    </row>
    <row r="1265" spans="1:20" x14ac:dyDescent="0.25">
      <c r="A1265" s="20">
        <v>42136</v>
      </c>
      <c r="B1265" s="183">
        <v>20839</v>
      </c>
      <c r="C1265" s="14" t="s">
        <v>108</v>
      </c>
      <c r="D1265" s="105">
        <v>7173.6</v>
      </c>
      <c r="E1265" s="23">
        <v>42151</v>
      </c>
      <c r="F1265" s="106">
        <v>7173.6</v>
      </c>
      <c r="G1265" s="31">
        <f t="shared" si="38"/>
        <v>0</v>
      </c>
      <c r="H1265" s="39" t="s">
        <v>1257</v>
      </c>
      <c r="I1265" s="3"/>
      <c r="J1265" s="42"/>
      <c r="K1265" s="3"/>
      <c r="M1265" s="20">
        <v>42133</v>
      </c>
      <c r="N1265" s="183">
        <v>20502</v>
      </c>
      <c r="O1265" s="14" t="s">
        <v>83</v>
      </c>
      <c r="P1265" s="105">
        <v>7588.8</v>
      </c>
      <c r="Q1265" s="23">
        <v>42134</v>
      </c>
      <c r="R1265" s="106">
        <v>7588.8</v>
      </c>
      <c r="S1265" s="31">
        <f t="shared" si="39"/>
        <v>0</v>
      </c>
      <c r="T1265" s="19" t="s">
        <v>59</v>
      </c>
    </row>
    <row r="1266" spans="1:20" x14ac:dyDescent="0.25">
      <c r="A1266" s="20">
        <v>42136</v>
      </c>
      <c r="B1266" s="183">
        <v>20840</v>
      </c>
      <c r="C1266" s="14" t="s">
        <v>66</v>
      </c>
      <c r="D1266" s="105">
        <v>1146.8</v>
      </c>
      <c r="E1266" s="23">
        <v>42136</v>
      </c>
      <c r="F1266" s="106">
        <v>1146.8</v>
      </c>
      <c r="G1266" s="31">
        <f t="shared" si="38"/>
        <v>0</v>
      </c>
      <c r="H1266" s="39" t="s">
        <v>9</v>
      </c>
      <c r="I1266" s="3"/>
      <c r="J1266" s="42"/>
      <c r="K1266" s="3"/>
      <c r="M1266" s="20">
        <v>42135</v>
      </c>
      <c r="N1266" s="183">
        <v>20698</v>
      </c>
      <c r="O1266" s="14" t="s">
        <v>83</v>
      </c>
      <c r="P1266" s="105">
        <v>4719.2</v>
      </c>
      <c r="Q1266" s="23">
        <v>42135</v>
      </c>
      <c r="R1266" s="106">
        <v>4719.2</v>
      </c>
      <c r="S1266" s="31">
        <f t="shared" si="39"/>
        <v>0</v>
      </c>
      <c r="T1266" s="39" t="s">
        <v>59</v>
      </c>
    </row>
    <row r="1267" spans="1:20" x14ac:dyDescent="0.25">
      <c r="A1267" s="20">
        <v>42136</v>
      </c>
      <c r="B1267" s="183">
        <v>20841</v>
      </c>
      <c r="C1267" s="14" t="s">
        <v>332</v>
      </c>
      <c r="D1267" s="105">
        <v>2208</v>
      </c>
      <c r="E1267" s="23">
        <v>42136</v>
      </c>
      <c r="F1267" s="106">
        <v>2208</v>
      </c>
      <c r="G1267" s="31">
        <f t="shared" si="38"/>
        <v>0</v>
      </c>
      <c r="H1267" s="39" t="s">
        <v>9</v>
      </c>
      <c r="I1267" s="3"/>
      <c r="J1267" s="42"/>
      <c r="K1267" s="3"/>
      <c r="M1267" s="20">
        <v>42138</v>
      </c>
      <c r="N1267" s="183">
        <v>20994</v>
      </c>
      <c r="O1267" s="14" t="s">
        <v>83</v>
      </c>
      <c r="P1267" s="105">
        <v>7698.2</v>
      </c>
      <c r="Q1267" s="23">
        <v>42138</v>
      </c>
      <c r="R1267" s="106">
        <v>7698.2</v>
      </c>
      <c r="S1267" s="31">
        <f t="shared" si="39"/>
        <v>0</v>
      </c>
      <c r="T1267" s="19" t="s">
        <v>59</v>
      </c>
    </row>
    <row r="1268" spans="1:20" x14ac:dyDescent="0.25">
      <c r="A1268" s="20">
        <v>42136</v>
      </c>
      <c r="B1268" s="183">
        <v>20842</v>
      </c>
      <c r="C1268" s="14" t="s">
        <v>89</v>
      </c>
      <c r="D1268" s="105">
        <v>1040</v>
      </c>
      <c r="E1268" s="23">
        <v>42136</v>
      </c>
      <c r="F1268" s="106">
        <v>1040</v>
      </c>
      <c r="G1268" s="31">
        <f t="shared" si="38"/>
        <v>0</v>
      </c>
      <c r="H1268" s="39" t="s">
        <v>9</v>
      </c>
      <c r="I1268" s="3"/>
      <c r="J1268" s="42"/>
      <c r="K1268" s="3"/>
      <c r="M1268" s="20">
        <v>42139</v>
      </c>
      <c r="N1268" s="183">
        <v>21135</v>
      </c>
      <c r="O1268" s="14" t="s">
        <v>83</v>
      </c>
      <c r="P1268" s="105">
        <v>2162.4</v>
      </c>
      <c r="Q1268" s="23">
        <v>42139</v>
      </c>
      <c r="R1268" s="106">
        <v>2162.4</v>
      </c>
      <c r="S1268" s="48">
        <f t="shared" si="39"/>
        <v>0</v>
      </c>
      <c r="T1268" s="39" t="s">
        <v>59</v>
      </c>
    </row>
    <row r="1269" spans="1:20" x14ac:dyDescent="0.25">
      <c r="A1269" s="20">
        <v>42136</v>
      </c>
      <c r="B1269" s="183">
        <v>20843</v>
      </c>
      <c r="C1269" s="150" t="s">
        <v>106</v>
      </c>
      <c r="D1269" s="105">
        <v>9826.4</v>
      </c>
      <c r="E1269" s="23">
        <v>42137</v>
      </c>
      <c r="F1269" s="106">
        <v>9826.4</v>
      </c>
      <c r="G1269" s="31">
        <f t="shared" si="38"/>
        <v>0</v>
      </c>
      <c r="H1269" s="39" t="s">
        <v>1273</v>
      </c>
      <c r="I1269" s="3"/>
      <c r="J1269" s="42"/>
      <c r="K1269" s="3"/>
      <c r="M1269" s="20">
        <v>42140</v>
      </c>
      <c r="N1269" s="183">
        <v>21238</v>
      </c>
      <c r="O1269" s="14" t="s">
        <v>83</v>
      </c>
      <c r="P1269" s="105">
        <v>6727</v>
      </c>
      <c r="Q1269" s="23">
        <v>42140</v>
      </c>
      <c r="R1269" s="106">
        <v>6727</v>
      </c>
      <c r="S1269" s="48">
        <f t="shared" si="39"/>
        <v>0</v>
      </c>
      <c r="T1269" s="39" t="s">
        <v>59</v>
      </c>
    </row>
    <row r="1270" spans="1:20" x14ac:dyDescent="0.25">
      <c r="A1270" s="20">
        <v>42136</v>
      </c>
      <c r="B1270" s="183">
        <v>20844</v>
      </c>
      <c r="C1270" s="14" t="s">
        <v>93</v>
      </c>
      <c r="D1270" s="105">
        <v>1346.4</v>
      </c>
      <c r="E1270" s="23">
        <v>42137</v>
      </c>
      <c r="F1270" s="106">
        <v>1346.4</v>
      </c>
      <c r="G1270" s="31">
        <f t="shared" si="38"/>
        <v>0</v>
      </c>
      <c r="H1270" s="39" t="s">
        <v>1273</v>
      </c>
      <c r="I1270" s="3"/>
      <c r="J1270" s="42"/>
      <c r="K1270" s="3"/>
      <c r="M1270" s="20">
        <v>42143</v>
      </c>
      <c r="N1270" s="183">
        <v>21559</v>
      </c>
      <c r="O1270" s="14" t="s">
        <v>83</v>
      </c>
      <c r="P1270" s="105">
        <v>3549</v>
      </c>
      <c r="Q1270" s="23">
        <v>42143</v>
      </c>
      <c r="R1270" s="118">
        <v>3549</v>
      </c>
      <c r="S1270" s="31">
        <f t="shared" si="39"/>
        <v>0</v>
      </c>
      <c r="T1270" s="56" t="s">
        <v>59</v>
      </c>
    </row>
    <row r="1271" spans="1:20" x14ac:dyDescent="0.25">
      <c r="A1271" s="20">
        <v>42136</v>
      </c>
      <c r="B1271" s="183">
        <v>20845</v>
      </c>
      <c r="C1271" s="14" t="s">
        <v>98</v>
      </c>
      <c r="D1271" s="105">
        <v>913</v>
      </c>
      <c r="E1271" s="23">
        <v>42137</v>
      </c>
      <c r="F1271" s="106">
        <v>913</v>
      </c>
      <c r="G1271" s="31">
        <f t="shared" si="38"/>
        <v>0</v>
      </c>
      <c r="H1271" s="39" t="s">
        <v>1273</v>
      </c>
      <c r="I1271" s="3"/>
      <c r="J1271" s="42"/>
      <c r="K1271" s="3"/>
      <c r="M1271" s="20">
        <v>42143</v>
      </c>
      <c r="N1271" s="183">
        <v>21560</v>
      </c>
      <c r="O1271" s="14" t="s">
        <v>83</v>
      </c>
      <c r="P1271" s="105">
        <v>1305.5999999999999</v>
      </c>
      <c r="Q1271" s="23">
        <v>42143</v>
      </c>
      <c r="R1271" s="118">
        <v>1305.5999999999999</v>
      </c>
      <c r="S1271" s="31">
        <f t="shared" si="39"/>
        <v>0</v>
      </c>
      <c r="T1271" s="56" t="s">
        <v>59</v>
      </c>
    </row>
    <row r="1272" spans="1:20" x14ac:dyDescent="0.25">
      <c r="A1272" s="20">
        <v>42136</v>
      </c>
      <c r="B1272" s="183">
        <v>20846</v>
      </c>
      <c r="C1272" s="14" t="s">
        <v>180</v>
      </c>
      <c r="D1272" s="105">
        <v>2879.1</v>
      </c>
      <c r="E1272" s="23">
        <v>42136</v>
      </c>
      <c r="F1272" s="106">
        <v>2879.1</v>
      </c>
      <c r="G1272" s="31">
        <f t="shared" si="38"/>
        <v>0</v>
      </c>
      <c r="H1272" s="39" t="s">
        <v>9</v>
      </c>
      <c r="I1272" s="3"/>
      <c r="J1272" s="42"/>
      <c r="K1272" s="3"/>
      <c r="M1272" s="20">
        <v>42145</v>
      </c>
      <c r="N1272" s="183">
        <v>21747</v>
      </c>
      <c r="O1272" s="15" t="s">
        <v>83</v>
      </c>
      <c r="P1272" s="122">
        <v>7156.8</v>
      </c>
      <c r="Q1272" s="23">
        <v>42145</v>
      </c>
      <c r="R1272" s="118">
        <v>7156.8</v>
      </c>
      <c r="S1272" s="31">
        <f t="shared" si="39"/>
        <v>0</v>
      </c>
      <c r="T1272" s="68" t="s">
        <v>59</v>
      </c>
    </row>
    <row r="1273" spans="1:20" x14ac:dyDescent="0.25">
      <c r="A1273" s="20">
        <v>42136</v>
      </c>
      <c r="B1273" s="183">
        <v>20847</v>
      </c>
      <c r="C1273" s="14" t="s">
        <v>190</v>
      </c>
      <c r="D1273" s="105">
        <v>7834.23</v>
      </c>
      <c r="E1273" s="23">
        <v>42137</v>
      </c>
      <c r="F1273" s="106">
        <v>7834.23</v>
      </c>
      <c r="G1273" s="31">
        <f t="shared" si="38"/>
        <v>0</v>
      </c>
      <c r="H1273" s="39" t="s">
        <v>1273</v>
      </c>
      <c r="I1273" s="3"/>
      <c r="J1273" s="42"/>
      <c r="K1273" s="3"/>
      <c r="M1273" s="20">
        <v>42147</v>
      </c>
      <c r="N1273" s="183">
        <v>21996</v>
      </c>
      <c r="O1273" s="14" t="s">
        <v>83</v>
      </c>
      <c r="P1273" s="105">
        <v>5824.8</v>
      </c>
      <c r="Q1273" s="65">
        <v>42147</v>
      </c>
      <c r="R1273" s="106">
        <v>5824.8</v>
      </c>
      <c r="S1273" s="31">
        <f t="shared" si="39"/>
        <v>0</v>
      </c>
      <c r="T1273" s="39" t="s">
        <v>59</v>
      </c>
    </row>
    <row r="1274" spans="1:20" x14ac:dyDescent="0.25">
      <c r="A1274" s="20">
        <v>42136</v>
      </c>
      <c r="B1274" s="183">
        <v>20848</v>
      </c>
      <c r="C1274" s="14" t="s">
        <v>136</v>
      </c>
      <c r="D1274" s="105">
        <v>3372.8</v>
      </c>
      <c r="E1274" s="23">
        <v>42136</v>
      </c>
      <c r="F1274" s="106">
        <v>3372.8</v>
      </c>
      <c r="G1274" s="31">
        <f t="shared" si="38"/>
        <v>0</v>
      </c>
      <c r="H1274" s="39" t="s">
        <v>9</v>
      </c>
      <c r="I1274" s="3"/>
      <c r="J1274" s="42"/>
      <c r="K1274" s="3"/>
      <c r="M1274" s="20">
        <v>42154</v>
      </c>
      <c r="N1274" s="183">
        <v>22696</v>
      </c>
      <c r="O1274" s="14" t="s">
        <v>83</v>
      </c>
      <c r="P1274" s="105">
        <v>8690.4</v>
      </c>
      <c r="Q1274" s="23">
        <v>42154</v>
      </c>
      <c r="R1274" s="106">
        <v>8690.4</v>
      </c>
      <c r="S1274" s="31">
        <f t="shared" si="39"/>
        <v>0</v>
      </c>
      <c r="T1274" s="39" t="s">
        <v>59</v>
      </c>
    </row>
    <row r="1275" spans="1:20" x14ac:dyDescent="0.25">
      <c r="A1275" s="20">
        <v>42136</v>
      </c>
      <c r="B1275" s="183">
        <v>20849</v>
      </c>
      <c r="C1275" s="14" t="s">
        <v>1187</v>
      </c>
      <c r="D1275" s="105">
        <v>2012.5</v>
      </c>
      <c r="E1275" s="23">
        <v>42136</v>
      </c>
      <c r="F1275" s="106">
        <v>2012.5</v>
      </c>
      <c r="G1275" s="31">
        <f t="shared" si="38"/>
        <v>0</v>
      </c>
      <c r="H1275" s="39" t="s">
        <v>9</v>
      </c>
      <c r="I1275" s="3"/>
      <c r="J1275" s="42"/>
      <c r="K1275" s="3"/>
      <c r="M1275" s="20">
        <v>42154</v>
      </c>
      <c r="N1275" s="183">
        <v>22713</v>
      </c>
      <c r="O1275" s="14" t="s">
        <v>83</v>
      </c>
      <c r="P1275" s="105">
        <v>1366.8</v>
      </c>
      <c r="Q1275" s="23">
        <v>42154</v>
      </c>
      <c r="R1275" s="106">
        <v>1366.8</v>
      </c>
      <c r="S1275" s="31">
        <f t="shared" si="39"/>
        <v>0</v>
      </c>
      <c r="T1275" s="39" t="s">
        <v>9</v>
      </c>
    </row>
    <row r="1276" spans="1:20" x14ac:dyDescent="0.25">
      <c r="A1276" s="20">
        <v>42136</v>
      </c>
      <c r="B1276" s="183">
        <v>20850</v>
      </c>
      <c r="C1276" s="14" t="s">
        <v>229</v>
      </c>
      <c r="D1276" s="105">
        <v>563.20000000000005</v>
      </c>
      <c r="E1276" s="23">
        <v>42136</v>
      </c>
      <c r="F1276" s="106">
        <v>563.20000000000005</v>
      </c>
      <c r="G1276" s="31">
        <f t="shared" si="38"/>
        <v>0</v>
      </c>
      <c r="H1276" s="39" t="s">
        <v>9</v>
      </c>
      <c r="I1276" s="3"/>
      <c r="J1276" s="42"/>
      <c r="K1276" s="3"/>
      <c r="M1276" s="20">
        <v>42150</v>
      </c>
      <c r="N1276" s="183">
        <v>22290</v>
      </c>
      <c r="O1276" s="14" t="s">
        <v>1387</v>
      </c>
      <c r="P1276" s="105">
        <v>6097.4</v>
      </c>
      <c r="Q1276" s="65">
        <v>42150</v>
      </c>
      <c r="R1276" s="106">
        <v>6097.4</v>
      </c>
      <c r="S1276" s="31">
        <f t="shared" si="39"/>
        <v>0</v>
      </c>
      <c r="T1276" s="39" t="s">
        <v>59</v>
      </c>
    </row>
    <row r="1277" spans="1:20" x14ac:dyDescent="0.25">
      <c r="A1277" s="20">
        <v>42136</v>
      </c>
      <c r="B1277" s="183">
        <v>20851</v>
      </c>
      <c r="C1277" s="14" t="s">
        <v>136</v>
      </c>
      <c r="D1277" s="105">
        <v>16932</v>
      </c>
      <c r="E1277" s="23">
        <v>42139</v>
      </c>
      <c r="F1277" s="106">
        <v>16932</v>
      </c>
      <c r="G1277" s="31">
        <f t="shared" si="38"/>
        <v>0</v>
      </c>
      <c r="H1277" s="39" t="s">
        <v>9</v>
      </c>
      <c r="I1277" s="3"/>
      <c r="J1277" s="42"/>
      <c r="K1277" s="3"/>
      <c r="M1277" s="20">
        <v>42152</v>
      </c>
      <c r="N1277" s="183">
        <v>22468</v>
      </c>
      <c r="O1277" s="14" t="s">
        <v>1387</v>
      </c>
      <c r="P1277" s="105">
        <v>6504.6</v>
      </c>
      <c r="Q1277" s="23">
        <v>42152</v>
      </c>
      <c r="R1277" s="106">
        <v>6504.6</v>
      </c>
      <c r="S1277" s="31">
        <f t="shared" si="39"/>
        <v>0</v>
      </c>
      <c r="T1277" s="39" t="s">
        <v>59</v>
      </c>
    </row>
    <row r="1278" spans="1:20" x14ac:dyDescent="0.25">
      <c r="A1278" s="20">
        <v>42136</v>
      </c>
      <c r="B1278" s="183">
        <v>20852</v>
      </c>
      <c r="C1278" s="14" t="s">
        <v>143</v>
      </c>
      <c r="D1278" s="105">
        <v>22144.400000000001</v>
      </c>
      <c r="E1278" s="23">
        <v>42139</v>
      </c>
      <c r="F1278" s="106">
        <v>22144.400000000001</v>
      </c>
      <c r="G1278" s="31">
        <f t="shared" si="38"/>
        <v>0</v>
      </c>
      <c r="H1278" s="39" t="s">
        <v>9</v>
      </c>
      <c r="I1278" s="3"/>
      <c r="J1278" s="42"/>
      <c r="K1278" s="3"/>
      <c r="M1278" s="20">
        <v>42128</v>
      </c>
      <c r="N1278" s="183">
        <v>19985</v>
      </c>
      <c r="O1278" s="14" t="s">
        <v>202</v>
      </c>
      <c r="P1278" s="105">
        <v>3569.6</v>
      </c>
      <c r="Q1278" s="23">
        <v>42130</v>
      </c>
      <c r="R1278" s="106">
        <v>3569.6</v>
      </c>
      <c r="S1278" s="31">
        <f t="shared" si="39"/>
        <v>0</v>
      </c>
      <c r="T1278" s="19" t="s">
        <v>149</v>
      </c>
    </row>
    <row r="1279" spans="1:20" x14ac:dyDescent="0.25">
      <c r="A1279" s="20">
        <v>42136</v>
      </c>
      <c r="B1279" s="183">
        <v>20853</v>
      </c>
      <c r="C1279" s="14" t="s">
        <v>102</v>
      </c>
      <c r="D1279" s="105">
        <v>368</v>
      </c>
      <c r="E1279" s="23">
        <v>42136</v>
      </c>
      <c r="F1279" s="106">
        <v>368</v>
      </c>
      <c r="G1279" s="31">
        <f t="shared" si="38"/>
        <v>0</v>
      </c>
      <c r="H1279" s="39" t="s">
        <v>9</v>
      </c>
      <c r="I1279" s="3"/>
      <c r="J1279" s="42"/>
      <c r="K1279" s="3"/>
      <c r="M1279" s="20">
        <v>42135</v>
      </c>
      <c r="N1279" s="183">
        <v>20757</v>
      </c>
      <c r="O1279" s="14" t="s">
        <v>202</v>
      </c>
      <c r="P1279" s="105">
        <v>2787.6</v>
      </c>
      <c r="Q1279" s="23">
        <v>42137</v>
      </c>
      <c r="R1279" s="106">
        <v>2787.6</v>
      </c>
      <c r="S1279" s="31">
        <f t="shared" si="39"/>
        <v>0</v>
      </c>
      <c r="T1279" s="19" t="s">
        <v>149</v>
      </c>
    </row>
    <row r="1280" spans="1:20" x14ac:dyDescent="0.25">
      <c r="A1280" s="20">
        <v>42136</v>
      </c>
      <c r="B1280" s="183">
        <v>20854</v>
      </c>
      <c r="C1280" s="14" t="s">
        <v>111</v>
      </c>
      <c r="D1280" s="105">
        <v>196605</v>
      </c>
      <c r="E1280" s="23">
        <v>42140</v>
      </c>
      <c r="F1280" s="106">
        <v>196605</v>
      </c>
      <c r="G1280" s="31">
        <f t="shared" si="38"/>
        <v>0</v>
      </c>
      <c r="H1280" s="39" t="s">
        <v>9</v>
      </c>
      <c r="I1280" s="3"/>
      <c r="J1280" s="42"/>
      <c r="K1280" s="3"/>
      <c r="M1280" s="20">
        <v>42142</v>
      </c>
      <c r="N1280" s="183">
        <v>21502</v>
      </c>
      <c r="O1280" s="14" t="s">
        <v>202</v>
      </c>
      <c r="P1280" s="105">
        <v>2701.6</v>
      </c>
      <c r="Q1280" s="23">
        <v>42145</v>
      </c>
      <c r="R1280" s="106">
        <v>2701.6</v>
      </c>
      <c r="S1280" s="31">
        <f t="shared" si="39"/>
        <v>0</v>
      </c>
      <c r="T1280" s="39" t="s">
        <v>149</v>
      </c>
    </row>
    <row r="1281" spans="1:20" x14ac:dyDescent="0.25">
      <c r="A1281" s="20">
        <v>42136</v>
      </c>
      <c r="B1281" s="183">
        <v>20855</v>
      </c>
      <c r="C1281" s="14" t="s">
        <v>111</v>
      </c>
      <c r="D1281" s="105">
        <v>121300</v>
      </c>
      <c r="E1281" s="23">
        <v>42140</v>
      </c>
      <c r="F1281" s="106">
        <v>121300</v>
      </c>
      <c r="G1281" s="31">
        <f t="shared" si="38"/>
        <v>0</v>
      </c>
      <c r="H1281" s="39"/>
      <c r="I1281" s="3"/>
      <c r="J1281" s="42"/>
      <c r="K1281" s="3"/>
      <c r="M1281" s="20">
        <v>42129</v>
      </c>
      <c r="N1281" s="183">
        <v>20027</v>
      </c>
      <c r="O1281" s="14" t="s">
        <v>400</v>
      </c>
      <c r="P1281" s="105">
        <v>689.6</v>
      </c>
      <c r="Q1281" s="23">
        <v>42129</v>
      </c>
      <c r="R1281" s="106">
        <v>689.6</v>
      </c>
      <c r="S1281" s="31">
        <f t="shared" si="39"/>
        <v>0</v>
      </c>
      <c r="T1281" s="19" t="s">
        <v>9</v>
      </c>
    </row>
    <row r="1282" spans="1:20" x14ac:dyDescent="0.25">
      <c r="A1282" s="20">
        <v>42136</v>
      </c>
      <c r="B1282" s="183">
        <v>20856</v>
      </c>
      <c r="C1282" s="14" t="s">
        <v>624</v>
      </c>
      <c r="D1282" s="105">
        <v>3005.6</v>
      </c>
      <c r="E1282" s="23">
        <v>42136</v>
      </c>
      <c r="F1282" s="106">
        <v>3005.6</v>
      </c>
      <c r="G1282" s="31">
        <f t="shared" si="38"/>
        <v>0</v>
      </c>
      <c r="H1282" s="39" t="s">
        <v>1257</v>
      </c>
      <c r="I1282" s="3"/>
      <c r="J1282" s="42"/>
      <c r="K1282" s="3"/>
      <c r="M1282" s="20">
        <v>42130</v>
      </c>
      <c r="N1282" s="183">
        <v>20192</v>
      </c>
      <c r="O1282" s="14" t="s">
        <v>42</v>
      </c>
      <c r="P1282" s="105">
        <v>5535.6</v>
      </c>
      <c r="Q1282" s="23">
        <v>42130</v>
      </c>
      <c r="R1282" s="106">
        <v>5535.6</v>
      </c>
      <c r="S1282" s="31">
        <f t="shared" si="39"/>
        <v>0</v>
      </c>
      <c r="T1282" s="39" t="s">
        <v>9</v>
      </c>
    </row>
    <row r="1283" spans="1:20" x14ac:dyDescent="0.25">
      <c r="A1283" s="20">
        <v>42136</v>
      </c>
      <c r="B1283" s="183">
        <v>20857</v>
      </c>
      <c r="C1283" s="14" t="s">
        <v>1262</v>
      </c>
      <c r="D1283" s="105">
        <v>13150.24</v>
      </c>
      <c r="E1283" s="23">
        <v>42142</v>
      </c>
      <c r="F1283" s="106">
        <v>13150.24</v>
      </c>
      <c r="G1283" s="31">
        <f t="shared" ref="G1283:G1346" si="40">D1283-F1283</f>
        <v>0</v>
      </c>
      <c r="H1283" s="39" t="s">
        <v>1257</v>
      </c>
      <c r="I1283" s="3"/>
      <c r="J1283" s="42"/>
      <c r="K1283" s="3"/>
      <c r="M1283" s="20">
        <v>42126</v>
      </c>
      <c r="N1283" s="183">
        <v>19708</v>
      </c>
      <c r="O1283" s="40" t="s">
        <v>116</v>
      </c>
      <c r="P1283" s="105">
        <v>14577.4</v>
      </c>
      <c r="Q1283" s="23">
        <v>42126</v>
      </c>
      <c r="R1283" s="106">
        <v>14577.4</v>
      </c>
      <c r="S1283" s="25">
        <f t="shared" ref="S1283:S1346" si="41">P1283-R1283</f>
        <v>0</v>
      </c>
      <c r="T1283" s="41" t="s">
        <v>9</v>
      </c>
    </row>
    <row r="1284" spans="1:20" x14ac:dyDescent="0.25">
      <c r="A1284" s="20">
        <v>42136</v>
      </c>
      <c r="B1284" s="183">
        <v>20858</v>
      </c>
      <c r="C1284" s="14" t="s">
        <v>180</v>
      </c>
      <c r="D1284" s="105">
        <v>2724</v>
      </c>
      <c r="E1284" s="23">
        <v>42136</v>
      </c>
      <c r="F1284" s="106">
        <v>2724</v>
      </c>
      <c r="G1284" s="31">
        <f t="shared" si="40"/>
        <v>0</v>
      </c>
      <c r="H1284" s="39" t="s">
        <v>62</v>
      </c>
      <c r="I1284" s="3"/>
      <c r="J1284" s="42"/>
      <c r="K1284" s="3"/>
      <c r="M1284" s="20">
        <v>42133</v>
      </c>
      <c r="N1284" s="183">
        <v>20475</v>
      </c>
      <c r="O1284" s="14" t="s">
        <v>116</v>
      </c>
      <c r="P1284" s="105">
        <v>11578.55</v>
      </c>
      <c r="Q1284" s="23">
        <v>42133</v>
      </c>
      <c r="R1284" s="106">
        <v>11578.55</v>
      </c>
      <c r="S1284" s="31">
        <f t="shared" si="41"/>
        <v>0</v>
      </c>
      <c r="T1284" s="39" t="s">
        <v>1273</v>
      </c>
    </row>
    <row r="1285" spans="1:20" x14ac:dyDescent="0.25">
      <c r="A1285" s="20">
        <v>42136</v>
      </c>
      <c r="B1285" s="183">
        <v>20859</v>
      </c>
      <c r="C1285" s="14" t="s">
        <v>360</v>
      </c>
      <c r="D1285" s="105">
        <v>365.8</v>
      </c>
      <c r="E1285" s="23">
        <v>42136</v>
      </c>
      <c r="F1285" s="106">
        <v>365.8</v>
      </c>
      <c r="G1285" s="31">
        <f t="shared" si="40"/>
        <v>0</v>
      </c>
      <c r="H1285" s="39" t="s">
        <v>62</v>
      </c>
      <c r="I1285" s="3"/>
      <c r="J1285" s="42"/>
      <c r="K1285" s="3"/>
      <c r="M1285" s="20">
        <v>42133</v>
      </c>
      <c r="N1285" s="183">
        <v>20555</v>
      </c>
      <c r="O1285" s="14" t="s">
        <v>116</v>
      </c>
      <c r="P1285" s="105">
        <v>982.8</v>
      </c>
      <c r="Q1285" s="23">
        <v>42133</v>
      </c>
      <c r="R1285" s="106">
        <v>982.8</v>
      </c>
      <c r="S1285" s="31">
        <f t="shared" si="41"/>
        <v>0</v>
      </c>
      <c r="T1285" s="19" t="s">
        <v>9</v>
      </c>
    </row>
    <row r="1286" spans="1:20" x14ac:dyDescent="0.25">
      <c r="A1286" s="20">
        <v>42136</v>
      </c>
      <c r="B1286" s="183">
        <v>20860</v>
      </c>
      <c r="C1286" s="14" t="s">
        <v>24</v>
      </c>
      <c r="D1286" s="105">
        <v>110964.48</v>
      </c>
      <c r="E1286" s="23">
        <v>42153</v>
      </c>
      <c r="F1286" s="106">
        <v>110964.48</v>
      </c>
      <c r="G1286" s="31">
        <f t="shared" si="40"/>
        <v>0</v>
      </c>
      <c r="H1286" s="39" t="s">
        <v>62</v>
      </c>
      <c r="I1286" s="3"/>
      <c r="J1286" s="42"/>
      <c r="K1286" s="3"/>
      <c r="M1286" s="20">
        <v>42140</v>
      </c>
      <c r="N1286" s="183">
        <v>21224</v>
      </c>
      <c r="O1286" s="14" t="s">
        <v>116</v>
      </c>
      <c r="P1286" s="105">
        <v>12183</v>
      </c>
      <c r="Q1286" s="23">
        <v>42140</v>
      </c>
      <c r="R1286" s="106">
        <v>12183</v>
      </c>
      <c r="S1286" s="48">
        <f t="shared" si="41"/>
        <v>0</v>
      </c>
      <c r="T1286" s="39" t="s">
        <v>1273</v>
      </c>
    </row>
    <row r="1287" spans="1:20" x14ac:dyDescent="0.25">
      <c r="A1287" s="20">
        <v>42136</v>
      </c>
      <c r="B1287" s="183">
        <v>20861</v>
      </c>
      <c r="C1287" s="14" t="s">
        <v>256</v>
      </c>
      <c r="D1287" s="105">
        <v>3649.8</v>
      </c>
      <c r="E1287" s="23">
        <v>42137</v>
      </c>
      <c r="F1287" s="106">
        <v>3649.8</v>
      </c>
      <c r="G1287" s="31">
        <f t="shared" si="40"/>
        <v>0</v>
      </c>
      <c r="H1287" s="39" t="s">
        <v>94</v>
      </c>
      <c r="I1287" s="3"/>
      <c r="J1287" s="42"/>
      <c r="K1287" s="3"/>
      <c r="M1287" s="20">
        <v>42143</v>
      </c>
      <c r="N1287" s="183">
        <v>21562</v>
      </c>
      <c r="O1287" s="14" t="s">
        <v>116</v>
      </c>
      <c r="P1287" s="105">
        <v>2860.8</v>
      </c>
      <c r="Q1287" s="23">
        <v>42143</v>
      </c>
      <c r="R1287" s="118">
        <v>2860.8</v>
      </c>
      <c r="S1287" s="31">
        <f t="shared" si="41"/>
        <v>0</v>
      </c>
      <c r="T1287" s="56" t="s">
        <v>59</v>
      </c>
    </row>
    <row r="1288" spans="1:20" x14ac:dyDescent="0.25">
      <c r="A1288" s="20">
        <v>42136</v>
      </c>
      <c r="B1288" s="183">
        <v>20862</v>
      </c>
      <c r="C1288" s="14" t="s">
        <v>55</v>
      </c>
      <c r="D1288" s="105">
        <v>23234.75</v>
      </c>
      <c r="E1288" s="23">
        <v>42137</v>
      </c>
      <c r="F1288" s="106">
        <v>23234.75</v>
      </c>
      <c r="G1288" s="31">
        <f t="shared" si="40"/>
        <v>0</v>
      </c>
      <c r="H1288" s="39" t="s">
        <v>94</v>
      </c>
      <c r="I1288" s="3"/>
      <c r="J1288" s="42"/>
      <c r="K1288" s="3"/>
      <c r="M1288" s="20">
        <v>42147</v>
      </c>
      <c r="N1288" s="183">
        <v>21979</v>
      </c>
      <c r="O1288" s="14" t="s">
        <v>116</v>
      </c>
      <c r="P1288" s="105">
        <v>13157.7</v>
      </c>
      <c r="Q1288" s="65">
        <v>42147</v>
      </c>
      <c r="R1288" s="106">
        <v>13157.7</v>
      </c>
      <c r="S1288" s="31">
        <f t="shared" si="41"/>
        <v>0</v>
      </c>
      <c r="T1288" s="39" t="s">
        <v>9</v>
      </c>
    </row>
    <row r="1289" spans="1:20" x14ac:dyDescent="0.25">
      <c r="A1289" s="20">
        <v>42136</v>
      </c>
      <c r="B1289" s="183">
        <v>20863</v>
      </c>
      <c r="C1289" s="14" t="s">
        <v>80</v>
      </c>
      <c r="D1289" s="105">
        <v>6796.6</v>
      </c>
      <c r="E1289" s="23">
        <v>42136</v>
      </c>
      <c r="F1289" s="106">
        <v>6796.6</v>
      </c>
      <c r="G1289" s="31">
        <f t="shared" si="40"/>
        <v>0</v>
      </c>
      <c r="H1289" s="39" t="s">
        <v>9</v>
      </c>
      <c r="I1289" s="3"/>
      <c r="J1289" s="42"/>
      <c r="K1289" s="3"/>
      <c r="M1289" s="20">
        <v>42127</v>
      </c>
      <c r="N1289" s="183">
        <v>19874</v>
      </c>
      <c r="O1289" s="14" t="s">
        <v>1197</v>
      </c>
      <c r="P1289" s="105">
        <v>1974.5</v>
      </c>
      <c r="Q1289" s="23">
        <v>42127</v>
      </c>
      <c r="R1289" s="106">
        <v>1974.5</v>
      </c>
      <c r="S1289" s="31">
        <f t="shared" si="41"/>
        <v>0</v>
      </c>
      <c r="T1289" s="19" t="s">
        <v>9</v>
      </c>
    </row>
    <row r="1290" spans="1:20" x14ac:dyDescent="0.25">
      <c r="A1290" s="20">
        <v>42136</v>
      </c>
      <c r="B1290" s="183">
        <v>20864</v>
      </c>
      <c r="C1290" s="14" t="s">
        <v>24</v>
      </c>
      <c r="D1290" s="105">
        <v>206752</v>
      </c>
      <c r="E1290" s="23">
        <v>42153</v>
      </c>
      <c r="F1290" s="106">
        <v>206752</v>
      </c>
      <c r="G1290" s="31">
        <f t="shared" si="40"/>
        <v>0</v>
      </c>
      <c r="H1290" s="39" t="s">
        <v>9</v>
      </c>
      <c r="I1290" s="3"/>
      <c r="J1290" s="42"/>
      <c r="K1290" s="3"/>
      <c r="M1290" s="20">
        <v>42151</v>
      </c>
      <c r="N1290" s="183">
        <v>22394</v>
      </c>
      <c r="O1290" s="14" t="s">
        <v>1197</v>
      </c>
      <c r="P1290" s="105">
        <v>1616.5</v>
      </c>
      <c r="Q1290" s="23">
        <v>42151</v>
      </c>
      <c r="R1290" s="106">
        <v>1616.5</v>
      </c>
      <c r="S1290" s="31">
        <f t="shared" si="41"/>
        <v>0</v>
      </c>
      <c r="T1290" s="39" t="s">
        <v>9</v>
      </c>
    </row>
    <row r="1291" spans="1:20" x14ac:dyDescent="0.25">
      <c r="A1291" s="20">
        <v>42136</v>
      </c>
      <c r="B1291" s="183">
        <v>20865</v>
      </c>
      <c r="C1291" s="14" t="s">
        <v>14</v>
      </c>
      <c r="D1291" s="105">
        <v>139407.93</v>
      </c>
      <c r="E1291" s="23">
        <v>42153</v>
      </c>
      <c r="F1291" s="106">
        <v>139407.93</v>
      </c>
      <c r="G1291" s="31">
        <f t="shared" si="40"/>
        <v>0</v>
      </c>
      <c r="H1291" s="39" t="s">
        <v>9</v>
      </c>
      <c r="I1291" s="3"/>
      <c r="J1291" s="42"/>
      <c r="K1291" s="3"/>
      <c r="M1291" s="20">
        <v>42153</v>
      </c>
      <c r="N1291" s="183">
        <v>22577</v>
      </c>
      <c r="O1291" s="14" t="s">
        <v>1197</v>
      </c>
      <c r="P1291" s="105">
        <v>3036</v>
      </c>
      <c r="Q1291" s="23">
        <v>42153</v>
      </c>
      <c r="R1291" s="106">
        <v>3036</v>
      </c>
      <c r="S1291" s="31">
        <f t="shared" si="41"/>
        <v>0</v>
      </c>
      <c r="T1291" s="39" t="s">
        <v>59</v>
      </c>
    </row>
    <row r="1292" spans="1:20" x14ac:dyDescent="0.25">
      <c r="A1292" s="20">
        <v>42136</v>
      </c>
      <c r="B1292" s="183">
        <v>20866</v>
      </c>
      <c r="C1292" s="14" t="s">
        <v>1060</v>
      </c>
      <c r="D1292" s="105">
        <v>95382.91</v>
      </c>
      <c r="E1292" s="23"/>
      <c r="F1292" s="106"/>
      <c r="G1292" s="31">
        <f t="shared" si="40"/>
        <v>95382.91</v>
      </c>
      <c r="H1292" s="39" t="s">
        <v>9</v>
      </c>
      <c r="I1292" s="3"/>
      <c r="J1292" s="42"/>
      <c r="K1292" s="3"/>
      <c r="M1292" s="20">
        <v>42153</v>
      </c>
      <c r="N1292" s="183">
        <v>22578</v>
      </c>
      <c r="O1292" s="14" t="s">
        <v>1197</v>
      </c>
      <c r="P1292" s="105">
        <v>280.8</v>
      </c>
      <c r="Q1292" s="23">
        <v>42153</v>
      </c>
      <c r="R1292" s="106">
        <v>280.8</v>
      </c>
      <c r="S1292" s="31">
        <f t="shared" si="41"/>
        <v>0</v>
      </c>
      <c r="T1292" s="39" t="s">
        <v>59</v>
      </c>
    </row>
    <row r="1293" spans="1:20" x14ac:dyDescent="0.25">
      <c r="A1293" s="20">
        <v>42136</v>
      </c>
      <c r="B1293" s="183">
        <v>20867</v>
      </c>
      <c r="C1293" s="14" t="s">
        <v>1101</v>
      </c>
      <c r="D1293" s="105">
        <v>836.4</v>
      </c>
      <c r="E1293" s="23">
        <v>42136</v>
      </c>
      <c r="F1293" s="106">
        <v>836.4</v>
      </c>
      <c r="G1293" s="31">
        <f t="shared" si="40"/>
        <v>0</v>
      </c>
      <c r="H1293" s="39" t="s">
        <v>9</v>
      </c>
      <c r="I1293" s="3"/>
      <c r="J1293" s="42"/>
      <c r="K1293" s="3"/>
      <c r="M1293" s="20">
        <v>42154</v>
      </c>
      <c r="N1293" s="183">
        <v>22685</v>
      </c>
      <c r="O1293" s="14" t="s">
        <v>1197</v>
      </c>
      <c r="P1293" s="105">
        <v>15402.35</v>
      </c>
      <c r="Q1293" s="23">
        <v>42154</v>
      </c>
      <c r="R1293" s="106">
        <v>15402.35</v>
      </c>
      <c r="S1293" s="31">
        <f t="shared" si="41"/>
        <v>0</v>
      </c>
      <c r="T1293" s="39" t="s">
        <v>9</v>
      </c>
    </row>
    <row r="1294" spans="1:20" x14ac:dyDescent="0.25">
      <c r="A1294" s="20">
        <v>42137</v>
      </c>
      <c r="B1294" s="183">
        <v>20868</v>
      </c>
      <c r="C1294" s="14" t="s">
        <v>1256</v>
      </c>
      <c r="D1294" s="105">
        <v>5259.6</v>
      </c>
      <c r="E1294" s="23">
        <v>42137</v>
      </c>
      <c r="F1294" s="106">
        <v>5259.6</v>
      </c>
      <c r="G1294" s="31">
        <f t="shared" si="40"/>
        <v>0</v>
      </c>
      <c r="H1294" s="39" t="s">
        <v>1257</v>
      </c>
      <c r="I1294" s="3"/>
      <c r="J1294" s="42"/>
      <c r="K1294" s="3"/>
      <c r="M1294" s="20">
        <v>42142</v>
      </c>
      <c r="N1294" s="183">
        <v>21471</v>
      </c>
      <c r="O1294" s="14" t="s">
        <v>284</v>
      </c>
      <c r="P1294" s="105">
        <v>558.79999999999995</v>
      </c>
      <c r="Q1294" s="65">
        <v>42142</v>
      </c>
      <c r="R1294" s="106">
        <v>558.79999999999995</v>
      </c>
      <c r="S1294" s="31">
        <f t="shared" si="41"/>
        <v>0</v>
      </c>
      <c r="T1294" s="19" t="s">
        <v>9</v>
      </c>
    </row>
    <row r="1295" spans="1:20" x14ac:dyDescent="0.25">
      <c r="A1295" s="20">
        <v>42137</v>
      </c>
      <c r="B1295" s="183">
        <v>20869</v>
      </c>
      <c r="C1295" s="14" t="s">
        <v>112</v>
      </c>
      <c r="D1295" s="105">
        <v>9296.2999999999993</v>
      </c>
      <c r="E1295" s="23">
        <v>42137</v>
      </c>
      <c r="F1295" s="106">
        <v>9296.2999999999993</v>
      </c>
      <c r="G1295" s="31">
        <f t="shared" si="40"/>
        <v>0</v>
      </c>
      <c r="H1295" s="39" t="s">
        <v>9</v>
      </c>
      <c r="I1295" s="3"/>
      <c r="J1295" s="42"/>
      <c r="K1295" s="3"/>
      <c r="M1295" s="20">
        <v>42125</v>
      </c>
      <c r="N1295" s="183">
        <v>19621</v>
      </c>
      <c r="O1295" s="14" t="s">
        <v>155</v>
      </c>
      <c r="P1295" s="105">
        <v>2331</v>
      </c>
      <c r="Q1295" s="23">
        <v>42125</v>
      </c>
      <c r="R1295" s="106">
        <v>2331</v>
      </c>
      <c r="S1295" s="25">
        <f t="shared" si="41"/>
        <v>0</v>
      </c>
      <c r="T1295" s="19" t="s">
        <v>59</v>
      </c>
    </row>
    <row r="1296" spans="1:20" x14ac:dyDescent="0.25">
      <c r="A1296" s="20">
        <v>42137</v>
      </c>
      <c r="B1296" s="183">
        <v>20870</v>
      </c>
      <c r="C1296" s="14" t="s">
        <v>1297</v>
      </c>
      <c r="D1296" s="105">
        <v>4686</v>
      </c>
      <c r="E1296" s="23">
        <v>42137</v>
      </c>
      <c r="F1296" s="106">
        <v>4686</v>
      </c>
      <c r="G1296" s="31">
        <f t="shared" si="40"/>
        <v>0</v>
      </c>
      <c r="H1296" s="39" t="s">
        <v>9</v>
      </c>
      <c r="I1296" s="3"/>
      <c r="J1296" s="42"/>
      <c r="K1296" s="3"/>
      <c r="M1296" s="20">
        <v>42129</v>
      </c>
      <c r="N1296" s="183">
        <v>20058</v>
      </c>
      <c r="O1296" s="14" t="s">
        <v>155</v>
      </c>
      <c r="P1296" s="105">
        <v>8826</v>
      </c>
      <c r="Q1296" s="23">
        <v>42129</v>
      </c>
      <c r="R1296" s="106">
        <v>8826</v>
      </c>
      <c r="S1296" s="31">
        <f t="shared" si="41"/>
        <v>0</v>
      </c>
      <c r="T1296" s="39" t="s">
        <v>59</v>
      </c>
    </row>
    <row r="1297" spans="1:20" x14ac:dyDescent="0.25">
      <c r="A1297" s="20">
        <v>42137</v>
      </c>
      <c r="B1297" s="183">
        <v>20871</v>
      </c>
      <c r="C1297" s="14" t="s">
        <v>863</v>
      </c>
      <c r="D1297" s="105">
        <v>3819</v>
      </c>
      <c r="E1297" s="23">
        <v>42137</v>
      </c>
      <c r="F1297" s="106">
        <v>3819</v>
      </c>
      <c r="G1297" s="31">
        <f t="shared" si="40"/>
        <v>0</v>
      </c>
      <c r="H1297" s="39" t="s">
        <v>9</v>
      </c>
      <c r="I1297" s="3"/>
      <c r="J1297" s="42"/>
      <c r="K1297" s="3"/>
      <c r="M1297" s="20">
        <v>42131</v>
      </c>
      <c r="N1297" s="183">
        <v>20245</v>
      </c>
      <c r="O1297" s="14" t="s">
        <v>155</v>
      </c>
      <c r="P1297" s="105">
        <v>1394.4</v>
      </c>
      <c r="Q1297" s="23">
        <v>42131</v>
      </c>
      <c r="R1297" s="106">
        <v>1394.4</v>
      </c>
      <c r="S1297" s="31">
        <f t="shared" si="41"/>
        <v>0</v>
      </c>
      <c r="T1297" s="19" t="s">
        <v>9</v>
      </c>
    </row>
    <row r="1298" spans="1:20" x14ac:dyDescent="0.25">
      <c r="A1298" s="20">
        <v>42137</v>
      </c>
      <c r="B1298" s="183">
        <v>20872</v>
      </c>
      <c r="C1298" s="14" t="s">
        <v>32</v>
      </c>
      <c r="D1298" s="105">
        <v>124236</v>
      </c>
      <c r="E1298" s="23">
        <v>42140</v>
      </c>
      <c r="F1298" s="106">
        <v>124236</v>
      </c>
      <c r="G1298" s="31">
        <f t="shared" si="40"/>
        <v>0</v>
      </c>
      <c r="H1298" s="39" t="s">
        <v>9</v>
      </c>
      <c r="I1298" s="3"/>
      <c r="J1298" s="42"/>
      <c r="K1298" s="3"/>
      <c r="M1298" s="20">
        <v>42132</v>
      </c>
      <c r="N1298" s="183">
        <v>20382</v>
      </c>
      <c r="O1298" s="14" t="s">
        <v>155</v>
      </c>
      <c r="P1298" s="105">
        <v>1174.2</v>
      </c>
      <c r="Q1298" s="23">
        <v>42133</v>
      </c>
      <c r="R1298" s="106">
        <v>1174.2</v>
      </c>
      <c r="S1298" s="31">
        <f t="shared" si="41"/>
        <v>0</v>
      </c>
      <c r="T1298" s="19" t="s">
        <v>59</v>
      </c>
    </row>
    <row r="1299" spans="1:20" x14ac:dyDescent="0.25">
      <c r="A1299" s="20">
        <v>42137</v>
      </c>
      <c r="B1299" s="183">
        <v>20873</v>
      </c>
      <c r="C1299" s="26" t="s">
        <v>218</v>
      </c>
      <c r="D1299" s="108">
        <v>0</v>
      </c>
      <c r="E1299" s="51"/>
      <c r="F1299" s="106"/>
      <c r="G1299" s="31">
        <f t="shared" si="40"/>
        <v>0</v>
      </c>
      <c r="H1299" s="39" t="s">
        <v>13</v>
      </c>
      <c r="I1299" s="3"/>
      <c r="J1299" s="42"/>
      <c r="K1299" s="3"/>
      <c r="M1299" s="20">
        <v>42134</v>
      </c>
      <c r="N1299" s="183">
        <v>20623</v>
      </c>
      <c r="O1299" s="14" t="s">
        <v>155</v>
      </c>
      <c r="P1299" s="105">
        <v>1306.2</v>
      </c>
      <c r="Q1299" s="23">
        <v>42134</v>
      </c>
      <c r="R1299" s="118">
        <v>1306.2</v>
      </c>
      <c r="S1299" s="31">
        <f t="shared" si="41"/>
        <v>0</v>
      </c>
      <c r="T1299" s="56" t="s">
        <v>59</v>
      </c>
    </row>
    <row r="1300" spans="1:20" x14ac:dyDescent="0.25">
      <c r="A1300" s="20">
        <v>42137</v>
      </c>
      <c r="B1300" s="183">
        <v>20874</v>
      </c>
      <c r="C1300" s="14" t="s">
        <v>1128</v>
      </c>
      <c r="D1300" s="105">
        <v>2227.1999999999998</v>
      </c>
      <c r="E1300" s="23">
        <v>42137</v>
      </c>
      <c r="F1300" s="106">
        <v>2227.1999999999998</v>
      </c>
      <c r="G1300" s="31">
        <f t="shared" si="40"/>
        <v>0</v>
      </c>
      <c r="H1300" s="39" t="s">
        <v>9</v>
      </c>
      <c r="I1300" s="3"/>
      <c r="J1300" s="42"/>
      <c r="K1300" s="3"/>
      <c r="M1300" s="20">
        <v>42138</v>
      </c>
      <c r="N1300" s="183">
        <v>20997</v>
      </c>
      <c r="O1300" s="14" t="s">
        <v>155</v>
      </c>
      <c r="P1300" s="105">
        <v>1628.4</v>
      </c>
      <c r="Q1300" s="23">
        <v>42138</v>
      </c>
      <c r="R1300" s="106">
        <v>1628.4</v>
      </c>
      <c r="S1300" s="31">
        <f t="shared" si="41"/>
        <v>0</v>
      </c>
      <c r="T1300" s="19" t="s">
        <v>59</v>
      </c>
    </row>
    <row r="1301" spans="1:20" x14ac:dyDescent="0.25">
      <c r="A1301" s="20">
        <v>42137</v>
      </c>
      <c r="B1301" s="183">
        <v>20875</v>
      </c>
      <c r="C1301" s="14" t="s">
        <v>14</v>
      </c>
      <c r="D1301" s="105">
        <v>24013.4</v>
      </c>
      <c r="E1301" s="23">
        <v>42153</v>
      </c>
      <c r="F1301" s="106">
        <v>24013.4</v>
      </c>
      <c r="G1301" s="31">
        <f t="shared" si="40"/>
        <v>0</v>
      </c>
      <c r="H1301" s="39" t="s">
        <v>15</v>
      </c>
      <c r="I1301" s="3"/>
      <c r="J1301" s="42"/>
      <c r="K1301" s="3"/>
      <c r="M1301" s="20">
        <v>42140</v>
      </c>
      <c r="N1301" s="183">
        <v>21247</v>
      </c>
      <c r="O1301" s="14" t="s">
        <v>155</v>
      </c>
      <c r="P1301" s="105">
        <v>1687.2</v>
      </c>
      <c r="Q1301" s="23">
        <v>42142</v>
      </c>
      <c r="R1301" s="106">
        <v>1687.2</v>
      </c>
      <c r="S1301" s="48">
        <f t="shared" si="41"/>
        <v>0</v>
      </c>
      <c r="T1301" s="19" t="s">
        <v>9</v>
      </c>
    </row>
    <row r="1302" spans="1:20" x14ac:dyDescent="0.25">
      <c r="A1302" s="20">
        <v>42137</v>
      </c>
      <c r="B1302" s="183">
        <v>20876</v>
      </c>
      <c r="C1302" s="14" t="s">
        <v>236</v>
      </c>
      <c r="D1302" s="105">
        <v>45783.37</v>
      </c>
      <c r="E1302" s="205" t="s">
        <v>1283</v>
      </c>
      <c r="F1302" s="106">
        <f>6362+21383.31+18038.06</f>
        <v>45783.37</v>
      </c>
      <c r="G1302" s="31">
        <f t="shared" si="40"/>
        <v>0</v>
      </c>
      <c r="H1302" s="39" t="s">
        <v>773</v>
      </c>
      <c r="I1302" s="3"/>
      <c r="J1302" s="42"/>
      <c r="K1302" s="3"/>
      <c r="M1302" s="20">
        <v>42140</v>
      </c>
      <c r="N1302" s="183">
        <v>21278</v>
      </c>
      <c r="O1302" s="14" t="s">
        <v>155</v>
      </c>
      <c r="P1302" s="105">
        <v>10890</v>
      </c>
      <c r="Q1302" s="23">
        <v>42140</v>
      </c>
      <c r="R1302" s="118">
        <v>10890</v>
      </c>
      <c r="S1302" s="31">
        <f t="shared" si="41"/>
        <v>0</v>
      </c>
      <c r="T1302" s="62" t="s">
        <v>9</v>
      </c>
    </row>
    <row r="1303" spans="1:20" x14ac:dyDescent="0.25">
      <c r="A1303" s="20">
        <v>42137</v>
      </c>
      <c r="B1303" s="183">
        <v>20877</v>
      </c>
      <c r="C1303" s="14" t="s">
        <v>103</v>
      </c>
      <c r="D1303" s="105">
        <v>22882.54</v>
      </c>
      <c r="E1303" s="23">
        <v>42138</v>
      </c>
      <c r="F1303" s="106">
        <v>22882.54</v>
      </c>
      <c r="G1303" s="31">
        <f t="shared" si="40"/>
        <v>0</v>
      </c>
      <c r="H1303" s="39" t="s">
        <v>773</v>
      </c>
      <c r="I1303" s="3"/>
      <c r="J1303" s="42"/>
      <c r="K1303" s="3"/>
      <c r="M1303" s="20">
        <v>42144</v>
      </c>
      <c r="N1303" s="183">
        <v>21667</v>
      </c>
      <c r="O1303" s="14" t="s">
        <v>155</v>
      </c>
      <c r="P1303" s="105">
        <v>1694.6</v>
      </c>
      <c r="Q1303" s="23">
        <v>42145</v>
      </c>
      <c r="R1303" s="118">
        <v>1694.6</v>
      </c>
      <c r="S1303" s="31">
        <f t="shared" si="41"/>
        <v>0</v>
      </c>
      <c r="T1303" s="62" t="s">
        <v>1257</v>
      </c>
    </row>
    <row r="1304" spans="1:20" x14ac:dyDescent="0.25">
      <c r="A1304" s="20">
        <v>42137</v>
      </c>
      <c r="B1304" s="183">
        <v>20878</v>
      </c>
      <c r="C1304" s="14" t="s">
        <v>285</v>
      </c>
      <c r="D1304" s="105">
        <v>800.2</v>
      </c>
      <c r="E1304" s="23">
        <v>42137</v>
      </c>
      <c r="F1304" s="106">
        <v>800.2</v>
      </c>
      <c r="G1304" s="31">
        <f t="shared" si="40"/>
        <v>0</v>
      </c>
      <c r="H1304" s="39" t="s">
        <v>312</v>
      </c>
      <c r="I1304" s="3"/>
      <c r="J1304" s="42"/>
      <c r="K1304" s="3"/>
      <c r="M1304" s="20">
        <v>42145</v>
      </c>
      <c r="N1304" s="183">
        <v>21739</v>
      </c>
      <c r="O1304" s="15" t="s">
        <v>155</v>
      </c>
      <c r="P1304" s="122">
        <v>5239.8</v>
      </c>
      <c r="Q1304" s="23">
        <v>42145</v>
      </c>
      <c r="R1304" s="106">
        <v>5239.8</v>
      </c>
      <c r="S1304" s="31">
        <f t="shared" si="41"/>
        <v>0</v>
      </c>
      <c r="T1304" s="68" t="s">
        <v>59</v>
      </c>
    </row>
    <row r="1305" spans="1:20" x14ac:dyDescent="0.25">
      <c r="A1305" s="20">
        <v>42137</v>
      </c>
      <c r="B1305" s="183">
        <v>20879</v>
      </c>
      <c r="C1305" s="14" t="s">
        <v>720</v>
      </c>
      <c r="D1305" s="105">
        <v>12361.3</v>
      </c>
      <c r="E1305" s="23">
        <v>42137</v>
      </c>
      <c r="F1305" s="106">
        <v>12361.3</v>
      </c>
      <c r="G1305" s="31">
        <f t="shared" si="40"/>
        <v>0</v>
      </c>
      <c r="H1305" s="39" t="s">
        <v>9</v>
      </c>
      <c r="I1305" s="3"/>
      <c r="J1305" s="42"/>
      <c r="K1305" s="3"/>
      <c r="M1305" s="20">
        <v>42146</v>
      </c>
      <c r="N1305" s="183">
        <v>21878</v>
      </c>
      <c r="O1305" s="14" t="s">
        <v>155</v>
      </c>
      <c r="P1305" s="105">
        <v>1411.2</v>
      </c>
      <c r="Q1305" s="23">
        <v>42146</v>
      </c>
      <c r="R1305" s="106">
        <v>1411.2</v>
      </c>
      <c r="S1305" s="31">
        <f t="shared" si="41"/>
        <v>0</v>
      </c>
      <c r="T1305" s="39" t="s">
        <v>59</v>
      </c>
    </row>
    <row r="1306" spans="1:20" x14ac:dyDescent="0.25">
      <c r="A1306" s="20">
        <v>42137</v>
      </c>
      <c r="B1306" s="183">
        <v>20880</v>
      </c>
      <c r="C1306" s="14" t="s">
        <v>226</v>
      </c>
      <c r="D1306" s="105">
        <v>736</v>
      </c>
      <c r="E1306" s="23">
        <v>42137</v>
      </c>
      <c r="F1306" s="106">
        <v>736</v>
      </c>
      <c r="G1306" s="31">
        <f t="shared" si="40"/>
        <v>0</v>
      </c>
      <c r="H1306" s="39" t="s">
        <v>312</v>
      </c>
      <c r="I1306" s="3"/>
      <c r="J1306" s="42"/>
      <c r="K1306" s="3"/>
      <c r="M1306" s="20">
        <v>42148</v>
      </c>
      <c r="N1306" s="183">
        <v>22097</v>
      </c>
      <c r="O1306" s="14" t="s">
        <v>155</v>
      </c>
      <c r="P1306" s="105">
        <v>4136.2</v>
      </c>
      <c r="Q1306" s="65">
        <v>42148</v>
      </c>
      <c r="R1306" s="106">
        <v>4136.2</v>
      </c>
      <c r="S1306" s="31">
        <f t="shared" si="41"/>
        <v>0</v>
      </c>
      <c r="T1306" s="39" t="s">
        <v>59</v>
      </c>
    </row>
    <row r="1307" spans="1:20" x14ac:dyDescent="0.25">
      <c r="A1307" s="20">
        <v>42137</v>
      </c>
      <c r="B1307" s="183">
        <v>20881</v>
      </c>
      <c r="C1307" s="14" t="s">
        <v>135</v>
      </c>
      <c r="D1307" s="105">
        <v>184.8</v>
      </c>
      <c r="E1307" s="23">
        <v>42137</v>
      </c>
      <c r="F1307" s="106">
        <v>184.8</v>
      </c>
      <c r="G1307" s="31">
        <f t="shared" si="40"/>
        <v>0</v>
      </c>
      <c r="H1307" s="39" t="s">
        <v>9</v>
      </c>
      <c r="I1307" s="3"/>
      <c r="J1307" s="42"/>
      <c r="K1307" s="3"/>
      <c r="M1307" s="20">
        <v>42152</v>
      </c>
      <c r="N1307" s="183">
        <v>22470</v>
      </c>
      <c r="O1307" s="14" t="s">
        <v>155</v>
      </c>
      <c r="P1307" s="105">
        <v>1250.2</v>
      </c>
      <c r="Q1307" s="23">
        <v>42152</v>
      </c>
      <c r="R1307" s="106">
        <v>1250.2</v>
      </c>
      <c r="S1307" s="31">
        <f t="shared" si="41"/>
        <v>0</v>
      </c>
      <c r="T1307" s="39" t="s">
        <v>59</v>
      </c>
    </row>
    <row r="1308" spans="1:20" x14ac:dyDescent="0.25">
      <c r="A1308" s="20">
        <v>42137</v>
      </c>
      <c r="B1308" s="183">
        <v>20882</v>
      </c>
      <c r="C1308" s="14" t="s">
        <v>23</v>
      </c>
      <c r="D1308" s="105">
        <v>2876</v>
      </c>
      <c r="E1308" s="23">
        <v>42137</v>
      </c>
      <c r="F1308" s="106">
        <v>2876</v>
      </c>
      <c r="G1308" s="31">
        <f t="shared" si="40"/>
        <v>0</v>
      </c>
      <c r="H1308" s="39" t="s">
        <v>9</v>
      </c>
      <c r="I1308" s="3"/>
      <c r="J1308" s="42"/>
      <c r="K1308" s="3"/>
      <c r="M1308" s="20">
        <v>42153</v>
      </c>
      <c r="N1308" s="183">
        <v>22567</v>
      </c>
      <c r="O1308" s="14" t="s">
        <v>155</v>
      </c>
      <c r="P1308" s="105">
        <v>5916.8</v>
      </c>
      <c r="Q1308" s="23">
        <v>42153</v>
      </c>
      <c r="R1308" s="106">
        <v>5916.8</v>
      </c>
      <c r="S1308" s="31">
        <f t="shared" si="41"/>
        <v>0</v>
      </c>
      <c r="T1308" s="39" t="s">
        <v>59</v>
      </c>
    </row>
    <row r="1309" spans="1:20" x14ac:dyDescent="0.25">
      <c r="A1309" s="20">
        <v>42137</v>
      </c>
      <c r="B1309" s="183">
        <v>20883</v>
      </c>
      <c r="C1309" s="14" t="s">
        <v>1058</v>
      </c>
      <c r="D1309" s="105">
        <v>2208</v>
      </c>
      <c r="E1309" s="23">
        <v>42137</v>
      </c>
      <c r="F1309" s="106">
        <v>2208</v>
      </c>
      <c r="G1309" s="31">
        <f t="shared" si="40"/>
        <v>0</v>
      </c>
      <c r="H1309" s="39" t="s">
        <v>9</v>
      </c>
      <c r="I1309" s="3"/>
      <c r="J1309" s="42"/>
      <c r="K1309" s="3"/>
      <c r="M1309" s="20">
        <v>42155</v>
      </c>
      <c r="N1309" s="183">
        <v>22819</v>
      </c>
      <c r="O1309" s="14" t="s">
        <v>155</v>
      </c>
      <c r="P1309" s="105">
        <v>5508</v>
      </c>
      <c r="Q1309" s="23">
        <v>42155</v>
      </c>
      <c r="R1309" s="106">
        <v>5508</v>
      </c>
      <c r="S1309" s="31">
        <f t="shared" si="41"/>
        <v>0</v>
      </c>
      <c r="T1309" s="39" t="s">
        <v>1257</v>
      </c>
    </row>
    <row r="1310" spans="1:20" x14ac:dyDescent="0.25">
      <c r="A1310" s="20">
        <v>42137</v>
      </c>
      <c r="B1310" s="183">
        <v>20884</v>
      </c>
      <c r="C1310" s="14" t="s">
        <v>125</v>
      </c>
      <c r="D1310" s="105">
        <v>34484.75</v>
      </c>
      <c r="E1310" s="23" t="s">
        <v>1388</v>
      </c>
      <c r="F1310" s="106">
        <f>7943.55+26541.2</f>
        <v>34484.75</v>
      </c>
      <c r="G1310" s="31">
        <f t="shared" si="40"/>
        <v>0</v>
      </c>
      <c r="H1310" s="19" t="s">
        <v>94</v>
      </c>
      <c r="I1310" s="3"/>
      <c r="J1310" s="42"/>
      <c r="K1310" s="3"/>
      <c r="M1310" s="20">
        <v>42126</v>
      </c>
      <c r="N1310" s="183">
        <v>19783</v>
      </c>
      <c r="O1310" s="40" t="s">
        <v>191</v>
      </c>
      <c r="P1310" s="105">
        <v>15750.4</v>
      </c>
      <c r="Q1310" s="23">
        <v>42126</v>
      </c>
      <c r="R1310" s="106">
        <v>15750.4</v>
      </c>
      <c r="S1310" s="31">
        <f t="shared" si="41"/>
        <v>0</v>
      </c>
      <c r="T1310" s="41" t="s">
        <v>9</v>
      </c>
    </row>
    <row r="1311" spans="1:20" x14ac:dyDescent="0.25">
      <c r="A1311" s="20">
        <v>42137</v>
      </c>
      <c r="B1311" s="183">
        <v>20885</v>
      </c>
      <c r="C1311" s="14" t="s">
        <v>66</v>
      </c>
      <c r="D1311" s="105">
        <v>1305.75</v>
      </c>
      <c r="E1311" s="23">
        <v>42137</v>
      </c>
      <c r="F1311" s="106">
        <v>1305.75</v>
      </c>
      <c r="G1311" s="31">
        <f t="shared" si="40"/>
        <v>0</v>
      </c>
      <c r="H1311" s="57" t="s">
        <v>9</v>
      </c>
      <c r="I1311" s="3"/>
      <c r="J1311" s="42"/>
      <c r="K1311" s="3"/>
      <c r="M1311" s="20">
        <v>42133</v>
      </c>
      <c r="N1311" s="183">
        <v>20567</v>
      </c>
      <c r="O1311" s="14" t="s">
        <v>191</v>
      </c>
      <c r="P1311" s="105">
        <v>18841.599999999999</v>
      </c>
      <c r="Q1311" s="23">
        <v>42133</v>
      </c>
      <c r="R1311" s="106">
        <v>18841.599999999999</v>
      </c>
      <c r="S1311" s="31">
        <f t="shared" si="41"/>
        <v>0</v>
      </c>
      <c r="T1311" s="19" t="s">
        <v>9</v>
      </c>
    </row>
    <row r="1312" spans="1:20" x14ac:dyDescent="0.25">
      <c r="A1312" s="20">
        <v>42137</v>
      </c>
      <c r="B1312" s="183">
        <v>20886</v>
      </c>
      <c r="C1312" s="14" t="s">
        <v>296</v>
      </c>
      <c r="D1312" s="105">
        <v>626.20000000000005</v>
      </c>
      <c r="E1312" s="23">
        <v>42137</v>
      </c>
      <c r="F1312" s="106">
        <v>626.20000000000005</v>
      </c>
      <c r="G1312" s="31">
        <f t="shared" si="40"/>
        <v>0</v>
      </c>
      <c r="H1312" s="19" t="s">
        <v>9</v>
      </c>
      <c r="I1312" s="3"/>
      <c r="J1312" s="42"/>
      <c r="K1312" s="3"/>
      <c r="M1312" s="20">
        <v>42147</v>
      </c>
      <c r="N1312" s="183">
        <v>22034</v>
      </c>
      <c r="O1312" s="14" t="s">
        <v>191</v>
      </c>
      <c r="P1312" s="105">
        <v>15986.8</v>
      </c>
      <c r="Q1312" s="65">
        <v>42147</v>
      </c>
      <c r="R1312" s="106">
        <v>15986.8</v>
      </c>
      <c r="S1312" s="31">
        <f t="shared" si="41"/>
        <v>0</v>
      </c>
      <c r="T1312" s="39" t="s">
        <v>9</v>
      </c>
    </row>
    <row r="1313" spans="1:20" x14ac:dyDescent="0.25">
      <c r="A1313" s="20">
        <v>42137</v>
      </c>
      <c r="B1313" s="183">
        <v>20887</v>
      </c>
      <c r="C1313" s="14" t="s">
        <v>1175</v>
      </c>
      <c r="D1313" s="105">
        <v>2257.1999999999998</v>
      </c>
      <c r="E1313" s="23">
        <v>42137</v>
      </c>
      <c r="F1313" s="106">
        <v>2257.1999999999998</v>
      </c>
      <c r="G1313" s="31">
        <f t="shared" si="40"/>
        <v>0</v>
      </c>
      <c r="H1313" s="19" t="s">
        <v>9</v>
      </c>
      <c r="I1313" s="3"/>
      <c r="J1313" s="42"/>
      <c r="K1313" s="3"/>
      <c r="M1313" s="20">
        <v>42154</v>
      </c>
      <c r="N1313" s="183">
        <v>22773</v>
      </c>
      <c r="O1313" s="14" t="s">
        <v>191</v>
      </c>
      <c r="P1313" s="105">
        <v>9360</v>
      </c>
      <c r="Q1313" s="23">
        <v>42154</v>
      </c>
      <c r="R1313" s="106">
        <v>9360</v>
      </c>
      <c r="S1313" s="31">
        <f t="shared" si="41"/>
        <v>0</v>
      </c>
      <c r="T1313" s="39" t="s">
        <v>9</v>
      </c>
    </row>
    <row r="1314" spans="1:20" x14ac:dyDescent="0.25">
      <c r="A1314" s="20">
        <v>42137</v>
      </c>
      <c r="B1314" s="183">
        <v>20888</v>
      </c>
      <c r="C1314" s="14" t="s">
        <v>854</v>
      </c>
      <c r="D1314" s="105">
        <v>4549.2</v>
      </c>
      <c r="E1314" s="23">
        <v>42138</v>
      </c>
      <c r="F1314" s="106">
        <v>4549.2</v>
      </c>
      <c r="G1314" s="31">
        <f t="shared" si="40"/>
        <v>0</v>
      </c>
      <c r="H1314" s="19" t="s">
        <v>9</v>
      </c>
      <c r="I1314" s="3"/>
      <c r="J1314" s="42"/>
      <c r="K1314" s="3"/>
      <c r="M1314" s="20">
        <v>42127</v>
      </c>
      <c r="N1314" s="183">
        <v>19876</v>
      </c>
      <c r="O1314" s="14" t="s">
        <v>43</v>
      </c>
      <c r="P1314" s="105">
        <v>6995.6</v>
      </c>
      <c r="Q1314" s="23">
        <v>42127</v>
      </c>
      <c r="R1314" s="106">
        <v>6995.6</v>
      </c>
      <c r="S1314" s="31">
        <f t="shared" si="41"/>
        <v>0</v>
      </c>
      <c r="T1314" s="19" t="s">
        <v>9</v>
      </c>
    </row>
    <row r="1315" spans="1:20" x14ac:dyDescent="0.25">
      <c r="A1315" s="20">
        <v>42137</v>
      </c>
      <c r="B1315" s="183">
        <v>20889</v>
      </c>
      <c r="C1315" s="14" t="s">
        <v>1190</v>
      </c>
      <c r="D1315" s="105">
        <v>2232</v>
      </c>
      <c r="E1315" s="23">
        <v>42137</v>
      </c>
      <c r="F1315" s="106">
        <v>2232</v>
      </c>
      <c r="G1315" s="31">
        <f t="shared" si="40"/>
        <v>0</v>
      </c>
      <c r="H1315" s="19" t="s">
        <v>9</v>
      </c>
      <c r="I1315" s="3"/>
      <c r="J1315" s="42"/>
      <c r="K1315" s="3"/>
      <c r="M1315" s="20">
        <v>42127</v>
      </c>
      <c r="N1315" s="183">
        <v>19877</v>
      </c>
      <c r="O1315" s="14" t="s">
        <v>43</v>
      </c>
      <c r="P1315" s="105">
        <v>2045.8</v>
      </c>
      <c r="Q1315" s="23">
        <v>42127</v>
      </c>
      <c r="R1315" s="106">
        <v>2045.8</v>
      </c>
      <c r="S1315" s="31">
        <f t="shared" si="41"/>
        <v>0</v>
      </c>
      <c r="T1315" s="19" t="s">
        <v>9</v>
      </c>
    </row>
    <row r="1316" spans="1:20" x14ac:dyDescent="0.25">
      <c r="A1316" s="20">
        <v>42137</v>
      </c>
      <c r="B1316" s="183">
        <v>20890</v>
      </c>
      <c r="C1316" s="14" t="s">
        <v>1172</v>
      </c>
      <c r="D1316" s="105">
        <v>8116.8</v>
      </c>
      <c r="E1316" s="23">
        <v>42137</v>
      </c>
      <c r="F1316" s="106">
        <v>8116.8</v>
      </c>
      <c r="G1316" s="31">
        <f t="shared" si="40"/>
        <v>0</v>
      </c>
      <c r="H1316" s="19" t="s">
        <v>9</v>
      </c>
      <c r="I1316" s="3"/>
      <c r="J1316" s="42"/>
      <c r="K1316" s="3"/>
      <c r="M1316" s="20">
        <v>42130</v>
      </c>
      <c r="N1316" s="183">
        <v>20206</v>
      </c>
      <c r="O1316" s="150" t="s">
        <v>43</v>
      </c>
      <c r="P1316" s="105">
        <v>780</v>
      </c>
      <c r="Q1316" s="23">
        <v>42130</v>
      </c>
      <c r="R1316" s="106">
        <v>780</v>
      </c>
      <c r="S1316" s="31">
        <f t="shared" si="41"/>
        <v>0</v>
      </c>
      <c r="T1316" s="39" t="s">
        <v>9</v>
      </c>
    </row>
    <row r="1317" spans="1:20" x14ac:dyDescent="0.25">
      <c r="A1317" s="20">
        <v>42137</v>
      </c>
      <c r="B1317" s="183">
        <v>20891</v>
      </c>
      <c r="C1317" s="14" t="s">
        <v>940</v>
      </c>
      <c r="D1317" s="105">
        <v>2473.8000000000002</v>
      </c>
      <c r="E1317" s="23">
        <v>42137</v>
      </c>
      <c r="F1317" s="106">
        <v>2473.8000000000002</v>
      </c>
      <c r="G1317" s="31">
        <f t="shared" si="40"/>
        <v>0</v>
      </c>
      <c r="H1317" s="19" t="s">
        <v>9</v>
      </c>
      <c r="I1317" s="3"/>
      <c r="J1317" s="42"/>
      <c r="K1317" s="3"/>
      <c r="M1317" s="20">
        <v>42132</v>
      </c>
      <c r="N1317" s="183">
        <v>20406</v>
      </c>
      <c r="O1317" s="14" t="s">
        <v>43</v>
      </c>
      <c r="P1317" s="105">
        <v>9630.65</v>
      </c>
      <c r="Q1317" s="23">
        <v>42132</v>
      </c>
      <c r="R1317" s="106">
        <v>9630.65</v>
      </c>
      <c r="S1317" s="31">
        <f t="shared" si="41"/>
        <v>0</v>
      </c>
      <c r="T1317" s="19" t="s">
        <v>9</v>
      </c>
    </row>
    <row r="1318" spans="1:20" x14ac:dyDescent="0.25">
      <c r="A1318" s="20">
        <v>42137</v>
      </c>
      <c r="B1318" s="183">
        <v>20892</v>
      </c>
      <c r="C1318" s="14" t="s">
        <v>47</v>
      </c>
      <c r="D1318" s="105">
        <v>56831.4</v>
      </c>
      <c r="E1318" s="23" t="s">
        <v>1386</v>
      </c>
      <c r="F1318" s="106">
        <f>50000+6831.4</f>
        <v>56831.4</v>
      </c>
      <c r="G1318" s="31">
        <f t="shared" si="40"/>
        <v>0</v>
      </c>
      <c r="H1318" s="19" t="s">
        <v>9</v>
      </c>
      <c r="I1318" s="3"/>
      <c r="J1318" s="42"/>
      <c r="K1318" s="3"/>
      <c r="M1318" s="20">
        <v>42136</v>
      </c>
      <c r="N1318" s="183">
        <v>20812</v>
      </c>
      <c r="O1318" s="14" t="s">
        <v>43</v>
      </c>
      <c r="P1318" s="105">
        <v>12134.14</v>
      </c>
      <c r="Q1318" s="23">
        <v>42136</v>
      </c>
      <c r="R1318" s="106">
        <v>12134.14</v>
      </c>
      <c r="S1318" s="31">
        <f t="shared" si="41"/>
        <v>0</v>
      </c>
      <c r="T1318" s="39" t="s">
        <v>9</v>
      </c>
    </row>
    <row r="1319" spans="1:20" x14ac:dyDescent="0.25">
      <c r="A1319" s="20">
        <v>42137</v>
      </c>
      <c r="B1319" s="183">
        <v>20893</v>
      </c>
      <c r="C1319" s="14" t="s">
        <v>169</v>
      </c>
      <c r="D1319" s="105">
        <v>2226</v>
      </c>
      <c r="E1319" s="23">
        <v>42137</v>
      </c>
      <c r="F1319" s="106">
        <v>2226</v>
      </c>
      <c r="G1319" s="31">
        <f t="shared" si="40"/>
        <v>0</v>
      </c>
      <c r="H1319" s="19" t="s">
        <v>9</v>
      </c>
      <c r="I1319" s="3"/>
      <c r="J1319" s="42"/>
      <c r="K1319" s="3"/>
      <c r="M1319" s="20">
        <v>42138</v>
      </c>
      <c r="N1319" s="183">
        <v>20961</v>
      </c>
      <c r="O1319" s="14" t="s">
        <v>43</v>
      </c>
      <c r="P1319" s="105">
        <v>10933</v>
      </c>
      <c r="Q1319" s="23">
        <v>42139</v>
      </c>
      <c r="R1319" s="106">
        <v>10933</v>
      </c>
      <c r="S1319" s="31">
        <f t="shared" si="41"/>
        <v>0</v>
      </c>
      <c r="T1319" s="19" t="s">
        <v>9</v>
      </c>
    </row>
    <row r="1320" spans="1:20" x14ac:dyDescent="0.25">
      <c r="A1320" s="20">
        <v>42137</v>
      </c>
      <c r="B1320" s="183">
        <v>20894</v>
      </c>
      <c r="C1320" s="14" t="s">
        <v>75</v>
      </c>
      <c r="D1320" s="105">
        <v>23841</v>
      </c>
      <c r="E1320" s="23">
        <v>42138</v>
      </c>
      <c r="F1320" s="106">
        <v>23841</v>
      </c>
      <c r="G1320" s="31">
        <f t="shared" si="40"/>
        <v>0</v>
      </c>
      <c r="H1320" s="19" t="s">
        <v>62</v>
      </c>
      <c r="I1320" s="3"/>
      <c r="J1320" s="42"/>
      <c r="K1320" s="3"/>
      <c r="M1320" s="20">
        <v>42139</v>
      </c>
      <c r="N1320" s="183">
        <v>21113</v>
      </c>
      <c r="O1320" s="14" t="s">
        <v>43</v>
      </c>
      <c r="P1320" s="105">
        <v>13890.94</v>
      </c>
      <c r="Q1320" s="23">
        <v>42139</v>
      </c>
      <c r="R1320" s="106">
        <v>13890.94</v>
      </c>
      <c r="S1320" s="48">
        <f t="shared" si="41"/>
        <v>0</v>
      </c>
      <c r="T1320" s="39" t="s">
        <v>9</v>
      </c>
    </row>
    <row r="1321" spans="1:20" x14ac:dyDescent="0.25">
      <c r="A1321" s="20">
        <v>42137</v>
      </c>
      <c r="B1321" s="183">
        <v>20895</v>
      </c>
      <c r="C1321" s="14" t="s">
        <v>53</v>
      </c>
      <c r="D1321" s="105">
        <v>724.2</v>
      </c>
      <c r="E1321" s="23">
        <v>42137</v>
      </c>
      <c r="F1321" s="106">
        <v>724.2</v>
      </c>
      <c r="G1321" s="31">
        <f t="shared" si="40"/>
        <v>0</v>
      </c>
      <c r="H1321" s="19" t="s">
        <v>1257</v>
      </c>
      <c r="I1321" s="3"/>
      <c r="J1321" s="42"/>
      <c r="K1321" s="3"/>
      <c r="M1321" s="20">
        <v>42141</v>
      </c>
      <c r="N1321" s="183">
        <v>21362</v>
      </c>
      <c r="O1321" s="14" t="s">
        <v>43</v>
      </c>
      <c r="P1321" s="105">
        <v>4530.6000000000004</v>
      </c>
      <c r="Q1321" s="23">
        <v>42141</v>
      </c>
      <c r="R1321" s="118">
        <v>4530.6000000000004</v>
      </c>
      <c r="S1321" s="31">
        <f t="shared" si="41"/>
        <v>0</v>
      </c>
      <c r="T1321" s="56" t="s">
        <v>9</v>
      </c>
    </row>
    <row r="1322" spans="1:20" x14ac:dyDescent="0.25">
      <c r="A1322" s="20">
        <v>42137</v>
      </c>
      <c r="B1322" s="183">
        <v>20896</v>
      </c>
      <c r="C1322" s="14" t="s">
        <v>1338</v>
      </c>
      <c r="D1322" s="105">
        <v>11957.2</v>
      </c>
      <c r="E1322" s="23">
        <v>42140</v>
      </c>
      <c r="F1322" s="106">
        <v>11957.2</v>
      </c>
      <c r="G1322" s="31">
        <f t="shared" si="40"/>
        <v>0</v>
      </c>
      <c r="H1322" s="19" t="s">
        <v>1257</v>
      </c>
      <c r="I1322" s="3"/>
      <c r="J1322" s="42"/>
      <c r="K1322" s="3"/>
      <c r="M1322" s="20">
        <v>42144</v>
      </c>
      <c r="N1322" s="183">
        <v>21715</v>
      </c>
      <c r="O1322" s="14" t="s">
        <v>43</v>
      </c>
      <c r="P1322" s="105">
        <v>4914.7</v>
      </c>
      <c r="Q1322" s="23">
        <v>42146</v>
      </c>
      <c r="R1322" s="106">
        <v>4914.7</v>
      </c>
      <c r="S1322" s="31">
        <f t="shared" si="41"/>
        <v>0</v>
      </c>
      <c r="T1322" s="39" t="s">
        <v>9</v>
      </c>
    </row>
    <row r="1323" spans="1:20" x14ac:dyDescent="0.25">
      <c r="A1323" s="20">
        <v>42137</v>
      </c>
      <c r="B1323" s="183">
        <v>20897</v>
      </c>
      <c r="C1323" s="14" t="s">
        <v>81</v>
      </c>
      <c r="D1323" s="105">
        <v>1519</v>
      </c>
      <c r="E1323" s="23">
        <v>42137</v>
      </c>
      <c r="F1323" s="106">
        <v>1519</v>
      </c>
      <c r="G1323" s="31">
        <f t="shared" si="40"/>
        <v>0</v>
      </c>
      <c r="H1323" s="19" t="s">
        <v>1257</v>
      </c>
      <c r="I1323" s="3"/>
      <c r="J1323" s="42"/>
      <c r="K1323" s="3"/>
      <c r="M1323" s="20">
        <v>42146</v>
      </c>
      <c r="N1323" s="183">
        <v>21899</v>
      </c>
      <c r="O1323" s="14" t="s">
        <v>43</v>
      </c>
      <c r="P1323" s="105">
        <v>5376.22</v>
      </c>
      <c r="Q1323" s="23">
        <v>42146</v>
      </c>
      <c r="R1323" s="106">
        <v>5376.22</v>
      </c>
      <c r="S1323" s="31">
        <f t="shared" si="41"/>
        <v>0</v>
      </c>
      <c r="T1323" s="39" t="s">
        <v>9</v>
      </c>
    </row>
    <row r="1324" spans="1:20" x14ac:dyDescent="0.25">
      <c r="A1324" s="20">
        <v>42137</v>
      </c>
      <c r="B1324" s="183">
        <v>20898</v>
      </c>
      <c r="C1324" s="14" t="s">
        <v>729</v>
      </c>
      <c r="D1324" s="105">
        <v>1591.2</v>
      </c>
      <c r="E1324" s="23">
        <v>42137</v>
      </c>
      <c r="F1324" s="106">
        <v>1591.2</v>
      </c>
      <c r="G1324" s="31">
        <f t="shared" si="40"/>
        <v>0</v>
      </c>
      <c r="H1324" s="19" t="s">
        <v>1257</v>
      </c>
      <c r="I1324" s="3"/>
      <c r="J1324" s="42"/>
      <c r="K1324" s="3"/>
      <c r="M1324" s="20">
        <v>42150</v>
      </c>
      <c r="N1324" s="183">
        <v>22280</v>
      </c>
      <c r="O1324" s="14" t="s">
        <v>43</v>
      </c>
      <c r="P1324" s="105">
        <v>12476.2</v>
      </c>
      <c r="Q1324" s="65">
        <v>42150</v>
      </c>
      <c r="R1324" s="106">
        <v>12476.2</v>
      </c>
      <c r="S1324" s="31">
        <f t="shared" si="41"/>
        <v>0</v>
      </c>
      <c r="T1324" s="39" t="s">
        <v>9</v>
      </c>
    </row>
    <row r="1325" spans="1:20" x14ac:dyDescent="0.25">
      <c r="A1325" s="20">
        <v>42137</v>
      </c>
      <c r="B1325" s="183">
        <v>20899</v>
      </c>
      <c r="C1325" s="14" t="s">
        <v>82</v>
      </c>
      <c r="D1325" s="105">
        <v>2220</v>
      </c>
      <c r="E1325" s="23">
        <v>42137</v>
      </c>
      <c r="F1325" s="106">
        <v>2220</v>
      </c>
      <c r="G1325" s="31">
        <f t="shared" si="40"/>
        <v>0</v>
      </c>
      <c r="H1325" s="19" t="s">
        <v>1257</v>
      </c>
      <c r="I1325" s="3"/>
      <c r="J1325" s="42"/>
      <c r="K1325" s="3"/>
      <c r="M1325" s="20">
        <v>42152</v>
      </c>
      <c r="N1325" s="183">
        <v>22455</v>
      </c>
      <c r="O1325" s="14" t="s">
        <v>43</v>
      </c>
      <c r="P1325" s="105">
        <v>5873.04</v>
      </c>
      <c r="Q1325" s="23">
        <v>42152</v>
      </c>
      <c r="R1325" s="106">
        <v>5873.04</v>
      </c>
      <c r="S1325" s="31">
        <f t="shared" si="41"/>
        <v>0</v>
      </c>
      <c r="T1325" s="39" t="s">
        <v>9</v>
      </c>
    </row>
    <row r="1326" spans="1:20" x14ac:dyDescent="0.25">
      <c r="A1326" s="20">
        <v>42137</v>
      </c>
      <c r="B1326" s="183">
        <v>20900</v>
      </c>
      <c r="C1326" s="14" t="s">
        <v>906</v>
      </c>
      <c r="D1326" s="105">
        <v>1098</v>
      </c>
      <c r="E1326" s="23">
        <v>42137</v>
      </c>
      <c r="F1326" s="106">
        <v>1098</v>
      </c>
      <c r="G1326" s="31">
        <f t="shared" si="40"/>
        <v>0</v>
      </c>
      <c r="H1326" s="19" t="s">
        <v>41</v>
      </c>
      <c r="I1326" s="3"/>
      <c r="J1326" s="42"/>
      <c r="K1326" s="3"/>
      <c r="M1326" s="20">
        <v>42152</v>
      </c>
      <c r="N1326" s="183">
        <v>22462</v>
      </c>
      <c r="O1326" s="14" t="s">
        <v>43</v>
      </c>
      <c r="P1326" s="105">
        <v>1395</v>
      </c>
      <c r="Q1326" s="23">
        <v>42152</v>
      </c>
      <c r="R1326" s="106">
        <v>1395</v>
      </c>
      <c r="S1326" s="31">
        <f t="shared" si="41"/>
        <v>0</v>
      </c>
      <c r="T1326" s="39" t="s">
        <v>9</v>
      </c>
    </row>
    <row r="1327" spans="1:20" x14ac:dyDescent="0.25">
      <c r="A1327" s="20">
        <v>42137</v>
      </c>
      <c r="B1327" s="183">
        <v>20901</v>
      </c>
      <c r="C1327" s="14" t="s">
        <v>1142</v>
      </c>
      <c r="D1327" s="105">
        <v>2526</v>
      </c>
      <c r="E1327" s="23">
        <v>42137</v>
      </c>
      <c r="F1327" s="106">
        <v>2526</v>
      </c>
      <c r="G1327" s="31">
        <f t="shared" si="40"/>
        <v>0</v>
      </c>
      <c r="H1327" s="19" t="s">
        <v>62</v>
      </c>
      <c r="I1327" s="3"/>
      <c r="J1327" s="42"/>
      <c r="K1327" s="3"/>
      <c r="M1327" s="20">
        <v>42153</v>
      </c>
      <c r="N1327" s="183">
        <v>22558</v>
      </c>
      <c r="O1327" s="14" t="s">
        <v>43</v>
      </c>
      <c r="P1327" s="105">
        <v>9328.7999999999993</v>
      </c>
      <c r="Q1327" s="23">
        <v>42153</v>
      </c>
      <c r="R1327" s="106">
        <v>9328.7999999999993</v>
      </c>
      <c r="S1327" s="31">
        <f t="shared" si="41"/>
        <v>0</v>
      </c>
      <c r="T1327" s="39" t="s">
        <v>9</v>
      </c>
    </row>
    <row r="1328" spans="1:20" x14ac:dyDescent="0.25">
      <c r="A1328" s="20">
        <v>42137</v>
      </c>
      <c r="B1328" s="183">
        <v>20902</v>
      </c>
      <c r="C1328" s="14" t="s">
        <v>1295</v>
      </c>
      <c r="D1328" s="105">
        <v>2242.5</v>
      </c>
      <c r="E1328" s="23">
        <v>42137</v>
      </c>
      <c r="F1328" s="106">
        <v>2242.5</v>
      </c>
      <c r="G1328" s="31">
        <f t="shared" si="40"/>
        <v>0</v>
      </c>
      <c r="H1328" s="19" t="s">
        <v>1257</v>
      </c>
      <c r="I1328" s="3"/>
      <c r="J1328" s="42"/>
      <c r="K1328" s="3"/>
      <c r="M1328" s="20">
        <v>42155</v>
      </c>
      <c r="N1328" s="183">
        <v>22792</v>
      </c>
      <c r="O1328" s="14" t="s">
        <v>43</v>
      </c>
      <c r="P1328" s="105">
        <v>13672.8</v>
      </c>
      <c r="Q1328" s="23">
        <v>42155</v>
      </c>
      <c r="R1328" s="106">
        <v>13672.8</v>
      </c>
      <c r="S1328" s="31">
        <f t="shared" si="41"/>
        <v>0</v>
      </c>
      <c r="T1328" s="39" t="s">
        <v>9</v>
      </c>
    </row>
    <row r="1329" spans="1:20" x14ac:dyDescent="0.25">
      <c r="A1329" s="20">
        <v>42137</v>
      </c>
      <c r="B1329" s="183">
        <v>20903</v>
      </c>
      <c r="C1329" s="14" t="s">
        <v>114</v>
      </c>
      <c r="D1329" s="105">
        <v>1409.6</v>
      </c>
      <c r="E1329" s="23">
        <v>42137</v>
      </c>
      <c r="F1329" s="106">
        <v>1409.6</v>
      </c>
      <c r="G1329" s="31">
        <f t="shared" si="40"/>
        <v>0</v>
      </c>
      <c r="H1329" s="19" t="s">
        <v>9</v>
      </c>
      <c r="I1329" s="3"/>
      <c r="J1329" s="42"/>
      <c r="K1329" s="3"/>
      <c r="M1329" s="20">
        <v>42139</v>
      </c>
      <c r="N1329" s="183">
        <v>21123</v>
      </c>
      <c r="O1329" s="14" t="s">
        <v>1389</v>
      </c>
      <c r="P1329" s="105">
        <v>722.8</v>
      </c>
      <c r="Q1329" s="23">
        <v>42139</v>
      </c>
      <c r="R1329" s="106">
        <v>722.8</v>
      </c>
      <c r="S1329" s="48">
        <f t="shared" si="41"/>
        <v>0</v>
      </c>
      <c r="T1329" s="39" t="s">
        <v>59</v>
      </c>
    </row>
    <row r="1330" spans="1:20" x14ac:dyDescent="0.25">
      <c r="A1330" s="20">
        <v>42137</v>
      </c>
      <c r="B1330" s="183">
        <v>20904</v>
      </c>
      <c r="C1330" s="14" t="s">
        <v>67</v>
      </c>
      <c r="D1330" s="105">
        <v>2740.8</v>
      </c>
      <c r="E1330" s="23">
        <v>42138</v>
      </c>
      <c r="F1330" s="106">
        <v>2740.8</v>
      </c>
      <c r="G1330" s="31">
        <f t="shared" si="40"/>
        <v>0</v>
      </c>
      <c r="H1330" s="19" t="s">
        <v>62</v>
      </c>
      <c r="K1330" s="3"/>
      <c r="M1330" s="20">
        <v>42152</v>
      </c>
      <c r="N1330" s="183">
        <v>22437</v>
      </c>
      <c r="O1330" s="14" t="s">
        <v>1390</v>
      </c>
      <c r="P1330" s="105">
        <v>2437.1999999999998</v>
      </c>
      <c r="Q1330" s="23">
        <v>42152</v>
      </c>
      <c r="R1330" s="106">
        <v>2437.1999999999998</v>
      </c>
      <c r="S1330" s="31">
        <f t="shared" si="41"/>
        <v>0</v>
      </c>
      <c r="T1330" s="39" t="s">
        <v>9</v>
      </c>
    </row>
    <row r="1331" spans="1:20" x14ac:dyDescent="0.25">
      <c r="A1331" s="20">
        <v>42137</v>
      </c>
      <c r="B1331" s="183">
        <v>20905</v>
      </c>
      <c r="C1331" s="14" t="s">
        <v>78</v>
      </c>
      <c r="D1331" s="105">
        <v>6240</v>
      </c>
      <c r="E1331" s="23">
        <v>42138</v>
      </c>
      <c r="F1331" s="106">
        <v>6240</v>
      </c>
      <c r="G1331" s="31">
        <f t="shared" si="40"/>
        <v>0</v>
      </c>
      <c r="H1331" s="19" t="s">
        <v>62</v>
      </c>
      <c r="K1331" s="3"/>
      <c r="M1331" s="20">
        <v>42128</v>
      </c>
      <c r="N1331" s="183">
        <v>20010</v>
      </c>
      <c r="O1331" s="14" t="s">
        <v>1140</v>
      </c>
      <c r="P1331" s="105">
        <v>4217.3999999999996</v>
      </c>
      <c r="Q1331" s="23">
        <v>42130</v>
      </c>
      <c r="R1331" s="106">
        <v>4217.3999999999996</v>
      </c>
      <c r="S1331" s="31">
        <f t="shared" si="41"/>
        <v>0</v>
      </c>
      <c r="T1331" s="19" t="s">
        <v>149</v>
      </c>
    </row>
    <row r="1332" spans="1:20" x14ac:dyDescent="0.25">
      <c r="A1332" s="20">
        <v>42137</v>
      </c>
      <c r="B1332" s="183">
        <v>20906</v>
      </c>
      <c r="C1332" s="14" t="s">
        <v>84</v>
      </c>
      <c r="D1332" s="105">
        <v>13517.4</v>
      </c>
      <c r="E1332" s="30" t="s">
        <v>1391</v>
      </c>
      <c r="F1332" s="106">
        <v>13517.4</v>
      </c>
      <c r="G1332" s="31">
        <f t="shared" si="40"/>
        <v>0</v>
      </c>
      <c r="H1332" s="19" t="s">
        <v>62</v>
      </c>
      <c r="K1332" s="3"/>
      <c r="M1332" s="20">
        <v>42128</v>
      </c>
      <c r="N1332" s="183">
        <v>20013</v>
      </c>
      <c r="O1332" s="14" t="s">
        <v>1140</v>
      </c>
      <c r="P1332" s="105">
        <v>6582.4</v>
      </c>
      <c r="Q1332" s="23">
        <v>42130</v>
      </c>
      <c r="R1332" s="106">
        <v>6582.4</v>
      </c>
      <c r="S1332" s="31">
        <f t="shared" si="41"/>
        <v>0</v>
      </c>
      <c r="T1332" s="19" t="s">
        <v>149</v>
      </c>
    </row>
    <row r="1333" spans="1:20" x14ac:dyDescent="0.25">
      <c r="A1333" s="20">
        <v>42137</v>
      </c>
      <c r="B1333" s="183">
        <v>20907</v>
      </c>
      <c r="C1333" s="14" t="s">
        <v>35</v>
      </c>
      <c r="D1333" s="105">
        <v>24459.87</v>
      </c>
      <c r="E1333" s="23">
        <v>42137</v>
      </c>
      <c r="F1333" s="106">
        <v>24459.87</v>
      </c>
      <c r="G1333" s="31">
        <f t="shared" si="40"/>
        <v>0</v>
      </c>
      <c r="H1333" s="19" t="s">
        <v>46</v>
      </c>
      <c r="K1333" s="3"/>
      <c r="M1333" s="20">
        <v>42135</v>
      </c>
      <c r="N1333" s="183">
        <v>20764</v>
      </c>
      <c r="O1333" s="14" t="s">
        <v>1140</v>
      </c>
      <c r="P1333" s="105">
        <v>4243.8</v>
      </c>
      <c r="Q1333" s="23">
        <v>42137</v>
      </c>
      <c r="R1333" s="106">
        <v>4243.8</v>
      </c>
      <c r="S1333" s="31">
        <f t="shared" si="41"/>
        <v>0</v>
      </c>
      <c r="T1333" s="19" t="s">
        <v>149</v>
      </c>
    </row>
    <row r="1334" spans="1:20" x14ac:dyDescent="0.25">
      <c r="A1334" s="20">
        <v>42137</v>
      </c>
      <c r="B1334" s="183">
        <v>20908</v>
      </c>
      <c r="C1334" s="14" t="s">
        <v>226</v>
      </c>
      <c r="D1334" s="105">
        <v>8033.2</v>
      </c>
      <c r="E1334" s="23">
        <v>42138</v>
      </c>
      <c r="F1334" s="106">
        <v>8033.2</v>
      </c>
      <c r="G1334" s="31">
        <f t="shared" si="40"/>
        <v>0</v>
      </c>
      <c r="H1334" s="19" t="s">
        <v>41</v>
      </c>
      <c r="K1334" s="3"/>
      <c r="M1334" s="20">
        <v>42138</v>
      </c>
      <c r="N1334" s="183">
        <v>21043</v>
      </c>
      <c r="O1334" s="14" t="s">
        <v>1140</v>
      </c>
      <c r="P1334" s="105">
        <v>4762</v>
      </c>
      <c r="Q1334" s="23">
        <v>42140</v>
      </c>
      <c r="R1334" s="106">
        <v>4762</v>
      </c>
      <c r="S1334" s="48">
        <f t="shared" si="41"/>
        <v>0</v>
      </c>
      <c r="T1334" s="39" t="s">
        <v>149</v>
      </c>
    </row>
    <row r="1335" spans="1:20" x14ac:dyDescent="0.25">
      <c r="A1335" s="20">
        <v>42137</v>
      </c>
      <c r="B1335" s="183">
        <v>20909</v>
      </c>
      <c r="C1335" s="14" t="s">
        <v>173</v>
      </c>
      <c r="D1335" s="105">
        <v>20113</v>
      </c>
      <c r="E1335" s="30" t="s">
        <v>1478</v>
      </c>
      <c r="F1335" s="106">
        <v>20113</v>
      </c>
      <c r="G1335" s="31">
        <f t="shared" si="40"/>
        <v>0</v>
      </c>
      <c r="H1335" s="19" t="s">
        <v>62</v>
      </c>
      <c r="K1335" s="3"/>
      <c r="M1335" s="20">
        <v>42149</v>
      </c>
      <c r="N1335" s="183">
        <v>22248</v>
      </c>
      <c r="O1335" s="14" t="s">
        <v>1140</v>
      </c>
      <c r="P1335" s="105">
        <v>8757.4</v>
      </c>
      <c r="Q1335" s="65">
        <v>42151</v>
      </c>
      <c r="R1335" s="106">
        <v>8757.4</v>
      </c>
      <c r="S1335" s="31">
        <f t="shared" si="41"/>
        <v>0</v>
      </c>
      <c r="T1335" s="39" t="s">
        <v>1273</v>
      </c>
    </row>
    <row r="1336" spans="1:20" x14ac:dyDescent="0.25">
      <c r="A1336" s="20">
        <v>42137</v>
      </c>
      <c r="B1336" s="183">
        <v>20910</v>
      </c>
      <c r="C1336" s="14" t="s">
        <v>1069</v>
      </c>
      <c r="D1336" s="105">
        <v>2004</v>
      </c>
      <c r="E1336" s="23">
        <v>42137</v>
      </c>
      <c r="F1336" s="106">
        <v>2004</v>
      </c>
      <c r="G1336" s="31">
        <f t="shared" si="40"/>
        <v>0</v>
      </c>
      <c r="H1336" s="19" t="s">
        <v>46</v>
      </c>
      <c r="K1336" s="3"/>
      <c r="M1336" s="20">
        <v>42152</v>
      </c>
      <c r="N1336" s="183">
        <v>22528</v>
      </c>
      <c r="O1336" s="14" t="s">
        <v>1140</v>
      </c>
      <c r="P1336" s="105">
        <v>3999.6</v>
      </c>
      <c r="Q1336" s="23">
        <v>42154</v>
      </c>
      <c r="R1336" s="106">
        <v>3999.6</v>
      </c>
      <c r="S1336" s="31">
        <f t="shared" si="41"/>
        <v>0</v>
      </c>
      <c r="T1336" s="39" t="s">
        <v>149</v>
      </c>
    </row>
    <row r="1337" spans="1:20" x14ac:dyDescent="0.25">
      <c r="A1337" s="20">
        <v>42137</v>
      </c>
      <c r="B1337" s="183">
        <v>20911</v>
      </c>
      <c r="C1337" s="14" t="s">
        <v>170</v>
      </c>
      <c r="D1337" s="105">
        <v>5211</v>
      </c>
      <c r="E1337" s="23">
        <v>42138</v>
      </c>
      <c r="F1337" s="106">
        <v>5211</v>
      </c>
      <c r="G1337" s="31">
        <f t="shared" si="40"/>
        <v>0</v>
      </c>
      <c r="H1337" s="19" t="s">
        <v>62</v>
      </c>
      <c r="K1337" s="3"/>
      <c r="M1337" s="20">
        <v>42125</v>
      </c>
      <c r="N1337" s="183">
        <v>19596</v>
      </c>
      <c r="O1337" s="14" t="s">
        <v>56</v>
      </c>
      <c r="P1337" s="105">
        <v>6984.4</v>
      </c>
      <c r="Q1337" s="23">
        <v>42125</v>
      </c>
      <c r="R1337" s="106">
        <v>6984.4</v>
      </c>
      <c r="S1337" s="25">
        <f t="shared" si="41"/>
        <v>0</v>
      </c>
      <c r="T1337" s="19" t="s">
        <v>773</v>
      </c>
    </row>
    <row r="1338" spans="1:20" x14ac:dyDescent="0.25">
      <c r="A1338" s="20">
        <v>42137</v>
      </c>
      <c r="B1338" s="183">
        <v>20912</v>
      </c>
      <c r="C1338" s="14" t="s">
        <v>165</v>
      </c>
      <c r="D1338" s="105">
        <v>2516.35</v>
      </c>
      <c r="E1338" s="23">
        <v>42137</v>
      </c>
      <c r="F1338" s="106">
        <v>2516.35</v>
      </c>
      <c r="G1338" s="31">
        <f t="shared" si="40"/>
        <v>0</v>
      </c>
      <c r="H1338" s="19" t="s">
        <v>1257</v>
      </c>
      <c r="K1338" s="3"/>
      <c r="M1338" s="20">
        <v>42126</v>
      </c>
      <c r="N1338" s="183">
        <v>19742</v>
      </c>
      <c r="O1338" s="40" t="s">
        <v>56</v>
      </c>
      <c r="P1338" s="105">
        <v>12608.8</v>
      </c>
      <c r="Q1338" s="23">
        <v>42126</v>
      </c>
      <c r="R1338" s="106">
        <v>12608.8</v>
      </c>
      <c r="S1338" s="25">
        <f t="shared" si="41"/>
        <v>0</v>
      </c>
      <c r="T1338" s="41" t="s">
        <v>773</v>
      </c>
    </row>
    <row r="1339" spans="1:20" x14ac:dyDescent="0.25">
      <c r="A1339" s="20">
        <v>42137</v>
      </c>
      <c r="B1339" s="183">
        <v>20913</v>
      </c>
      <c r="C1339" s="14" t="s">
        <v>128</v>
      </c>
      <c r="D1339" s="105">
        <v>6345</v>
      </c>
      <c r="E1339" s="23">
        <v>42138</v>
      </c>
      <c r="F1339" s="106">
        <v>6345</v>
      </c>
      <c r="G1339" s="31">
        <f t="shared" si="40"/>
        <v>0</v>
      </c>
      <c r="H1339" s="19" t="s">
        <v>1257</v>
      </c>
      <c r="K1339" s="3"/>
      <c r="M1339" s="20">
        <v>42129</v>
      </c>
      <c r="N1339" s="183">
        <v>20050</v>
      </c>
      <c r="O1339" s="150" t="s">
        <v>56</v>
      </c>
      <c r="P1339" s="105">
        <v>10200.200000000001</v>
      </c>
      <c r="Q1339" s="23">
        <v>42129</v>
      </c>
      <c r="R1339" s="106">
        <v>10200.200000000001</v>
      </c>
      <c r="S1339" s="31">
        <f t="shared" si="41"/>
        <v>0</v>
      </c>
      <c r="T1339" s="39" t="s">
        <v>9</v>
      </c>
    </row>
    <row r="1340" spans="1:20" x14ac:dyDescent="0.25">
      <c r="A1340" s="20">
        <v>42137</v>
      </c>
      <c r="B1340" s="183">
        <v>20914</v>
      </c>
      <c r="C1340" s="14" t="s">
        <v>56</v>
      </c>
      <c r="D1340" s="105">
        <v>5684.8</v>
      </c>
      <c r="E1340" s="23">
        <v>42137</v>
      </c>
      <c r="F1340" s="106">
        <v>5684.8</v>
      </c>
      <c r="G1340" s="31">
        <f t="shared" si="40"/>
        <v>0</v>
      </c>
      <c r="H1340" s="19" t="s">
        <v>46</v>
      </c>
      <c r="K1340" s="3"/>
      <c r="M1340" s="20">
        <v>42129</v>
      </c>
      <c r="N1340" s="183">
        <v>20052</v>
      </c>
      <c r="O1340" s="14" t="s">
        <v>56</v>
      </c>
      <c r="P1340" s="105">
        <v>1057.4000000000001</v>
      </c>
      <c r="Q1340" s="23">
        <v>42129</v>
      </c>
      <c r="R1340" s="106">
        <v>1057.4000000000001</v>
      </c>
      <c r="S1340" s="31">
        <f t="shared" si="41"/>
        <v>0</v>
      </c>
      <c r="T1340" s="39" t="s">
        <v>9</v>
      </c>
    </row>
    <row r="1341" spans="1:20" x14ac:dyDescent="0.25">
      <c r="A1341" s="20">
        <v>42137</v>
      </c>
      <c r="B1341" s="183">
        <v>20915</v>
      </c>
      <c r="C1341" s="14" t="s">
        <v>77</v>
      </c>
      <c r="D1341" s="105">
        <v>11417.8</v>
      </c>
      <c r="E1341" s="23">
        <v>42138</v>
      </c>
      <c r="F1341" s="106">
        <v>11417.8</v>
      </c>
      <c r="G1341" s="31">
        <f t="shared" si="40"/>
        <v>0</v>
      </c>
      <c r="H1341" s="19" t="s">
        <v>62</v>
      </c>
      <c r="K1341" s="3"/>
      <c r="M1341" s="20">
        <v>42131</v>
      </c>
      <c r="N1341" s="183">
        <v>20273</v>
      </c>
      <c r="O1341" s="14" t="s">
        <v>56</v>
      </c>
      <c r="P1341" s="105">
        <v>12873.2</v>
      </c>
      <c r="Q1341" s="23">
        <v>42132</v>
      </c>
      <c r="R1341" s="106">
        <v>12873.2</v>
      </c>
      <c r="S1341" s="31">
        <f t="shared" si="41"/>
        <v>0</v>
      </c>
      <c r="T1341" s="19" t="s">
        <v>773</v>
      </c>
    </row>
    <row r="1342" spans="1:20" x14ac:dyDescent="0.25">
      <c r="A1342" s="20">
        <v>42137</v>
      </c>
      <c r="B1342" s="183">
        <v>20916</v>
      </c>
      <c r="C1342" s="14" t="s">
        <v>77</v>
      </c>
      <c r="D1342" s="105">
        <v>7210</v>
      </c>
      <c r="E1342" s="23">
        <v>42138</v>
      </c>
      <c r="F1342" s="106">
        <v>7210</v>
      </c>
      <c r="G1342" s="31">
        <f t="shared" si="40"/>
        <v>0</v>
      </c>
      <c r="H1342" s="19" t="s">
        <v>62</v>
      </c>
      <c r="K1342" s="3"/>
      <c r="M1342" s="20">
        <v>42132</v>
      </c>
      <c r="N1342" s="183">
        <v>20410</v>
      </c>
      <c r="O1342" s="14" t="s">
        <v>56</v>
      </c>
      <c r="P1342" s="105">
        <v>5654.4</v>
      </c>
      <c r="Q1342" s="23">
        <v>42133</v>
      </c>
      <c r="R1342" s="106">
        <v>5654.4</v>
      </c>
      <c r="S1342" s="31">
        <f t="shared" si="41"/>
        <v>0</v>
      </c>
      <c r="T1342" s="19" t="s">
        <v>773</v>
      </c>
    </row>
    <row r="1343" spans="1:20" x14ac:dyDescent="0.25">
      <c r="A1343" s="20">
        <v>42137</v>
      </c>
      <c r="B1343" s="183">
        <v>20917</v>
      </c>
      <c r="C1343" s="14" t="s">
        <v>28</v>
      </c>
      <c r="D1343" s="105">
        <v>2248.4</v>
      </c>
      <c r="E1343" s="23">
        <v>42137</v>
      </c>
      <c r="F1343" s="106">
        <v>2248.4</v>
      </c>
      <c r="G1343" s="31">
        <f t="shared" si="40"/>
        <v>0</v>
      </c>
      <c r="H1343" s="19" t="s">
        <v>46</v>
      </c>
      <c r="K1343" s="3"/>
      <c r="M1343" s="20">
        <v>42133</v>
      </c>
      <c r="N1343" s="183">
        <v>20517</v>
      </c>
      <c r="O1343" s="14" t="s">
        <v>56</v>
      </c>
      <c r="P1343" s="105">
        <v>8284</v>
      </c>
      <c r="Q1343" s="23">
        <v>42133</v>
      </c>
      <c r="R1343" s="106">
        <v>8284</v>
      </c>
      <c r="S1343" s="31">
        <f t="shared" si="41"/>
        <v>0</v>
      </c>
      <c r="T1343" s="19" t="s">
        <v>773</v>
      </c>
    </row>
    <row r="1344" spans="1:20" x14ac:dyDescent="0.25">
      <c r="A1344" s="20">
        <v>42137</v>
      </c>
      <c r="B1344" s="183">
        <v>20918</v>
      </c>
      <c r="C1344" s="14" t="s">
        <v>431</v>
      </c>
      <c r="D1344" s="105">
        <v>3579.8</v>
      </c>
      <c r="E1344" s="23">
        <v>42137</v>
      </c>
      <c r="F1344" s="106">
        <v>3579.8</v>
      </c>
      <c r="G1344" s="31">
        <f t="shared" si="40"/>
        <v>0</v>
      </c>
      <c r="H1344" s="19" t="s">
        <v>9</v>
      </c>
      <c r="J1344" s="107"/>
      <c r="K1344" s="3"/>
      <c r="M1344" s="20">
        <v>42134</v>
      </c>
      <c r="N1344" s="183">
        <v>20640</v>
      </c>
      <c r="O1344" s="14" t="s">
        <v>56</v>
      </c>
      <c r="P1344" s="105">
        <v>5758.8</v>
      </c>
      <c r="Q1344" s="23">
        <v>42135</v>
      </c>
      <c r="R1344" s="106">
        <v>5758.8</v>
      </c>
      <c r="S1344" s="31">
        <f t="shared" si="41"/>
        <v>0</v>
      </c>
      <c r="T1344" s="39" t="s">
        <v>773</v>
      </c>
    </row>
    <row r="1345" spans="1:20" x14ac:dyDescent="0.25">
      <c r="A1345" s="20">
        <v>42137</v>
      </c>
      <c r="B1345" s="183">
        <v>20919</v>
      </c>
      <c r="C1345" s="14" t="s">
        <v>444</v>
      </c>
      <c r="D1345" s="105">
        <v>20091.349999999999</v>
      </c>
      <c r="E1345" s="23">
        <v>42138</v>
      </c>
      <c r="F1345" s="106">
        <v>20091.349999999999</v>
      </c>
      <c r="G1345" s="31">
        <f t="shared" si="40"/>
        <v>0</v>
      </c>
      <c r="H1345" s="19" t="s">
        <v>62</v>
      </c>
      <c r="J1345" s="107"/>
      <c r="K1345" s="3"/>
      <c r="M1345" s="20">
        <v>42135</v>
      </c>
      <c r="N1345" s="183">
        <v>20692</v>
      </c>
      <c r="O1345" s="14" t="s">
        <v>56</v>
      </c>
      <c r="P1345" s="105">
        <v>9996</v>
      </c>
      <c r="Q1345" s="23">
        <v>42136</v>
      </c>
      <c r="R1345" s="106">
        <v>9996</v>
      </c>
      <c r="S1345" s="31">
        <f t="shared" si="41"/>
        <v>0</v>
      </c>
      <c r="T1345" s="39" t="s">
        <v>41</v>
      </c>
    </row>
    <row r="1346" spans="1:20" x14ac:dyDescent="0.25">
      <c r="A1346" s="20">
        <v>42137</v>
      </c>
      <c r="B1346" s="183">
        <v>20920</v>
      </c>
      <c r="C1346" s="14" t="s">
        <v>256</v>
      </c>
      <c r="D1346" s="105">
        <v>3649.8</v>
      </c>
      <c r="E1346" s="23">
        <v>42137</v>
      </c>
      <c r="F1346" s="106">
        <v>3649.8</v>
      </c>
      <c r="G1346" s="48">
        <f t="shared" si="40"/>
        <v>0</v>
      </c>
      <c r="H1346" s="19" t="s">
        <v>46</v>
      </c>
      <c r="J1346" s="107"/>
      <c r="K1346" s="3"/>
      <c r="M1346" s="20">
        <v>42137</v>
      </c>
      <c r="N1346" s="183">
        <v>20914</v>
      </c>
      <c r="O1346" s="14" t="s">
        <v>56</v>
      </c>
      <c r="P1346" s="105">
        <v>5684.8</v>
      </c>
      <c r="Q1346" s="23">
        <v>42137</v>
      </c>
      <c r="R1346" s="106">
        <v>5684.8</v>
      </c>
      <c r="S1346" s="31">
        <f t="shared" si="41"/>
        <v>0</v>
      </c>
      <c r="T1346" s="19" t="s">
        <v>46</v>
      </c>
    </row>
    <row r="1347" spans="1:20" x14ac:dyDescent="0.25">
      <c r="A1347" s="20">
        <v>42137</v>
      </c>
      <c r="B1347" s="183">
        <v>20921</v>
      </c>
      <c r="C1347" s="14" t="s">
        <v>256</v>
      </c>
      <c r="D1347" s="105">
        <v>521.4</v>
      </c>
      <c r="E1347" s="23">
        <v>42137</v>
      </c>
      <c r="F1347" s="106">
        <v>521.4</v>
      </c>
      <c r="G1347" s="31">
        <f t="shared" ref="G1347:G1410" si="42">D1347-F1347</f>
        <v>0</v>
      </c>
      <c r="H1347" s="19" t="s">
        <v>46</v>
      </c>
      <c r="J1347" s="107"/>
      <c r="K1347" s="3"/>
      <c r="M1347" s="20">
        <v>42138</v>
      </c>
      <c r="N1347" s="183">
        <v>21039</v>
      </c>
      <c r="O1347" s="14" t="s">
        <v>56</v>
      </c>
      <c r="P1347" s="105">
        <v>7592.4</v>
      </c>
      <c r="Q1347" s="23">
        <v>42139</v>
      </c>
      <c r="R1347" s="106">
        <v>7592.4</v>
      </c>
      <c r="S1347" s="48">
        <f t="shared" ref="S1347:S1410" si="43">P1347-R1347</f>
        <v>0</v>
      </c>
      <c r="T1347" s="39" t="s">
        <v>62</v>
      </c>
    </row>
    <row r="1348" spans="1:20" x14ac:dyDescent="0.25">
      <c r="A1348" s="20">
        <v>42137</v>
      </c>
      <c r="B1348" s="183">
        <v>20922</v>
      </c>
      <c r="C1348" s="14" t="s">
        <v>78</v>
      </c>
      <c r="D1348" s="105">
        <v>1256.7</v>
      </c>
      <c r="E1348" s="23">
        <v>42138</v>
      </c>
      <c r="F1348" s="106">
        <v>1256.7</v>
      </c>
      <c r="G1348" s="31">
        <f t="shared" si="42"/>
        <v>0</v>
      </c>
      <c r="H1348" s="19" t="s">
        <v>62</v>
      </c>
      <c r="J1348" s="107"/>
      <c r="K1348" s="3"/>
      <c r="M1348" s="20">
        <v>42139</v>
      </c>
      <c r="N1348" s="183">
        <v>21090</v>
      </c>
      <c r="O1348" s="14" t="s">
        <v>56</v>
      </c>
      <c r="P1348" s="105">
        <v>4134.3999999999996</v>
      </c>
      <c r="Q1348" s="23">
        <v>42139</v>
      </c>
      <c r="R1348" s="106">
        <v>4134.3999999999996</v>
      </c>
      <c r="S1348" s="48">
        <f t="shared" si="43"/>
        <v>0</v>
      </c>
      <c r="T1348" s="39" t="s">
        <v>773</v>
      </c>
    </row>
    <row r="1349" spans="1:20" x14ac:dyDescent="0.25">
      <c r="A1349" s="20">
        <v>42137</v>
      </c>
      <c r="B1349" s="183">
        <v>20923</v>
      </c>
      <c r="C1349" s="14" t="s">
        <v>61</v>
      </c>
      <c r="D1349" s="105">
        <v>3389</v>
      </c>
      <c r="E1349" s="23">
        <v>42138</v>
      </c>
      <c r="F1349" s="106">
        <v>3389</v>
      </c>
      <c r="G1349" s="31">
        <f t="shared" si="42"/>
        <v>0</v>
      </c>
      <c r="H1349" s="19" t="s">
        <v>62</v>
      </c>
      <c r="K1349" s="3"/>
      <c r="M1349" s="20">
        <v>42140</v>
      </c>
      <c r="N1349" s="183">
        <v>21254</v>
      </c>
      <c r="O1349" s="14" t="s">
        <v>56</v>
      </c>
      <c r="P1349" s="105">
        <v>7909.2</v>
      </c>
      <c r="Q1349" s="23">
        <v>42140</v>
      </c>
      <c r="R1349" s="106">
        <v>7909.2</v>
      </c>
      <c r="S1349" s="31">
        <f t="shared" si="43"/>
        <v>0</v>
      </c>
      <c r="T1349" s="19" t="s">
        <v>773</v>
      </c>
    </row>
    <row r="1350" spans="1:20" x14ac:dyDescent="0.25">
      <c r="A1350" s="20">
        <v>42137</v>
      </c>
      <c r="B1350" s="183">
        <v>20924</v>
      </c>
      <c r="C1350" s="14" t="s">
        <v>422</v>
      </c>
      <c r="D1350" s="105">
        <v>324</v>
      </c>
      <c r="E1350" s="23">
        <v>42137</v>
      </c>
      <c r="F1350" s="106">
        <v>324</v>
      </c>
      <c r="G1350" s="31">
        <f t="shared" si="42"/>
        <v>0</v>
      </c>
      <c r="H1350" s="19" t="s">
        <v>9</v>
      </c>
      <c r="K1350" s="3"/>
      <c r="M1350" s="20">
        <v>42141</v>
      </c>
      <c r="N1350" s="183">
        <v>21344</v>
      </c>
      <c r="O1350" s="14" t="s">
        <v>56</v>
      </c>
      <c r="P1350" s="105">
        <v>9124.6</v>
      </c>
      <c r="Q1350" s="23">
        <v>42142</v>
      </c>
      <c r="R1350" s="118">
        <v>9124.6</v>
      </c>
      <c r="S1350" s="31">
        <f t="shared" si="43"/>
        <v>0</v>
      </c>
      <c r="T1350" s="62" t="s">
        <v>773</v>
      </c>
    </row>
    <row r="1351" spans="1:20" x14ac:dyDescent="0.25">
      <c r="A1351" s="20">
        <v>42137</v>
      </c>
      <c r="B1351" s="183">
        <v>20925</v>
      </c>
      <c r="C1351" s="14" t="s">
        <v>1318</v>
      </c>
      <c r="D1351" s="105">
        <v>14945</v>
      </c>
      <c r="E1351" s="23">
        <v>42137</v>
      </c>
      <c r="F1351" s="106">
        <v>14945</v>
      </c>
      <c r="G1351" s="31">
        <f t="shared" si="42"/>
        <v>0</v>
      </c>
      <c r="H1351" s="19" t="s">
        <v>9</v>
      </c>
      <c r="K1351" s="3"/>
      <c r="M1351" s="20">
        <v>42143</v>
      </c>
      <c r="N1351" s="183">
        <v>21574</v>
      </c>
      <c r="O1351" s="14" t="s">
        <v>56</v>
      </c>
      <c r="P1351" s="105">
        <v>11546.4</v>
      </c>
      <c r="Q1351" s="23">
        <v>42143</v>
      </c>
      <c r="R1351" s="118">
        <v>11546.4</v>
      </c>
      <c r="S1351" s="31">
        <f t="shared" si="43"/>
        <v>0</v>
      </c>
      <c r="T1351" s="56" t="s">
        <v>94</v>
      </c>
    </row>
    <row r="1352" spans="1:20" x14ac:dyDescent="0.25">
      <c r="A1352" s="20">
        <v>42137</v>
      </c>
      <c r="B1352" s="183">
        <v>20926</v>
      </c>
      <c r="C1352" s="14" t="s">
        <v>245</v>
      </c>
      <c r="D1352" s="105">
        <v>1255.8</v>
      </c>
      <c r="E1352" s="23">
        <v>42140</v>
      </c>
      <c r="F1352" s="106">
        <v>1255.8</v>
      </c>
      <c r="G1352" s="31">
        <f t="shared" si="42"/>
        <v>0</v>
      </c>
      <c r="H1352" s="19" t="s">
        <v>9</v>
      </c>
      <c r="K1352" s="3"/>
      <c r="M1352" s="20">
        <v>42144</v>
      </c>
      <c r="N1352" s="183">
        <v>21638</v>
      </c>
      <c r="O1352" s="14" t="s">
        <v>56</v>
      </c>
      <c r="P1352" s="105">
        <v>4429.8</v>
      </c>
      <c r="Q1352" s="23">
        <v>42145</v>
      </c>
      <c r="R1352" s="118">
        <v>4429.8</v>
      </c>
      <c r="S1352" s="31">
        <f t="shared" si="43"/>
        <v>0</v>
      </c>
      <c r="T1352" s="62" t="s">
        <v>773</v>
      </c>
    </row>
    <row r="1353" spans="1:20" x14ac:dyDescent="0.25">
      <c r="A1353" s="20">
        <v>42137</v>
      </c>
      <c r="B1353" s="183">
        <v>20927</v>
      </c>
      <c r="C1353" s="14" t="s">
        <v>178</v>
      </c>
      <c r="D1353" s="105">
        <v>800.4</v>
      </c>
      <c r="E1353" s="23">
        <v>42138</v>
      </c>
      <c r="F1353" s="106">
        <v>800.4</v>
      </c>
      <c r="G1353" s="31">
        <f t="shared" si="42"/>
        <v>0</v>
      </c>
      <c r="H1353" s="19" t="s">
        <v>62</v>
      </c>
      <c r="K1353" s="3"/>
      <c r="M1353" s="20">
        <v>42146</v>
      </c>
      <c r="N1353" s="183">
        <v>21865</v>
      </c>
      <c r="O1353" s="14" t="s">
        <v>56</v>
      </c>
      <c r="P1353" s="105">
        <v>10112</v>
      </c>
      <c r="Q1353" s="23">
        <v>42146</v>
      </c>
      <c r="R1353" s="106">
        <v>10112</v>
      </c>
      <c r="S1353" s="31">
        <f t="shared" si="43"/>
        <v>0</v>
      </c>
      <c r="T1353" s="39" t="s">
        <v>1013</v>
      </c>
    </row>
    <row r="1354" spans="1:20" x14ac:dyDescent="0.25">
      <c r="A1354" s="20">
        <v>42137</v>
      </c>
      <c r="B1354" s="183">
        <v>20928</v>
      </c>
      <c r="C1354" s="150" t="s">
        <v>241</v>
      </c>
      <c r="D1354" s="105">
        <v>1234.2</v>
      </c>
      <c r="E1354" s="23">
        <v>42137</v>
      </c>
      <c r="F1354" s="106">
        <v>1234.2</v>
      </c>
      <c r="G1354" s="31">
        <f t="shared" si="42"/>
        <v>0</v>
      </c>
      <c r="H1354" s="19" t="s">
        <v>9</v>
      </c>
      <c r="K1354" s="3"/>
      <c r="M1354" s="20">
        <v>42147</v>
      </c>
      <c r="N1354" s="183">
        <v>22028</v>
      </c>
      <c r="O1354" s="14" t="s">
        <v>56</v>
      </c>
      <c r="P1354" s="105">
        <v>9912</v>
      </c>
      <c r="Q1354" s="65">
        <v>42147</v>
      </c>
      <c r="R1354" s="106">
        <v>9912</v>
      </c>
      <c r="S1354" s="31">
        <f t="shared" si="43"/>
        <v>0</v>
      </c>
      <c r="T1354" s="39" t="s">
        <v>94</v>
      </c>
    </row>
    <row r="1355" spans="1:20" x14ac:dyDescent="0.25">
      <c r="A1355" s="20">
        <v>42137</v>
      </c>
      <c r="B1355" s="183">
        <v>20929</v>
      </c>
      <c r="C1355" s="14" t="s">
        <v>100</v>
      </c>
      <c r="D1355" s="105">
        <v>2316</v>
      </c>
      <c r="E1355" s="23">
        <v>42137</v>
      </c>
      <c r="F1355" s="106">
        <v>2316</v>
      </c>
      <c r="G1355" s="31">
        <f t="shared" si="42"/>
        <v>0</v>
      </c>
      <c r="H1355" s="19" t="s">
        <v>9</v>
      </c>
      <c r="K1355" s="3"/>
      <c r="M1355" s="20">
        <v>42148</v>
      </c>
      <c r="N1355" s="183">
        <v>22100</v>
      </c>
      <c r="O1355" s="14" t="s">
        <v>56</v>
      </c>
      <c r="P1355" s="105">
        <v>4927.6000000000004</v>
      </c>
      <c r="Q1355" s="65">
        <v>42148</v>
      </c>
      <c r="R1355" s="106">
        <v>4927.6000000000004</v>
      </c>
      <c r="S1355" s="31">
        <f t="shared" si="43"/>
        <v>0</v>
      </c>
      <c r="T1355" s="39" t="s">
        <v>773</v>
      </c>
    </row>
    <row r="1356" spans="1:20" x14ac:dyDescent="0.25">
      <c r="A1356" s="20">
        <v>42137</v>
      </c>
      <c r="B1356" s="183">
        <v>20930</v>
      </c>
      <c r="C1356" s="14" t="s">
        <v>131</v>
      </c>
      <c r="D1356" s="105">
        <v>2697.2</v>
      </c>
      <c r="E1356" s="23">
        <v>42137</v>
      </c>
      <c r="F1356" s="106">
        <v>2697.2</v>
      </c>
      <c r="G1356" s="31">
        <f t="shared" si="42"/>
        <v>0</v>
      </c>
      <c r="H1356" s="19" t="s">
        <v>9</v>
      </c>
      <c r="K1356" s="3"/>
      <c r="M1356" s="20">
        <v>42150</v>
      </c>
      <c r="N1356" s="183">
        <v>22299</v>
      </c>
      <c r="O1356" s="14" t="s">
        <v>56</v>
      </c>
      <c r="P1356" s="105">
        <v>11311.6</v>
      </c>
      <c r="Q1356" s="65">
        <v>42150</v>
      </c>
      <c r="R1356" s="106">
        <v>11311.6</v>
      </c>
      <c r="S1356" s="31">
        <f t="shared" si="43"/>
        <v>0</v>
      </c>
      <c r="T1356" s="39" t="s">
        <v>773</v>
      </c>
    </row>
    <row r="1357" spans="1:20" x14ac:dyDescent="0.25">
      <c r="A1357" s="20">
        <v>42137</v>
      </c>
      <c r="B1357" s="183">
        <v>20931</v>
      </c>
      <c r="C1357" s="14" t="s">
        <v>136</v>
      </c>
      <c r="D1357" s="105">
        <v>18263</v>
      </c>
      <c r="E1357" s="23" t="s">
        <v>1392</v>
      </c>
      <c r="F1357" s="106">
        <f>14968+3295</f>
        <v>18263</v>
      </c>
      <c r="G1357" s="31">
        <f t="shared" si="42"/>
        <v>0</v>
      </c>
      <c r="H1357" s="19" t="s">
        <v>773</v>
      </c>
      <c r="K1357" s="3"/>
      <c r="M1357" s="20">
        <v>42152</v>
      </c>
      <c r="N1357" s="183">
        <v>22453</v>
      </c>
      <c r="O1357" s="14" t="s">
        <v>56</v>
      </c>
      <c r="P1357" s="105">
        <v>14656.8</v>
      </c>
      <c r="Q1357" s="23">
        <v>42152</v>
      </c>
      <c r="R1357" s="106">
        <v>14656.8</v>
      </c>
      <c r="S1357" s="31">
        <f t="shared" si="43"/>
        <v>0</v>
      </c>
      <c r="T1357" s="39" t="s">
        <v>773</v>
      </c>
    </row>
    <row r="1358" spans="1:20" x14ac:dyDescent="0.25">
      <c r="A1358" s="20">
        <v>42137</v>
      </c>
      <c r="B1358" s="183">
        <v>20932</v>
      </c>
      <c r="C1358" s="14" t="s">
        <v>89</v>
      </c>
      <c r="D1358" s="105">
        <v>3809</v>
      </c>
      <c r="E1358" s="23">
        <v>42137</v>
      </c>
      <c r="F1358" s="106">
        <v>3809</v>
      </c>
      <c r="G1358" s="31">
        <f t="shared" si="42"/>
        <v>0</v>
      </c>
      <c r="H1358" s="19" t="s">
        <v>9</v>
      </c>
      <c r="K1358" s="3"/>
      <c r="M1358" s="20">
        <v>42153</v>
      </c>
      <c r="N1358" s="183">
        <v>22645</v>
      </c>
      <c r="O1358" s="14" t="s">
        <v>56</v>
      </c>
      <c r="P1358" s="105">
        <v>4329.6000000000004</v>
      </c>
      <c r="Q1358" s="23">
        <v>42154</v>
      </c>
      <c r="R1358" s="106">
        <v>4329.6000000000004</v>
      </c>
      <c r="S1358" s="31">
        <f t="shared" si="43"/>
        <v>0</v>
      </c>
      <c r="T1358" s="39" t="s">
        <v>773</v>
      </c>
    </row>
    <row r="1359" spans="1:20" x14ac:dyDescent="0.25">
      <c r="A1359" s="20">
        <v>42137</v>
      </c>
      <c r="B1359" s="183">
        <v>20933</v>
      </c>
      <c r="C1359" s="14" t="s">
        <v>64</v>
      </c>
      <c r="D1359" s="105">
        <v>1054.5999999999999</v>
      </c>
      <c r="E1359" s="23">
        <v>42137</v>
      </c>
      <c r="F1359" s="106">
        <v>1054.5999999999999</v>
      </c>
      <c r="G1359" s="31">
        <f t="shared" si="42"/>
        <v>0</v>
      </c>
      <c r="H1359" s="19" t="s">
        <v>9</v>
      </c>
      <c r="K1359" s="3"/>
      <c r="M1359" s="20">
        <v>42154</v>
      </c>
      <c r="N1359" s="183">
        <v>22682</v>
      </c>
      <c r="O1359" s="14" t="s">
        <v>56</v>
      </c>
      <c r="P1359" s="105">
        <v>10053.200000000001</v>
      </c>
      <c r="Q1359" s="23">
        <v>42154</v>
      </c>
      <c r="R1359" s="106">
        <v>10053.200000000001</v>
      </c>
      <c r="S1359" s="31">
        <f t="shared" si="43"/>
        <v>0</v>
      </c>
      <c r="T1359" s="39" t="s">
        <v>773</v>
      </c>
    </row>
    <row r="1360" spans="1:20" x14ac:dyDescent="0.25">
      <c r="A1360" s="20">
        <v>42137</v>
      </c>
      <c r="B1360" s="183">
        <v>20934</v>
      </c>
      <c r="C1360" s="14" t="s">
        <v>64</v>
      </c>
      <c r="D1360" s="105">
        <v>80</v>
      </c>
      <c r="E1360" s="23">
        <v>42137</v>
      </c>
      <c r="F1360" s="106">
        <v>80</v>
      </c>
      <c r="G1360" s="31">
        <f t="shared" si="42"/>
        <v>0</v>
      </c>
      <c r="H1360" s="19" t="s">
        <v>9</v>
      </c>
      <c r="K1360" s="3"/>
      <c r="M1360" s="20">
        <v>42155</v>
      </c>
      <c r="N1360" s="183">
        <v>22807</v>
      </c>
      <c r="O1360" s="14" t="s">
        <v>56</v>
      </c>
      <c r="P1360" s="105">
        <v>6233.4</v>
      </c>
      <c r="Q1360" s="23">
        <v>42155</v>
      </c>
      <c r="R1360" s="106">
        <v>6233.4</v>
      </c>
      <c r="S1360" s="31">
        <f t="shared" si="43"/>
        <v>0</v>
      </c>
      <c r="T1360" s="39" t="s">
        <v>9</v>
      </c>
    </row>
    <row r="1361" spans="1:20" x14ac:dyDescent="0.25">
      <c r="A1361" s="20">
        <v>42137</v>
      </c>
      <c r="B1361" s="183">
        <v>20935</v>
      </c>
      <c r="C1361" s="14" t="s">
        <v>93</v>
      </c>
      <c r="D1361" s="105">
        <v>1394</v>
      </c>
      <c r="E1361" s="23">
        <v>42137</v>
      </c>
      <c r="F1361" s="106">
        <v>1394</v>
      </c>
      <c r="G1361" s="31">
        <f t="shared" si="42"/>
        <v>0</v>
      </c>
      <c r="H1361" s="19" t="s">
        <v>94</v>
      </c>
      <c r="K1361" s="3"/>
      <c r="M1361" s="20">
        <v>42132</v>
      </c>
      <c r="N1361" s="183">
        <v>20462</v>
      </c>
      <c r="O1361" s="14" t="s">
        <v>1158</v>
      </c>
      <c r="P1361" s="105">
        <v>115</v>
      </c>
      <c r="Q1361" s="23">
        <v>42133</v>
      </c>
      <c r="R1361" s="106">
        <v>115</v>
      </c>
      <c r="S1361" s="31">
        <f t="shared" si="43"/>
        <v>0</v>
      </c>
      <c r="T1361" s="19" t="s">
        <v>9</v>
      </c>
    </row>
    <row r="1362" spans="1:20" x14ac:dyDescent="0.25">
      <c r="A1362" s="20">
        <v>42137</v>
      </c>
      <c r="B1362" s="183">
        <v>20936</v>
      </c>
      <c r="C1362" s="14" t="s">
        <v>95</v>
      </c>
      <c r="D1362" s="105">
        <v>1778.2</v>
      </c>
      <c r="E1362" s="23">
        <v>42137</v>
      </c>
      <c r="F1362" s="106">
        <v>1778.2</v>
      </c>
      <c r="G1362" s="31">
        <f t="shared" si="42"/>
        <v>0</v>
      </c>
      <c r="H1362" s="19" t="s">
        <v>94</v>
      </c>
      <c r="I1362" s="3"/>
      <c r="J1362" s="42"/>
      <c r="K1362" s="3"/>
      <c r="M1362" s="20">
        <v>42126</v>
      </c>
      <c r="N1362" s="183">
        <v>19707</v>
      </c>
      <c r="O1362" s="40" t="s">
        <v>103</v>
      </c>
      <c r="P1362" s="105">
        <v>40390.400000000001</v>
      </c>
      <c r="Q1362" s="23">
        <v>42129</v>
      </c>
      <c r="R1362" s="106">
        <v>40390.400000000001</v>
      </c>
      <c r="S1362" s="25">
        <f t="shared" si="43"/>
        <v>0</v>
      </c>
      <c r="T1362" s="41" t="s">
        <v>9</v>
      </c>
    </row>
    <row r="1363" spans="1:20" x14ac:dyDescent="0.25">
      <c r="A1363" s="20">
        <v>42137</v>
      </c>
      <c r="B1363" s="183">
        <v>20937</v>
      </c>
      <c r="C1363" s="14" t="s">
        <v>14</v>
      </c>
      <c r="D1363" s="105">
        <v>38147.26</v>
      </c>
      <c r="E1363" s="23">
        <v>42153</v>
      </c>
      <c r="F1363" s="106">
        <v>38147.26</v>
      </c>
      <c r="G1363" s="31">
        <f t="shared" si="42"/>
        <v>0</v>
      </c>
      <c r="H1363" s="19" t="s">
        <v>9</v>
      </c>
      <c r="I1363" s="3"/>
      <c r="J1363" s="42"/>
      <c r="K1363" s="3"/>
      <c r="M1363" s="20">
        <v>42128</v>
      </c>
      <c r="N1363" s="183">
        <v>19922</v>
      </c>
      <c r="O1363" s="14" t="s">
        <v>103</v>
      </c>
      <c r="P1363" s="105">
        <v>24353.5</v>
      </c>
      <c r="Q1363" s="23">
        <v>42129</v>
      </c>
      <c r="R1363" s="106">
        <v>24353.5</v>
      </c>
      <c r="S1363" s="31">
        <f t="shared" si="43"/>
        <v>0</v>
      </c>
      <c r="T1363" s="19" t="s">
        <v>1013</v>
      </c>
    </row>
    <row r="1364" spans="1:20" x14ac:dyDescent="0.25">
      <c r="A1364" s="20">
        <v>42137</v>
      </c>
      <c r="B1364" s="183">
        <v>20938</v>
      </c>
      <c r="C1364" s="14" t="s">
        <v>65</v>
      </c>
      <c r="D1364" s="105">
        <v>28670.2</v>
      </c>
      <c r="E1364" s="23">
        <v>42138</v>
      </c>
      <c r="F1364" s="106">
        <v>28670.2</v>
      </c>
      <c r="G1364" s="31">
        <f t="shared" si="42"/>
        <v>0</v>
      </c>
      <c r="H1364" s="19" t="s">
        <v>62</v>
      </c>
      <c r="I1364" s="3"/>
      <c r="J1364" s="42"/>
      <c r="K1364" s="3"/>
      <c r="M1364" s="20">
        <v>42131</v>
      </c>
      <c r="N1364" s="183">
        <v>20310</v>
      </c>
      <c r="O1364" s="14" t="s">
        <v>103</v>
      </c>
      <c r="P1364" s="105">
        <v>8792</v>
      </c>
      <c r="Q1364" s="23">
        <v>42135</v>
      </c>
      <c r="R1364" s="106">
        <v>8792</v>
      </c>
      <c r="S1364" s="31">
        <f t="shared" si="43"/>
        <v>0</v>
      </c>
      <c r="T1364" s="39" t="s">
        <v>9</v>
      </c>
    </row>
    <row r="1365" spans="1:20" x14ac:dyDescent="0.25">
      <c r="A1365" s="20">
        <v>42137</v>
      </c>
      <c r="B1365" s="183">
        <v>20939</v>
      </c>
      <c r="C1365" s="14" t="s">
        <v>14</v>
      </c>
      <c r="D1365" s="105">
        <v>405306.8</v>
      </c>
      <c r="E1365" s="23">
        <v>42153</v>
      </c>
      <c r="F1365" s="106">
        <v>405306.8</v>
      </c>
      <c r="G1365" s="31">
        <f t="shared" si="42"/>
        <v>0</v>
      </c>
      <c r="H1365" s="19" t="s">
        <v>9</v>
      </c>
      <c r="I1365" s="3"/>
      <c r="J1365" s="42"/>
      <c r="K1365" s="3"/>
      <c r="M1365" s="20">
        <v>42132</v>
      </c>
      <c r="N1365" s="183">
        <v>20441</v>
      </c>
      <c r="O1365" s="14" t="s">
        <v>103</v>
      </c>
      <c r="P1365" s="105">
        <v>25098.15</v>
      </c>
      <c r="Q1365" s="23">
        <v>42138</v>
      </c>
      <c r="R1365" s="106">
        <v>25098.15</v>
      </c>
      <c r="S1365" s="31">
        <f t="shared" si="43"/>
        <v>0</v>
      </c>
      <c r="T1365" s="19" t="s">
        <v>1257</v>
      </c>
    </row>
    <row r="1366" spans="1:20" x14ac:dyDescent="0.25">
      <c r="A1366" s="20">
        <v>42137</v>
      </c>
      <c r="B1366" s="183">
        <v>20940</v>
      </c>
      <c r="C1366" s="14" t="s">
        <v>14</v>
      </c>
      <c r="D1366" s="105">
        <v>115623.46</v>
      </c>
      <c r="E1366" s="23">
        <v>42153</v>
      </c>
      <c r="F1366" s="106">
        <v>115623.46</v>
      </c>
      <c r="G1366" s="31">
        <f t="shared" si="42"/>
        <v>0</v>
      </c>
      <c r="H1366" s="19" t="s">
        <v>9</v>
      </c>
      <c r="I1366" s="3"/>
      <c r="J1366" s="42"/>
      <c r="K1366" s="3"/>
      <c r="M1366" s="20">
        <v>42135</v>
      </c>
      <c r="N1366" s="183">
        <v>20669</v>
      </c>
      <c r="O1366" s="14" t="s">
        <v>103</v>
      </c>
      <c r="P1366" s="105">
        <v>24798.240000000002</v>
      </c>
      <c r="Q1366" s="23">
        <v>42138</v>
      </c>
      <c r="R1366" s="106">
        <v>24798.240000000002</v>
      </c>
      <c r="S1366" s="31">
        <f t="shared" si="43"/>
        <v>0</v>
      </c>
      <c r="T1366" s="39" t="s">
        <v>1273</v>
      </c>
    </row>
    <row r="1367" spans="1:20" x14ac:dyDescent="0.25">
      <c r="A1367" s="20">
        <v>42137</v>
      </c>
      <c r="B1367" s="183">
        <v>20941</v>
      </c>
      <c r="C1367" s="26" t="s">
        <v>218</v>
      </c>
      <c r="D1367" s="108">
        <v>0</v>
      </c>
      <c r="E1367" s="23"/>
      <c r="F1367" s="106"/>
      <c r="G1367" s="31">
        <f t="shared" si="42"/>
        <v>0</v>
      </c>
      <c r="H1367" s="19" t="s">
        <v>13</v>
      </c>
      <c r="I1367" s="3"/>
      <c r="J1367" s="42"/>
      <c r="K1367" s="3"/>
      <c r="M1367" s="20">
        <v>42137</v>
      </c>
      <c r="N1367" s="183">
        <v>20877</v>
      </c>
      <c r="O1367" s="14" t="s">
        <v>103</v>
      </c>
      <c r="P1367" s="105">
        <v>22882.54</v>
      </c>
      <c r="Q1367" s="23">
        <v>42138</v>
      </c>
      <c r="R1367" s="106">
        <v>22882.54</v>
      </c>
      <c r="S1367" s="31">
        <f t="shared" si="43"/>
        <v>0</v>
      </c>
      <c r="T1367" s="39" t="s">
        <v>773</v>
      </c>
    </row>
    <row r="1368" spans="1:20" x14ac:dyDescent="0.25">
      <c r="A1368" s="20">
        <v>42137</v>
      </c>
      <c r="B1368" s="183">
        <v>20942</v>
      </c>
      <c r="C1368" s="14" t="s">
        <v>24</v>
      </c>
      <c r="D1368" s="105">
        <v>20187.599999999999</v>
      </c>
      <c r="E1368" s="23">
        <v>42153</v>
      </c>
      <c r="F1368" s="106">
        <v>20187.599999999999</v>
      </c>
      <c r="G1368" s="31">
        <f t="shared" si="42"/>
        <v>0</v>
      </c>
      <c r="H1368" s="19" t="s">
        <v>94</v>
      </c>
      <c r="I1368" s="3"/>
      <c r="J1368" s="42"/>
      <c r="K1368" s="3"/>
      <c r="M1368" s="20">
        <v>42138</v>
      </c>
      <c r="N1368" s="183">
        <v>21007</v>
      </c>
      <c r="O1368" s="14" t="s">
        <v>103</v>
      </c>
      <c r="P1368" s="105">
        <v>26958.799999999999</v>
      </c>
      <c r="Q1368" s="23">
        <v>42138</v>
      </c>
      <c r="R1368" s="106">
        <v>26958.799999999999</v>
      </c>
      <c r="S1368" s="48">
        <f t="shared" si="43"/>
        <v>0</v>
      </c>
      <c r="T1368" s="19" t="s">
        <v>1273</v>
      </c>
    </row>
    <row r="1369" spans="1:20" x14ac:dyDescent="0.25">
      <c r="A1369" s="20">
        <v>42137</v>
      </c>
      <c r="B1369" s="183">
        <v>20943</v>
      </c>
      <c r="C1369" s="14" t="s">
        <v>127</v>
      </c>
      <c r="D1369" s="105">
        <v>21549</v>
      </c>
      <c r="E1369" s="23">
        <v>42137</v>
      </c>
      <c r="F1369" s="106">
        <v>21549</v>
      </c>
      <c r="G1369" s="31">
        <f t="shared" si="42"/>
        <v>0</v>
      </c>
      <c r="H1369" s="19" t="s">
        <v>9</v>
      </c>
      <c r="I1369" s="3"/>
      <c r="J1369" s="42"/>
      <c r="K1369" s="3"/>
      <c r="M1369" s="20">
        <v>42144</v>
      </c>
      <c r="N1369" s="183">
        <v>21688</v>
      </c>
      <c r="O1369" s="14" t="s">
        <v>103</v>
      </c>
      <c r="P1369" s="105">
        <v>25540.46</v>
      </c>
      <c r="Q1369" s="23">
        <v>42145</v>
      </c>
      <c r="R1369" s="106">
        <v>25540.46</v>
      </c>
      <c r="S1369" s="31">
        <f t="shared" si="43"/>
        <v>0</v>
      </c>
      <c r="T1369" s="39" t="s">
        <v>1273</v>
      </c>
    </row>
    <row r="1370" spans="1:20" x14ac:dyDescent="0.25">
      <c r="A1370" s="20">
        <v>42137</v>
      </c>
      <c r="B1370" s="183">
        <v>20944</v>
      </c>
      <c r="C1370" s="14" t="s">
        <v>1329</v>
      </c>
      <c r="D1370" s="105">
        <v>6784</v>
      </c>
      <c r="E1370" s="23">
        <v>42137</v>
      </c>
      <c r="F1370" s="106">
        <v>6784</v>
      </c>
      <c r="G1370" s="31">
        <f t="shared" si="42"/>
        <v>0</v>
      </c>
      <c r="H1370" s="19" t="s">
        <v>9</v>
      </c>
      <c r="I1370" s="3"/>
      <c r="J1370" s="42"/>
      <c r="K1370" s="3"/>
      <c r="M1370" s="20">
        <v>42149</v>
      </c>
      <c r="N1370" s="183">
        <v>22148</v>
      </c>
      <c r="O1370" s="14" t="s">
        <v>103</v>
      </c>
      <c r="P1370" s="105">
        <v>26687.96</v>
      </c>
      <c r="Q1370" s="65">
        <v>42149</v>
      </c>
      <c r="R1370" s="106">
        <v>26687.96</v>
      </c>
      <c r="S1370" s="31">
        <f t="shared" si="43"/>
        <v>0</v>
      </c>
      <c r="T1370" s="39" t="s">
        <v>94</v>
      </c>
    </row>
    <row r="1371" spans="1:20" x14ac:dyDescent="0.25">
      <c r="A1371" s="20">
        <v>42137</v>
      </c>
      <c r="B1371" s="183">
        <v>20945</v>
      </c>
      <c r="C1371" s="14" t="s">
        <v>1053</v>
      </c>
      <c r="D1371" s="105">
        <v>61071.9</v>
      </c>
      <c r="E1371" s="23">
        <v>42138</v>
      </c>
      <c r="F1371" s="106">
        <v>61071.9</v>
      </c>
      <c r="G1371" s="31">
        <f t="shared" si="42"/>
        <v>0</v>
      </c>
      <c r="H1371" s="19" t="s">
        <v>773</v>
      </c>
      <c r="I1371" s="3"/>
      <c r="J1371" s="42"/>
      <c r="K1371" s="3"/>
      <c r="M1371" s="20">
        <v>42128</v>
      </c>
      <c r="N1371" s="183">
        <v>20014</v>
      </c>
      <c r="O1371" s="14" t="s">
        <v>733</v>
      </c>
      <c r="P1371" s="105">
        <v>11075.9</v>
      </c>
      <c r="Q1371" s="23">
        <v>42130</v>
      </c>
      <c r="R1371" s="106">
        <v>11075.9</v>
      </c>
      <c r="S1371" s="31">
        <f t="shared" si="43"/>
        <v>0</v>
      </c>
      <c r="T1371" s="19" t="s">
        <v>149</v>
      </c>
    </row>
    <row r="1372" spans="1:20" x14ac:dyDescent="0.25">
      <c r="A1372" s="20">
        <v>42137</v>
      </c>
      <c r="B1372" s="183">
        <v>20946</v>
      </c>
      <c r="C1372" s="14" t="s">
        <v>102</v>
      </c>
      <c r="D1372" s="105">
        <v>388.6</v>
      </c>
      <c r="E1372" s="23">
        <v>42137</v>
      </c>
      <c r="F1372" s="106">
        <v>388.6</v>
      </c>
      <c r="G1372" s="31">
        <f t="shared" si="42"/>
        <v>0</v>
      </c>
      <c r="H1372" s="19" t="s">
        <v>9</v>
      </c>
      <c r="I1372" s="3"/>
      <c r="J1372" s="42"/>
      <c r="K1372" s="3"/>
      <c r="M1372" s="20">
        <v>42131</v>
      </c>
      <c r="N1372" s="183">
        <v>20323</v>
      </c>
      <c r="O1372" s="150" t="s">
        <v>733</v>
      </c>
      <c r="P1372" s="105">
        <v>13844.4</v>
      </c>
      <c r="Q1372" s="23">
        <v>42133</v>
      </c>
      <c r="R1372" s="106">
        <v>13844.4</v>
      </c>
      <c r="S1372" s="31">
        <f t="shared" si="43"/>
        <v>0</v>
      </c>
      <c r="T1372" s="39" t="s">
        <v>149</v>
      </c>
    </row>
    <row r="1373" spans="1:20" x14ac:dyDescent="0.25">
      <c r="A1373" s="20">
        <v>42137</v>
      </c>
      <c r="B1373" s="183">
        <v>20947</v>
      </c>
      <c r="C1373" s="14" t="s">
        <v>121</v>
      </c>
      <c r="D1373" s="105">
        <v>2590.6</v>
      </c>
      <c r="E1373" s="23">
        <v>42137</v>
      </c>
      <c r="F1373" s="106">
        <v>2590.6</v>
      </c>
      <c r="G1373" s="31">
        <f t="shared" si="42"/>
        <v>0</v>
      </c>
      <c r="H1373" s="19" t="s">
        <v>9</v>
      </c>
      <c r="I1373" s="3"/>
      <c r="J1373" s="42"/>
      <c r="K1373" s="3"/>
      <c r="M1373" s="20">
        <v>42135</v>
      </c>
      <c r="N1373" s="183">
        <v>20778</v>
      </c>
      <c r="O1373" s="14" t="s">
        <v>733</v>
      </c>
      <c r="P1373" s="105">
        <v>11925.05</v>
      </c>
      <c r="Q1373" s="23">
        <v>42137</v>
      </c>
      <c r="R1373" s="106">
        <v>11925.05</v>
      </c>
      <c r="S1373" s="31">
        <f t="shared" si="43"/>
        <v>0</v>
      </c>
      <c r="T1373" s="19" t="s">
        <v>149</v>
      </c>
    </row>
    <row r="1374" spans="1:20" x14ac:dyDescent="0.25">
      <c r="A1374" s="20">
        <v>42137</v>
      </c>
      <c r="B1374" s="183">
        <v>20948</v>
      </c>
      <c r="C1374" s="14" t="s">
        <v>1175</v>
      </c>
      <c r="D1374" s="105">
        <v>13878.8</v>
      </c>
      <c r="E1374" s="23">
        <v>42137</v>
      </c>
      <c r="F1374" s="106">
        <v>13878.8</v>
      </c>
      <c r="G1374" s="31">
        <f t="shared" si="42"/>
        <v>0</v>
      </c>
      <c r="H1374" s="19" t="s">
        <v>1393</v>
      </c>
      <c r="I1374" s="3"/>
      <c r="J1374" s="42"/>
      <c r="K1374" s="3"/>
      <c r="M1374" s="20">
        <v>42138</v>
      </c>
      <c r="N1374" s="183">
        <v>21060</v>
      </c>
      <c r="O1374" s="14" t="s">
        <v>733</v>
      </c>
      <c r="P1374" s="105">
        <v>14636.4</v>
      </c>
      <c r="Q1374" s="23">
        <v>42140</v>
      </c>
      <c r="R1374" s="106">
        <v>14636.4</v>
      </c>
      <c r="S1374" s="48">
        <f t="shared" si="43"/>
        <v>0</v>
      </c>
      <c r="T1374" s="39" t="s">
        <v>149</v>
      </c>
    </row>
    <row r="1375" spans="1:20" x14ac:dyDescent="0.25">
      <c r="A1375" s="20">
        <v>42137</v>
      </c>
      <c r="B1375" s="183">
        <v>20949</v>
      </c>
      <c r="C1375" s="14" t="s">
        <v>102</v>
      </c>
      <c r="D1375" s="105">
        <v>303.60000000000002</v>
      </c>
      <c r="E1375" s="23" t="s">
        <v>1394</v>
      </c>
      <c r="F1375" s="106">
        <f>280+23.6</f>
        <v>303.60000000000002</v>
      </c>
      <c r="G1375" s="31">
        <f t="shared" si="42"/>
        <v>0</v>
      </c>
      <c r="H1375" s="19" t="s">
        <v>9</v>
      </c>
      <c r="I1375" s="3"/>
      <c r="J1375" s="42"/>
      <c r="K1375" s="3"/>
      <c r="M1375" s="20">
        <v>42145</v>
      </c>
      <c r="N1375" s="183">
        <v>21798</v>
      </c>
      <c r="O1375" s="15" t="s">
        <v>733</v>
      </c>
      <c r="P1375" s="122">
        <v>4420.8</v>
      </c>
      <c r="Q1375" s="23">
        <v>42149</v>
      </c>
      <c r="R1375" s="118">
        <v>4420.8</v>
      </c>
      <c r="S1375" s="31">
        <f t="shared" si="43"/>
        <v>0</v>
      </c>
      <c r="T1375" s="68" t="s">
        <v>149</v>
      </c>
    </row>
    <row r="1376" spans="1:20" x14ac:dyDescent="0.25">
      <c r="A1376" s="20">
        <v>42137</v>
      </c>
      <c r="B1376" s="183">
        <v>20950</v>
      </c>
      <c r="C1376" s="14" t="s">
        <v>416</v>
      </c>
      <c r="D1376" s="105">
        <v>60</v>
      </c>
      <c r="E1376" s="23">
        <v>42137</v>
      </c>
      <c r="F1376" s="106">
        <v>60</v>
      </c>
      <c r="G1376" s="31">
        <f t="shared" si="42"/>
        <v>0</v>
      </c>
      <c r="H1376" s="19" t="s">
        <v>9</v>
      </c>
      <c r="I1376" s="3"/>
      <c r="J1376" s="42"/>
      <c r="K1376" s="3"/>
      <c r="M1376" s="20">
        <v>42149</v>
      </c>
      <c r="N1376" s="183">
        <v>22247</v>
      </c>
      <c r="O1376" s="14" t="s">
        <v>733</v>
      </c>
      <c r="P1376" s="105">
        <v>11932.8</v>
      </c>
      <c r="Q1376" s="65">
        <v>42151</v>
      </c>
      <c r="R1376" s="106">
        <v>11932.8</v>
      </c>
      <c r="S1376" s="31">
        <f t="shared" si="43"/>
        <v>0</v>
      </c>
      <c r="T1376" s="39" t="s">
        <v>149</v>
      </c>
    </row>
    <row r="1377" spans="1:20" x14ac:dyDescent="0.25">
      <c r="A1377" s="20">
        <v>42137</v>
      </c>
      <c r="B1377" s="183">
        <v>20951</v>
      </c>
      <c r="C1377" s="14" t="s">
        <v>251</v>
      </c>
      <c r="D1377" s="105">
        <v>22576.400000000001</v>
      </c>
      <c r="E1377" s="23">
        <v>42138</v>
      </c>
      <c r="F1377" s="106">
        <v>22576.400000000001</v>
      </c>
      <c r="G1377" s="31">
        <f t="shared" si="42"/>
        <v>0</v>
      </c>
      <c r="H1377" s="19" t="s">
        <v>1273</v>
      </c>
      <c r="I1377" s="3"/>
      <c r="J1377" s="42"/>
      <c r="K1377" s="3"/>
      <c r="M1377" s="20">
        <v>42152</v>
      </c>
      <c r="N1377" s="183">
        <v>22522</v>
      </c>
      <c r="O1377" s="14" t="s">
        <v>733</v>
      </c>
      <c r="P1377" s="105">
        <v>10970.4</v>
      </c>
      <c r="Q1377" s="23">
        <v>42154</v>
      </c>
      <c r="R1377" s="106">
        <v>10970.4</v>
      </c>
      <c r="S1377" s="31">
        <f t="shared" si="43"/>
        <v>0</v>
      </c>
      <c r="T1377" s="39" t="s">
        <v>149</v>
      </c>
    </row>
    <row r="1378" spans="1:20" x14ac:dyDescent="0.25">
      <c r="A1378" s="20">
        <v>42137</v>
      </c>
      <c r="B1378" s="183">
        <v>20952</v>
      </c>
      <c r="C1378" s="14" t="s">
        <v>80</v>
      </c>
      <c r="D1378" s="105">
        <v>6789.8</v>
      </c>
      <c r="E1378" s="23">
        <v>42137</v>
      </c>
      <c r="F1378" s="106">
        <v>6789.8</v>
      </c>
      <c r="G1378" s="31">
        <f t="shared" si="42"/>
        <v>0</v>
      </c>
      <c r="H1378" s="19" t="s">
        <v>9</v>
      </c>
      <c r="K1378" s="3"/>
      <c r="M1378" s="20">
        <v>42132</v>
      </c>
      <c r="N1378" s="183">
        <v>20435</v>
      </c>
      <c r="O1378" s="14" t="s">
        <v>145</v>
      </c>
      <c r="P1378" s="105">
        <v>4156</v>
      </c>
      <c r="Q1378" s="23">
        <v>42132</v>
      </c>
      <c r="R1378" s="106">
        <v>4156</v>
      </c>
      <c r="S1378" s="31">
        <f t="shared" si="43"/>
        <v>0</v>
      </c>
      <c r="T1378" s="19" t="s">
        <v>9</v>
      </c>
    </row>
    <row r="1379" spans="1:20" x14ac:dyDescent="0.25">
      <c r="A1379" s="20">
        <v>42137</v>
      </c>
      <c r="B1379" s="183">
        <v>20953</v>
      </c>
      <c r="C1379" s="14" t="s">
        <v>106</v>
      </c>
      <c r="D1379" s="105">
        <v>57078.1</v>
      </c>
      <c r="E1379" s="23" t="s">
        <v>1365</v>
      </c>
      <c r="F1379" s="106">
        <f>50000+7078.1</f>
        <v>57078.1</v>
      </c>
      <c r="G1379" s="31">
        <f t="shared" si="42"/>
        <v>0</v>
      </c>
      <c r="H1379" s="19" t="s">
        <v>1273</v>
      </c>
      <c r="K1379" s="3"/>
      <c r="M1379" s="20">
        <v>42139</v>
      </c>
      <c r="N1379" s="183">
        <v>21200</v>
      </c>
      <c r="O1379" s="14" t="s">
        <v>145</v>
      </c>
      <c r="P1379" s="105">
        <v>3812</v>
      </c>
      <c r="Q1379" s="23">
        <v>42139</v>
      </c>
      <c r="R1379" s="106">
        <v>3812</v>
      </c>
      <c r="S1379" s="48">
        <f t="shared" si="43"/>
        <v>0</v>
      </c>
      <c r="T1379" s="39" t="s">
        <v>9</v>
      </c>
    </row>
    <row r="1380" spans="1:20" x14ac:dyDescent="0.25">
      <c r="A1380" s="20">
        <v>42137</v>
      </c>
      <c r="B1380" s="183">
        <v>20954</v>
      </c>
      <c r="C1380" s="14" t="s">
        <v>1262</v>
      </c>
      <c r="D1380" s="105">
        <v>22984.080000000002</v>
      </c>
      <c r="E1380" s="23">
        <v>42142</v>
      </c>
      <c r="F1380" s="106">
        <v>22984.080000000002</v>
      </c>
      <c r="G1380" s="31">
        <f t="shared" si="42"/>
        <v>0</v>
      </c>
      <c r="H1380" s="19" t="s">
        <v>1257</v>
      </c>
      <c r="K1380" s="3"/>
      <c r="M1380" s="20">
        <v>42140</v>
      </c>
      <c r="N1380" s="183">
        <v>21312</v>
      </c>
      <c r="O1380" s="14" t="s">
        <v>145</v>
      </c>
      <c r="P1380" s="105">
        <v>3172</v>
      </c>
      <c r="Q1380" s="23">
        <v>42140</v>
      </c>
      <c r="R1380" s="118">
        <v>3172</v>
      </c>
      <c r="S1380" s="31">
        <f t="shared" si="43"/>
        <v>0</v>
      </c>
      <c r="T1380" s="62" t="s">
        <v>9</v>
      </c>
    </row>
    <row r="1381" spans="1:20" x14ac:dyDescent="0.25">
      <c r="A1381" s="20">
        <v>42137</v>
      </c>
      <c r="B1381" s="183">
        <v>20955</v>
      </c>
      <c r="C1381" s="14" t="s">
        <v>454</v>
      </c>
      <c r="D1381" s="105">
        <v>2101.1999999999998</v>
      </c>
      <c r="E1381" s="23">
        <v>42138</v>
      </c>
      <c r="F1381" s="106">
        <v>2101.1999999999998</v>
      </c>
      <c r="G1381" s="31">
        <f t="shared" si="42"/>
        <v>0</v>
      </c>
      <c r="H1381" s="19" t="s">
        <v>1257</v>
      </c>
      <c r="K1381" s="3"/>
      <c r="M1381" s="20">
        <v>42144</v>
      </c>
      <c r="N1381" s="183">
        <v>21629</v>
      </c>
      <c r="O1381" s="14" t="s">
        <v>145</v>
      </c>
      <c r="P1381" s="105">
        <v>1602</v>
      </c>
      <c r="Q1381" s="23">
        <v>42144</v>
      </c>
      <c r="R1381" s="118">
        <v>1602</v>
      </c>
      <c r="S1381" s="31">
        <f t="shared" si="43"/>
        <v>0</v>
      </c>
      <c r="T1381" s="62" t="s">
        <v>9</v>
      </c>
    </row>
    <row r="1382" spans="1:20" x14ac:dyDescent="0.25">
      <c r="A1382" s="20">
        <v>42137</v>
      </c>
      <c r="B1382" s="183">
        <v>20956</v>
      </c>
      <c r="C1382" s="14" t="s">
        <v>111</v>
      </c>
      <c r="D1382" s="105">
        <v>146388</v>
      </c>
      <c r="E1382" s="23">
        <v>42140</v>
      </c>
      <c r="F1382" s="106">
        <v>146388</v>
      </c>
      <c r="G1382" s="31">
        <f t="shared" si="42"/>
        <v>0</v>
      </c>
      <c r="H1382" s="19" t="s">
        <v>9</v>
      </c>
      <c r="J1382" s="107"/>
      <c r="K1382" s="3"/>
      <c r="M1382" s="20">
        <v>42146</v>
      </c>
      <c r="N1382" s="183">
        <v>21890</v>
      </c>
      <c r="O1382" s="14" t="s">
        <v>145</v>
      </c>
      <c r="P1382" s="105">
        <v>3675.6</v>
      </c>
      <c r="Q1382" s="23">
        <v>42146</v>
      </c>
      <c r="R1382" s="106">
        <v>3675.6</v>
      </c>
      <c r="S1382" s="31">
        <f t="shared" si="43"/>
        <v>0</v>
      </c>
      <c r="T1382" s="39" t="s">
        <v>9</v>
      </c>
    </row>
    <row r="1383" spans="1:20" x14ac:dyDescent="0.25">
      <c r="A1383" s="20">
        <v>42137</v>
      </c>
      <c r="B1383" s="183">
        <v>20957</v>
      </c>
      <c r="C1383" s="14" t="s">
        <v>24</v>
      </c>
      <c r="D1383" s="105">
        <v>6000</v>
      </c>
      <c r="E1383" s="23">
        <v>42153</v>
      </c>
      <c r="F1383" s="106">
        <v>6000</v>
      </c>
      <c r="G1383" s="31">
        <f t="shared" si="42"/>
        <v>0</v>
      </c>
      <c r="H1383" s="19" t="s">
        <v>9</v>
      </c>
      <c r="K1383" s="3"/>
      <c r="M1383" s="20">
        <v>42146</v>
      </c>
      <c r="N1383" s="183">
        <v>21928</v>
      </c>
      <c r="O1383" s="14" t="s">
        <v>145</v>
      </c>
      <c r="P1383" s="105">
        <v>2196.25</v>
      </c>
      <c r="Q1383" s="23">
        <v>42146</v>
      </c>
      <c r="R1383" s="106">
        <v>2196.25</v>
      </c>
      <c r="S1383" s="31">
        <f t="shared" si="43"/>
        <v>0</v>
      </c>
      <c r="T1383" s="39" t="s">
        <v>9</v>
      </c>
    </row>
    <row r="1384" spans="1:20" x14ac:dyDescent="0.25">
      <c r="A1384" s="20">
        <v>42137</v>
      </c>
      <c r="B1384" s="183">
        <v>20958</v>
      </c>
      <c r="C1384" s="14" t="s">
        <v>1101</v>
      </c>
      <c r="D1384" s="105">
        <v>448</v>
      </c>
      <c r="E1384" s="23">
        <v>42137</v>
      </c>
      <c r="F1384" s="106">
        <v>448</v>
      </c>
      <c r="G1384" s="31">
        <f t="shared" si="42"/>
        <v>0</v>
      </c>
      <c r="H1384" s="19" t="s">
        <v>9</v>
      </c>
      <c r="K1384" s="3"/>
      <c r="M1384" s="20">
        <v>42152</v>
      </c>
      <c r="N1384" s="183">
        <v>22456</v>
      </c>
      <c r="O1384" s="14" t="s">
        <v>145</v>
      </c>
      <c r="P1384" s="105">
        <v>2111.4</v>
      </c>
      <c r="Q1384" s="23">
        <v>42152</v>
      </c>
      <c r="R1384" s="106">
        <v>2111.4</v>
      </c>
      <c r="S1384" s="31">
        <f t="shared" si="43"/>
        <v>0</v>
      </c>
      <c r="T1384" s="39" t="s">
        <v>9</v>
      </c>
    </row>
    <row r="1385" spans="1:20" x14ac:dyDescent="0.25">
      <c r="A1385" s="20">
        <v>42137</v>
      </c>
      <c r="B1385" s="183">
        <v>20959</v>
      </c>
      <c r="C1385" s="14" t="s">
        <v>24</v>
      </c>
      <c r="D1385" s="105">
        <v>153747.28</v>
      </c>
      <c r="E1385" s="23">
        <v>42153</v>
      </c>
      <c r="F1385" s="106">
        <v>153747.28</v>
      </c>
      <c r="G1385" s="31">
        <f t="shared" si="42"/>
        <v>0</v>
      </c>
      <c r="H1385" s="19" t="s">
        <v>46</v>
      </c>
      <c r="K1385" s="3"/>
      <c r="M1385" s="20">
        <v>42154</v>
      </c>
      <c r="N1385" s="183">
        <v>22783</v>
      </c>
      <c r="O1385" s="14" t="s">
        <v>145</v>
      </c>
      <c r="P1385" s="105">
        <v>2221.1999999999998</v>
      </c>
      <c r="Q1385" s="23">
        <v>42154</v>
      </c>
      <c r="R1385" s="106">
        <v>2221.1999999999998</v>
      </c>
      <c r="S1385" s="31">
        <f t="shared" si="43"/>
        <v>0</v>
      </c>
      <c r="T1385" s="39" t="s">
        <v>9</v>
      </c>
    </row>
    <row r="1386" spans="1:20" x14ac:dyDescent="0.25">
      <c r="A1386" s="20">
        <v>42137</v>
      </c>
      <c r="B1386" s="183">
        <v>20960</v>
      </c>
      <c r="C1386" s="14" t="s">
        <v>111</v>
      </c>
      <c r="D1386" s="105">
        <v>152900</v>
      </c>
      <c r="E1386" s="23">
        <v>42140</v>
      </c>
      <c r="F1386" s="106">
        <v>152900</v>
      </c>
      <c r="G1386" s="31">
        <f t="shared" si="42"/>
        <v>0</v>
      </c>
      <c r="H1386" s="19" t="s">
        <v>9</v>
      </c>
      <c r="K1386" s="3"/>
      <c r="M1386" s="20">
        <v>42154</v>
      </c>
      <c r="N1386" s="183">
        <v>22784</v>
      </c>
      <c r="O1386" s="14" t="s">
        <v>145</v>
      </c>
      <c r="P1386" s="105">
        <v>80</v>
      </c>
      <c r="Q1386" s="23">
        <v>42154</v>
      </c>
      <c r="R1386" s="106">
        <v>80</v>
      </c>
      <c r="S1386" s="31">
        <f t="shared" si="43"/>
        <v>0</v>
      </c>
      <c r="T1386" s="39" t="s">
        <v>9</v>
      </c>
    </row>
    <row r="1387" spans="1:20" x14ac:dyDescent="0.25">
      <c r="A1387" s="20">
        <v>42138</v>
      </c>
      <c r="B1387" s="183">
        <v>20961</v>
      </c>
      <c r="C1387" s="14" t="s">
        <v>43</v>
      </c>
      <c r="D1387" s="105">
        <v>10933</v>
      </c>
      <c r="E1387" s="23">
        <v>42139</v>
      </c>
      <c r="F1387" s="106">
        <v>10933</v>
      </c>
      <c r="G1387" s="31">
        <f t="shared" si="42"/>
        <v>0</v>
      </c>
      <c r="H1387" s="19" t="s">
        <v>9</v>
      </c>
      <c r="J1387" s="107"/>
      <c r="K1387" s="3"/>
      <c r="M1387" s="20">
        <v>42131</v>
      </c>
      <c r="N1387" s="183">
        <v>20272</v>
      </c>
      <c r="O1387" s="14" t="s">
        <v>334</v>
      </c>
      <c r="P1387" s="105">
        <v>2083.8000000000002</v>
      </c>
      <c r="Q1387" s="23">
        <v>42131</v>
      </c>
      <c r="R1387" s="106">
        <v>2083.8000000000002</v>
      </c>
      <c r="S1387" s="31">
        <f t="shared" si="43"/>
        <v>0</v>
      </c>
      <c r="T1387" s="19" t="s">
        <v>773</v>
      </c>
    </row>
    <row r="1388" spans="1:20" x14ac:dyDescent="0.25">
      <c r="A1388" s="20">
        <v>42138</v>
      </c>
      <c r="B1388" s="183">
        <v>20962</v>
      </c>
      <c r="C1388" s="14" t="s">
        <v>112</v>
      </c>
      <c r="D1388" s="105">
        <v>9716</v>
      </c>
      <c r="E1388" s="23" t="s">
        <v>1365</v>
      </c>
      <c r="F1388" s="106">
        <f>6000+3716</f>
        <v>9716</v>
      </c>
      <c r="G1388" s="31">
        <f t="shared" si="42"/>
        <v>0</v>
      </c>
      <c r="H1388" s="19" t="s">
        <v>9</v>
      </c>
      <c r="K1388" s="3"/>
      <c r="M1388" s="20">
        <v>42131</v>
      </c>
      <c r="N1388" s="183">
        <v>20274</v>
      </c>
      <c r="O1388" s="14" t="s">
        <v>334</v>
      </c>
      <c r="P1388" s="105">
        <v>319.8</v>
      </c>
      <c r="Q1388" s="23">
        <v>42131</v>
      </c>
      <c r="R1388" s="106">
        <v>319.8</v>
      </c>
      <c r="S1388" s="31">
        <f t="shared" si="43"/>
        <v>0</v>
      </c>
      <c r="T1388" s="19" t="s">
        <v>46</v>
      </c>
    </row>
    <row r="1389" spans="1:20" x14ac:dyDescent="0.25">
      <c r="A1389" s="20">
        <v>42138</v>
      </c>
      <c r="B1389" s="183">
        <v>20963</v>
      </c>
      <c r="C1389" s="14" t="s">
        <v>720</v>
      </c>
      <c r="D1389" s="105">
        <v>5108.3</v>
      </c>
      <c r="E1389" s="23">
        <v>42138</v>
      </c>
      <c r="F1389" s="106">
        <v>5108.3</v>
      </c>
      <c r="G1389" s="31">
        <f t="shared" si="42"/>
        <v>0</v>
      </c>
      <c r="H1389" s="19" t="s">
        <v>9</v>
      </c>
      <c r="K1389" s="3"/>
      <c r="M1389" s="20">
        <v>42138</v>
      </c>
      <c r="N1389" s="183">
        <v>21033</v>
      </c>
      <c r="O1389" s="14" t="s">
        <v>334</v>
      </c>
      <c r="P1389" s="105">
        <v>2877.2</v>
      </c>
      <c r="Q1389" s="23">
        <v>42139</v>
      </c>
      <c r="R1389" s="106">
        <v>2877.2</v>
      </c>
      <c r="S1389" s="48">
        <f t="shared" si="43"/>
        <v>0</v>
      </c>
      <c r="T1389" s="39" t="s">
        <v>62</v>
      </c>
    </row>
    <row r="1390" spans="1:20" x14ac:dyDescent="0.25">
      <c r="A1390" s="20">
        <v>42138</v>
      </c>
      <c r="B1390" s="183">
        <v>20964</v>
      </c>
      <c r="C1390" s="14" t="s">
        <v>383</v>
      </c>
      <c r="D1390" s="105">
        <v>5664.6</v>
      </c>
      <c r="E1390" s="23">
        <v>42138</v>
      </c>
      <c r="F1390" s="106">
        <v>5664.6</v>
      </c>
      <c r="G1390" s="31">
        <f t="shared" si="42"/>
        <v>0</v>
      </c>
      <c r="H1390" s="19" t="s">
        <v>9</v>
      </c>
      <c r="K1390" s="3"/>
      <c r="M1390" s="20">
        <v>42145</v>
      </c>
      <c r="N1390" s="183">
        <v>21764</v>
      </c>
      <c r="O1390" s="15" t="s">
        <v>334</v>
      </c>
      <c r="P1390" s="122">
        <v>2516.8000000000002</v>
      </c>
      <c r="Q1390" s="69">
        <v>42146</v>
      </c>
      <c r="R1390" s="118">
        <v>2516.8000000000002</v>
      </c>
      <c r="S1390" s="31">
        <f t="shared" si="43"/>
        <v>0</v>
      </c>
      <c r="T1390" s="68" t="s">
        <v>773</v>
      </c>
    </row>
    <row r="1391" spans="1:20" x14ac:dyDescent="0.25">
      <c r="A1391" s="20">
        <v>42138</v>
      </c>
      <c r="B1391" s="183">
        <v>20965</v>
      </c>
      <c r="C1391" s="14" t="s">
        <v>14</v>
      </c>
      <c r="D1391" s="105">
        <v>7401.6</v>
      </c>
      <c r="E1391" s="23">
        <v>42153</v>
      </c>
      <c r="F1391" s="106">
        <v>7401.6</v>
      </c>
      <c r="G1391" s="31">
        <f t="shared" si="42"/>
        <v>0</v>
      </c>
      <c r="H1391" s="19" t="s">
        <v>9</v>
      </c>
      <c r="K1391" s="3"/>
      <c r="M1391" s="20">
        <v>42153</v>
      </c>
      <c r="N1391" s="183">
        <v>22648</v>
      </c>
      <c r="O1391" s="14" t="s">
        <v>334</v>
      </c>
      <c r="P1391" s="105">
        <v>2152</v>
      </c>
      <c r="Q1391" s="23">
        <v>42154</v>
      </c>
      <c r="R1391" s="106">
        <v>2152</v>
      </c>
      <c r="S1391" s="31">
        <f t="shared" si="43"/>
        <v>0</v>
      </c>
      <c r="T1391" s="39" t="s">
        <v>9</v>
      </c>
    </row>
    <row r="1392" spans="1:20" x14ac:dyDescent="0.25">
      <c r="A1392" s="20">
        <v>42138</v>
      </c>
      <c r="B1392" s="183">
        <v>20966</v>
      </c>
      <c r="C1392" s="14" t="s">
        <v>1279</v>
      </c>
      <c r="D1392" s="105">
        <v>132036.9</v>
      </c>
      <c r="E1392" s="23">
        <v>42143</v>
      </c>
      <c r="F1392" s="106">
        <v>132036.9</v>
      </c>
      <c r="G1392" s="31">
        <f t="shared" si="42"/>
        <v>0</v>
      </c>
      <c r="H1392" s="19" t="s">
        <v>9</v>
      </c>
      <c r="K1392" s="3"/>
      <c r="M1392" s="20">
        <v>42135</v>
      </c>
      <c r="N1392" s="183">
        <v>20694</v>
      </c>
      <c r="O1392" s="14" t="s">
        <v>1053</v>
      </c>
      <c r="P1392" s="105">
        <v>62210.400000000001</v>
      </c>
      <c r="Q1392" s="23">
        <v>42137</v>
      </c>
      <c r="R1392" s="106">
        <v>62210.400000000001</v>
      </c>
      <c r="S1392" s="31">
        <f t="shared" si="43"/>
        <v>0</v>
      </c>
      <c r="T1392" s="39" t="s">
        <v>9</v>
      </c>
    </row>
    <row r="1393" spans="1:20" x14ac:dyDescent="0.25">
      <c r="A1393" s="20">
        <v>42138</v>
      </c>
      <c r="B1393" s="183">
        <v>20967</v>
      </c>
      <c r="C1393" s="14" t="s">
        <v>151</v>
      </c>
      <c r="D1393" s="105">
        <v>6041.6</v>
      </c>
      <c r="E1393" s="23">
        <v>42140</v>
      </c>
      <c r="F1393" s="106">
        <v>6041.6</v>
      </c>
      <c r="G1393" s="31">
        <f t="shared" si="42"/>
        <v>0</v>
      </c>
      <c r="H1393" s="19" t="s">
        <v>9</v>
      </c>
      <c r="K1393" s="3"/>
      <c r="M1393" s="20">
        <v>42137</v>
      </c>
      <c r="N1393" s="183">
        <v>20945</v>
      </c>
      <c r="O1393" s="14" t="s">
        <v>1053</v>
      </c>
      <c r="P1393" s="105">
        <v>61071.9</v>
      </c>
      <c r="Q1393" s="23">
        <v>42138</v>
      </c>
      <c r="R1393" s="106">
        <v>61071.9</v>
      </c>
      <c r="S1393" s="31">
        <f t="shared" si="43"/>
        <v>0</v>
      </c>
      <c r="T1393" s="19" t="s">
        <v>773</v>
      </c>
    </row>
    <row r="1394" spans="1:20" x14ac:dyDescent="0.25">
      <c r="A1394" s="20">
        <v>42138</v>
      </c>
      <c r="B1394" s="183">
        <v>20968</v>
      </c>
      <c r="C1394" s="14" t="s">
        <v>1060</v>
      </c>
      <c r="D1394" s="105">
        <v>2446.4</v>
      </c>
      <c r="E1394" s="23">
        <v>42138</v>
      </c>
      <c r="F1394" s="106">
        <v>2446.4</v>
      </c>
      <c r="G1394" s="31">
        <f t="shared" si="42"/>
        <v>0</v>
      </c>
      <c r="H1394" s="19" t="s">
        <v>9</v>
      </c>
      <c r="K1394" s="3"/>
      <c r="M1394" s="20">
        <v>42138</v>
      </c>
      <c r="N1394" s="183">
        <v>21024</v>
      </c>
      <c r="O1394" s="14" t="s">
        <v>1053</v>
      </c>
      <c r="P1394" s="105">
        <v>70297.2</v>
      </c>
      <c r="Q1394" s="23">
        <v>42138</v>
      </c>
      <c r="R1394" s="106">
        <v>70297.2</v>
      </c>
      <c r="S1394" s="48">
        <f t="shared" si="43"/>
        <v>0</v>
      </c>
      <c r="T1394" s="39" t="s">
        <v>773</v>
      </c>
    </row>
    <row r="1395" spans="1:20" x14ac:dyDescent="0.25">
      <c r="A1395" s="20">
        <v>42138</v>
      </c>
      <c r="B1395" s="183">
        <v>20969</v>
      </c>
      <c r="C1395" s="14" t="s">
        <v>32</v>
      </c>
      <c r="D1395" s="105">
        <v>52118.8</v>
      </c>
      <c r="E1395" s="23">
        <v>42140</v>
      </c>
      <c r="F1395" s="106">
        <v>52118.8</v>
      </c>
      <c r="G1395" s="31">
        <f t="shared" si="42"/>
        <v>0</v>
      </c>
      <c r="H1395" s="19" t="s">
        <v>149</v>
      </c>
      <c r="K1395" s="3"/>
      <c r="M1395" s="20">
        <v>42150</v>
      </c>
      <c r="N1395" s="183">
        <v>22326</v>
      </c>
      <c r="O1395" s="14" t="s">
        <v>1053</v>
      </c>
      <c r="P1395" s="105">
        <v>69365.2</v>
      </c>
      <c r="Q1395" s="65">
        <v>42153</v>
      </c>
      <c r="R1395" s="106">
        <v>69365.2</v>
      </c>
      <c r="S1395" s="31">
        <f t="shared" si="43"/>
        <v>0</v>
      </c>
      <c r="T1395" s="39" t="s">
        <v>773</v>
      </c>
    </row>
    <row r="1396" spans="1:20" x14ac:dyDescent="0.25">
      <c r="A1396" s="20">
        <v>42138</v>
      </c>
      <c r="B1396" s="183">
        <v>20970</v>
      </c>
      <c r="C1396" s="14" t="s">
        <v>1319</v>
      </c>
      <c r="D1396" s="105">
        <v>2627</v>
      </c>
      <c r="E1396" s="23">
        <v>42139</v>
      </c>
      <c r="F1396" s="106">
        <v>2627</v>
      </c>
      <c r="G1396" s="31">
        <f t="shared" si="42"/>
        <v>0</v>
      </c>
      <c r="H1396" s="19" t="s">
        <v>312</v>
      </c>
      <c r="K1396" s="3"/>
      <c r="M1396" s="20">
        <v>42135</v>
      </c>
      <c r="N1396" s="183">
        <v>20729</v>
      </c>
      <c r="O1396" s="14" t="s">
        <v>1379</v>
      </c>
      <c r="P1396" s="105">
        <v>10708.8</v>
      </c>
      <c r="Q1396" s="23">
        <v>42135</v>
      </c>
      <c r="R1396" s="106">
        <v>10708.8</v>
      </c>
      <c r="S1396" s="31">
        <f t="shared" si="43"/>
        <v>0</v>
      </c>
      <c r="T1396" s="19" t="s">
        <v>9</v>
      </c>
    </row>
    <row r="1397" spans="1:20" x14ac:dyDescent="0.25">
      <c r="A1397" s="20">
        <v>42138</v>
      </c>
      <c r="B1397" s="183">
        <v>20971</v>
      </c>
      <c r="C1397" s="14" t="s">
        <v>829</v>
      </c>
      <c r="D1397" s="105">
        <v>3736.2</v>
      </c>
      <c r="E1397" s="23">
        <v>42138</v>
      </c>
      <c r="F1397" s="106">
        <v>3736.2</v>
      </c>
      <c r="G1397" s="31">
        <f t="shared" si="42"/>
        <v>0</v>
      </c>
      <c r="H1397" s="19" t="s">
        <v>9</v>
      </c>
      <c r="K1397" s="3"/>
      <c r="M1397" s="20">
        <v>42126</v>
      </c>
      <c r="N1397" s="183">
        <v>19713</v>
      </c>
      <c r="O1397" s="40" t="s">
        <v>1279</v>
      </c>
      <c r="P1397" s="105">
        <v>75278.149999999994</v>
      </c>
      <c r="Q1397" s="23">
        <v>42129</v>
      </c>
      <c r="R1397" s="106">
        <v>75278.149999999994</v>
      </c>
      <c r="S1397" s="25">
        <f t="shared" si="43"/>
        <v>0</v>
      </c>
      <c r="T1397" s="41" t="s">
        <v>9</v>
      </c>
    </row>
    <row r="1398" spans="1:20" x14ac:dyDescent="0.25">
      <c r="A1398" s="20">
        <v>42138</v>
      </c>
      <c r="B1398" s="183">
        <v>20972</v>
      </c>
      <c r="C1398" s="14" t="s">
        <v>1256</v>
      </c>
      <c r="D1398" s="105">
        <v>11424.6</v>
      </c>
      <c r="E1398" s="23">
        <v>42138</v>
      </c>
      <c r="F1398" s="106">
        <v>11424.6</v>
      </c>
      <c r="G1398" s="31">
        <f t="shared" si="42"/>
        <v>0</v>
      </c>
      <c r="H1398" s="19" t="s">
        <v>1257</v>
      </c>
      <c r="K1398" s="3"/>
      <c r="M1398" s="20">
        <v>42129</v>
      </c>
      <c r="N1398" s="183">
        <v>20023</v>
      </c>
      <c r="O1398" s="14" t="s">
        <v>1279</v>
      </c>
      <c r="P1398" s="105">
        <v>91951.5</v>
      </c>
      <c r="Q1398" s="23">
        <v>42133</v>
      </c>
      <c r="R1398" s="106">
        <v>91951.5</v>
      </c>
      <c r="S1398" s="31">
        <f t="shared" si="43"/>
        <v>0</v>
      </c>
      <c r="T1398" s="19" t="s">
        <v>9</v>
      </c>
    </row>
    <row r="1399" spans="1:20" x14ac:dyDescent="0.25">
      <c r="A1399" s="20">
        <v>42138</v>
      </c>
      <c r="B1399" s="183">
        <v>20973</v>
      </c>
      <c r="C1399" s="14" t="s">
        <v>829</v>
      </c>
      <c r="D1399" s="105">
        <v>176.4</v>
      </c>
      <c r="E1399" s="23">
        <v>42138</v>
      </c>
      <c r="F1399" s="106">
        <v>176.4</v>
      </c>
      <c r="G1399" s="31">
        <f t="shared" si="42"/>
        <v>0</v>
      </c>
      <c r="H1399" s="19" t="s">
        <v>9</v>
      </c>
      <c r="K1399" s="3"/>
      <c r="M1399" s="20">
        <v>42131</v>
      </c>
      <c r="N1399" s="183">
        <v>20225</v>
      </c>
      <c r="O1399" s="14" t="s">
        <v>1279</v>
      </c>
      <c r="P1399" s="105">
        <v>123569.54</v>
      </c>
      <c r="Q1399" s="23">
        <v>42143</v>
      </c>
      <c r="R1399" s="106">
        <v>123569.54</v>
      </c>
      <c r="S1399" s="31">
        <f t="shared" si="43"/>
        <v>0</v>
      </c>
      <c r="T1399" s="39" t="s">
        <v>9</v>
      </c>
    </row>
    <row r="1400" spans="1:20" x14ac:dyDescent="0.25">
      <c r="A1400" s="20">
        <v>42138</v>
      </c>
      <c r="B1400" s="183">
        <v>20974</v>
      </c>
      <c r="C1400" s="14" t="s">
        <v>375</v>
      </c>
      <c r="D1400" s="105">
        <v>5066.7</v>
      </c>
      <c r="E1400" s="23">
        <v>42138</v>
      </c>
      <c r="F1400" s="106">
        <v>5066.7</v>
      </c>
      <c r="G1400" s="31">
        <f t="shared" si="42"/>
        <v>0</v>
      </c>
      <c r="H1400" s="19" t="s">
        <v>9</v>
      </c>
      <c r="K1400" s="3"/>
      <c r="M1400" s="20">
        <v>42131</v>
      </c>
      <c r="N1400" s="183">
        <v>20315</v>
      </c>
      <c r="O1400" s="14" t="s">
        <v>1279</v>
      </c>
      <c r="P1400" s="105">
        <v>21324.6</v>
      </c>
      <c r="Q1400" s="23">
        <v>42133</v>
      </c>
      <c r="R1400" s="106">
        <v>21324.6</v>
      </c>
      <c r="S1400" s="31">
        <f t="shared" si="43"/>
        <v>0</v>
      </c>
      <c r="T1400" s="39" t="s">
        <v>149</v>
      </c>
    </row>
    <row r="1401" spans="1:20" x14ac:dyDescent="0.25">
      <c r="A1401" s="20">
        <v>42138</v>
      </c>
      <c r="B1401" s="183">
        <v>20975</v>
      </c>
      <c r="C1401" s="14" t="s">
        <v>20</v>
      </c>
      <c r="D1401" s="105">
        <v>5834.6</v>
      </c>
      <c r="E1401" s="23">
        <v>42138</v>
      </c>
      <c r="F1401" s="106">
        <v>5834.6</v>
      </c>
      <c r="G1401" s="31">
        <f t="shared" si="42"/>
        <v>0</v>
      </c>
      <c r="H1401" s="19" t="s">
        <v>94</v>
      </c>
      <c r="K1401" s="3"/>
      <c r="M1401" s="20">
        <v>42136</v>
      </c>
      <c r="N1401" s="183">
        <v>20798</v>
      </c>
      <c r="O1401" s="14" t="s">
        <v>1279</v>
      </c>
      <c r="P1401" s="105">
        <v>91366.3</v>
      </c>
      <c r="Q1401" s="23">
        <v>42143</v>
      </c>
      <c r="R1401" s="106">
        <v>91366.3</v>
      </c>
      <c r="S1401" s="31">
        <f t="shared" si="43"/>
        <v>0</v>
      </c>
      <c r="T1401" s="19" t="s">
        <v>9</v>
      </c>
    </row>
    <row r="1402" spans="1:20" x14ac:dyDescent="0.25">
      <c r="A1402" s="20">
        <v>42138</v>
      </c>
      <c r="B1402" s="183">
        <v>20976</v>
      </c>
      <c r="C1402" s="150" t="s">
        <v>125</v>
      </c>
      <c r="D1402" s="105">
        <v>11377.2</v>
      </c>
      <c r="E1402" s="23">
        <v>42138</v>
      </c>
      <c r="F1402" s="106">
        <v>11377.2</v>
      </c>
      <c r="G1402" s="31">
        <f t="shared" si="42"/>
        <v>0</v>
      </c>
      <c r="H1402" s="19" t="s">
        <v>94</v>
      </c>
      <c r="J1402" s="107"/>
      <c r="K1402" s="3"/>
      <c r="M1402" s="20">
        <v>42138</v>
      </c>
      <c r="N1402" s="183">
        <v>20966</v>
      </c>
      <c r="O1402" s="14" t="s">
        <v>1279</v>
      </c>
      <c r="P1402" s="105">
        <v>132036.9</v>
      </c>
      <c r="Q1402" s="23">
        <v>42143</v>
      </c>
      <c r="R1402" s="106">
        <v>132036.9</v>
      </c>
      <c r="S1402" s="31">
        <f t="shared" si="43"/>
        <v>0</v>
      </c>
      <c r="T1402" s="19" t="s">
        <v>9</v>
      </c>
    </row>
    <row r="1403" spans="1:20" x14ac:dyDescent="0.25">
      <c r="A1403" s="20">
        <v>42138</v>
      </c>
      <c r="B1403" s="183">
        <v>20977</v>
      </c>
      <c r="C1403" s="14" t="s">
        <v>464</v>
      </c>
      <c r="D1403" s="105">
        <v>3735.2</v>
      </c>
      <c r="E1403" s="23">
        <v>42138</v>
      </c>
      <c r="F1403" s="106">
        <v>3735.2</v>
      </c>
      <c r="G1403" s="48">
        <f t="shared" si="42"/>
        <v>0</v>
      </c>
      <c r="H1403" s="19" t="s">
        <v>9</v>
      </c>
      <c r="K1403" s="3"/>
      <c r="M1403" s="20">
        <v>42139</v>
      </c>
      <c r="N1403" s="183">
        <v>21079</v>
      </c>
      <c r="O1403" s="14" t="s">
        <v>1279</v>
      </c>
      <c r="P1403" s="105">
        <v>17043.150000000001</v>
      </c>
      <c r="Q1403" s="23">
        <v>42140</v>
      </c>
      <c r="R1403" s="106">
        <v>17043.150000000001</v>
      </c>
      <c r="S1403" s="48">
        <f t="shared" si="43"/>
        <v>0</v>
      </c>
      <c r="T1403" s="39" t="s">
        <v>149</v>
      </c>
    </row>
    <row r="1404" spans="1:20" x14ac:dyDescent="0.25">
      <c r="A1404" s="20">
        <v>42138</v>
      </c>
      <c r="B1404" s="183">
        <v>20978</v>
      </c>
      <c r="C1404" s="14" t="s">
        <v>49</v>
      </c>
      <c r="D1404" s="105">
        <v>1976</v>
      </c>
      <c r="E1404" s="23">
        <v>42138</v>
      </c>
      <c r="F1404" s="106">
        <v>1976</v>
      </c>
      <c r="G1404" s="31">
        <f t="shared" si="42"/>
        <v>0</v>
      </c>
      <c r="H1404" s="19" t="s">
        <v>94</v>
      </c>
      <c r="K1404" s="3"/>
      <c r="M1404" s="20">
        <v>42143</v>
      </c>
      <c r="N1404" s="183">
        <v>21547</v>
      </c>
      <c r="O1404" s="14" t="s">
        <v>1279</v>
      </c>
      <c r="P1404" s="105">
        <v>118880.7</v>
      </c>
      <c r="Q1404" s="23"/>
      <c r="R1404" s="118"/>
      <c r="S1404" s="31">
        <f t="shared" si="43"/>
        <v>118880.7</v>
      </c>
      <c r="T1404" s="56" t="s">
        <v>9</v>
      </c>
    </row>
    <row r="1405" spans="1:20" x14ac:dyDescent="0.25">
      <c r="A1405" s="20">
        <v>42138</v>
      </c>
      <c r="B1405" s="183">
        <v>20979</v>
      </c>
      <c r="C1405" s="14" t="s">
        <v>114</v>
      </c>
      <c r="D1405" s="105">
        <v>2520.4</v>
      </c>
      <c r="E1405" s="23">
        <v>42138</v>
      </c>
      <c r="F1405" s="106">
        <v>2520.4</v>
      </c>
      <c r="G1405" s="31">
        <f t="shared" si="42"/>
        <v>0</v>
      </c>
      <c r="H1405" s="19" t="s">
        <v>9</v>
      </c>
      <c r="K1405" s="3"/>
      <c r="M1405" s="20">
        <v>42144</v>
      </c>
      <c r="N1405" s="183">
        <v>21712</v>
      </c>
      <c r="O1405" s="14" t="s">
        <v>1279</v>
      </c>
      <c r="P1405" s="105">
        <v>139746.04999999999</v>
      </c>
      <c r="Q1405" s="23"/>
      <c r="R1405" s="106"/>
      <c r="S1405" s="31">
        <f t="shared" si="43"/>
        <v>139746.04999999999</v>
      </c>
      <c r="T1405" s="39" t="s">
        <v>9</v>
      </c>
    </row>
    <row r="1406" spans="1:20" x14ac:dyDescent="0.25">
      <c r="A1406" s="20">
        <v>42138</v>
      </c>
      <c r="B1406" s="183">
        <v>20980</v>
      </c>
      <c r="C1406" s="14" t="s">
        <v>125</v>
      </c>
      <c r="D1406" s="105">
        <v>3655</v>
      </c>
      <c r="E1406" s="23">
        <v>42138</v>
      </c>
      <c r="F1406" s="106">
        <v>3655</v>
      </c>
      <c r="G1406" s="31">
        <f t="shared" si="42"/>
        <v>0</v>
      </c>
      <c r="H1406" s="19" t="s">
        <v>9</v>
      </c>
      <c r="K1406" s="3"/>
      <c r="M1406" s="20">
        <v>42146</v>
      </c>
      <c r="N1406" s="183">
        <v>21833</v>
      </c>
      <c r="O1406" s="15" t="s">
        <v>1279</v>
      </c>
      <c r="P1406" s="122">
        <v>27576.6</v>
      </c>
      <c r="Q1406" s="23">
        <v>42146</v>
      </c>
      <c r="R1406" s="118">
        <v>27576.6</v>
      </c>
      <c r="S1406" s="31">
        <f t="shared" si="43"/>
        <v>0</v>
      </c>
      <c r="T1406" s="68" t="s">
        <v>773</v>
      </c>
    </row>
    <row r="1407" spans="1:20" x14ac:dyDescent="0.25">
      <c r="A1407" s="20">
        <v>42138</v>
      </c>
      <c r="B1407" s="183">
        <v>20981</v>
      </c>
      <c r="C1407" s="14" t="s">
        <v>1297</v>
      </c>
      <c r="D1407" s="105">
        <v>4563</v>
      </c>
      <c r="E1407" s="23">
        <v>42138</v>
      </c>
      <c r="F1407" s="106">
        <v>4563</v>
      </c>
      <c r="G1407" s="31">
        <f t="shared" si="42"/>
        <v>0</v>
      </c>
      <c r="H1407" s="19" t="s">
        <v>9</v>
      </c>
      <c r="K1407" s="3"/>
      <c r="M1407" s="20">
        <v>42150</v>
      </c>
      <c r="N1407" s="183">
        <v>22263</v>
      </c>
      <c r="O1407" s="14" t="s">
        <v>1279</v>
      </c>
      <c r="P1407" s="105">
        <v>110271.9</v>
      </c>
      <c r="Q1407" s="65"/>
      <c r="R1407" s="106"/>
      <c r="S1407" s="31">
        <f t="shared" si="43"/>
        <v>110271.9</v>
      </c>
      <c r="T1407" s="39" t="s">
        <v>9</v>
      </c>
    </row>
    <row r="1408" spans="1:20" x14ac:dyDescent="0.25">
      <c r="A1408" s="20">
        <v>42138</v>
      </c>
      <c r="B1408" s="183">
        <v>20982</v>
      </c>
      <c r="C1408" s="14" t="s">
        <v>1262</v>
      </c>
      <c r="D1408" s="105">
        <v>38860.550000000003</v>
      </c>
      <c r="E1408" s="23">
        <v>42142</v>
      </c>
      <c r="F1408" s="106">
        <v>38860.550000000003</v>
      </c>
      <c r="G1408" s="31">
        <f t="shared" si="42"/>
        <v>0</v>
      </c>
      <c r="H1408" s="19" t="s">
        <v>1273</v>
      </c>
      <c r="K1408" s="3"/>
      <c r="M1408" s="20">
        <v>42152</v>
      </c>
      <c r="N1408" s="183">
        <v>22429</v>
      </c>
      <c r="O1408" s="14" t="s">
        <v>1279</v>
      </c>
      <c r="P1408" s="105">
        <v>127859.4</v>
      </c>
      <c r="Q1408" s="23"/>
      <c r="R1408" s="106"/>
      <c r="S1408" s="31">
        <f t="shared" si="43"/>
        <v>127859.4</v>
      </c>
      <c r="T1408" s="39" t="s">
        <v>9</v>
      </c>
    </row>
    <row r="1409" spans="1:20" x14ac:dyDescent="0.25">
      <c r="A1409" s="20">
        <v>42138</v>
      </c>
      <c r="B1409" s="183">
        <v>20983</v>
      </c>
      <c r="C1409" s="14" t="s">
        <v>1059</v>
      </c>
      <c r="D1409" s="105">
        <v>21600</v>
      </c>
      <c r="E1409" s="23">
        <v>42138</v>
      </c>
      <c r="F1409" s="106">
        <v>21600</v>
      </c>
      <c r="G1409" s="31">
        <f t="shared" si="42"/>
        <v>0</v>
      </c>
      <c r="H1409" s="19" t="s">
        <v>773</v>
      </c>
      <c r="K1409" s="3"/>
      <c r="M1409" s="20">
        <v>42133</v>
      </c>
      <c r="N1409" s="183">
        <v>20479</v>
      </c>
      <c r="O1409" s="14" t="s">
        <v>1356</v>
      </c>
      <c r="P1409" s="105">
        <v>8844.7000000000007</v>
      </c>
      <c r="Q1409" s="23">
        <v>42135</v>
      </c>
      <c r="R1409" s="106">
        <v>8844.7000000000007</v>
      </c>
      <c r="S1409" s="31">
        <f t="shared" si="43"/>
        <v>0</v>
      </c>
      <c r="T1409" s="39" t="s">
        <v>94</v>
      </c>
    </row>
    <row r="1410" spans="1:20" x14ac:dyDescent="0.25">
      <c r="A1410" s="20">
        <v>42138</v>
      </c>
      <c r="B1410" s="183">
        <v>20984</v>
      </c>
      <c r="C1410" s="14" t="s">
        <v>115</v>
      </c>
      <c r="D1410" s="105">
        <v>791.7</v>
      </c>
      <c r="E1410" s="23">
        <v>42138</v>
      </c>
      <c r="F1410" s="106">
        <v>791.7</v>
      </c>
      <c r="G1410" s="31">
        <f t="shared" si="42"/>
        <v>0</v>
      </c>
      <c r="H1410" s="19" t="s">
        <v>9</v>
      </c>
      <c r="K1410" s="3"/>
      <c r="M1410" s="20">
        <v>42128</v>
      </c>
      <c r="N1410" s="183">
        <v>19900</v>
      </c>
      <c r="O1410" s="14" t="s">
        <v>20</v>
      </c>
      <c r="P1410" s="105">
        <v>8316.4</v>
      </c>
      <c r="Q1410" s="23">
        <v>42128</v>
      </c>
      <c r="R1410" s="106">
        <v>8316.4</v>
      </c>
      <c r="S1410" s="31">
        <f t="shared" si="43"/>
        <v>0</v>
      </c>
      <c r="T1410" s="19" t="s">
        <v>94</v>
      </c>
    </row>
    <row r="1411" spans="1:20" x14ac:dyDescent="0.25">
      <c r="A1411" s="20">
        <v>42138</v>
      </c>
      <c r="B1411" s="183">
        <v>20985</v>
      </c>
      <c r="C1411" s="14" t="s">
        <v>24</v>
      </c>
      <c r="D1411" s="105">
        <v>58446.8</v>
      </c>
      <c r="E1411" s="23">
        <v>42153</v>
      </c>
      <c r="F1411" s="106">
        <v>58446.8</v>
      </c>
      <c r="G1411" s="31">
        <f t="shared" ref="G1411:G1474" si="44">D1411-F1411</f>
        <v>0</v>
      </c>
      <c r="H1411" s="19" t="s">
        <v>312</v>
      </c>
      <c r="K1411" s="3"/>
      <c r="M1411" s="20">
        <v>42130</v>
      </c>
      <c r="N1411" s="183">
        <v>20120</v>
      </c>
      <c r="O1411" s="14" t="s">
        <v>20</v>
      </c>
      <c r="P1411" s="105">
        <v>7465.5</v>
      </c>
      <c r="Q1411" s="23">
        <v>42130</v>
      </c>
      <c r="R1411" s="106">
        <v>7465.5</v>
      </c>
      <c r="S1411" s="31">
        <f t="shared" ref="S1411:S1474" si="45">P1411-R1411</f>
        <v>0</v>
      </c>
      <c r="T1411" s="39" t="s">
        <v>94</v>
      </c>
    </row>
    <row r="1412" spans="1:20" x14ac:dyDescent="0.25">
      <c r="A1412" s="20">
        <v>42138</v>
      </c>
      <c r="B1412" s="183">
        <v>20986</v>
      </c>
      <c r="C1412" s="14" t="s">
        <v>24</v>
      </c>
      <c r="D1412" s="105">
        <v>3014.4</v>
      </c>
      <c r="E1412" s="23">
        <v>42153</v>
      </c>
      <c r="F1412" s="106">
        <v>3014.4</v>
      </c>
      <c r="G1412" s="31">
        <f t="shared" si="44"/>
        <v>0</v>
      </c>
      <c r="H1412" s="19" t="s">
        <v>312</v>
      </c>
      <c r="K1412" s="3"/>
      <c r="M1412" s="20">
        <v>42131</v>
      </c>
      <c r="N1412" s="183">
        <v>20213</v>
      </c>
      <c r="O1412" s="14" t="s">
        <v>20</v>
      </c>
      <c r="P1412" s="105">
        <v>4598.1000000000004</v>
      </c>
      <c r="Q1412" s="23">
        <v>42131</v>
      </c>
      <c r="R1412" s="106">
        <v>4598.1000000000004</v>
      </c>
      <c r="S1412" s="31">
        <f t="shared" si="45"/>
        <v>0</v>
      </c>
      <c r="T1412" s="39" t="s">
        <v>94</v>
      </c>
    </row>
    <row r="1413" spans="1:20" x14ac:dyDescent="0.25">
      <c r="A1413" s="20">
        <v>42138</v>
      </c>
      <c r="B1413" s="183">
        <v>20987</v>
      </c>
      <c r="C1413" s="14" t="s">
        <v>254</v>
      </c>
      <c r="D1413" s="105">
        <v>7113.8</v>
      </c>
      <c r="E1413" s="23">
        <v>42138</v>
      </c>
      <c r="F1413" s="106">
        <v>7113.8</v>
      </c>
      <c r="G1413" s="31">
        <f t="shared" si="44"/>
        <v>0</v>
      </c>
      <c r="H1413" s="19" t="s">
        <v>9</v>
      </c>
      <c r="K1413" s="3"/>
      <c r="M1413" s="20">
        <v>42131</v>
      </c>
      <c r="N1413" s="183">
        <v>20214</v>
      </c>
      <c r="O1413" s="14" t="s">
        <v>20</v>
      </c>
      <c r="P1413" s="105">
        <v>1416.8</v>
      </c>
      <c r="Q1413" s="23">
        <v>42131</v>
      </c>
      <c r="R1413" s="106">
        <v>1416.8</v>
      </c>
      <c r="S1413" s="31">
        <f t="shared" si="45"/>
        <v>0</v>
      </c>
      <c r="T1413" s="39" t="s">
        <v>9</v>
      </c>
    </row>
    <row r="1414" spans="1:20" x14ac:dyDescent="0.25">
      <c r="A1414" s="20">
        <v>42138</v>
      </c>
      <c r="B1414" s="183">
        <v>20988</v>
      </c>
      <c r="C1414" s="14" t="s">
        <v>229</v>
      </c>
      <c r="D1414" s="105">
        <v>2313.5700000000002</v>
      </c>
      <c r="E1414" s="23">
        <v>42138</v>
      </c>
      <c r="F1414" s="106">
        <v>2313.5700000000002</v>
      </c>
      <c r="G1414" s="31">
        <f t="shared" si="44"/>
        <v>0</v>
      </c>
      <c r="H1414" s="19" t="s">
        <v>9</v>
      </c>
      <c r="K1414" s="3"/>
      <c r="M1414" s="20">
        <v>42132</v>
      </c>
      <c r="N1414" s="183">
        <v>20339</v>
      </c>
      <c r="O1414" s="14" t="s">
        <v>20</v>
      </c>
      <c r="P1414" s="105">
        <v>9109.2000000000007</v>
      </c>
      <c r="Q1414" s="23">
        <v>42132</v>
      </c>
      <c r="R1414" s="106">
        <v>9109.2000000000007</v>
      </c>
      <c r="S1414" s="31">
        <f t="shared" si="45"/>
        <v>0</v>
      </c>
      <c r="T1414" s="19" t="s">
        <v>94</v>
      </c>
    </row>
    <row r="1415" spans="1:20" x14ac:dyDescent="0.25">
      <c r="A1415" s="20">
        <v>42138</v>
      </c>
      <c r="B1415" s="183">
        <v>20989</v>
      </c>
      <c r="C1415" s="14" t="s">
        <v>24</v>
      </c>
      <c r="D1415" s="105">
        <v>1137.5999999999999</v>
      </c>
      <c r="E1415" s="23">
        <v>42153</v>
      </c>
      <c r="F1415" s="106">
        <v>1137.5999999999999</v>
      </c>
      <c r="G1415" s="31">
        <f t="shared" si="44"/>
        <v>0</v>
      </c>
      <c r="H1415" s="19" t="s">
        <v>9</v>
      </c>
      <c r="K1415" s="3"/>
      <c r="M1415" s="20">
        <v>42135</v>
      </c>
      <c r="N1415" s="183">
        <v>20679</v>
      </c>
      <c r="O1415" s="14" t="s">
        <v>20</v>
      </c>
      <c r="P1415" s="105">
        <v>11959.1</v>
      </c>
      <c r="Q1415" s="23">
        <v>42137</v>
      </c>
      <c r="R1415" s="106">
        <v>11959.1</v>
      </c>
      <c r="S1415" s="31">
        <f t="shared" si="45"/>
        <v>0</v>
      </c>
      <c r="T1415" s="39" t="s">
        <v>94</v>
      </c>
    </row>
    <row r="1416" spans="1:20" x14ac:dyDescent="0.25">
      <c r="A1416" s="20">
        <v>42138</v>
      </c>
      <c r="B1416" s="183">
        <v>20990</v>
      </c>
      <c r="C1416" s="14" t="s">
        <v>81</v>
      </c>
      <c r="D1416" s="105">
        <v>1807</v>
      </c>
      <c r="E1416" s="23">
        <v>42138</v>
      </c>
      <c r="F1416" s="106">
        <v>1807</v>
      </c>
      <c r="G1416" s="31">
        <f t="shared" si="44"/>
        <v>0</v>
      </c>
      <c r="H1416" s="19" t="s">
        <v>59</v>
      </c>
      <c r="K1416" s="3"/>
      <c r="M1416" s="20">
        <v>42138</v>
      </c>
      <c r="N1416" s="183">
        <v>20975</v>
      </c>
      <c r="O1416" s="14" t="s">
        <v>20</v>
      </c>
      <c r="P1416" s="105">
        <v>5834.6</v>
      </c>
      <c r="Q1416" s="23">
        <v>42138</v>
      </c>
      <c r="R1416" s="106">
        <v>5834.6</v>
      </c>
      <c r="S1416" s="31">
        <f t="shared" si="45"/>
        <v>0</v>
      </c>
      <c r="T1416" s="19" t="s">
        <v>94</v>
      </c>
    </row>
    <row r="1417" spans="1:20" x14ac:dyDescent="0.25">
      <c r="A1417" s="20">
        <v>42138</v>
      </c>
      <c r="B1417" s="183">
        <v>20991</v>
      </c>
      <c r="C1417" s="14" t="s">
        <v>82</v>
      </c>
      <c r="D1417" s="105">
        <v>3529</v>
      </c>
      <c r="E1417" s="23">
        <v>42138</v>
      </c>
      <c r="F1417" s="106">
        <v>3529</v>
      </c>
      <c r="G1417" s="31">
        <f t="shared" si="44"/>
        <v>0</v>
      </c>
      <c r="H1417" s="19" t="s">
        <v>59</v>
      </c>
      <c r="J1417" s="119"/>
      <c r="K1417" s="3"/>
      <c r="M1417" s="20">
        <v>42139</v>
      </c>
      <c r="N1417" s="183">
        <v>21108</v>
      </c>
      <c r="O1417" s="14" t="s">
        <v>20</v>
      </c>
      <c r="P1417" s="105">
        <v>18130.7</v>
      </c>
      <c r="Q1417" s="23">
        <v>42140</v>
      </c>
      <c r="R1417" s="106">
        <v>18130.7</v>
      </c>
      <c r="S1417" s="48">
        <f t="shared" si="45"/>
        <v>0</v>
      </c>
      <c r="T1417" s="39" t="s">
        <v>94</v>
      </c>
    </row>
    <row r="1418" spans="1:20" x14ac:dyDescent="0.25">
      <c r="A1418" s="20">
        <v>42138</v>
      </c>
      <c r="B1418" s="183">
        <v>20992</v>
      </c>
      <c r="C1418" s="14" t="s">
        <v>66</v>
      </c>
      <c r="D1418" s="105">
        <v>2169.9</v>
      </c>
      <c r="E1418" s="23">
        <v>42138</v>
      </c>
      <c r="F1418" s="106">
        <v>2169.9</v>
      </c>
      <c r="G1418" s="31">
        <f t="shared" si="44"/>
        <v>0</v>
      </c>
      <c r="H1418" s="19" t="s">
        <v>9</v>
      </c>
      <c r="J1418" s="107"/>
      <c r="K1418" s="3"/>
      <c r="M1418" s="20">
        <v>42140</v>
      </c>
      <c r="N1418" s="183">
        <v>21228</v>
      </c>
      <c r="O1418" s="14" t="s">
        <v>20</v>
      </c>
      <c r="P1418" s="105">
        <v>11713.5</v>
      </c>
      <c r="Q1418" s="23">
        <v>42140</v>
      </c>
      <c r="R1418" s="106">
        <v>11713.5</v>
      </c>
      <c r="S1418" s="48">
        <f t="shared" si="45"/>
        <v>0</v>
      </c>
      <c r="T1418" s="39" t="s">
        <v>94</v>
      </c>
    </row>
    <row r="1419" spans="1:20" x14ac:dyDescent="0.25">
      <c r="A1419" s="20">
        <v>42138</v>
      </c>
      <c r="B1419" s="183">
        <v>20993</v>
      </c>
      <c r="C1419" s="14" t="s">
        <v>53</v>
      </c>
      <c r="D1419" s="105">
        <v>669.8</v>
      </c>
      <c r="E1419" s="23">
        <v>42138</v>
      </c>
      <c r="F1419" s="106">
        <v>669.8</v>
      </c>
      <c r="G1419" s="31">
        <f t="shared" si="44"/>
        <v>0</v>
      </c>
      <c r="H1419" s="19" t="s">
        <v>59</v>
      </c>
      <c r="K1419" s="3"/>
      <c r="M1419" s="20">
        <v>42140</v>
      </c>
      <c r="N1419" s="183">
        <v>21232</v>
      </c>
      <c r="O1419" s="14" t="s">
        <v>20</v>
      </c>
      <c r="P1419" s="105">
        <v>621.6</v>
      </c>
      <c r="Q1419" s="23">
        <v>42140</v>
      </c>
      <c r="R1419" s="106">
        <v>621.6</v>
      </c>
      <c r="S1419" s="48">
        <f t="shared" si="45"/>
        <v>0</v>
      </c>
      <c r="T1419" s="39" t="s">
        <v>94</v>
      </c>
    </row>
    <row r="1420" spans="1:20" x14ac:dyDescent="0.25">
      <c r="A1420" s="20">
        <v>42138</v>
      </c>
      <c r="B1420" s="183">
        <v>20994</v>
      </c>
      <c r="C1420" s="14" t="s">
        <v>83</v>
      </c>
      <c r="D1420" s="105">
        <v>7698.2</v>
      </c>
      <c r="E1420" s="23">
        <v>42138</v>
      </c>
      <c r="F1420" s="106">
        <v>7698.2</v>
      </c>
      <c r="G1420" s="31">
        <f t="shared" si="44"/>
        <v>0</v>
      </c>
      <c r="H1420" s="19" t="s">
        <v>59</v>
      </c>
      <c r="K1420" s="3"/>
      <c r="M1420" s="20">
        <v>42142</v>
      </c>
      <c r="N1420" s="183">
        <v>21431</v>
      </c>
      <c r="O1420" s="14" t="s">
        <v>20</v>
      </c>
      <c r="P1420" s="105">
        <v>1386.2</v>
      </c>
      <c r="Q1420" s="23">
        <v>42145</v>
      </c>
      <c r="R1420" s="118">
        <v>1386.2</v>
      </c>
      <c r="S1420" s="31">
        <f t="shared" si="45"/>
        <v>0</v>
      </c>
      <c r="T1420" s="56" t="s">
        <v>94</v>
      </c>
    </row>
    <row r="1421" spans="1:20" x14ac:dyDescent="0.25">
      <c r="A1421" s="20">
        <v>42138</v>
      </c>
      <c r="B1421" s="183">
        <v>20995</v>
      </c>
      <c r="C1421" s="14" t="s">
        <v>44</v>
      </c>
      <c r="D1421" s="105">
        <v>3075.6</v>
      </c>
      <c r="E1421" s="23">
        <v>42138</v>
      </c>
      <c r="F1421" s="106">
        <v>3075.6</v>
      </c>
      <c r="G1421" s="31">
        <f t="shared" si="44"/>
        <v>0</v>
      </c>
      <c r="H1421" s="19" t="s">
        <v>9</v>
      </c>
      <c r="K1421" s="3"/>
      <c r="M1421" s="20">
        <v>42144</v>
      </c>
      <c r="N1421" s="183">
        <v>21616</v>
      </c>
      <c r="O1421" s="14" t="s">
        <v>20</v>
      </c>
      <c r="P1421" s="105">
        <v>9267.7000000000007</v>
      </c>
      <c r="Q1421" s="23">
        <v>42144</v>
      </c>
      <c r="R1421" s="118">
        <v>9267.7000000000007</v>
      </c>
      <c r="S1421" s="31">
        <f t="shared" si="45"/>
        <v>0</v>
      </c>
      <c r="T1421" s="56" t="s">
        <v>94</v>
      </c>
    </row>
    <row r="1422" spans="1:20" x14ac:dyDescent="0.25">
      <c r="A1422" s="20">
        <v>42138</v>
      </c>
      <c r="B1422" s="183">
        <v>20996</v>
      </c>
      <c r="C1422" s="14" t="s">
        <v>120</v>
      </c>
      <c r="D1422" s="105">
        <v>1279.2</v>
      </c>
      <c r="E1422" s="23">
        <v>42138</v>
      </c>
      <c r="F1422" s="106">
        <v>1279.2</v>
      </c>
      <c r="G1422" s="31">
        <f t="shared" si="44"/>
        <v>0</v>
      </c>
      <c r="H1422" s="19" t="s">
        <v>59</v>
      </c>
      <c r="K1422" s="3"/>
      <c r="M1422" s="20">
        <v>42145</v>
      </c>
      <c r="N1422" s="183">
        <v>21725</v>
      </c>
      <c r="O1422" s="14" t="s">
        <v>20</v>
      </c>
      <c r="P1422" s="105">
        <v>17769.599999999999</v>
      </c>
      <c r="Q1422" s="23">
        <v>42145</v>
      </c>
      <c r="R1422" s="106">
        <v>17769.599999999999</v>
      </c>
      <c r="S1422" s="31">
        <f t="shared" si="45"/>
        <v>0</v>
      </c>
      <c r="T1422" s="39" t="s">
        <v>94</v>
      </c>
    </row>
    <row r="1423" spans="1:20" x14ac:dyDescent="0.25">
      <c r="A1423" s="20">
        <v>42138</v>
      </c>
      <c r="B1423" s="183">
        <v>20997</v>
      </c>
      <c r="C1423" s="14" t="s">
        <v>155</v>
      </c>
      <c r="D1423" s="105">
        <v>1628.4</v>
      </c>
      <c r="E1423" s="23">
        <v>42138</v>
      </c>
      <c r="F1423" s="106">
        <v>1628.4</v>
      </c>
      <c r="G1423" s="31">
        <f t="shared" si="44"/>
        <v>0</v>
      </c>
      <c r="H1423" s="19" t="s">
        <v>59</v>
      </c>
      <c r="K1423" s="3"/>
      <c r="M1423" s="20">
        <v>42147</v>
      </c>
      <c r="N1423" s="183">
        <v>21989</v>
      </c>
      <c r="O1423" s="14" t="s">
        <v>20</v>
      </c>
      <c r="P1423" s="105">
        <v>31398.7</v>
      </c>
      <c r="Q1423" s="65">
        <v>42147</v>
      </c>
      <c r="R1423" s="106">
        <v>31398.7</v>
      </c>
      <c r="S1423" s="31">
        <f t="shared" si="45"/>
        <v>0</v>
      </c>
      <c r="T1423" s="39" t="s">
        <v>94</v>
      </c>
    </row>
    <row r="1424" spans="1:20" x14ac:dyDescent="0.25">
      <c r="A1424" s="20">
        <v>42138</v>
      </c>
      <c r="B1424" s="183">
        <v>20998</v>
      </c>
      <c r="C1424" s="14" t="s">
        <v>1172</v>
      </c>
      <c r="D1424" s="105">
        <v>5684.8</v>
      </c>
      <c r="E1424" s="23">
        <v>42138</v>
      </c>
      <c r="F1424" s="106">
        <v>5684.8</v>
      </c>
      <c r="G1424" s="48">
        <f t="shared" si="44"/>
        <v>0</v>
      </c>
      <c r="H1424" s="19" t="s">
        <v>9</v>
      </c>
      <c r="K1424" s="3"/>
      <c r="M1424" s="20">
        <v>42148</v>
      </c>
      <c r="N1424" s="183">
        <v>22087</v>
      </c>
      <c r="O1424" s="14" t="s">
        <v>20</v>
      </c>
      <c r="P1424" s="105">
        <v>6451.5</v>
      </c>
      <c r="Q1424" s="65">
        <v>42151</v>
      </c>
      <c r="R1424" s="106">
        <v>6451.5</v>
      </c>
      <c r="S1424" s="31">
        <f t="shared" si="45"/>
        <v>0</v>
      </c>
      <c r="T1424" s="39" t="s">
        <v>187</v>
      </c>
    </row>
    <row r="1425" spans="1:20" x14ac:dyDescent="0.25">
      <c r="A1425" s="20">
        <v>42138</v>
      </c>
      <c r="B1425" s="183">
        <v>20999</v>
      </c>
      <c r="C1425" s="14" t="s">
        <v>940</v>
      </c>
      <c r="D1425" s="105">
        <v>3432.65</v>
      </c>
      <c r="E1425" s="23">
        <v>42138</v>
      </c>
      <c r="F1425" s="106">
        <v>3432.65</v>
      </c>
      <c r="G1425" s="48">
        <f t="shared" si="44"/>
        <v>0</v>
      </c>
      <c r="H1425" s="19" t="s">
        <v>9</v>
      </c>
      <c r="K1425" s="3"/>
      <c r="M1425" s="20">
        <v>42150</v>
      </c>
      <c r="N1425" s="183">
        <v>22267</v>
      </c>
      <c r="O1425" s="14" t="s">
        <v>20</v>
      </c>
      <c r="P1425" s="105">
        <v>8894</v>
      </c>
      <c r="Q1425" s="65">
        <v>42150</v>
      </c>
      <c r="R1425" s="106">
        <v>8894</v>
      </c>
      <c r="S1425" s="31">
        <f t="shared" si="45"/>
        <v>0</v>
      </c>
      <c r="T1425" s="39" t="s">
        <v>94</v>
      </c>
    </row>
    <row r="1426" spans="1:20" x14ac:dyDescent="0.25">
      <c r="A1426" s="20">
        <v>42138</v>
      </c>
      <c r="B1426" s="183">
        <v>21000</v>
      </c>
      <c r="C1426" s="150" t="s">
        <v>1190</v>
      </c>
      <c r="D1426" s="105">
        <v>3139.9</v>
      </c>
      <c r="E1426" s="23">
        <v>42138</v>
      </c>
      <c r="F1426" s="106">
        <v>3139.9</v>
      </c>
      <c r="G1426" s="48">
        <f t="shared" si="44"/>
        <v>0</v>
      </c>
      <c r="H1426" s="19" t="s">
        <v>9</v>
      </c>
      <c r="I1426" s="3"/>
      <c r="J1426" s="42"/>
      <c r="K1426" s="3"/>
      <c r="M1426" s="20">
        <v>42151</v>
      </c>
      <c r="N1426" s="183">
        <v>22348</v>
      </c>
      <c r="O1426" s="14" t="s">
        <v>20</v>
      </c>
      <c r="P1426" s="105">
        <v>13600</v>
      </c>
      <c r="Q1426" s="65">
        <v>42151</v>
      </c>
      <c r="R1426" s="106">
        <v>13600</v>
      </c>
      <c r="S1426" s="31">
        <f t="shared" si="45"/>
        <v>0</v>
      </c>
      <c r="T1426" s="39" t="s">
        <v>9</v>
      </c>
    </row>
    <row r="1427" spans="1:20" x14ac:dyDescent="0.25">
      <c r="A1427" s="20">
        <v>42138</v>
      </c>
      <c r="B1427" s="183">
        <v>21001</v>
      </c>
      <c r="C1427" s="14" t="s">
        <v>320</v>
      </c>
      <c r="D1427" s="105">
        <v>7239</v>
      </c>
      <c r="E1427" s="23">
        <v>42138</v>
      </c>
      <c r="F1427" s="106">
        <v>7239</v>
      </c>
      <c r="G1427" s="48">
        <f t="shared" si="44"/>
        <v>0</v>
      </c>
      <c r="H1427" s="19" t="s">
        <v>9</v>
      </c>
      <c r="I1427" s="3"/>
      <c r="J1427" s="42"/>
      <c r="K1427" s="3"/>
      <c r="M1427" s="20">
        <v>42151</v>
      </c>
      <c r="N1427" s="183">
        <v>22383</v>
      </c>
      <c r="O1427" s="14" t="s">
        <v>20</v>
      </c>
      <c r="P1427" s="105">
        <v>4032.8</v>
      </c>
      <c r="Q1427" s="23">
        <v>42151</v>
      </c>
      <c r="R1427" s="106">
        <v>4032.8</v>
      </c>
      <c r="S1427" s="31">
        <f t="shared" si="45"/>
        <v>0</v>
      </c>
      <c r="T1427" s="39" t="s">
        <v>94</v>
      </c>
    </row>
    <row r="1428" spans="1:20" x14ac:dyDescent="0.25">
      <c r="A1428" s="20">
        <v>42138</v>
      </c>
      <c r="B1428" s="183">
        <v>21002</v>
      </c>
      <c r="C1428" s="14" t="s">
        <v>320</v>
      </c>
      <c r="D1428" s="105">
        <v>9216</v>
      </c>
      <c r="E1428" s="23">
        <v>42138</v>
      </c>
      <c r="F1428" s="106">
        <v>9216</v>
      </c>
      <c r="G1428" s="48">
        <f t="shared" si="44"/>
        <v>0</v>
      </c>
      <c r="H1428" s="19" t="s">
        <v>9</v>
      </c>
      <c r="I1428" s="3"/>
      <c r="J1428" s="42"/>
      <c r="K1428" s="3"/>
      <c r="M1428" s="20">
        <v>42152</v>
      </c>
      <c r="N1428" s="183">
        <v>22446</v>
      </c>
      <c r="O1428" s="14" t="s">
        <v>20</v>
      </c>
      <c r="P1428" s="105">
        <v>10242.200000000001</v>
      </c>
      <c r="Q1428" s="23">
        <v>42152</v>
      </c>
      <c r="R1428" s="106">
        <v>10242.200000000001</v>
      </c>
      <c r="S1428" s="31">
        <f t="shared" si="45"/>
        <v>0</v>
      </c>
      <c r="T1428" s="39" t="s">
        <v>94</v>
      </c>
    </row>
    <row r="1429" spans="1:20" x14ac:dyDescent="0.25">
      <c r="A1429" s="20">
        <v>42138</v>
      </c>
      <c r="B1429" s="183">
        <v>21003</v>
      </c>
      <c r="C1429" s="14" t="s">
        <v>422</v>
      </c>
      <c r="D1429" s="105">
        <v>463</v>
      </c>
      <c r="E1429" s="23">
        <v>42138</v>
      </c>
      <c r="F1429" s="106">
        <v>463</v>
      </c>
      <c r="G1429" s="48">
        <f t="shared" si="44"/>
        <v>0</v>
      </c>
      <c r="H1429" s="19" t="s">
        <v>9</v>
      </c>
      <c r="I1429" s="3"/>
      <c r="J1429" s="42"/>
      <c r="K1429" s="3"/>
      <c r="M1429" s="20">
        <v>42153</v>
      </c>
      <c r="N1429" s="183">
        <v>22565</v>
      </c>
      <c r="O1429" s="14" t="s">
        <v>20</v>
      </c>
      <c r="P1429" s="105">
        <v>13916.8</v>
      </c>
      <c r="Q1429" s="23">
        <v>42154</v>
      </c>
      <c r="R1429" s="106">
        <v>13916.8</v>
      </c>
      <c r="S1429" s="31">
        <f t="shared" si="45"/>
        <v>0</v>
      </c>
      <c r="T1429" s="39" t="s">
        <v>94</v>
      </c>
    </row>
    <row r="1430" spans="1:20" x14ac:dyDescent="0.25">
      <c r="A1430" s="20">
        <v>42138</v>
      </c>
      <c r="B1430" s="183">
        <v>21004</v>
      </c>
      <c r="C1430" s="14" t="s">
        <v>1338</v>
      </c>
      <c r="D1430" s="105">
        <v>1876.8</v>
      </c>
      <c r="E1430" s="23">
        <v>42140</v>
      </c>
      <c r="F1430" s="106">
        <v>1876.8</v>
      </c>
      <c r="G1430" s="48">
        <f t="shared" si="44"/>
        <v>0</v>
      </c>
      <c r="H1430" s="19" t="s">
        <v>59</v>
      </c>
      <c r="I1430" s="3"/>
      <c r="J1430" s="42"/>
      <c r="K1430" s="3"/>
      <c r="M1430" s="20">
        <v>42154</v>
      </c>
      <c r="N1430" s="183">
        <v>22686</v>
      </c>
      <c r="O1430" s="14" t="s">
        <v>20</v>
      </c>
      <c r="P1430" s="105">
        <v>5461.2</v>
      </c>
      <c r="Q1430" s="23">
        <v>42154</v>
      </c>
      <c r="R1430" s="106">
        <v>5461.2</v>
      </c>
      <c r="S1430" s="31">
        <f t="shared" si="45"/>
        <v>0</v>
      </c>
      <c r="T1430" s="39" t="s">
        <v>94</v>
      </c>
    </row>
    <row r="1431" spans="1:20" x14ac:dyDescent="0.25">
      <c r="A1431" s="20">
        <v>42138</v>
      </c>
      <c r="B1431" s="183">
        <v>21005</v>
      </c>
      <c r="C1431" s="14" t="s">
        <v>1187</v>
      </c>
      <c r="D1431" s="105">
        <v>2243.5</v>
      </c>
      <c r="E1431" s="23">
        <v>42139</v>
      </c>
      <c r="F1431" s="106">
        <v>2243.5</v>
      </c>
      <c r="G1431" s="48">
        <f t="shared" si="44"/>
        <v>0</v>
      </c>
      <c r="H1431" s="19" t="s">
        <v>9</v>
      </c>
      <c r="I1431" s="3"/>
      <c r="J1431" s="42"/>
      <c r="K1431" s="3"/>
      <c r="M1431" s="20">
        <v>42154</v>
      </c>
      <c r="N1431" s="183">
        <v>22694</v>
      </c>
      <c r="O1431" s="14" t="s">
        <v>20</v>
      </c>
      <c r="P1431" s="105">
        <v>2005.4</v>
      </c>
      <c r="Q1431" s="23">
        <v>42154</v>
      </c>
      <c r="R1431" s="106">
        <v>2005.4</v>
      </c>
      <c r="S1431" s="31">
        <f t="shared" si="45"/>
        <v>0</v>
      </c>
      <c r="T1431" s="39" t="s">
        <v>9</v>
      </c>
    </row>
    <row r="1432" spans="1:20" x14ac:dyDescent="0.25">
      <c r="A1432" s="20">
        <v>42138</v>
      </c>
      <c r="B1432" s="183">
        <v>21006</v>
      </c>
      <c r="C1432" s="14" t="s">
        <v>118</v>
      </c>
      <c r="D1432" s="105">
        <v>2149.1999999999998</v>
      </c>
      <c r="E1432" s="23">
        <v>42138</v>
      </c>
      <c r="F1432" s="106">
        <v>2149.1999999999998</v>
      </c>
      <c r="G1432" s="48">
        <f t="shared" si="44"/>
        <v>0</v>
      </c>
      <c r="H1432" s="19" t="s">
        <v>59</v>
      </c>
      <c r="I1432" s="3"/>
      <c r="J1432" s="42"/>
      <c r="K1432" s="3"/>
      <c r="M1432" s="20">
        <v>42154</v>
      </c>
      <c r="N1432" s="183">
        <v>22754</v>
      </c>
      <c r="O1432" s="14" t="s">
        <v>20</v>
      </c>
      <c r="P1432" s="105">
        <v>3698.2</v>
      </c>
      <c r="Q1432" s="23">
        <v>42154</v>
      </c>
      <c r="R1432" s="106">
        <v>3698.2</v>
      </c>
      <c r="S1432" s="31">
        <f t="shared" si="45"/>
        <v>0</v>
      </c>
      <c r="T1432" s="39" t="s">
        <v>94</v>
      </c>
    </row>
    <row r="1433" spans="1:20" x14ac:dyDescent="0.25">
      <c r="A1433" s="20">
        <v>42138</v>
      </c>
      <c r="B1433" s="183">
        <v>21007</v>
      </c>
      <c r="C1433" s="14" t="s">
        <v>103</v>
      </c>
      <c r="D1433" s="105">
        <v>26958.799999999999</v>
      </c>
      <c r="E1433" s="23">
        <v>42138</v>
      </c>
      <c r="F1433" s="106">
        <v>26958.799999999999</v>
      </c>
      <c r="G1433" s="48">
        <f t="shared" si="44"/>
        <v>0</v>
      </c>
      <c r="H1433" s="19" t="s">
        <v>1273</v>
      </c>
      <c r="I1433" s="3"/>
      <c r="J1433" s="42"/>
      <c r="K1433" s="3"/>
      <c r="M1433" s="20">
        <v>42155</v>
      </c>
      <c r="N1433" s="183">
        <v>22813</v>
      </c>
      <c r="O1433" s="14" t="s">
        <v>20</v>
      </c>
      <c r="P1433" s="105">
        <v>2886</v>
      </c>
      <c r="Q1433" s="23"/>
      <c r="R1433" s="106"/>
      <c r="S1433" s="31">
        <f t="shared" si="45"/>
        <v>2886</v>
      </c>
      <c r="T1433" s="39" t="s">
        <v>187</v>
      </c>
    </row>
    <row r="1434" spans="1:20" x14ac:dyDescent="0.25">
      <c r="A1434" s="20">
        <v>42138</v>
      </c>
      <c r="B1434" s="183">
        <v>21008</v>
      </c>
      <c r="C1434" s="14" t="s">
        <v>167</v>
      </c>
      <c r="D1434" s="105">
        <v>547.20000000000005</v>
      </c>
      <c r="E1434" s="23">
        <v>42138</v>
      </c>
      <c r="F1434" s="106">
        <v>547.20000000000005</v>
      </c>
      <c r="G1434" s="48">
        <f t="shared" si="44"/>
        <v>0</v>
      </c>
      <c r="H1434" s="19" t="s">
        <v>59</v>
      </c>
      <c r="I1434" s="3"/>
      <c r="J1434" s="42"/>
      <c r="K1434" s="3"/>
      <c r="M1434" s="20">
        <v>42133</v>
      </c>
      <c r="N1434" s="183">
        <v>20472</v>
      </c>
      <c r="O1434" s="14" t="s">
        <v>1355</v>
      </c>
      <c r="P1434" s="105">
        <v>10752</v>
      </c>
      <c r="Q1434" s="23">
        <v>42133</v>
      </c>
      <c r="R1434" s="106">
        <v>10752</v>
      </c>
      <c r="S1434" s="31">
        <f t="shared" si="45"/>
        <v>0</v>
      </c>
      <c r="T1434" s="39" t="s">
        <v>9</v>
      </c>
    </row>
    <row r="1435" spans="1:20" x14ac:dyDescent="0.25">
      <c r="A1435" s="20">
        <v>42138</v>
      </c>
      <c r="B1435" s="183">
        <v>21009</v>
      </c>
      <c r="C1435" s="14" t="s">
        <v>118</v>
      </c>
      <c r="D1435" s="105">
        <v>2578.4</v>
      </c>
      <c r="E1435" s="30">
        <v>42157</v>
      </c>
      <c r="F1435" s="144">
        <v>2578.4</v>
      </c>
      <c r="G1435" s="48">
        <f t="shared" si="44"/>
        <v>0</v>
      </c>
      <c r="H1435" s="19" t="s">
        <v>59</v>
      </c>
      <c r="I1435" s="3"/>
      <c r="J1435" s="42"/>
      <c r="K1435" s="3"/>
      <c r="M1435" s="20">
        <v>42143</v>
      </c>
      <c r="N1435" s="183">
        <v>21585</v>
      </c>
      <c r="O1435" s="14" t="s">
        <v>679</v>
      </c>
      <c r="P1435" s="105">
        <v>13578.3</v>
      </c>
      <c r="Q1435" s="23"/>
      <c r="R1435" s="106"/>
      <c r="S1435" s="31">
        <f t="shared" si="45"/>
        <v>13578.3</v>
      </c>
      <c r="T1435" s="56" t="s">
        <v>187</v>
      </c>
    </row>
    <row r="1436" spans="1:20" x14ac:dyDescent="0.25">
      <c r="A1436" s="20">
        <v>42138</v>
      </c>
      <c r="B1436" s="183">
        <v>21010</v>
      </c>
      <c r="C1436" s="14" t="s">
        <v>1187</v>
      </c>
      <c r="D1436" s="105">
        <v>200</v>
      </c>
      <c r="E1436" s="23">
        <v>42138</v>
      </c>
      <c r="F1436" s="106">
        <v>200</v>
      </c>
      <c r="G1436" s="48">
        <f t="shared" si="44"/>
        <v>0</v>
      </c>
      <c r="H1436" s="19" t="s">
        <v>59</v>
      </c>
      <c r="I1436" s="3"/>
      <c r="J1436" s="42"/>
      <c r="K1436" s="3"/>
      <c r="M1436" s="20">
        <v>42126</v>
      </c>
      <c r="N1436" s="183">
        <v>19758</v>
      </c>
      <c r="O1436" s="14" t="s">
        <v>439</v>
      </c>
      <c r="P1436" s="105">
        <v>8127.6</v>
      </c>
      <c r="Q1436" s="23">
        <v>42126</v>
      </c>
      <c r="R1436" s="106">
        <v>8127.6</v>
      </c>
      <c r="S1436" s="25">
        <f t="shared" si="45"/>
        <v>0</v>
      </c>
      <c r="T1436" s="19" t="s">
        <v>9</v>
      </c>
    </row>
    <row r="1437" spans="1:20" x14ac:dyDescent="0.25">
      <c r="A1437" s="20">
        <v>42138</v>
      </c>
      <c r="B1437" s="183">
        <v>21011</v>
      </c>
      <c r="C1437" s="14" t="s">
        <v>128</v>
      </c>
      <c r="D1437" s="105">
        <v>5696.4</v>
      </c>
      <c r="E1437" s="23">
        <v>42138</v>
      </c>
      <c r="F1437" s="106">
        <v>5696.4</v>
      </c>
      <c r="G1437" s="48">
        <f t="shared" si="44"/>
        <v>0</v>
      </c>
      <c r="H1437" s="19" t="s">
        <v>1257</v>
      </c>
      <c r="I1437" s="3"/>
      <c r="J1437" s="42"/>
      <c r="K1437" s="3"/>
      <c r="M1437" s="20">
        <v>42153</v>
      </c>
      <c r="N1437" s="183">
        <v>22628</v>
      </c>
      <c r="O1437" s="14" t="s">
        <v>439</v>
      </c>
      <c r="P1437" s="105">
        <v>182.4</v>
      </c>
      <c r="Q1437" s="23">
        <v>42153</v>
      </c>
      <c r="R1437" s="106">
        <v>182.4</v>
      </c>
      <c r="S1437" s="31">
        <f t="shared" si="45"/>
        <v>0</v>
      </c>
      <c r="T1437" s="39" t="s">
        <v>9</v>
      </c>
    </row>
    <row r="1438" spans="1:20" x14ac:dyDescent="0.25">
      <c r="A1438" s="20">
        <v>42138</v>
      </c>
      <c r="B1438" s="183">
        <v>21012</v>
      </c>
      <c r="C1438" s="14" t="s">
        <v>226</v>
      </c>
      <c r="D1438" s="105">
        <v>1977.5</v>
      </c>
      <c r="E1438" s="23">
        <v>42138</v>
      </c>
      <c r="F1438" s="106">
        <v>1977.5</v>
      </c>
      <c r="G1438" s="48">
        <f t="shared" si="44"/>
        <v>0</v>
      </c>
      <c r="H1438" s="19" t="s">
        <v>94</v>
      </c>
      <c r="I1438" s="3"/>
      <c r="J1438" s="42"/>
      <c r="K1438" s="3"/>
      <c r="M1438" s="20">
        <v>42125</v>
      </c>
      <c r="N1438" s="183">
        <v>19598</v>
      </c>
      <c r="O1438" s="14" t="s">
        <v>1260</v>
      </c>
      <c r="P1438" s="105">
        <v>102769.85</v>
      </c>
      <c r="Q1438" s="23">
        <v>42128</v>
      </c>
      <c r="R1438" s="106">
        <v>102769.85</v>
      </c>
      <c r="S1438" s="25">
        <f t="shared" si="45"/>
        <v>0</v>
      </c>
      <c r="T1438" s="19" t="s">
        <v>19</v>
      </c>
    </row>
    <row r="1439" spans="1:20" x14ac:dyDescent="0.25">
      <c r="A1439" s="20">
        <v>42138</v>
      </c>
      <c r="B1439" s="183">
        <v>21013</v>
      </c>
      <c r="C1439" s="14" t="s">
        <v>99</v>
      </c>
      <c r="D1439" s="105">
        <v>2415</v>
      </c>
      <c r="E1439" s="23">
        <v>42138</v>
      </c>
      <c r="F1439" s="106">
        <v>2415</v>
      </c>
      <c r="G1439" s="48">
        <f t="shared" si="44"/>
        <v>0</v>
      </c>
      <c r="H1439" s="39" t="s">
        <v>94</v>
      </c>
      <c r="I1439" s="3"/>
      <c r="J1439" s="42"/>
      <c r="K1439" s="3"/>
      <c r="M1439" s="20">
        <v>42126</v>
      </c>
      <c r="N1439" s="183">
        <v>19734</v>
      </c>
      <c r="O1439" s="40" t="s">
        <v>1260</v>
      </c>
      <c r="P1439" s="105">
        <v>105716.45</v>
      </c>
      <c r="Q1439" s="23">
        <v>42140</v>
      </c>
      <c r="R1439" s="106">
        <v>105716.45</v>
      </c>
      <c r="S1439" s="25">
        <f t="shared" si="45"/>
        <v>0</v>
      </c>
      <c r="T1439" s="41" t="s">
        <v>9</v>
      </c>
    </row>
    <row r="1440" spans="1:20" x14ac:dyDescent="0.25">
      <c r="A1440" s="20">
        <v>42138</v>
      </c>
      <c r="B1440" s="183">
        <v>21014</v>
      </c>
      <c r="C1440" s="14" t="s">
        <v>50</v>
      </c>
      <c r="D1440" s="105">
        <v>3180.6</v>
      </c>
      <c r="E1440" s="23">
        <v>42138</v>
      </c>
      <c r="F1440" s="106">
        <v>3180.6</v>
      </c>
      <c r="G1440" s="48">
        <f t="shared" si="44"/>
        <v>0</v>
      </c>
      <c r="H1440" s="39" t="s">
        <v>41</v>
      </c>
      <c r="I1440" s="3"/>
      <c r="J1440" s="42"/>
      <c r="K1440" s="3"/>
      <c r="M1440" s="20">
        <v>42127</v>
      </c>
      <c r="N1440" s="183">
        <v>19822</v>
      </c>
      <c r="O1440" s="40" t="s">
        <v>1260</v>
      </c>
      <c r="P1440" s="105">
        <v>40123.65</v>
      </c>
      <c r="Q1440" s="23">
        <v>42140</v>
      </c>
      <c r="R1440" s="106">
        <v>40123.65</v>
      </c>
      <c r="S1440" s="31">
        <f t="shared" si="45"/>
        <v>0</v>
      </c>
      <c r="T1440" s="41" t="s">
        <v>9</v>
      </c>
    </row>
    <row r="1441" spans="1:20" x14ac:dyDescent="0.25">
      <c r="A1441" s="20">
        <v>42138</v>
      </c>
      <c r="B1441" s="183">
        <v>21015</v>
      </c>
      <c r="C1441" s="14" t="s">
        <v>332</v>
      </c>
      <c r="D1441" s="105">
        <v>2580</v>
      </c>
      <c r="E1441" s="23">
        <v>42138</v>
      </c>
      <c r="F1441" s="106">
        <v>2580</v>
      </c>
      <c r="G1441" s="48">
        <f t="shared" si="44"/>
        <v>0</v>
      </c>
      <c r="H1441" s="39" t="s">
        <v>9</v>
      </c>
      <c r="I1441" s="3"/>
      <c r="J1441" s="42"/>
      <c r="K1441" s="3"/>
      <c r="M1441" s="20">
        <v>42128</v>
      </c>
      <c r="N1441" s="183">
        <v>19906</v>
      </c>
      <c r="O1441" s="14" t="s">
        <v>1260</v>
      </c>
      <c r="P1441" s="105">
        <v>67022.100000000006</v>
      </c>
      <c r="Q1441" s="23">
        <v>42140</v>
      </c>
      <c r="R1441" s="106">
        <v>67022.100000000006</v>
      </c>
      <c r="S1441" s="31">
        <f t="shared" si="45"/>
        <v>0</v>
      </c>
      <c r="T1441" s="19" t="s">
        <v>149</v>
      </c>
    </row>
    <row r="1442" spans="1:20" x14ac:dyDescent="0.25">
      <c r="A1442" s="20">
        <v>42138</v>
      </c>
      <c r="B1442" s="183">
        <v>21016</v>
      </c>
      <c r="C1442" s="14" t="s">
        <v>33</v>
      </c>
      <c r="D1442" s="105">
        <v>2120.4</v>
      </c>
      <c r="E1442" s="23">
        <v>42138</v>
      </c>
      <c r="F1442" s="106">
        <v>2120.4</v>
      </c>
      <c r="G1442" s="48">
        <f t="shared" si="44"/>
        <v>0</v>
      </c>
      <c r="H1442" s="39" t="s">
        <v>9</v>
      </c>
      <c r="I1442" s="3"/>
      <c r="J1442" s="42"/>
      <c r="K1442" s="3"/>
      <c r="M1442" s="20">
        <v>42128</v>
      </c>
      <c r="N1442" s="183">
        <v>19946</v>
      </c>
      <c r="O1442" s="14" t="s">
        <v>1260</v>
      </c>
      <c r="P1442" s="105">
        <v>19281.2</v>
      </c>
      <c r="Q1442" s="23" t="s">
        <v>1301</v>
      </c>
      <c r="R1442" s="106">
        <f>507.4+18773.8</f>
        <v>19281.2</v>
      </c>
      <c r="S1442" s="31">
        <f t="shared" si="45"/>
        <v>0</v>
      </c>
      <c r="T1442" s="19" t="s">
        <v>46</v>
      </c>
    </row>
    <row r="1443" spans="1:20" x14ac:dyDescent="0.25">
      <c r="A1443" s="20">
        <v>42138</v>
      </c>
      <c r="B1443" s="183">
        <v>21017</v>
      </c>
      <c r="C1443" s="14" t="s">
        <v>247</v>
      </c>
      <c r="D1443" s="105">
        <v>5494.8</v>
      </c>
      <c r="E1443" s="23">
        <v>42138</v>
      </c>
      <c r="F1443" s="106">
        <v>5494.8</v>
      </c>
      <c r="G1443" s="48">
        <f t="shared" si="44"/>
        <v>0</v>
      </c>
      <c r="H1443" s="39" t="s">
        <v>41</v>
      </c>
      <c r="I1443" s="3"/>
      <c r="J1443" s="42"/>
      <c r="K1443" s="3"/>
      <c r="M1443" s="20">
        <v>42129</v>
      </c>
      <c r="N1443" s="183">
        <v>20038</v>
      </c>
      <c r="O1443" s="14" t="s">
        <v>1260</v>
      </c>
      <c r="P1443" s="105">
        <v>73604.7</v>
      </c>
      <c r="Q1443" s="23">
        <v>42140</v>
      </c>
      <c r="R1443" s="106">
        <v>73604.7</v>
      </c>
      <c r="S1443" s="31">
        <f t="shared" si="45"/>
        <v>0</v>
      </c>
      <c r="T1443" s="39" t="s">
        <v>1273</v>
      </c>
    </row>
    <row r="1444" spans="1:20" x14ac:dyDescent="0.25">
      <c r="A1444" s="20">
        <v>42138</v>
      </c>
      <c r="B1444" s="183">
        <v>21018</v>
      </c>
      <c r="C1444" s="14" t="s">
        <v>130</v>
      </c>
      <c r="D1444" s="105">
        <v>3597.8</v>
      </c>
      <c r="E1444" s="23">
        <v>42142</v>
      </c>
      <c r="F1444" s="106">
        <v>3597.8</v>
      </c>
      <c r="G1444" s="48">
        <f t="shared" si="44"/>
        <v>0</v>
      </c>
      <c r="H1444" s="39" t="s">
        <v>1257</v>
      </c>
      <c r="I1444" s="3"/>
      <c r="J1444" s="42"/>
      <c r="K1444" s="3"/>
      <c r="M1444" s="20">
        <v>42130</v>
      </c>
      <c r="N1444" s="183">
        <v>20114</v>
      </c>
      <c r="O1444" s="14" t="s">
        <v>1260</v>
      </c>
      <c r="P1444" s="105">
        <v>163285.20000000001</v>
      </c>
      <c r="Q1444" s="23">
        <v>42140</v>
      </c>
      <c r="R1444" s="106">
        <v>163285.20000000001</v>
      </c>
      <c r="S1444" s="31">
        <f t="shared" si="45"/>
        <v>0</v>
      </c>
      <c r="T1444" s="39" t="s">
        <v>9</v>
      </c>
    </row>
    <row r="1445" spans="1:20" x14ac:dyDescent="0.25">
      <c r="A1445" s="20">
        <v>42138</v>
      </c>
      <c r="B1445" s="183">
        <v>21019</v>
      </c>
      <c r="C1445" s="14" t="s">
        <v>131</v>
      </c>
      <c r="D1445" s="105">
        <v>7765.8</v>
      </c>
      <c r="E1445" s="23">
        <v>42139</v>
      </c>
      <c r="F1445" s="106">
        <v>7765.8</v>
      </c>
      <c r="G1445" s="48">
        <f t="shared" si="44"/>
        <v>0</v>
      </c>
      <c r="H1445" s="39" t="s">
        <v>1257</v>
      </c>
      <c r="I1445" s="3"/>
      <c r="J1445" s="42"/>
      <c r="K1445" s="3"/>
      <c r="M1445" s="20">
        <v>42131</v>
      </c>
      <c r="N1445" s="183">
        <v>20246</v>
      </c>
      <c r="O1445" s="14" t="s">
        <v>32</v>
      </c>
      <c r="P1445" s="105">
        <v>248322.3</v>
      </c>
      <c r="Q1445" s="23">
        <v>42140</v>
      </c>
      <c r="R1445" s="106">
        <v>248322.3</v>
      </c>
      <c r="S1445" s="31">
        <f t="shared" si="45"/>
        <v>0</v>
      </c>
      <c r="T1445" s="19" t="s">
        <v>9</v>
      </c>
    </row>
    <row r="1446" spans="1:20" x14ac:dyDescent="0.25">
      <c r="A1446" s="20">
        <v>42138</v>
      </c>
      <c r="B1446" s="183">
        <v>21020</v>
      </c>
      <c r="C1446" s="14" t="s">
        <v>165</v>
      </c>
      <c r="D1446" s="105">
        <v>2336.4</v>
      </c>
      <c r="E1446" s="23">
        <v>42138</v>
      </c>
      <c r="F1446" s="106">
        <v>2336.4</v>
      </c>
      <c r="G1446" s="48">
        <f t="shared" si="44"/>
        <v>0</v>
      </c>
      <c r="H1446" s="39" t="s">
        <v>1257</v>
      </c>
      <c r="I1446" s="3"/>
      <c r="J1446" s="42"/>
      <c r="K1446" s="3"/>
      <c r="M1446" s="20">
        <v>42133</v>
      </c>
      <c r="N1446" s="183">
        <v>20528</v>
      </c>
      <c r="O1446" s="14" t="s">
        <v>32</v>
      </c>
      <c r="P1446" s="105">
        <v>69346.8</v>
      </c>
      <c r="Q1446" s="23">
        <v>42140</v>
      </c>
      <c r="R1446" s="106">
        <v>69346.8</v>
      </c>
      <c r="S1446" s="31">
        <f t="shared" si="45"/>
        <v>0</v>
      </c>
      <c r="T1446" s="19" t="s">
        <v>9</v>
      </c>
    </row>
    <row r="1447" spans="1:20" x14ac:dyDescent="0.25">
      <c r="A1447" s="20">
        <v>42138</v>
      </c>
      <c r="B1447" s="183">
        <v>21021</v>
      </c>
      <c r="C1447" s="14" t="s">
        <v>28</v>
      </c>
      <c r="D1447" s="105">
        <v>715.3</v>
      </c>
      <c r="E1447" s="23">
        <v>42138</v>
      </c>
      <c r="F1447" s="106">
        <v>715.3</v>
      </c>
      <c r="G1447" s="48">
        <f t="shared" si="44"/>
        <v>0</v>
      </c>
      <c r="H1447" s="39" t="s">
        <v>9</v>
      </c>
      <c r="I1447" s="3"/>
      <c r="J1447" s="42"/>
      <c r="K1447" s="3"/>
      <c r="M1447" s="20">
        <v>42134</v>
      </c>
      <c r="N1447" s="183">
        <v>20632</v>
      </c>
      <c r="O1447" s="14" t="s">
        <v>32</v>
      </c>
      <c r="P1447" s="105">
        <v>58452.3</v>
      </c>
      <c r="Q1447" s="23">
        <v>42140</v>
      </c>
      <c r="R1447" s="118">
        <v>58452.3</v>
      </c>
      <c r="S1447" s="31">
        <f t="shared" si="45"/>
        <v>0</v>
      </c>
      <c r="T1447" s="56" t="s">
        <v>9</v>
      </c>
    </row>
    <row r="1448" spans="1:20" x14ac:dyDescent="0.25">
      <c r="A1448" s="20">
        <v>42138</v>
      </c>
      <c r="B1448" s="183">
        <v>21022</v>
      </c>
      <c r="C1448" s="14" t="s">
        <v>571</v>
      </c>
      <c r="D1448" s="105">
        <v>11158</v>
      </c>
      <c r="E1448" s="23">
        <v>42138</v>
      </c>
      <c r="F1448" s="106">
        <v>11158</v>
      </c>
      <c r="G1448" s="48">
        <f t="shared" si="44"/>
        <v>0</v>
      </c>
      <c r="H1448" s="39" t="s">
        <v>9</v>
      </c>
      <c r="I1448" s="3"/>
      <c r="J1448" s="42"/>
      <c r="K1448" s="3"/>
      <c r="M1448" s="20">
        <v>42135</v>
      </c>
      <c r="N1448" s="183">
        <v>20716</v>
      </c>
      <c r="O1448" s="14" t="s">
        <v>32</v>
      </c>
      <c r="P1448" s="105">
        <v>33404.400000000001</v>
      </c>
      <c r="Q1448" s="23">
        <v>42140</v>
      </c>
      <c r="R1448" s="106">
        <v>33404.400000000001</v>
      </c>
      <c r="S1448" s="31">
        <f t="shared" si="45"/>
        <v>0</v>
      </c>
      <c r="T1448" s="19" t="s">
        <v>149</v>
      </c>
    </row>
    <row r="1449" spans="1:20" x14ac:dyDescent="0.25">
      <c r="A1449" s="20">
        <v>42138</v>
      </c>
      <c r="B1449" s="183">
        <v>21023</v>
      </c>
      <c r="C1449" s="14" t="s">
        <v>141</v>
      </c>
      <c r="D1449" s="105">
        <v>1636.9</v>
      </c>
      <c r="E1449" s="23">
        <v>42138</v>
      </c>
      <c r="F1449" s="106">
        <v>1636.9</v>
      </c>
      <c r="G1449" s="48">
        <f t="shared" si="44"/>
        <v>0</v>
      </c>
      <c r="H1449" s="39" t="s">
        <v>9</v>
      </c>
      <c r="I1449" s="3"/>
      <c r="J1449" s="42"/>
      <c r="K1449" s="3"/>
      <c r="M1449" s="20">
        <v>42135</v>
      </c>
      <c r="N1449" s="183">
        <v>20786</v>
      </c>
      <c r="O1449" s="14" t="s">
        <v>32</v>
      </c>
      <c r="P1449" s="105">
        <v>2718</v>
      </c>
      <c r="Q1449" s="23">
        <v>42140</v>
      </c>
      <c r="R1449" s="106">
        <v>2718</v>
      </c>
      <c r="S1449" s="31">
        <f t="shared" si="45"/>
        <v>0</v>
      </c>
      <c r="T1449" s="19" t="s">
        <v>9</v>
      </c>
    </row>
    <row r="1450" spans="1:20" x14ac:dyDescent="0.25">
      <c r="A1450" s="20">
        <v>42138</v>
      </c>
      <c r="B1450" s="183">
        <v>21024</v>
      </c>
      <c r="C1450" s="14" t="s">
        <v>1053</v>
      </c>
      <c r="D1450" s="105">
        <v>70297.2</v>
      </c>
      <c r="E1450" s="23">
        <v>42138</v>
      </c>
      <c r="F1450" s="106">
        <v>70297.2</v>
      </c>
      <c r="G1450" s="48">
        <f t="shared" si="44"/>
        <v>0</v>
      </c>
      <c r="H1450" s="39" t="s">
        <v>773</v>
      </c>
      <c r="I1450" s="3"/>
      <c r="J1450" s="42"/>
      <c r="K1450" s="3"/>
      <c r="M1450" s="20">
        <v>42136</v>
      </c>
      <c r="N1450" s="183">
        <v>20796</v>
      </c>
      <c r="O1450" s="14" t="s">
        <v>32</v>
      </c>
      <c r="P1450" s="105">
        <v>96479.6</v>
      </c>
      <c r="Q1450" s="23">
        <v>42140</v>
      </c>
      <c r="R1450" s="106">
        <v>96479.6</v>
      </c>
      <c r="S1450" s="31">
        <f t="shared" si="45"/>
        <v>0</v>
      </c>
      <c r="T1450" s="19" t="s">
        <v>1273</v>
      </c>
    </row>
    <row r="1451" spans="1:20" x14ac:dyDescent="0.25">
      <c r="A1451" s="20">
        <v>42138</v>
      </c>
      <c r="B1451" s="183">
        <v>21025</v>
      </c>
      <c r="C1451" s="14" t="s">
        <v>1182</v>
      </c>
      <c r="D1451" s="105">
        <v>593.79999999999995</v>
      </c>
      <c r="E1451" s="23">
        <v>42139</v>
      </c>
      <c r="F1451" s="106">
        <v>593.79999999999995</v>
      </c>
      <c r="G1451" s="48">
        <f t="shared" si="44"/>
        <v>0</v>
      </c>
      <c r="H1451" s="39" t="s">
        <v>9</v>
      </c>
      <c r="I1451" s="3"/>
      <c r="J1451" s="42"/>
      <c r="K1451" s="3"/>
      <c r="M1451" s="20">
        <v>42137</v>
      </c>
      <c r="N1451" s="183">
        <v>20872</v>
      </c>
      <c r="O1451" s="14" t="s">
        <v>32</v>
      </c>
      <c r="P1451" s="105">
        <v>124236</v>
      </c>
      <c r="Q1451" s="23">
        <v>42140</v>
      </c>
      <c r="R1451" s="106">
        <v>124236</v>
      </c>
      <c r="S1451" s="31">
        <f t="shared" si="45"/>
        <v>0</v>
      </c>
      <c r="T1451" s="39" t="s">
        <v>9</v>
      </c>
    </row>
    <row r="1452" spans="1:20" x14ac:dyDescent="0.25">
      <c r="A1452" s="20">
        <v>42138</v>
      </c>
      <c r="B1452" s="183">
        <v>21026</v>
      </c>
      <c r="C1452" s="14" t="s">
        <v>35</v>
      </c>
      <c r="D1452" s="105">
        <v>23072.5</v>
      </c>
      <c r="E1452" s="23">
        <v>42139</v>
      </c>
      <c r="F1452" s="106">
        <v>23072.5</v>
      </c>
      <c r="G1452" s="48">
        <f t="shared" si="44"/>
        <v>0</v>
      </c>
      <c r="H1452" s="39" t="s">
        <v>62</v>
      </c>
      <c r="I1452" s="3"/>
      <c r="J1452" s="42"/>
      <c r="K1452" s="3"/>
      <c r="M1452" s="20">
        <v>42138</v>
      </c>
      <c r="N1452" s="183">
        <v>20969</v>
      </c>
      <c r="O1452" s="14" t="s">
        <v>32</v>
      </c>
      <c r="P1452" s="105">
        <v>52118.8</v>
      </c>
      <c r="Q1452" s="23">
        <v>42140</v>
      </c>
      <c r="R1452" s="106">
        <v>52118.8</v>
      </c>
      <c r="S1452" s="31">
        <f t="shared" si="45"/>
        <v>0</v>
      </c>
      <c r="T1452" s="19" t="s">
        <v>149</v>
      </c>
    </row>
    <row r="1453" spans="1:20" x14ac:dyDescent="0.25">
      <c r="A1453" s="20">
        <v>42138</v>
      </c>
      <c r="B1453" s="183">
        <v>21027</v>
      </c>
      <c r="C1453" s="14" t="s">
        <v>136</v>
      </c>
      <c r="D1453" s="105">
        <v>35364</v>
      </c>
      <c r="E1453" s="23">
        <v>42138</v>
      </c>
      <c r="F1453" s="106">
        <v>35364</v>
      </c>
      <c r="G1453" s="48">
        <f t="shared" si="44"/>
        <v>0</v>
      </c>
      <c r="H1453" s="39" t="s">
        <v>9</v>
      </c>
      <c r="I1453" s="3"/>
      <c r="J1453" s="42"/>
      <c r="K1453" s="3"/>
      <c r="M1453" s="20">
        <v>42139</v>
      </c>
      <c r="N1453" s="183">
        <v>21106</v>
      </c>
      <c r="O1453" s="14" t="s">
        <v>32</v>
      </c>
      <c r="P1453" s="105">
        <v>109611.3</v>
      </c>
      <c r="Q1453" s="23">
        <v>42140</v>
      </c>
      <c r="R1453" s="106">
        <v>109611.3</v>
      </c>
      <c r="S1453" s="48">
        <f t="shared" si="45"/>
        <v>0</v>
      </c>
      <c r="T1453" s="39" t="s">
        <v>1273</v>
      </c>
    </row>
    <row r="1454" spans="1:20" x14ac:dyDescent="0.25">
      <c r="A1454" s="20">
        <v>42138</v>
      </c>
      <c r="B1454" s="183">
        <v>21028</v>
      </c>
      <c r="C1454" s="14" t="s">
        <v>106</v>
      </c>
      <c r="D1454" s="105">
        <v>21768.2</v>
      </c>
      <c r="E1454" s="23">
        <v>42142</v>
      </c>
      <c r="F1454" s="106">
        <v>21768.2</v>
      </c>
      <c r="G1454" s="48">
        <f t="shared" si="44"/>
        <v>0</v>
      </c>
      <c r="H1454" s="39" t="s">
        <v>9</v>
      </c>
      <c r="I1454" s="3"/>
      <c r="J1454" s="42"/>
      <c r="K1454" s="3"/>
      <c r="M1454" s="20">
        <v>42140</v>
      </c>
      <c r="N1454" s="183">
        <v>21258</v>
      </c>
      <c r="O1454" s="14" t="s">
        <v>32</v>
      </c>
      <c r="P1454" s="105">
        <v>151386.20000000001</v>
      </c>
      <c r="Q1454" s="23" t="s">
        <v>1395</v>
      </c>
      <c r="R1454" s="106"/>
      <c r="S1454" s="31">
        <f t="shared" si="45"/>
        <v>151386.20000000001</v>
      </c>
      <c r="T1454" s="62" t="s">
        <v>46</v>
      </c>
    </row>
    <row r="1455" spans="1:20" x14ac:dyDescent="0.25">
      <c r="A1455" s="20">
        <v>42138</v>
      </c>
      <c r="B1455" s="183">
        <v>21029</v>
      </c>
      <c r="C1455" s="14" t="s">
        <v>250</v>
      </c>
      <c r="D1455" s="105">
        <v>979.8</v>
      </c>
      <c r="E1455" s="23">
        <v>42139</v>
      </c>
      <c r="F1455" s="106">
        <v>979.8</v>
      </c>
      <c r="G1455" s="48">
        <f t="shared" si="44"/>
        <v>0</v>
      </c>
      <c r="H1455" s="39" t="s">
        <v>1273</v>
      </c>
      <c r="I1455" s="3"/>
      <c r="J1455" s="42"/>
      <c r="K1455" s="3"/>
      <c r="M1455" s="20">
        <v>42140</v>
      </c>
      <c r="N1455" s="183">
        <v>21269</v>
      </c>
      <c r="O1455" s="14" t="s">
        <v>32</v>
      </c>
      <c r="P1455" s="105">
        <v>10593</v>
      </c>
      <c r="Q1455" s="23"/>
      <c r="R1455" s="106"/>
      <c r="S1455" s="31">
        <f t="shared" si="45"/>
        <v>10593</v>
      </c>
      <c r="T1455" s="62" t="s">
        <v>1396</v>
      </c>
    </row>
    <row r="1456" spans="1:20" x14ac:dyDescent="0.25">
      <c r="A1456" s="20">
        <v>42138</v>
      </c>
      <c r="B1456" s="183">
        <v>21030</v>
      </c>
      <c r="C1456" s="14" t="s">
        <v>47</v>
      </c>
      <c r="D1456" s="105">
        <v>15888.4</v>
      </c>
      <c r="E1456" s="23">
        <v>42139</v>
      </c>
      <c r="F1456" s="106">
        <f>376.2+15512.2</f>
        <v>15888.400000000001</v>
      </c>
      <c r="G1456" s="48">
        <f t="shared" si="44"/>
        <v>0</v>
      </c>
      <c r="H1456" s="39" t="s">
        <v>1273</v>
      </c>
      <c r="I1456" s="3"/>
      <c r="J1456" s="42"/>
      <c r="K1456" s="3"/>
      <c r="M1456" s="20">
        <v>42142</v>
      </c>
      <c r="N1456" s="183">
        <v>21445</v>
      </c>
      <c r="O1456" s="14" t="s">
        <v>32</v>
      </c>
      <c r="P1456" s="105">
        <v>95383.2</v>
      </c>
      <c r="Q1456" s="65"/>
      <c r="R1456" s="106"/>
      <c r="S1456" s="31">
        <f t="shared" si="45"/>
        <v>95383.2</v>
      </c>
      <c r="T1456" s="19" t="s">
        <v>1273</v>
      </c>
    </row>
    <row r="1457" spans="1:20" x14ac:dyDescent="0.25">
      <c r="A1457" s="20">
        <v>42138</v>
      </c>
      <c r="B1457" s="183">
        <v>21031</v>
      </c>
      <c r="C1457" s="14" t="s">
        <v>93</v>
      </c>
      <c r="D1457" s="105">
        <v>1655.8</v>
      </c>
      <c r="E1457" s="23">
        <v>42139</v>
      </c>
      <c r="F1457" s="106">
        <v>1655.8</v>
      </c>
      <c r="G1457" s="48">
        <f t="shared" si="44"/>
        <v>0</v>
      </c>
      <c r="H1457" s="39" t="s">
        <v>1273</v>
      </c>
      <c r="I1457" s="3"/>
      <c r="J1457" s="42"/>
      <c r="K1457" s="3"/>
      <c r="M1457" s="20">
        <v>42142</v>
      </c>
      <c r="N1457" s="183">
        <v>21515</v>
      </c>
      <c r="O1457" s="14" t="s">
        <v>32</v>
      </c>
      <c r="P1457" s="105">
        <v>7488</v>
      </c>
      <c r="Q1457" s="23"/>
      <c r="R1457" s="118"/>
      <c r="S1457" s="31">
        <f t="shared" si="45"/>
        <v>7488</v>
      </c>
      <c r="T1457" s="56" t="s">
        <v>9</v>
      </c>
    </row>
    <row r="1458" spans="1:20" x14ac:dyDescent="0.25">
      <c r="A1458" s="20">
        <v>42138</v>
      </c>
      <c r="B1458" s="183">
        <v>21032</v>
      </c>
      <c r="C1458" s="14" t="s">
        <v>95</v>
      </c>
      <c r="D1458" s="105">
        <v>1961.8</v>
      </c>
      <c r="E1458" s="23">
        <v>42139</v>
      </c>
      <c r="F1458" s="106">
        <v>1961.8</v>
      </c>
      <c r="G1458" s="48">
        <f t="shared" si="44"/>
        <v>0</v>
      </c>
      <c r="H1458" s="39" t="s">
        <v>1273</v>
      </c>
      <c r="J1458" s="107"/>
      <c r="K1458" s="3"/>
      <c r="M1458" s="20">
        <v>42143</v>
      </c>
      <c r="N1458" s="183">
        <v>21548</v>
      </c>
      <c r="O1458" s="14" t="s">
        <v>32</v>
      </c>
      <c r="P1458" s="105">
        <v>88755</v>
      </c>
      <c r="Q1458" s="23"/>
      <c r="R1458" s="118"/>
      <c r="S1458" s="31">
        <f t="shared" si="45"/>
        <v>88755</v>
      </c>
      <c r="T1458" s="56" t="s">
        <v>9</v>
      </c>
    </row>
    <row r="1459" spans="1:20" x14ac:dyDescent="0.25">
      <c r="A1459" s="20">
        <v>42138</v>
      </c>
      <c r="B1459" s="183">
        <v>21033</v>
      </c>
      <c r="C1459" s="14" t="s">
        <v>334</v>
      </c>
      <c r="D1459" s="105">
        <v>2877.2</v>
      </c>
      <c r="E1459" s="23">
        <v>42139</v>
      </c>
      <c r="F1459" s="106">
        <v>2877.2</v>
      </c>
      <c r="G1459" s="48">
        <f t="shared" si="44"/>
        <v>0</v>
      </c>
      <c r="H1459" s="39" t="s">
        <v>62</v>
      </c>
      <c r="K1459" s="3"/>
      <c r="M1459" s="20">
        <v>42144</v>
      </c>
      <c r="N1459" s="183">
        <v>21649</v>
      </c>
      <c r="O1459" s="14" t="s">
        <v>32</v>
      </c>
      <c r="P1459" s="105">
        <v>176673</v>
      </c>
      <c r="Q1459" s="23"/>
      <c r="R1459" s="118"/>
      <c r="S1459" s="31">
        <f t="shared" si="45"/>
        <v>176673</v>
      </c>
      <c r="T1459" s="62" t="s">
        <v>9</v>
      </c>
    </row>
    <row r="1460" spans="1:20" x14ac:dyDescent="0.25">
      <c r="A1460" s="20">
        <v>42138</v>
      </c>
      <c r="B1460" s="183">
        <v>21034</v>
      </c>
      <c r="C1460" s="150" t="s">
        <v>1182</v>
      </c>
      <c r="D1460" s="105">
        <v>60</v>
      </c>
      <c r="E1460" s="23">
        <v>42138</v>
      </c>
      <c r="F1460" s="106">
        <v>60</v>
      </c>
      <c r="G1460" s="48">
        <f t="shared" si="44"/>
        <v>0</v>
      </c>
      <c r="H1460" s="39" t="s">
        <v>9</v>
      </c>
      <c r="K1460" s="3"/>
      <c r="M1460" s="20">
        <v>42145</v>
      </c>
      <c r="N1460" s="183">
        <v>21719</v>
      </c>
      <c r="O1460" s="14" t="s">
        <v>32</v>
      </c>
      <c r="P1460" s="105">
        <v>19416</v>
      </c>
      <c r="Q1460" s="23"/>
      <c r="R1460" s="106"/>
      <c r="S1460" s="31">
        <f t="shared" si="45"/>
        <v>19416</v>
      </c>
      <c r="T1460" s="39" t="s">
        <v>1273</v>
      </c>
    </row>
    <row r="1461" spans="1:20" x14ac:dyDescent="0.25">
      <c r="A1461" s="20">
        <v>42138</v>
      </c>
      <c r="B1461" s="183">
        <v>21035</v>
      </c>
      <c r="C1461" s="14" t="s">
        <v>256</v>
      </c>
      <c r="D1461" s="105">
        <v>5561.6</v>
      </c>
      <c r="E1461" s="23">
        <v>42139</v>
      </c>
      <c r="F1461" s="106">
        <v>5561.6</v>
      </c>
      <c r="G1461" s="48">
        <f t="shared" si="44"/>
        <v>0</v>
      </c>
      <c r="H1461" s="39" t="s">
        <v>62</v>
      </c>
      <c r="K1461" s="3"/>
      <c r="M1461" s="20">
        <v>42145</v>
      </c>
      <c r="N1461" s="183">
        <v>21814</v>
      </c>
      <c r="O1461" s="15" t="s">
        <v>32</v>
      </c>
      <c r="P1461" s="122">
        <v>5004</v>
      </c>
      <c r="Q1461" s="23"/>
      <c r="R1461" s="118"/>
      <c r="S1461" s="31">
        <f t="shared" si="45"/>
        <v>5004</v>
      </c>
      <c r="T1461" s="68" t="s">
        <v>9</v>
      </c>
    </row>
    <row r="1462" spans="1:20" x14ac:dyDescent="0.25">
      <c r="A1462" s="20">
        <v>42138</v>
      </c>
      <c r="B1462" s="183">
        <v>21036</v>
      </c>
      <c r="C1462" s="14" t="s">
        <v>107</v>
      </c>
      <c r="D1462" s="105">
        <v>3070.2</v>
      </c>
      <c r="E1462" s="23">
        <v>42138</v>
      </c>
      <c r="F1462" s="106">
        <v>3070.2</v>
      </c>
      <c r="G1462" s="48">
        <f t="shared" si="44"/>
        <v>0</v>
      </c>
      <c r="H1462" s="39" t="s">
        <v>9</v>
      </c>
      <c r="K1462" s="3"/>
      <c r="M1462" s="20">
        <v>42145</v>
      </c>
      <c r="N1462" s="183">
        <v>21832</v>
      </c>
      <c r="O1462" s="15" t="s">
        <v>32</v>
      </c>
      <c r="P1462" s="122">
        <v>138498</v>
      </c>
      <c r="Q1462" s="23"/>
      <c r="R1462" s="118"/>
      <c r="S1462" s="31">
        <f t="shared" si="45"/>
        <v>138498</v>
      </c>
      <c r="T1462" s="68" t="s">
        <v>1273</v>
      </c>
    </row>
    <row r="1463" spans="1:20" x14ac:dyDescent="0.25">
      <c r="A1463" s="20">
        <v>42138</v>
      </c>
      <c r="B1463" s="183">
        <v>21037</v>
      </c>
      <c r="C1463" s="14" t="s">
        <v>1397</v>
      </c>
      <c r="D1463" s="105">
        <v>7968</v>
      </c>
      <c r="E1463" s="23">
        <v>42138</v>
      </c>
      <c r="F1463" s="106">
        <v>7968</v>
      </c>
      <c r="G1463" s="48">
        <f t="shared" si="44"/>
        <v>0</v>
      </c>
      <c r="H1463" s="39" t="s">
        <v>9</v>
      </c>
      <c r="K1463" s="3"/>
      <c r="M1463" s="20">
        <v>42146</v>
      </c>
      <c r="N1463" s="183">
        <v>21963</v>
      </c>
      <c r="O1463" s="14" t="s">
        <v>32</v>
      </c>
      <c r="P1463" s="105">
        <v>140239</v>
      </c>
      <c r="Q1463" s="65"/>
      <c r="R1463" s="106"/>
      <c r="S1463" s="31">
        <f t="shared" si="45"/>
        <v>140239</v>
      </c>
      <c r="T1463" s="39" t="s">
        <v>9</v>
      </c>
    </row>
    <row r="1464" spans="1:20" x14ac:dyDescent="0.25">
      <c r="A1464" s="20">
        <v>42138</v>
      </c>
      <c r="B1464" s="183">
        <v>21038</v>
      </c>
      <c r="C1464" s="14" t="s">
        <v>48</v>
      </c>
      <c r="D1464" s="105">
        <v>927</v>
      </c>
      <c r="E1464" s="23">
        <v>42138</v>
      </c>
      <c r="F1464" s="106">
        <v>927</v>
      </c>
      <c r="G1464" s="48">
        <f t="shared" si="44"/>
        <v>0</v>
      </c>
      <c r="H1464" s="39" t="s">
        <v>41</v>
      </c>
      <c r="K1464" s="3"/>
      <c r="M1464" s="20">
        <v>42147</v>
      </c>
      <c r="N1464" s="183">
        <v>22048</v>
      </c>
      <c r="O1464" s="14" t="s">
        <v>32</v>
      </c>
      <c r="P1464" s="105">
        <v>87570</v>
      </c>
      <c r="Q1464" s="65"/>
      <c r="R1464" s="106"/>
      <c r="S1464" s="31">
        <f t="shared" si="45"/>
        <v>87570</v>
      </c>
      <c r="T1464" s="39" t="s">
        <v>1273</v>
      </c>
    </row>
    <row r="1465" spans="1:20" x14ac:dyDescent="0.25">
      <c r="A1465" s="20">
        <v>42138</v>
      </c>
      <c r="B1465" s="183">
        <v>21039</v>
      </c>
      <c r="C1465" s="14" t="s">
        <v>56</v>
      </c>
      <c r="D1465" s="105">
        <v>7592.4</v>
      </c>
      <c r="E1465" s="23">
        <v>42139</v>
      </c>
      <c r="F1465" s="106">
        <v>7592.4</v>
      </c>
      <c r="G1465" s="48">
        <f t="shared" si="44"/>
        <v>0</v>
      </c>
      <c r="H1465" s="39" t="s">
        <v>62</v>
      </c>
      <c r="K1465" s="3"/>
      <c r="M1465" s="20">
        <v>42147</v>
      </c>
      <c r="N1465" s="183">
        <v>22064</v>
      </c>
      <c r="O1465" s="14" t="s">
        <v>32</v>
      </c>
      <c r="P1465" s="105">
        <v>16913.900000000001</v>
      </c>
      <c r="Q1465" s="65"/>
      <c r="R1465" s="106"/>
      <c r="S1465" s="31">
        <f t="shared" si="45"/>
        <v>16913.900000000001</v>
      </c>
      <c r="T1465" s="39" t="s">
        <v>94</v>
      </c>
    </row>
    <row r="1466" spans="1:20" x14ac:dyDescent="0.25">
      <c r="A1466" s="20">
        <v>42138</v>
      </c>
      <c r="B1466" s="183">
        <v>21040</v>
      </c>
      <c r="C1466" s="14" t="s">
        <v>200</v>
      </c>
      <c r="D1466" s="105">
        <v>3468</v>
      </c>
      <c r="E1466" s="23">
        <v>42140</v>
      </c>
      <c r="F1466" s="106">
        <v>3468</v>
      </c>
      <c r="G1466" s="48">
        <f t="shared" si="44"/>
        <v>0</v>
      </c>
      <c r="H1466" s="39" t="s">
        <v>149</v>
      </c>
      <c r="K1466" s="3"/>
      <c r="M1466" s="20">
        <v>42148</v>
      </c>
      <c r="N1466" s="183">
        <v>22118</v>
      </c>
      <c r="O1466" s="14" t="s">
        <v>32</v>
      </c>
      <c r="P1466" s="105">
        <v>71182.75</v>
      </c>
      <c r="Q1466" s="65"/>
      <c r="R1466" s="106"/>
      <c r="S1466" s="31">
        <f t="shared" si="45"/>
        <v>71182.75</v>
      </c>
      <c r="T1466" s="39" t="s">
        <v>9</v>
      </c>
    </row>
    <row r="1467" spans="1:20" x14ac:dyDescent="0.25">
      <c r="A1467" s="20">
        <v>42138</v>
      </c>
      <c r="B1467" s="183">
        <v>21041</v>
      </c>
      <c r="C1467" s="14" t="s">
        <v>411</v>
      </c>
      <c r="D1467" s="105">
        <v>2242.8000000000002</v>
      </c>
      <c r="E1467" s="51">
        <v>42138</v>
      </c>
      <c r="F1467" s="106">
        <v>2242.8000000000002</v>
      </c>
      <c r="G1467" s="48">
        <f t="shared" si="44"/>
        <v>0</v>
      </c>
      <c r="H1467" s="39" t="s">
        <v>9</v>
      </c>
      <c r="K1467" s="3"/>
      <c r="M1467" s="20">
        <v>42149</v>
      </c>
      <c r="N1467" s="183">
        <v>22155</v>
      </c>
      <c r="O1467" s="14" t="s">
        <v>32</v>
      </c>
      <c r="P1467" s="105">
        <v>54265.599999999999</v>
      </c>
      <c r="Q1467" s="65"/>
      <c r="R1467" s="106"/>
      <c r="S1467" s="31">
        <f t="shared" si="45"/>
        <v>54265.599999999999</v>
      </c>
      <c r="T1467" s="39" t="s">
        <v>9</v>
      </c>
    </row>
    <row r="1468" spans="1:20" x14ac:dyDescent="0.25">
      <c r="A1468" s="20">
        <v>42138</v>
      </c>
      <c r="B1468" s="183">
        <v>21042</v>
      </c>
      <c r="C1468" s="14" t="s">
        <v>336</v>
      </c>
      <c r="D1468" s="105">
        <v>6755</v>
      </c>
      <c r="E1468" s="23">
        <v>42138</v>
      </c>
      <c r="F1468" s="106">
        <v>6755</v>
      </c>
      <c r="G1468" s="48">
        <f t="shared" si="44"/>
        <v>0</v>
      </c>
      <c r="H1468" s="39" t="s">
        <v>9</v>
      </c>
      <c r="K1468" s="3"/>
      <c r="M1468" s="20">
        <v>42150</v>
      </c>
      <c r="N1468" s="183">
        <v>22305</v>
      </c>
      <c r="O1468" s="150" t="s">
        <v>32</v>
      </c>
      <c r="P1468" s="105">
        <v>100838.39999999999</v>
      </c>
      <c r="Q1468" s="65"/>
      <c r="R1468" s="106"/>
      <c r="S1468" s="31">
        <f t="shared" si="45"/>
        <v>100838.39999999999</v>
      </c>
      <c r="T1468" s="39" t="s">
        <v>187</v>
      </c>
    </row>
    <row r="1469" spans="1:20" x14ac:dyDescent="0.25">
      <c r="A1469" s="20">
        <v>42138</v>
      </c>
      <c r="B1469" s="183">
        <v>21043</v>
      </c>
      <c r="C1469" s="14" t="s">
        <v>1140</v>
      </c>
      <c r="D1469" s="105">
        <v>4762</v>
      </c>
      <c r="E1469" s="23">
        <v>42140</v>
      </c>
      <c r="F1469" s="106">
        <v>4762</v>
      </c>
      <c r="G1469" s="48">
        <f t="shared" si="44"/>
        <v>0</v>
      </c>
      <c r="H1469" s="39" t="s">
        <v>149</v>
      </c>
      <c r="K1469" s="3"/>
      <c r="M1469" s="20">
        <v>42151</v>
      </c>
      <c r="N1469" s="183">
        <v>22416</v>
      </c>
      <c r="O1469" s="14" t="s">
        <v>32</v>
      </c>
      <c r="P1469" s="105">
        <v>200225.6</v>
      </c>
      <c r="Q1469" s="23"/>
      <c r="R1469" s="106"/>
      <c r="S1469" s="31">
        <f t="shared" si="45"/>
        <v>200225.6</v>
      </c>
      <c r="T1469" s="39" t="s">
        <v>149</v>
      </c>
    </row>
    <row r="1470" spans="1:20" x14ac:dyDescent="0.25">
      <c r="A1470" s="20">
        <v>42138</v>
      </c>
      <c r="B1470" s="183">
        <v>21044</v>
      </c>
      <c r="C1470" s="14" t="s">
        <v>336</v>
      </c>
      <c r="D1470" s="105">
        <v>2563.1999999999998</v>
      </c>
      <c r="E1470" s="23">
        <v>42138</v>
      </c>
      <c r="F1470" s="106">
        <v>2563.1999999999998</v>
      </c>
      <c r="G1470" s="48">
        <f t="shared" si="44"/>
        <v>0</v>
      </c>
      <c r="H1470" s="39" t="s">
        <v>9</v>
      </c>
      <c r="K1470" s="3"/>
      <c r="M1470" s="20">
        <v>42153</v>
      </c>
      <c r="N1470" s="183">
        <v>22579</v>
      </c>
      <c r="O1470" s="14" t="s">
        <v>32</v>
      </c>
      <c r="P1470" s="105">
        <v>167613.6</v>
      </c>
      <c r="Q1470" s="23"/>
      <c r="R1470" s="106"/>
      <c r="S1470" s="31">
        <f t="shared" si="45"/>
        <v>167613.6</v>
      </c>
      <c r="T1470" s="39" t="s">
        <v>1273</v>
      </c>
    </row>
    <row r="1471" spans="1:20" x14ac:dyDescent="0.25">
      <c r="A1471" s="20">
        <v>42138</v>
      </c>
      <c r="B1471" s="183">
        <v>21045</v>
      </c>
      <c r="C1471" s="14" t="s">
        <v>207</v>
      </c>
      <c r="D1471" s="105">
        <v>27188.560000000001</v>
      </c>
      <c r="E1471" s="23">
        <v>42145</v>
      </c>
      <c r="F1471" s="106">
        <v>27188.560000000001</v>
      </c>
      <c r="G1471" s="48">
        <f t="shared" si="44"/>
        <v>0</v>
      </c>
      <c r="H1471" s="39" t="s">
        <v>149</v>
      </c>
      <c r="K1471" s="3"/>
      <c r="M1471" s="20">
        <v>42153</v>
      </c>
      <c r="N1471" s="183">
        <v>22665</v>
      </c>
      <c r="O1471" s="14" t="s">
        <v>32</v>
      </c>
      <c r="P1471" s="105">
        <v>12015.9</v>
      </c>
      <c r="Q1471" s="23"/>
      <c r="R1471" s="106"/>
      <c r="S1471" s="31">
        <f t="shared" si="45"/>
        <v>12015.9</v>
      </c>
      <c r="T1471" s="39" t="s">
        <v>187</v>
      </c>
    </row>
    <row r="1472" spans="1:20" x14ac:dyDescent="0.25">
      <c r="A1472" s="20">
        <v>42138</v>
      </c>
      <c r="B1472" s="183">
        <v>21046</v>
      </c>
      <c r="C1472" s="14" t="s">
        <v>1275</v>
      </c>
      <c r="D1472" s="105">
        <v>1802</v>
      </c>
      <c r="E1472" s="23">
        <v>42140</v>
      </c>
      <c r="F1472" s="106">
        <v>1802</v>
      </c>
      <c r="G1472" s="48">
        <f t="shared" si="44"/>
        <v>0</v>
      </c>
      <c r="H1472" s="39" t="s">
        <v>149</v>
      </c>
      <c r="K1472" s="3"/>
      <c r="M1472" s="20">
        <v>42154</v>
      </c>
      <c r="N1472" s="183">
        <v>22698</v>
      </c>
      <c r="O1472" s="14" t="s">
        <v>32</v>
      </c>
      <c r="P1472" s="105">
        <v>62165.4</v>
      </c>
      <c r="Q1472" s="23"/>
      <c r="R1472" s="106"/>
      <c r="S1472" s="31">
        <f t="shared" si="45"/>
        <v>62165.4</v>
      </c>
      <c r="T1472" s="39" t="s">
        <v>1273</v>
      </c>
    </row>
    <row r="1473" spans="1:20" x14ac:dyDescent="0.25">
      <c r="A1473" s="20">
        <v>42138</v>
      </c>
      <c r="B1473" s="183">
        <v>21047</v>
      </c>
      <c r="C1473" s="14" t="s">
        <v>697</v>
      </c>
      <c r="D1473" s="105">
        <v>9090</v>
      </c>
      <c r="E1473" s="23">
        <v>42145</v>
      </c>
      <c r="F1473" s="106">
        <v>9090</v>
      </c>
      <c r="G1473" s="48">
        <f t="shared" si="44"/>
        <v>0</v>
      </c>
      <c r="H1473" s="39" t="s">
        <v>9</v>
      </c>
      <c r="K1473" s="3"/>
      <c r="M1473" s="20">
        <v>42155</v>
      </c>
      <c r="N1473" s="183">
        <v>22832</v>
      </c>
      <c r="O1473" s="14" t="s">
        <v>32</v>
      </c>
      <c r="P1473" s="105">
        <v>55746.400000000001</v>
      </c>
      <c r="Q1473" s="23"/>
      <c r="R1473" s="106"/>
      <c r="S1473" s="31">
        <f t="shared" si="45"/>
        <v>55746.400000000001</v>
      </c>
      <c r="T1473" s="39" t="s">
        <v>187</v>
      </c>
    </row>
    <row r="1474" spans="1:20" x14ac:dyDescent="0.25">
      <c r="A1474" s="20">
        <v>42138</v>
      </c>
      <c r="B1474" s="183">
        <v>21048</v>
      </c>
      <c r="C1474" s="14" t="s">
        <v>210</v>
      </c>
      <c r="D1474" s="105">
        <v>4417.2</v>
      </c>
      <c r="E1474" s="23">
        <v>42140</v>
      </c>
      <c r="F1474" s="106">
        <v>4417.2</v>
      </c>
      <c r="G1474" s="48">
        <f t="shared" si="44"/>
        <v>0</v>
      </c>
      <c r="H1474" s="39" t="s">
        <v>149</v>
      </c>
      <c r="I1474" s="3"/>
      <c r="J1474" s="42"/>
      <c r="K1474" s="3"/>
      <c r="M1474" s="20">
        <v>42155</v>
      </c>
      <c r="N1474" s="183">
        <v>22833</v>
      </c>
      <c r="O1474" s="14" t="s">
        <v>32</v>
      </c>
      <c r="P1474" s="105">
        <v>4534.6000000000004</v>
      </c>
      <c r="Q1474" s="23"/>
      <c r="R1474" s="106"/>
      <c r="S1474" s="31">
        <f t="shared" si="45"/>
        <v>4534.6000000000004</v>
      </c>
      <c r="T1474" s="39" t="s">
        <v>9</v>
      </c>
    </row>
    <row r="1475" spans="1:20" x14ac:dyDescent="0.25">
      <c r="A1475" s="20">
        <v>42138</v>
      </c>
      <c r="B1475" s="183">
        <v>21049</v>
      </c>
      <c r="C1475" s="14" t="s">
        <v>1262</v>
      </c>
      <c r="D1475" s="105">
        <v>82501.600000000006</v>
      </c>
      <c r="E1475" s="23" t="s">
        <v>1347</v>
      </c>
      <c r="F1475" s="106">
        <f>26745.5+55756.1</f>
        <v>82501.600000000006</v>
      </c>
      <c r="G1475" s="48">
        <f t="shared" ref="G1475:G1538" si="46">D1475-F1475</f>
        <v>0</v>
      </c>
      <c r="H1475" s="39" t="s">
        <v>94</v>
      </c>
      <c r="I1475" s="3"/>
      <c r="J1475" s="42"/>
      <c r="K1475" s="3"/>
      <c r="M1475" s="20">
        <v>42125</v>
      </c>
      <c r="N1475" s="183">
        <v>19587</v>
      </c>
      <c r="O1475" s="14" t="s">
        <v>26</v>
      </c>
      <c r="P1475" s="105">
        <v>4352</v>
      </c>
      <c r="Q1475" s="23">
        <v>42125</v>
      </c>
      <c r="R1475" s="106">
        <v>4352</v>
      </c>
      <c r="S1475" s="25">
        <f t="shared" ref="S1475:S1538" si="47">P1475-R1475</f>
        <v>0</v>
      </c>
      <c r="T1475" s="19" t="s">
        <v>9</v>
      </c>
    </row>
    <row r="1476" spans="1:20" x14ac:dyDescent="0.25">
      <c r="A1476" s="20">
        <v>42138</v>
      </c>
      <c r="B1476" s="183">
        <v>21050</v>
      </c>
      <c r="C1476" s="14" t="s">
        <v>198</v>
      </c>
      <c r="D1476" s="105">
        <v>26169.200000000001</v>
      </c>
      <c r="E1476" s="23">
        <v>42140</v>
      </c>
      <c r="F1476" s="106">
        <v>26169.200000000001</v>
      </c>
      <c r="G1476" s="48">
        <f t="shared" si="46"/>
        <v>0</v>
      </c>
      <c r="H1476" s="39" t="s">
        <v>149</v>
      </c>
      <c r="I1476" s="3"/>
      <c r="J1476" s="42"/>
      <c r="K1476" s="3"/>
      <c r="M1476" s="20">
        <v>42126</v>
      </c>
      <c r="N1476" s="183">
        <v>19748</v>
      </c>
      <c r="O1476" s="40" t="s">
        <v>26</v>
      </c>
      <c r="P1476" s="105">
        <v>3264</v>
      </c>
      <c r="Q1476" s="23">
        <v>42126</v>
      </c>
      <c r="R1476" s="106">
        <v>3264</v>
      </c>
      <c r="S1476" s="25">
        <f t="shared" si="47"/>
        <v>0</v>
      </c>
      <c r="T1476" s="41" t="s">
        <v>9</v>
      </c>
    </row>
    <row r="1477" spans="1:20" x14ac:dyDescent="0.25">
      <c r="A1477" s="20">
        <v>42138</v>
      </c>
      <c r="B1477" s="183">
        <v>21051</v>
      </c>
      <c r="C1477" s="14" t="s">
        <v>159</v>
      </c>
      <c r="D1477" s="105">
        <v>6800</v>
      </c>
      <c r="E1477" s="23">
        <v>42138</v>
      </c>
      <c r="F1477" s="106">
        <v>6800</v>
      </c>
      <c r="G1477" s="48">
        <f t="shared" si="46"/>
        <v>0</v>
      </c>
      <c r="H1477" s="39" t="s">
        <v>9</v>
      </c>
      <c r="I1477" s="3"/>
      <c r="J1477" s="42"/>
      <c r="K1477" s="3"/>
      <c r="M1477" s="20">
        <v>42128</v>
      </c>
      <c r="N1477" s="183">
        <v>19933</v>
      </c>
      <c r="O1477" s="14" t="s">
        <v>26</v>
      </c>
      <c r="P1477" s="105">
        <v>1632</v>
      </c>
      <c r="Q1477" s="23">
        <v>42128</v>
      </c>
      <c r="R1477" s="106">
        <v>1632</v>
      </c>
      <c r="S1477" s="31">
        <f t="shared" si="47"/>
        <v>0</v>
      </c>
      <c r="T1477" s="19" t="s">
        <v>27</v>
      </c>
    </row>
    <row r="1478" spans="1:20" x14ac:dyDescent="0.25">
      <c r="A1478" s="20">
        <v>42138</v>
      </c>
      <c r="B1478" s="183">
        <v>21052</v>
      </c>
      <c r="C1478" s="14" t="s">
        <v>383</v>
      </c>
      <c r="D1478" s="105">
        <v>415.8</v>
      </c>
      <c r="E1478" s="23">
        <v>42138</v>
      </c>
      <c r="F1478" s="106">
        <v>415.8</v>
      </c>
      <c r="G1478" s="48">
        <f t="shared" si="46"/>
        <v>0</v>
      </c>
      <c r="H1478" s="39" t="s">
        <v>9</v>
      </c>
      <c r="I1478" s="3"/>
      <c r="J1478" s="42"/>
      <c r="K1478" s="3"/>
      <c r="M1478" s="20">
        <v>42129</v>
      </c>
      <c r="N1478" s="183">
        <v>20067</v>
      </c>
      <c r="O1478" s="14" t="s">
        <v>26</v>
      </c>
      <c r="P1478" s="105">
        <v>1632</v>
      </c>
      <c r="Q1478" s="23">
        <v>42129</v>
      </c>
      <c r="R1478" s="106">
        <v>1632</v>
      </c>
      <c r="S1478" s="31">
        <f t="shared" si="47"/>
        <v>0</v>
      </c>
      <c r="T1478" s="39" t="s">
        <v>27</v>
      </c>
    </row>
    <row r="1479" spans="1:20" x14ac:dyDescent="0.25">
      <c r="A1479" s="20">
        <v>42138</v>
      </c>
      <c r="B1479" s="183">
        <v>21053</v>
      </c>
      <c r="C1479" s="14" t="s">
        <v>159</v>
      </c>
      <c r="D1479" s="105">
        <v>149.6</v>
      </c>
      <c r="E1479" s="23">
        <v>42138</v>
      </c>
      <c r="F1479" s="106">
        <v>149.6</v>
      </c>
      <c r="G1479" s="48">
        <f t="shared" si="46"/>
        <v>0</v>
      </c>
      <c r="H1479" s="39" t="s">
        <v>9</v>
      </c>
      <c r="I1479" s="3"/>
      <c r="J1479" s="42"/>
      <c r="K1479" s="3"/>
      <c r="M1479" s="20">
        <v>42129</v>
      </c>
      <c r="N1479" s="183">
        <v>20104</v>
      </c>
      <c r="O1479" s="14" t="s">
        <v>26</v>
      </c>
      <c r="P1479" s="105">
        <v>816</v>
      </c>
      <c r="Q1479" s="23">
        <v>42131</v>
      </c>
      <c r="R1479" s="106">
        <v>816</v>
      </c>
      <c r="S1479" s="31">
        <f t="shared" si="47"/>
        <v>0</v>
      </c>
      <c r="T1479" s="39" t="s">
        <v>59</v>
      </c>
    </row>
    <row r="1480" spans="1:20" x14ac:dyDescent="0.25">
      <c r="A1480" s="20">
        <v>42138</v>
      </c>
      <c r="B1480" s="183">
        <v>21054</v>
      </c>
      <c r="C1480" s="14" t="s">
        <v>877</v>
      </c>
      <c r="D1480" s="105">
        <v>3068.1</v>
      </c>
      <c r="E1480" s="23">
        <v>42140</v>
      </c>
      <c r="F1480" s="106">
        <v>3068.1</v>
      </c>
      <c r="G1480" s="48">
        <f t="shared" si="46"/>
        <v>0</v>
      </c>
      <c r="H1480" s="39" t="s">
        <v>149</v>
      </c>
      <c r="I1480" s="3"/>
      <c r="J1480" s="42"/>
      <c r="K1480" s="3"/>
      <c r="M1480" s="20">
        <v>42130</v>
      </c>
      <c r="N1480" s="183">
        <v>20153</v>
      </c>
      <c r="O1480" s="14" t="s">
        <v>26</v>
      </c>
      <c r="P1480" s="105">
        <v>2176</v>
      </c>
      <c r="Q1480" s="23">
        <v>42130</v>
      </c>
      <c r="R1480" s="106">
        <v>2176</v>
      </c>
      <c r="S1480" s="31">
        <f t="shared" si="47"/>
        <v>0</v>
      </c>
      <c r="T1480" s="39" t="s">
        <v>27</v>
      </c>
    </row>
    <row r="1481" spans="1:20" x14ac:dyDescent="0.25">
      <c r="A1481" s="20">
        <v>42138</v>
      </c>
      <c r="B1481" s="183">
        <v>21055</v>
      </c>
      <c r="C1481" s="14" t="s">
        <v>420</v>
      </c>
      <c r="D1481" s="105">
        <v>5029.3999999999996</v>
      </c>
      <c r="E1481" s="23">
        <v>42140</v>
      </c>
      <c r="F1481" s="106">
        <v>5029.3999999999996</v>
      </c>
      <c r="G1481" s="48">
        <f t="shared" si="46"/>
        <v>0</v>
      </c>
      <c r="H1481" s="39" t="s">
        <v>149</v>
      </c>
      <c r="I1481" s="3"/>
      <c r="J1481" s="42"/>
      <c r="K1481" s="3"/>
      <c r="M1481" s="20">
        <v>42131</v>
      </c>
      <c r="N1481" s="183">
        <v>20267</v>
      </c>
      <c r="O1481" s="14" t="s">
        <v>26</v>
      </c>
      <c r="P1481" s="105">
        <v>1632</v>
      </c>
      <c r="Q1481" s="23">
        <v>42131</v>
      </c>
      <c r="R1481" s="106">
        <v>1632</v>
      </c>
      <c r="S1481" s="31">
        <f t="shared" si="47"/>
        <v>0</v>
      </c>
      <c r="T1481" s="19" t="s">
        <v>9</v>
      </c>
    </row>
    <row r="1482" spans="1:20" x14ac:dyDescent="0.25">
      <c r="A1482" s="20">
        <v>42138</v>
      </c>
      <c r="B1482" s="183">
        <v>21056</v>
      </c>
      <c r="C1482" s="14" t="s">
        <v>204</v>
      </c>
      <c r="D1482" s="105">
        <v>2488</v>
      </c>
      <c r="E1482" s="23">
        <v>42140</v>
      </c>
      <c r="F1482" s="106">
        <v>2488</v>
      </c>
      <c r="G1482" s="48">
        <f t="shared" si="46"/>
        <v>0</v>
      </c>
      <c r="H1482" s="39" t="s">
        <v>149</v>
      </c>
      <c r="I1482" s="3"/>
      <c r="J1482" s="42"/>
      <c r="K1482" s="3"/>
      <c r="M1482" s="20">
        <v>42132</v>
      </c>
      <c r="N1482" s="183">
        <v>20352</v>
      </c>
      <c r="O1482" s="14" t="s">
        <v>26</v>
      </c>
      <c r="P1482" s="105">
        <v>3264</v>
      </c>
      <c r="Q1482" s="23">
        <v>42132</v>
      </c>
      <c r="R1482" s="106">
        <v>3264</v>
      </c>
      <c r="S1482" s="31">
        <f t="shared" si="47"/>
        <v>0</v>
      </c>
      <c r="T1482" s="19" t="s">
        <v>27</v>
      </c>
    </row>
    <row r="1483" spans="1:20" x14ac:dyDescent="0.25">
      <c r="A1483" s="20">
        <v>42138</v>
      </c>
      <c r="B1483" s="183">
        <v>21057</v>
      </c>
      <c r="C1483" s="14" t="s">
        <v>262</v>
      </c>
      <c r="D1483" s="105">
        <v>30379.7</v>
      </c>
      <c r="E1483" s="23">
        <v>42149</v>
      </c>
      <c r="F1483" s="106">
        <v>30379.7</v>
      </c>
      <c r="G1483" s="48">
        <f t="shared" si="46"/>
        <v>0</v>
      </c>
      <c r="H1483" s="39" t="s">
        <v>149</v>
      </c>
      <c r="I1483" s="3"/>
      <c r="J1483" s="42"/>
      <c r="K1483" s="3"/>
      <c r="M1483" s="20">
        <v>42133</v>
      </c>
      <c r="N1483" s="183">
        <v>20498</v>
      </c>
      <c r="O1483" s="14" t="s">
        <v>26</v>
      </c>
      <c r="P1483" s="105">
        <v>2720</v>
      </c>
      <c r="Q1483" s="23">
        <v>42133</v>
      </c>
      <c r="R1483" s="106">
        <v>2720</v>
      </c>
      <c r="S1483" s="31">
        <f t="shared" si="47"/>
        <v>0</v>
      </c>
      <c r="T1483" s="19" t="s">
        <v>9</v>
      </c>
    </row>
    <row r="1484" spans="1:20" x14ac:dyDescent="0.25">
      <c r="A1484" s="20">
        <v>42138</v>
      </c>
      <c r="B1484" s="183">
        <v>21058</v>
      </c>
      <c r="C1484" s="150" t="s">
        <v>261</v>
      </c>
      <c r="D1484" s="105">
        <v>11539.2</v>
      </c>
      <c r="E1484" s="23">
        <v>42140</v>
      </c>
      <c r="F1484" s="106">
        <v>11539.2</v>
      </c>
      <c r="G1484" s="48">
        <f t="shared" si="46"/>
        <v>0</v>
      </c>
      <c r="H1484" s="39" t="s">
        <v>149</v>
      </c>
      <c r="I1484" s="3"/>
      <c r="J1484" s="42"/>
      <c r="K1484" s="3"/>
      <c r="M1484" s="20">
        <v>42134</v>
      </c>
      <c r="N1484" s="183">
        <v>20629</v>
      </c>
      <c r="O1484" s="14" t="s">
        <v>26</v>
      </c>
      <c r="P1484" s="105">
        <v>2194</v>
      </c>
      <c r="Q1484" s="23">
        <v>42134</v>
      </c>
      <c r="R1484" s="118">
        <v>2194</v>
      </c>
      <c r="S1484" s="31">
        <f t="shared" si="47"/>
        <v>0</v>
      </c>
      <c r="T1484" s="56" t="s">
        <v>9</v>
      </c>
    </row>
    <row r="1485" spans="1:20" x14ac:dyDescent="0.25">
      <c r="A1485" s="20">
        <v>42138</v>
      </c>
      <c r="B1485" s="183">
        <v>21059</v>
      </c>
      <c r="C1485" s="14" t="s">
        <v>203</v>
      </c>
      <c r="D1485" s="105">
        <v>1800</v>
      </c>
      <c r="E1485" s="51">
        <v>42140</v>
      </c>
      <c r="F1485" s="106">
        <v>1800</v>
      </c>
      <c r="G1485" s="48">
        <f t="shared" si="46"/>
        <v>0</v>
      </c>
      <c r="H1485" s="39" t="s">
        <v>149</v>
      </c>
      <c r="I1485" s="3"/>
      <c r="J1485" s="42"/>
      <c r="K1485" s="3"/>
      <c r="M1485" s="20">
        <v>42135</v>
      </c>
      <c r="N1485" s="183">
        <v>20697</v>
      </c>
      <c r="O1485" s="14" t="s">
        <v>26</v>
      </c>
      <c r="P1485" s="105">
        <v>1632</v>
      </c>
      <c r="Q1485" s="23">
        <v>42135</v>
      </c>
      <c r="R1485" s="106">
        <v>1632</v>
      </c>
      <c r="S1485" s="31">
        <f t="shared" si="47"/>
        <v>0</v>
      </c>
      <c r="T1485" s="39" t="s">
        <v>27</v>
      </c>
    </row>
    <row r="1486" spans="1:20" x14ac:dyDescent="0.25">
      <c r="A1486" s="20">
        <v>42138</v>
      </c>
      <c r="B1486" s="183">
        <v>21060</v>
      </c>
      <c r="C1486" s="14" t="s">
        <v>733</v>
      </c>
      <c r="D1486" s="105">
        <v>14636.4</v>
      </c>
      <c r="E1486" s="23">
        <v>42140</v>
      </c>
      <c r="F1486" s="106">
        <v>14636.4</v>
      </c>
      <c r="G1486" s="48">
        <f t="shared" si="46"/>
        <v>0</v>
      </c>
      <c r="H1486" s="39" t="s">
        <v>149</v>
      </c>
      <c r="I1486" s="3"/>
      <c r="J1486" s="42"/>
      <c r="K1486" s="3"/>
      <c r="M1486" s="20">
        <v>42128</v>
      </c>
      <c r="N1486" s="183">
        <v>19993</v>
      </c>
      <c r="O1486" s="14" t="s">
        <v>420</v>
      </c>
      <c r="P1486" s="105">
        <v>7033</v>
      </c>
      <c r="Q1486" s="23">
        <v>42130</v>
      </c>
      <c r="R1486" s="106">
        <v>7033</v>
      </c>
      <c r="S1486" s="31">
        <f t="shared" si="47"/>
        <v>0</v>
      </c>
      <c r="T1486" s="19" t="s">
        <v>149</v>
      </c>
    </row>
    <row r="1487" spans="1:20" x14ac:dyDescent="0.25">
      <c r="A1487" s="20">
        <v>42138</v>
      </c>
      <c r="B1487" s="183">
        <v>21061</v>
      </c>
      <c r="C1487" s="14" t="s">
        <v>24</v>
      </c>
      <c r="D1487" s="105">
        <v>281746.28000000003</v>
      </c>
      <c r="E1487" s="23">
        <v>42153</v>
      </c>
      <c r="F1487" s="106">
        <v>281746.28000000003</v>
      </c>
      <c r="G1487" s="48">
        <f t="shared" si="46"/>
        <v>0</v>
      </c>
      <c r="H1487" s="39" t="s">
        <v>46</v>
      </c>
      <c r="I1487" s="3"/>
      <c r="J1487" s="42"/>
      <c r="K1487" s="3"/>
      <c r="M1487" s="20">
        <v>42135</v>
      </c>
      <c r="N1487" s="183">
        <v>20779</v>
      </c>
      <c r="O1487" s="14" t="s">
        <v>420</v>
      </c>
      <c r="P1487" s="105">
        <v>10457.299999999999</v>
      </c>
      <c r="Q1487" s="23">
        <v>42137</v>
      </c>
      <c r="R1487" s="106">
        <v>10457.299999999999</v>
      </c>
      <c r="S1487" s="31">
        <f t="shared" si="47"/>
        <v>0</v>
      </c>
      <c r="T1487" s="19" t="s">
        <v>149</v>
      </c>
    </row>
    <row r="1488" spans="1:20" x14ac:dyDescent="0.25">
      <c r="A1488" s="20">
        <v>42138</v>
      </c>
      <c r="B1488" s="183">
        <v>21062</v>
      </c>
      <c r="C1488" s="14" t="s">
        <v>1275</v>
      </c>
      <c r="D1488" s="105">
        <v>17455</v>
      </c>
      <c r="E1488" s="23">
        <v>42140</v>
      </c>
      <c r="F1488" s="106">
        <v>17455</v>
      </c>
      <c r="G1488" s="48">
        <f t="shared" si="46"/>
        <v>0</v>
      </c>
      <c r="H1488" s="39" t="s">
        <v>149</v>
      </c>
      <c r="I1488" s="3"/>
      <c r="J1488" s="42"/>
      <c r="K1488" s="3"/>
      <c r="M1488" s="20">
        <v>42138</v>
      </c>
      <c r="N1488" s="183">
        <v>21055</v>
      </c>
      <c r="O1488" s="14" t="s">
        <v>420</v>
      </c>
      <c r="P1488" s="105">
        <v>5029.3999999999996</v>
      </c>
      <c r="Q1488" s="23">
        <v>42140</v>
      </c>
      <c r="R1488" s="106">
        <v>5029.3999999999996</v>
      </c>
      <c r="S1488" s="48">
        <f t="shared" si="47"/>
        <v>0</v>
      </c>
      <c r="T1488" s="39" t="s">
        <v>149</v>
      </c>
    </row>
    <row r="1489" spans="1:20" x14ac:dyDescent="0.25">
      <c r="A1489" s="20">
        <v>42138</v>
      </c>
      <c r="B1489" s="183">
        <v>21063</v>
      </c>
      <c r="C1489" s="14" t="s">
        <v>353</v>
      </c>
      <c r="D1489" s="105">
        <v>1032</v>
      </c>
      <c r="E1489" s="23">
        <v>42138</v>
      </c>
      <c r="F1489" s="106">
        <v>1032</v>
      </c>
      <c r="G1489" s="48">
        <f t="shared" si="46"/>
        <v>0</v>
      </c>
      <c r="H1489" s="39" t="s">
        <v>9</v>
      </c>
      <c r="I1489" s="3"/>
      <c r="J1489" s="42"/>
      <c r="K1489" s="3"/>
      <c r="M1489" s="20">
        <v>42142</v>
      </c>
      <c r="N1489" s="183">
        <v>21503</v>
      </c>
      <c r="O1489" s="14" t="s">
        <v>420</v>
      </c>
      <c r="P1489" s="105">
        <v>2191.5</v>
      </c>
      <c r="Q1489" s="23">
        <v>42145</v>
      </c>
      <c r="R1489" s="106">
        <v>2191.5</v>
      </c>
      <c r="S1489" s="31">
        <f t="shared" si="47"/>
        <v>0</v>
      </c>
      <c r="T1489" s="39" t="s">
        <v>149</v>
      </c>
    </row>
    <row r="1490" spans="1:20" x14ac:dyDescent="0.25">
      <c r="A1490" s="20">
        <v>42138</v>
      </c>
      <c r="B1490" s="183">
        <v>21064</v>
      </c>
      <c r="C1490" s="14" t="s">
        <v>232</v>
      </c>
      <c r="D1490" s="105">
        <v>8164.8</v>
      </c>
      <c r="E1490" s="23">
        <v>42139</v>
      </c>
      <c r="F1490" s="106">
        <v>8164.8</v>
      </c>
      <c r="G1490" s="48">
        <f t="shared" si="46"/>
        <v>0</v>
      </c>
      <c r="H1490" s="39" t="s">
        <v>1257</v>
      </c>
      <c r="I1490" s="3"/>
      <c r="J1490" s="42"/>
      <c r="K1490" s="3"/>
      <c r="M1490" s="20">
        <v>42145</v>
      </c>
      <c r="N1490" s="183">
        <v>21824</v>
      </c>
      <c r="O1490" s="15" t="s">
        <v>420</v>
      </c>
      <c r="P1490" s="122">
        <v>9668.4</v>
      </c>
      <c r="Q1490" s="23">
        <v>42149</v>
      </c>
      <c r="R1490" s="118">
        <v>9668.4</v>
      </c>
      <c r="S1490" s="31">
        <f t="shared" si="47"/>
        <v>0</v>
      </c>
      <c r="T1490" s="68" t="s">
        <v>149</v>
      </c>
    </row>
    <row r="1491" spans="1:20" x14ac:dyDescent="0.25">
      <c r="A1491" s="20">
        <v>42138</v>
      </c>
      <c r="B1491" s="183">
        <v>21065</v>
      </c>
      <c r="C1491" s="14" t="s">
        <v>574</v>
      </c>
      <c r="D1491" s="105">
        <v>59010</v>
      </c>
      <c r="E1491" s="23">
        <v>42140</v>
      </c>
      <c r="F1491" s="106">
        <v>59010</v>
      </c>
      <c r="G1491" s="48">
        <f t="shared" si="46"/>
        <v>0</v>
      </c>
      <c r="H1491" s="39" t="s">
        <v>149</v>
      </c>
      <c r="I1491" s="3"/>
      <c r="J1491" s="42"/>
      <c r="K1491" s="3"/>
      <c r="M1491" s="20">
        <v>42149</v>
      </c>
      <c r="N1491" s="183">
        <v>22227</v>
      </c>
      <c r="O1491" s="14" t="s">
        <v>420</v>
      </c>
      <c r="P1491" s="105">
        <v>6255.2</v>
      </c>
      <c r="Q1491" s="65">
        <v>42151</v>
      </c>
      <c r="R1491" s="106">
        <v>6255.2</v>
      </c>
      <c r="S1491" s="31">
        <f t="shared" si="47"/>
        <v>0</v>
      </c>
      <c r="T1491" s="39" t="s">
        <v>9</v>
      </c>
    </row>
    <row r="1492" spans="1:20" x14ac:dyDescent="0.25">
      <c r="A1492" s="20">
        <v>42138</v>
      </c>
      <c r="B1492" s="183">
        <v>21066</v>
      </c>
      <c r="C1492" s="14" t="s">
        <v>265</v>
      </c>
      <c r="D1492" s="105">
        <v>2776.2</v>
      </c>
      <c r="E1492" s="23">
        <v>42138</v>
      </c>
      <c r="F1492" s="106">
        <v>2776.2</v>
      </c>
      <c r="G1492" s="48">
        <f t="shared" si="46"/>
        <v>0</v>
      </c>
      <c r="H1492" s="39" t="s">
        <v>9</v>
      </c>
      <c r="I1492" s="3"/>
      <c r="J1492" s="42"/>
      <c r="K1492" s="3"/>
      <c r="M1492" s="20">
        <v>42152</v>
      </c>
      <c r="N1492" s="183">
        <v>22520</v>
      </c>
      <c r="O1492" s="14" t="s">
        <v>420</v>
      </c>
      <c r="P1492" s="105">
        <v>8528.7000000000007</v>
      </c>
      <c r="Q1492" s="23">
        <v>42154</v>
      </c>
      <c r="R1492" s="106">
        <v>8528.7000000000007</v>
      </c>
      <c r="S1492" s="31">
        <f t="shared" si="47"/>
        <v>0</v>
      </c>
      <c r="T1492" s="39" t="s">
        <v>149</v>
      </c>
    </row>
    <row r="1493" spans="1:20" x14ac:dyDescent="0.25">
      <c r="A1493" s="20">
        <v>42138</v>
      </c>
      <c r="B1493" s="183">
        <v>21067</v>
      </c>
      <c r="C1493" s="14" t="s">
        <v>80</v>
      </c>
      <c r="D1493" s="105">
        <v>6772.8</v>
      </c>
      <c r="E1493" s="23">
        <v>42138</v>
      </c>
      <c r="F1493" s="106">
        <v>6772.8</v>
      </c>
      <c r="G1493" s="48">
        <f t="shared" si="46"/>
        <v>0</v>
      </c>
      <c r="H1493" s="39" t="s">
        <v>9</v>
      </c>
      <c r="I1493" s="3"/>
      <c r="J1493" s="42"/>
      <c r="K1493" s="3"/>
      <c r="M1493" s="20">
        <v>42148</v>
      </c>
      <c r="N1493" s="183">
        <v>22128</v>
      </c>
      <c r="O1493" s="14" t="s">
        <v>864</v>
      </c>
      <c r="P1493" s="105">
        <v>850.2</v>
      </c>
      <c r="Q1493" s="65">
        <v>42148</v>
      </c>
      <c r="R1493" s="106">
        <v>850.2</v>
      </c>
      <c r="S1493" s="31">
        <f t="shared" si="47"/>
        <v>0</v>
      </c>
      <c r="T1493" s="39" t="s">
        <v>9</v>
      </c>
    </row>
    <row r="1494" spans="1:20" x14ac:dyDescent="0.25">
      <c r="A1494" s="20">
        <v>42138</v>
      </c>
      <c r="B1494" s="183">
        <v>21068</v>
      </c>
      <c r="C1494" s="26" t="s">
        <v>218</v>
      </c>
      <c r="D1494" s="108">
        <v>0</v>
      </c>
      <c r="E1494" s="23"/>
      <c r="F1494" s="106"/>
      <c r="G1494" s="48">
        <f t="shared" si="46"/>
        <v>0</v>
      </c>
      <c r="H1494" s="39" t="s">
        <v>13</v>
      </c>
      <c r="I1494" s="3"/>
      <c r="J1494" s="42"/>
      <c r="K1494" s="3"/>
      <c r="M1494" s="20">
        <v>42148</v>
      </c>
      <c r="N1494" s="183">
        <v>22130</v>
      </c>
      <c r="O1494" s="14" t="s">
        <v>864</v>
      </c>
      <c r="P1494" s="105">
        <v>195</v>
      </c>
      <c r="Q1494" s="65">
        <v>42148</v>
      </c>
      <c r="R1494" s="106">
        <v>195</v>
      </c>
      <c r="S1494" s="31">
        <f t="shared" si="47"/>
        <v>0</v>
      </c>
      <c r="T1494" s="39" t="s">
        <v>9</v>
      </c>
    </row>
    <row r="1495" spans="1:20" x14ac:dyDescent="0.25">
      <c r="A1495" s="20">
        <v>42138</v>
      </c>
      <c r="B1495" s="183">
        <v>21069</v>
      </c>
      <c r="C1495" s="14" t="s">
        <v>823</v>
      </c>
      <c r="D1495" s="105">
        <v>188.8</v>
      </c>
      <c r="E1495" s="23">
        <v>42138</v>
      </c>
      <c r="F1495" s="106">
        <v>188.8</v>
      </c>
      <c r="G1495" s="48">
        <f t="shared" si="46"/>
        <v>0</v>
      </c>
      <c r="H1495" s="39" t="s">
        <v>9</v>
      </c>
      <c r="I1495" s="3"/>
      <c r="J1495" s="42"/>
      <c r="K1495" s="3"/>
      <c r="M1495" s="20">
        <v>42151</v>
      </c>
      <c r="N1495" s="183">
        <v>22365</v>
      </c>
      <c r="O1495" s="14" t="s">
        <v>864</v>
      </c>
      <c r="P1495" s="105">
        <v>1197.2</v>
      </c>
      <c r="Q1495" s="65">
        <v>42151</v>
      </c>
      <c r="R1495" s="106">
        <v>1197.2</v>
      </c>
      <c r="S1495" s="31">
        <f t="shared" si="47"/>
        <v>0</v>
      </c>
      <c r="T1495" s="39" t="s">
        <v>9</v>
      </c>
    </row>
    <row r="1496" spans="1:20" x14ac:dyDescent="0.25">
      <c r="A1496" s="20">
        <v>42138</v>
      </c>
      <c r="B1496" s="183">
        <v>21070</v>
      </c>
      <c r="C1496" s="14" t="s">
        <v>205</v>
      </c>
      <c r="D1496" s="105">
        <v>7815.8</v>
      </c>
      <c r="E1496" s="23">
        <v>42145</v>
      </c>
      <c r="F1496" s="106">
        <v>7815.8</v>
      </c>
      <c r="G1496" s="48">
        <f t="shared" si="46"/>
        <v>0</v>
      </c>
      <c r="H1496" s="39" t="s">
        <v>149</v>
      </c>
      <c r="I1496" s="3"/>
      <c r="J1496" s="42"/>
      <c r="K1496" s="3"/>
      <c r="M1496" s="20">
        <v>42125</v>
      </c>
      <c r="N1496" s="183">
        <v>19645</v>
      </c>
      <c r="O1496" s="14" t="s">
        <v>65</v>
      </c>
      <c r="P1496" s="105">
        <v>10437</v>
      </c>
      <c r="Q1496" s="23">
        <v>42126</v>
      </c>
      <c r="R1496" s="106">
        <v>10437</v>
      </c>
      <c r="S1496" s="25">
        <f t="shared" si="47"/>
        <v>0</v>
      </c>
      <c r="T1496" s="19" t="s">
        <v>62</v>
      </c>
    </row>
    <row r="1497" spans="1:20" x14ac:dyDescent="0.25">
      <c r="A1497" s="20">
        <v>42138</v>
      </c>
      <c r="B1497" s="183">
        <v>21071</v>
      </c>
      <c r="C1497" s="14" t="s">
        <v>195</v>
      </c>
      <c r="D1497" s="105">
        <v>137904.16</v>
      </c>
      <c r="E1497" s="30" t="s">
        <v>1361</v>
      </c>
      <c r="F1497" s="106">
        <v>137904.16</v>
      </c>
      <c r="G1497" s="48">
        <f t="shared" si="46"/>
        <v>0</v>
      </c>
      <c r="H1497" s="39" t="s">
        <v>149</v>
      </c>
      <c r="I1497" s="3"/>
      <c r="J1497" s="42"/>
      <c r="K1497" s="3"/>
      <c r="M1497" s="20">
        <v>42128</v>
      </c>
      <c r="N1497" s="183">
        <v>19971</v>
      </c>
      <c r="O1497" s="14" t="s">
        <v>65</v>
      </c>
      <c r="P1497" s="105">
        <v>18772</v>
      </c>
      <c r="Q1497" s="23">
        <v>42129</v>
      </c>
      <c r="R1497" s="106">
        <v>18772</v>
      </c>
      <c r="S1497" s="31">
        <f t="shared" si="47"/>
        <v>0</v>
      </c>
      <c r="T1497" s="19" t="s">
        <v>62</v>
      </c>
    </row>
    <row r="1498" spans="1:20" x14ac:dyDescent="0.25">
      <c r="A1498" s="20">
        <v>42138</v>
      </c>
      <c r="B1498" s="183">
        <v>21072</v>
      </c>
      <c r="C1498" s="14" t="s">
        <v>24</v>
      </c>
      <c r="D1498" s="105">
        <v>78241.2</v>
      </c>
      <c r="E1498" s="23">
        <v>42153</v>
      </c>
      <c r="F1498" s="106">
        <v>78241.2</v>
      </c>
      <c r="G1498" s="48">
        <f t="shared" si="46"/>
        <v>0</v>
      </c>
      <c r="H1498" s="39" t="s">
        <v>94</v>
      </c>
      <c r="I1498" s="3"/>
      <c r="J1498" s="42"/>
      <c r="K1498" s="3"/>
      <c r="M1498" s="20">
        <v>42132</v>
      </c>
      <c r="N1498" s="183">
        <v>20371</v>
      </c>
      <c r="O1498" s="14" t="s">
        <v>65</v>
      </c>
      <c r="P1498" s="105">
        <v>24734.799999999999</v>
      </c>
      <c r="Q1498" s="23">
        <v>42133</v>
      </c>
      <c r="R1498" s="106">
        <v>24734.799999999999</v>
      </c>
      <c r="S1498" s="31">
        <f t="shared" si="47"/>
        <v>0</v>
      </c>
      <c r="T1498" s="19" t="s">
        <v>62</v>
      </c>
    </row>
    <row r="1499" spans="1:20" x14ac:dyDescent="0.25">
      <c r="A1499" s="20">
        <v>42138</v>
      </c>
      <c r="B1499" s="183">
        <v>21073</v>
      </c>
      <c r="C1499" s="14" t="s">
        <v>59</v>
      </c>
      <c r="D1499" s="105">
        <v>88.4</v>
      </c>
      <c r="E1499" s="23">
        <v>42138</v>
      </c>
      <c r="F1499" s="106">
        <v>88.4</v>
      </c>
      <c r="G1499" s="48">
        <f t="shared" si="46"/>
        <v>0</v>
      </c>
      <c r="H1499" s="39" t="s">
        <v>9</v>
      </c>
      <c r="I1499" s="3"/>
      <c r="J1499" s="42"/>
      <c r="K1499" s="3"/>
      <c r="M1499" s="20">
        <v>42134</v>
      </c>
      <c r="N1499" s="183">
        <v>20651</v>
      </c>
      <c r="O1499" s="14" t="s">
        <v>65</v>
      </c>
      <c r="P1499" s="105">
        <v>36495.040000000001</v>
      </c>
      <c r="Q1499" s="23">
        <v>42135</v>
      </c>
      <c r="R1499" s="106">
        <v>36495.040000000001</v>
      </c>
      <c r="S1499" s="31">
        <f t="shared" si="47"/>
        <v>0</v>
      </c>
      <c r="T1499" s="39" t="s">
        <v>62</v>
      </c>
    </row>
    <row r="1500" spans="1:20" x14ac:dyDescent="0.25">
      <c r="A1500" s="20">
        <v>42138</v>
      </c>
      <c r="B1500" s="183">
        <v>21074</v>
      </c>
      <c r="C1500" s="14" t="s">
        <v>1020</v>
      </c>
      <c r="D1500" s="105">
        <v>2832</v>
      </c>
      <c r="E1500" s="23">
        <v>42138</v>
      </c>
      <c r="F1500" s="106">
        <v>2832</v>
      </c>
      <c r="G1500" s="48">
        <f t="shared" si="46"/>
        <v>0</v>
      </c>
      <c r="H1500" s="39" t="s">
        <v>9</v>
      </c>
      <c r="I1500" s="3"/>
      <c r="J1500" s="42"/>
      <c r="K1500" s="3"/>
      <c r="M1500" s="20">
        <v>42137</v>
      </c>
      <c r="N1500" s="183">
        <v>20938</v>
      </c>
      <c r="O1500" s="14" t="s">
        <v>65</v>
      </c>
      <c r="P1500" s="105">
        <v>28670.2</v>
      </c>
      <c r="Q1500" s="23">
        <v>42138</v>
      </c>
      <c r="R1500" s="106">
        <v>28670.2</v>
      </c>
      <c r="S1500" s="31">
        <f t="shared" si="47"/>
        <v>0</v>
      </c>
      <c r="T1500" s="19" t="s">
        <v>62</v>
      </c>
    </row>
    <row r="1501" spans="1:20" x14ac:dyDescent="0.25">
      <c r="A1501" s="20">
        <v>42138</v>
      </c>
      <c r="B1501" s="183">
        <v>21075</v>
      </c>
      <c r="C1501" s="14" t="s">
        <v>1101</v>
      </c>
      <c r="D1501" s="105">
        <v>411.4</v>
      </c>
      <c r="E1501" s="23">
        <v>42138</v>
      </c>
      <c r="F1501" s="106">
        <v>411.4</v>
      </c>
      <c r="G1501" s="48">
        <f t="shared" si="46"/>
        <v>0</v>
      </c>
      <c r="H1501" s="39" t="s">
        <v>9</v>
      </c>
      <c r="I1501" s="3"/>
      <c r="J1501" s="42"/>
      <c r="K1501" s="3"/>
      <c r="M1501" s="20">
        <v>42139</v>
      </c>
      <c r="N1501" s="183">
        <v>21168</v>
      </c>
      <c r="O1501" s="14" t="s">
        <v>65</v>
      </c>
      <c r="P1501" s="105">
        <v>20049.93</v>
      </c>
      <c r="Q1501" s="23">
        <v>42140</v>
      </c>
      <c r="R1501" s="106">
        <v>20049.932000000001</v>
      </c>
      <c r="S1501" s="48">
        <f t="shared" si="47"/>
        <v>-2.0000000004074536E-3</v>
      </c>
      <c r="T1501" s="39" t="s">
        <v>62</v>
      </c>
    </row>
    <row r="1502" spans="1:20" x14ac:dyDescent="0.25">
      <c r="A1502" s="20">
        <v>42138</v>
      </c>
      <c r="B1502" s="183">
        <v>21076</v>
      </c>
      <c r="C1502" s="14" t="s">
        <v>235</v>
      </c>
      <c r="D1502" s="105">
        <v>2098.1999999999998</v>
      </c>
      <c r="E1502" s="23">
        <v>42139</v>
      </c>
      <c r="F1502" s="106">
        <v>2098.1999999999998</v>
      </c>
      <c r="G1502" s="48">
        <f t="shared" si="46"/>
        <v>0</v>
      </c>
      <c r="H1502" s="39" t="s">
        <v>1257</v>
      </c>
      <c r="I1502" s="3"/>
      <c r="J1502" s="42"/>
      <c r="K1502" s="3"/>
      <c r="M1502" s="20">
        <v>42142</v>
      </c>
      <c r="N1502" s="183">
        <v>21452</v>
      </c>
      <c r="O1502" s="14" t="s">
        <v>65</v>
      </c>
      <c r="P1502" s="105">
        <v>30223</v>
      </c>
      <c r="Q1502" s="65">
        <v>42144</v>
      </c>
      <c r="R1502" s="106">
        <v>30223</v>
      </c>
      <c r="S1502" s="31">
        <f t="shared" si="47"/>
        <v>0</v>
      </c>
      <c r="T1502" s="19" t="s">
        <v>62</v>
      </c>
    </row>
    <row r="1503" spans="1:20" x14ac:dyDescent="0.25">
      <c r="A1503" s="20">
        <v>42138</v>
      </c>
      <c r="B1503" s="183">
        <v>21077</v>
      </c>
      <c r="C1503" s="14" t="s">
        <v>1103</v>
      </c>
      <c r="D1503" s="105">
        <v>24645.599999999999</v>
      </c>
      <c r="E1503" s="23">
        <v>42140</v>
      </c>
      <c r="F1503" s="106">
        <v>24645.599999999999</v>
      </c>
      <c r="G1503" s="48">
        <f t="shared" si="46"/>
        <v>0</v>
      </c>
      <c r="H1503" s="39" t="s">
        <v>149</v>
      </c>
      <c r="I1503" s="3"/>
      <c r="J1503" s="42"/>
      <c r="K1503" s="3"/>
      <c r="M1503" s="20">
        <v>42146</v>
      </c>
      <c r="N1503" s="183">
        <v>21912</v>
      </c>
      <c r="O1503" s="14" t="s">
        <v>65</v>
      </c>
      <c r="P1503" s="105">
        <v>31245.8</v>
      </c>
      <c r="Q1503" s="23">
        <v>42148</v>
      </c>
      <c r="R1503" s="106">
        <v>31245.8</v>
      </c>
      <c r="S1503" s="31">
        <f t="shared" si="47"/>
        <v>0</v>
      </c>
      <c r="T1503" s="39" t="s">
        <v>62</v>
      </c>
    </row>
    <row r="1504" spans="1:20" x14ac:dyDescent="0.25">
      <c r="A1504" s="20">
        <v>42138</v>
      </c>
      <c r="B1504" s="183">
        <v>21078</v>
      </c>
      <c r="C1504" s="14" t="s">
        <v>693</v>
      </c>
      <c r="D1504" s="105">
        <v>30.6</v>
      </c>
      <c r="E1504" s="23">
        <v>42138</v>
      </c>
      <c r="F1504" s="106">
        <v>30.6</v>
      </c>
      <c r="G1504" s="48">
        <f t="shared" si="46"/>
        <v>0</v>
      </c>
      <c r="H1504" s="39" t="s">
        <v>9</v>
      </c>
      <c r="I1504" s="3"/>
      <c r="J1504" s="42"/>
      <c r="K1504" s="3"/>
      <c r="M1504" s="20">
        <v>42146</v>
      </c>
      <c r="N1504" s="183">
        <v>21915</v>
      </c>
      <c r="O1504" s="14" t="s">
        <v>65</v>
      </c>
      <c r="P1504" s="105">
        <v>1368.8</v>
      </c>
      <c r="Q1504" s="23">
        <v>42148</v>
      </c>
      <c r="R1504" s="106">
        <v>1368.8</v>
      </c>
      <c r="S1504" s="31">
        <f t="shared" si="47"/>
        <v>0</v>
      </c>
      <c r="T1504" s="39" t="s">
        <v>62</v>
      </c>
    </row>
    <row r="1505" spans="1:20" x14ac:dyDescent="0.25">
      <c r="A1505" s="20">
        <v>42139</v>
      </c>
      <c r="B1505" s="183">
        <v>21079</v>
      </c>
      <c r="C1505" s="14" t="s">
        <v>1279</v>
      </c>
      <c r="D1505" s="105">
        <v>17043.150000000001</v>
      </c>
      <c r="E1505" s="23">
        <v>42140</v>
      </c>
      <c r="F1505" s="106">
        <v>17043.150000000001</v>
      </c>
      <c r="G1505" s="48">
        <f t="shared" si="46"/>
        <v>0</v>
      </c>
      <c r="H1505" s="39" t="s">
        <v>149</v>
      </c>
      <c r="I1505" s="3"/>
      <c r="J1505" s="42"/>
      <c r="K1505" s="3"/>
      <c r="M1505" s="20">
        <v>42149</v>
      </c>
      <c r="N1505" s="183">
        <v>22207</v>
      </c>
      <c r="O1505" s="14" t="s">
        <v>65</v>
      </c>
      <c r="P1505" s="105">
        <v>26762.400000000001</v>
      </c>
      <c r="Q1505" s="65">
        <v>42150</v>
      </c>
      <c r="R1505" s="106">
        <v>26762.400000000001</v>
      </c>
      <c r="S1505" s="31">
        <f t="shared" si="47"/>
        <v>0</v>
      </c>
      <c r="T1505" s="39" t="s">
        <v>62</v>
      </c>
    </row>
    <row r="1506" spans="1:20" x14ac:dyDescent="0.25">
      <c r="A1506" s="20">
        <v>42139</v>
      </c>
      <c r="B1506" s="183">
        <v>21080</v>
      </c>
      <c r="C1506" s="14" t="s">
        <v>206</v>
      </c>
      <c r="D1506" s="105">
        <v>8152</v>
      </c>
      <c r="E1506" s="23">
        <v>42145</v>
      </c>
      <c r="F1506" s="106">
        <v>8152</v>
      </c>
      <c r="G1506" s="48">
        <f t="shared" si="46"/>
        <v>0</v>
      </c>
      <c r="H1506" s="39" t="s">
        <v>149</v>
      </c>
      <c r="K1506" s="3"/>
      <c r="M1506" s="20">
        <v>42153</v>
      </c>
      <c r="N1506" s="183">
        <v>22607</v>
      </c>
      <c r="O1506" s="14" t="s">
        <v>65</v>
      </c>
      <c r="P1506" s="105">
        <v>23345.4</v>
      </c>
      <c r="Q1506" s="23">
        <v>42155</v>
      </c>
      <c r="R1506" s="106">
        <v>23345.4</v>
      </c>
      <c r="S1506" s="31">
        <f t="shared" si="47"/>
        <v>0</v>
      </c>
      <c r="T1506" s="39" t="s">
        <v>62</v>
      </c>
    </row>
    <row r="1507" spans="1:20" x14ac:dyDescent="0.25">
      <c r="A1507" s="20">
        <v>42139</v>
      </c>
      <c r="B1507" s="183">
        <v>21081</v>
      </c>
      <c r="C1507" s="14" t="s">
        <v>1256</v>
      </c>
      <c r="D1507" s="105">
        <v>10698.6</v>
      </c>
      <c r="E1507" s="23">
        <v>42139</v>
      </c>
      <c r="F1507" s="106">
        <v>10698.6</v>
      </c>
      <c r="G1507" s="48">
        <f t="shared" si="46"/>
        <v>0</v>
      </c>
      <c r="H1507" s="39" t="s">
        <v>1257</v>
      </c>
      <c r="K1507" s="3"/>
      <c r="M1507" s="20">
        <v>42153</v>
      </c>
      <c r="N1507" s="183">
        <v>22613</v>
      </c>
      <c r="O1507" s="14" t="s">
        <v>65</v>
      </c>
      <c r="P1507" s="105">
        <v>725.4</v>
      </c>
      <c r="Q1507" s="23">
        <v>42155</v>
      </c>
      <c r="R1507" s="106">
        <v>725.4</v>
      </c>
      <c r="S1507" s="31">
        <f t="shared" si="47"/>
        <v>0</v>
      </c>
      <c r="T1507" s="39" t="s">
        <v>62</v>
      </c>
    </row>
    <row r="1508" spans="1:20" x14ac:dyDescent="0.25">
      <c r="A1508" s="20">
        <v>42139</v>
      </c>
      <c r="B1508" s="183">
        <v>21082</v>
      </c>
      <c r="C1508" s="14" t="s">
        <v>1338</v>
      </c>
      <c r="D1508" s="105">
        <v>13670</v>
      </c>
      <c r="E1508" s="23" t="s">
        <v>1469</v>
      </c>
      <c r="F1508" s="106">
        <f>11023.06+646.94+2000</f>
        <v>13670</v>
      </c>
      <c r="G1508" s="48">
        <f t="shared" si="46"/>
        <v>0</v>
      </c>
      <c r="H1508" s="39" t="s">
        <v>1257</v>
      </c>
      <c r="K1508" s="3"/>
      <c r="M1508" s="20">
        <v>42135</v>
      </c>
      <c r="N1508" s="183">
        <v>20714</v>
      </c>
      <c r="O1508" s="14" t="s">
        <v>1375</v>
      </c>
      <c r="P1508" s="105">
        <v>2704.8</v>
      </c>
      <c r="Q1508" s="23">
        <v>42136</v>
      </c>
      <c r="R1508" s="106">
        <v>2704.8</v>
      </c>
      <c r="S1508" s="31">
        <f t="shared" si="47"/>
        <v>0</v>
      </c>
      <c r="T1508" s="19" t="s">
        <v>62</v>
      </c>
    </row>
    <row r="1509" spans="1:20" x14ac:dyDescent="0.25">
      <c r="A1509" s="20">
        <v>42139</v>
      </c>
      <c r="B1509" s="183">
        <v>21083</v>
      </c>
      <c r="C1509" s="14" t="s">
        <v>720</v>
      </c>
      <c r="D1509" s="105">
        <v>12943.2</v>
      </c>
      <c r="E1509" s="23">
        <v>42139</v>
      </c>
      <c r="F1509" s="106">
        <v>12943.2</v>
      </c>
      <c r="G1509" s="48">
        <f t="shared" si="46"/>
        <v>0</v>
      </c>
      <c r="H1509" s="39" t="s">
        <v>9</v>
      </c>
      <c r="K1509" s="3"/>
      <c r="M1509" s="20">
        <v>42125</v>
      </c>
      <c r="N1509" s="183">
        <v>19643</v>
      </c>
      <c r="O1509" s="14" t="s">
        <v>67</v>
      </c>
      <c r="P1509" s="105">
        <v>3781.4</v>
      </c>
      <c r="Q1509" s="23">
        <v>42126</v>
      </c>
      <c r="R1509" s="106">
        <v>3781.4</v>
      </c>
      <c r="S1509" s="31">
        <f t="shared" si="47"/>
        <v>0</v>
      </c>
      <c r="T1509" s="19" t="s">
        <v>9</v>
      </c>
    </row>
    <row r="1510" spans="1:20" x14ac:dyDescent="0.25">
      <c r="A1510" s="20">
        <v>42139</v>
      </c>
      <c r="B1510" s="183">
        <v>21084</v>
      </c>
      <c r="C1510" s="14" t="s">
        <v>112</v>
      </c>
      <c r="D1510" s="105">
        <v>3909.2</v>
      </c>
      <c r="E1510" s="23">
        <v>42140</v>
      </c>
      <c r="F1510" s="114">
        <v>1459.2</v>
      </c>
      <c r="G1510" s="125">
        <f t="shared" si="46"/>
        <v>2450</v>
      </c>
      <c r="H1510" s="39" t="s">
        <v>9</v>
      </c>
      <c r="K1510" s="3"/>
      <c r="M1510" s="20">
        <v>42128</v>
      </c>
      <c r="N1510" s="183">
        <v>19945</v>
      </c>
      <c r="O1510" s="14" t="s">
        <v>67</v>
      </c>
      <c r="P1510" s="105">
        <v>3106.2</v>
      </c>
      <c r="Q1510" s="23">
        <v>42129</v>
      </c>
      <c r="R1510" s="106">
        <v>3106.2</v>
      </c>
      <c r="S1510" s="31">
        <f t="shared" si="47"/>
        <v>0</v>
      </c>
      <c r="T1510" s="19" t="s">
        <v>62</v>
      </c>
    </row>
    <row r="1511" spans="1:20" x14ac:dyDescent="0.25">
      <c r="A1511" s="20">
        <v>42139</v>
      </c>
      <c r="B1511" s="183">
        <v>21085</v>
      </c>
      <c r="C1511" s="14" t="s">
        <v>383</v>
      </c>
      <c r="D1511" s="105">
        <v>7441.4</v>
      </c>
      <c r="E1511" s="23">
        <v>42139</v>
      </c>
      <c r="F1511" s="106">
        <v>7441.4</v>
      </c>
      <c r="G1511" s="48">
        <f t="shared" si="46"/>
        <v>0</v>
      </c>
      <c r="H1511" s="39" t="s">
        <v>9</v>
      </c>
      <c r="K1511" s="3"/>
      <c r="M1511" s="20">
        <v>42130</v>
      </c>
      <c r="N1511" s="183">
        <v>20137</v>
      </c>
      <c r="O1511" s="14" t="s">
        <v>67</v>
      </c>
      <c r="P1511" s="105">
        <v>2700.4</v>
      </c>
      <c r="Q1511" s="23">
        <v>42132</v>
      </c>
      <c r="R1511" s="106">
        <v>2700.4</v>
      </c>
      <c r="S1511" s="31">
        <f t="shared" si="47"/>
        <v>0</v>
      </c>
      <c r="T1511" s="39" t="s">
        <v>62</v>
      </c>
    </row>
    <row r="1512" spans="1:20" x14ac:dyDescent="0.25">
      <c r="A1512" s="20">
        <v>42139</v>
      </c>
      <c r="B1512" s="183">
        <v>21086</v>
      </c>
      <c r="C1512" s="14" t="s">
        <v>121</v>
      </c>
      <c r="D1512" s="105">
        <v>2774.4</v>
      </c>
      <c r="E1512" s="23">
        <v>42139</v>
      </c>
      <c r="F1512" s="106">
        <v>2774.4</v>
      </c>
      <c r="G1512" s="48">
        <f t="shared" si="46"/>
        <v>0</v>
      </c>
      <c r="H1512" s="39" t="s">
        <v>9</v>
      </c>
      <c r="K1512" s="3"/>
      <c r="M1512" s="20">
        <v>42132</v>
      </c>
      <c r="N1512" s="183">
        <v>20361</v>
      </c>
      <c r="O1512" s="14" t="s">
        <v>67</v>
      </c>
      <c r="P1512" s="105">
        <v>2982</v>
      </c>
      <c r="Q1512" s="23">
        <v>42134</v>
      </c>
      <c r="R1512" s="106">
        <v>2982</v>
      </c>
      <c r="S1512" s="31">
        <f t="shared" si="47"/>
        <v>0</v>
      </c>
      <c r="T1512" s="19" t="s">
        <v>1273</v>
      </c>
    </row>
    <row r="1513" spans="1:20" x14ac:dyDescent="0.25">
      <c r="A1513" s="20">
        <v>42139</v>
      </c>
      <c r="B1513" s="183">
        <v>21087</v>
      </c>
      <c r="C1513" s="14" t="s">
        <v>55</v>
      </c>
      <c r="D1513" s="105">
        <v>26874.799999999999</v>
      </c>
      <c r="E1513" s="23">
        <v>42140</v>
      </c>
      <c r="F1513" s="106">
        <v>26874.799999999999</v>
      </c>
      <c r="G1513" s="48">
        <f t="shared" si="46"/>
        <v>0</v>
      </c>
      <c r="H1513" s="39" t="s">
        <v>773</v>
      </c>
      <c r="J1513" s="107"/>
      <c r="K1513" s="3"/>
      <c r="M1513" s="20">
        <v>42137</v>
      </c>
      <c r="N1513" s="183">
        <v>20904</v>
      </c>
      <c r="O1513" s="14" t="s">
        <v>67</v>
      </c>
      <c r="P1513" s="105">
        <v>2740.8</v>
      </c>
      <c r="Q1513" s="23">
        <v>42138</v>
      </c>
      <c r="R1513" s="106">
        <v>2740.8</v>
      </c>
      <c r="S1513" s="31">
        <f t="shared" si="47"/>
        <v>0</v>
      </c>
      <c r="T1513" s="19" t="s">
        <v>62</v>
      </c>
    </row>
    <row r="1514" spans="1:20" x14ac:dyDescent="0.25">
      <c r="A1514" s="20">
        <v>42139</v>
      </c>
      <c r="B1514" s="183">
        <v>21088</v>
      </c>
      <c r="C1514" s="14" t="s">
        <v>37</v>
      </c>
      <c r="D1514" s="105">
        <v>25247.75</v>
      </c>
      <c r="E1514" s="23">
        <v>42145</v>
      </c>
      <c r="F1514" s="106">
        <v>25247.75</v>
      </c>
      <c r="G1514" s="48">
        <f t="shared" si="46"/>
        <v>0</v>
      </c>
      <c r="H1514" s="39" t="s">
        <v>773</v>
      </c>
      <c r="K1514" s="3"/>
      <c r="M1514" s="20">
        <v>42139</v>
      </c>
      <c r="N1514" s="183">
        <v>21156</v>
      </c>
      <c r="O1514" s="14" t="s">
        <v>67</v>
      </c>
      <c r="P1514" s="105">
        <v>4465.6000000000004</v>
      </c>
      <c r="Q1514" s="23">
        <v>42140</v>
      </c>
      <c r="R1514" s="106">
        <v>4465.6000000000004</v>
      </c>
      <c r="S1514" s="48">
        <f t="shared" si="47"/>
        <v>0</v>
      </c>
      <c r="T1514" s="39" t="s">
        <v>62</v>
      </c>
    </row>
    <row r="1515" spans="1:20" x14ac:dyDescent="0.25">
      <c r="A1515" s="20">
        <v>42139</v>
      </c>
      <c r="B1515" s="183">
        <v>21089</v>
      </c>
      <c r="C1515" s="14" t="s">
        <v>37</v>
      </c>
      <c r="D1515" s="105">
        <v>2587.8000000000002</v>
      </c>
      <c r="E1515" s="23">
        <v>42145</v>
      </c>
      <c r="F1515" s="106">
        <v>2587.8000000000002</v>
      </c>
      <c r="G1515" s="48">
        <f t="shared" si="46"/>
        <v>0</v>
      </c>
      <c r="H1515" s="39" t="s">
        <v>773</v>
      </c>
      <c r="K1515" s="3"/>
      <c r="M1515" s="20">
        <v>42142</v>
      </c>
      <c r="N1515" s="183">
        <v>21476</v>
      </c>
      <c r="O1515" s="14" t="s">
        <v>67</v>
      </c>
      <c r="P1515" s="105">
        <v>2796</v>
      </c>
      <c r="Q1515" s="65">
        <v>42144</v>
      </c>
      <c r="R1515" s="106">
        <v>2796</v>
      </c>
      <c r="S1515" s="31">
        <f t="shared" si="47"/>
        <v>0</v>
      </c>
      <c r="T1515" s="19" t="s">
        <v>62</v>
      </c>
    </row>
    <row r="1516" spans="1:20" x14ac:dyDescent="0.25">
      <c r="A1516" s="20">
        <v>42139</v>
      </c>
      <c r="B1516" s="183">
        <v>21090</v>
      </c>
      <c r="C1516" s="14" t="s">
        <v>56</v>
      </c>
      <c r="D1516" s="105">
        <v>4134.3999999999996</v>
      </c>
      <c r="E1516" s="23">
        <v>42139</v>
      </c>
      <c r="F1516" s="106">
        <v>4134.3999999999996</v>
      </c>
      <c r="G1516" s="48">
        <f t="shared" si="46"/>
        <v>0</v>
      </c>
      <c r="H1516" s="39" t="s">
        <v>773</v>
      </c>
      <c r="K1516" s="3"/>
      <c r="M1516" s="20">
        <v>42144</v>
      </c>
      <c r="N1516" s="183">
        <v>21648</v>
      </c>
      <c r="O1516" s="14" t="s">
        <v>67</v>
      </c>
      <c r="P1516" s="105">
        <v>3017.6</v>
      </c>
      <c r="Q1516" s="23">
        <v>42145</v>
      </c>
      <c r="R1516" s="118">
        <v>3017.6</v>
      </c>
      <c r="S1516" s="31">
        <f t="shared" si="47"/>
        <v>0</v>
      </c>
      <c r="T1516" s="62" t="s">
        <v>62</v>
      </c>
    </row>
    <row r="1517" spans="1:20" x14ac:dyDescent="0.25">
      <c r="A1517" s="20">
        <v>42139</v>
      </c>
      <c r="B1517" s="183">
        <v>21091</v>
      </c>
      <c r="C1517" s="14" t="s">
        <v>37</v>
      </c>
      <c r="D1517" s="105">
        <v>535.9</v>
      </c>
      <c r="E1517" s="23">
        <v>42145</v>
      </c>
      <c r="F1517" s="106">
        <v>535.9</v>
      </c>
      <c r="G1517" s="48">
        <f t="shared" si="46"/>
        <v>0</v>
      </c>
      <c r="H1517" s="39" t="s">
        <v>773</v>
      </c>
      <c r="K1517" s="3"/>
      <c r="M1517" s="20">
        <v>42146</v>
      </c>
      <c r="N1517" s="183">
        <v>21887</v>
      </c>
      <c r="O1517" s="14" t="s">
        <v>67</v>
      </c>
      <c r="P1517" s="105">
        <v>4557</v>
      </c>
      <c r="Q1517" s="23">
        <v>42148</v>
      </c>
      <c r="R1517" s="106">
        <v>4557</v>
      </c>
      <c r="S1517" s="31">
        <f t="shared" si="47"/>
        <v>0</v>
      </c>
      <c r="T1517" s="39" t="s">
        <v>62</v>
      </c>
    </row>
    <row r="1518" spans="1:20" x14ac:dyDescent="0.25">
      <c r="A1518" s="20">
        <v>42139</v>
      </c>
      <c r="B1518" s="183">
        <v>21092</v>
      </c>
      <c r="C1518" s="14" t="s">
        <v>1290</v>
      </c>
      <c r="D1518" s="105">
        <v>5874.9</v>
      </c>
      <c r="E1518" s="23">
        <v>42139</v>
      </c>
      <c r="F1518" s="106">
        <v>5874.9</v>
      </c>
      <c r="G1518" s="48">
        <f t="shared" si="46"/>
        <v>0</v>
      </c>
      <c r="H1518" s="39" t="s">
        <v>1327</v>
      </c>
      <c r="K1518" s="3"/>
      <c r="M1518" s="20">
        <v>42149</v>
      </c>
      <c r="N1518" s="183">
        <v>22191</v>
      </c>
      <c r="O1518" s="14" t="s">
        <v>67</v>
      </c>
      <c r="P1518" s="105">
        <v>3344</v>
      </c>
      <c r="Q1518" s="65">
        <v>42150</v>
      </c>
      <c r="R1518" s="106">
        <v>3344</v>
      </c>
      <c r="S1518" s="31">
        <f t="shared" si="47"/>
        <v>0</v>
      </c>
      <c r="T1518" s="39" t="s">
        <v>62</v>
      </c>
    </row>
    <row r="1519" spans="1:20" x14ac:dyDescent="0.25">
      <c r="A1519" s="20">
        <v>42139</v>
      </c>
      <c r="B1519" s="183">
        <v>21093</v>
      </c>
      <c r="C1519" s="14" t="s">
        <v>86</v>
      </c>
      <c r="D1519" s="105">
        <v>681.4</v>
      </c>
      <c r="E1519" s="23">
        <v>42139</v>
      </c>
      <c r="F1519" s="106">
        <v>681.4</v>
      </c>
      <c r="G1519" s="48">
        <f t="shared" si="46"/>
        <v>0</v>
      </c>
      <c r="H1519" s="39" t="s">
        <v>9</v>
      </c>
      <c r="K1519" s="3"/>
      <c r="M1519" s="20">
        <v>42151</v>
      </c>
      <c r="N1519" s="183">
        <v>22387</v>
      </c>
      <c r="O1519" s="14" t="s">
        <v>67</v>
      </c>
      <c r="P1519" s="105">
        <v>3578.4</v>
      </c>
      <c r="Q1519" s="23">
        <v>42152</v>
      </c>
      <c r="R1519" s="106">
        <v>3578.4</v>
      </c>
      <c r="S1519" s="31">
        <f t="shared" si="47"/>
        <v>0</v>
      </c>
      <c r="T1519" s="39" t="s">
        <v>62</v>
      </c>
    </row>
    <row r="1520" spans="1:20" x14ac:dyDescent="0.25">
      <c r="A1520" s="20">
        <v>42139</v>
      </c>
      <c r="B1520" s="183">
        <v>21094</v>
      </c>
      <c r="C1520" s="26" t="s">
        <v>218</v>
      </c>
      <c r="D1520" s="108">
        <v>0</v>
      </c>
      <c r="E1520" s="23"/>
      <c r="F1520" s="106"/>
      <c r="G1520" s="48">
        <f t="shared" si="46"/>
        <v>0</v>
      </c>
      <c r="H1520" s="39" t="s">
        <v>13</v>
      </c>
      <c r="K1520" s="3"/>
      <c r="M1520" s="20">
        <v>42153</v>
      </c>
      <c r="N1520" s="183">
        <v>22615</v>
      </c>
      <c r="O1520" s="14" t="s">
        <v>67</v>
      </c>
      <c r="P1520" s="105">
        <v>4175</v>
      </c>
      <c r="Q1520" s="23">
        <v>42155</v>
      </c>
      <c r="R1520" s="106">
        <v>4175</v>
      </c>
      <c r="S1520" s="31">
        <f t="shared" si="47"/>
        <v>0</v>
      </c>
      <c r="T1520" s="39" t="s">
        <v>62</v>
      </c>
    </row>
    <row r="1521" spans="1:20" x14ac:dyDescent="0.25">
      <c r="A1521" s="20">
        <v>42139</v>
      </c>
      <c r="B1521" s="183">
        <v>21095</v>
      </c>
      <c r="C1521" s="14" t="s">
        <v>18</v>
      </c>
      <c r="D1521" s="105">
        <v>2421.6</v>
      </c>
      <c r="E1521" s="23">
        <v>42139</v>
      </c>
      <c r="F1521" s="106">
        <v>2421.6</v>
      </c>
      <c r="G1521" s="48">
        <f t="shared" si="46"/>
        <v>0</v>
      </c>
      <c r="H1521" s="39" t="s">
        <v>9</v>
      </c>
      <c r="J1521" s="107"/>
      <c r="K1521" s="3"/>
      <c r="M1521" s="20">
        <v>42138</v>
      </c>
      <c r="N1521" s="183">
        <v>21037</v>
      </c>
      <c r="O1521" s="14" t="s">
        <v>1397</v>
      </c>
      <c r="P1521" s="105">
        <v>7968</v>
      </c>
      <c r="Q1521" s="23">
        <v>42138</v>
      </c>
      <c r="R1521" s="106">
        <v>7968</v>
      </c>
      <c r="S1521" s="48">
        <f t="shared" si="47"/>
        <v>0</v>
      </c>
      <c r="T1521" s="39" t="s">
        <v>9</v>
      </c>
    </row>
    <row r="1522" spans="1:20" x14ac:dyDescent="0.25">
      <c r="A1522" s="20">
        <v>42139</v>
      </c>
      <c r="B1522" s="183">
        <v>21096</v>
      </c>
      <c r="C1522" s="14" t="s">
        <v>14</v>
      </c>
      <c r="D1522" s="105">
        <v>25879.4</v>
      </c>
      <c r="E1522" s="23">
        <v>42153</v>
      </c>
      <c r="F1522" s="106">
        <v>25879.4</v>
      </c>
      <c r="G1522" s="48">
        <f t="shared" si="46"/>
        <v>0</v>
      </c>
      <c r="H1522" s="39" t="s">
        <v>15</v>
      </c>
      <c r="J1522" s="107"/>
      <c r="K1522" s="3"/>
      <c r="M1522" s="20">
        <v>42142</v>
      </c>
      <c r="N1522" s="183">
        <v>21516</v>
      </c>
      <c r="O1522" s="14" t="s">
        <v>1397</v>
      </c>
      <c r="P1522" s="105">
        <v>7936</v>
      </c>
      <c r="Q1522" s="23">
        <v>42142</v>
      </c>
      <c r="R1522" s="118">
        <v>7936</v>
      </c>
      <c r="S1522" s="31">
        <f t="shared" si="47"/>
        <v>0</v>
      </c>
      <c r="T1522" s="56" t="s">
        <v>9</v>
      </c>
    </row>
    <row r="1523" spans="1:20" x14ac:dyDescent="0.25">
      <c r="A1523" s="20">
        <v>42139</v>
      </c>
      <c r="B1523" s="183">
        <v>21097</v>
      </c>
      <c r="C1523" s="14" t="s">
        <v>571</v>
      </c>
      <c r="D1523" s="105">
        <v>7462</v>
      </c>
      <c r="E1523" s="23">
        <v>42139</v>
      </c>
      <c r="F1523" s="106">
        <v>7462</v>
      </c>
      <c r="G1523" s="48">
        <f t="shared" si="46"/>
        <v>0</v>
      </c>
      <c r="H1523" s="39" t="s">
        <v>15</v>
      </c>
      <c r="K1523" s="3"/>
      <c r="M1523" s="20">
        <v>42126</v>
      </c>
      <c r="N1523" s="183">
        <v>19705</v>
      </c>
      <c r="O1523" s="40" t="s">
        <v>296</v>
      </c>
      <c r="P1523" s="105">
        <v>1772.7</v>
      </c>
      <c r="Q1523" s="23">
        <v>42126</v>
      </c>
      <c r="R1523" s="106">
        <v>1772.7</v>
      </c>
      <c r="S1523" s="25">
        <f t="shared" si="47"/>
        <v>0</v>
      </c>
      <c r="T1523" s="41" t="s">
        <v>9</v>
      </c>
    </row>
    <row r="1524" spans="1:20" x14ac:dyDescent="0.25">
      <c r="A1524" s="20">
        <v>42139</v>
      </c>
      <c r="B1524" s="183">
        <v>21098</v>
      </c>
      <c r="C1524" s="14" t="s">
        <v>179</v>
      </c>
      <c r="D1524" s="105">
        <v>4112.2</v>
      </c>
      <c r="E1524" s="23">
        <v>42139</v>
      </c>
      <c r="F1524" s="106">
        <v>4112.2</v>
      </c>
      <c r="G1524" s="48">
        <f t="shared" si="46"/>
        <v>0</v>
      </c>
      <c r="H1524" s="39" t="s">
        <v>15</v>
      </c>
      <c r="K1524" s="3"/>
      <c r="M1524" s="20">
        <v>42133</v>
      </c>
      <c r="N1524" s="183">
        <v>20495</v>
      </c>
      <c r="O1524" s="14" t="s">
        <v>296</v>
      </c>
      <c r="P1524" s="105">
        <v>1744.35</v>
      </c>
      <c r="Q1524" s="23">
        <v>42133</v>
      </c>
      <c r="R1524" s="106">
        <v>1744.35</v>
      </c>
      <c r="S1524" s="31">
        <f t="shared" si="47"/>
        <v>0</v>
      </c>
      <c r="T1524" s="19" t="s">
        <v>9</v>
      </c>
    </row>
    <row r="1525" spans="1:20" x14ac:dyDescent="0.25">
      <c r="A1525" s="20">
        <v>42139</v>
      </c>
      <c r="B1525" s="183">
        <v>21099</v>
      </c>
      <c r="C1525" s="14" t="s">
        <v>829</v>
      </c>
      <c r="D1525" s="105">
        <v>9504.2000000000007</v>
      </c>
      <c r="E1525" s="23">
        <v>42139</v>
      </c>
      <c r="F1525" s="106">
        <v>9504.2000000000007</v>
      </c>
      <c r="G1525" s="48">
        <f t="shared" si="46"/>
        <v>0</v>
      </c>
      <c r="H1525" s="39" t="s">
        <v>9</v>
      </c>
      <c r="K1525" s="3"/>
      <c r="M1525" s="20">
        <v>42136</v>
      </c>
      <c r="N1525" s="183">
        <v>20799</v>
      </c>
      <c r="O1525" s="14" t="s">
        <v>296</v>
      </c>
      <c r="P1525" s="105">
        <v>1640.6</v>
      </c>
      <c r="Q1525" s="23">
        <v>42136</v>
      </c>
      <c r="R1525" s="106">
        <v>1640.6</v>
      </c>
      <c r="S1525" s="31">
        <f t="shared" si="47"/>
        <v>0</v>
      </c>
      <c r="T1525" s="39" t="s">
        <v>9</v>
      </c>
    </row>
    <row r="1526" spans="1:20" x14ac:dyDescent="0.25">
      <c r="A1526" s="20">
        <v>42139</v>
      </c>
      <c r="B1526" s="183">
        <v>21100</v>
      </c>
      <c r="C1526" s="14" t="s">
        <v>1190</v>
      </c>
      <c r="D1526" s="105">
        <v>2163.1999999999998</v>
      </c>
      <c r="E1526" s="23">
        <v>42139</v>
      </c>
      <c r="F1526" s="106">
        <v>2163.1999999999998</v>
      </c>
      <c r="G1526" s="48">
        <f t="shared" si="46"/>
        <v>0</v>
      </c>
      <c r="H1526" s="39" t="s">
        <v>1327</v>
      </c>
      <c r="K1526" s="3"/>
      <c r="M1526" s="20">
        <v>42137</v>
      </c>
      <c r="N1526" s="183">
        <v>20886</v>
      </c>
      <c r="O1526" s="14" t="s">
        <v>296</v>
      </c>
      <c r="P1526" s="105">
        <v>626.20000000000005</v>
      </c>
      <c r="Q1526" s="23">
        <v>42137</v>
      </c>
      <c r="R1526" s="106">
        <v>626.20000000000005</v>
      </c>
      <c r="S1526" s="31">
        <f t="shared" si="47"/>
        <v>0</v>
      </c>
      <c r="T1526" s="19" t="s">
        <v>9</v>
      </c>
    </row>
    <row r="1527" spans="1:20" x14ac:dyDescent="0.25">
      <c r="A1527" s="20">
        <v>42139</v>
      </c>
      <c r="B1527" s="183">
        <v>21101</v>
      </c>
      <c r="C1527" s="14" t="s">
        <v>320</v>
      </c>
      <c r="D1527" s="105">
        <v>11204.8</v>
      </c>
      <c r="E1527" s="23">
        <v>42139</v>
      </c>
      <c r="F1527" s="106">
        <v>11204.8</v>
      </c>
      <c r="G1527" s="48">
        <f t="shared" si="46"/>
        <v>0</v>
      </c>
      <c r="H1527" s="39" t="s">
        <v>1327</v>
      </c>
      <c r="K1527" s="3"/>
      <c r="M1527" s="20">
        <v>42146</v>
      </c>
      <c r="N1527" s="183">
        <v>21949</v>
      </c>
      <c r="O1527" s="150" t="s">
        <v>296</v>
      </c>
      <c r="P1527" s="105">
        <v>2032</v>
      </c>
      <c r="Q1527" s="23">
        <v>42146</v>
      </c>
      <c r="R1527" s="106">
        <v>2032</v>
      </c>
      <c r="S1527" s="31">
        <f t="shared" si="47"/>
        <v>0</v>
      </c>
      <c r="T1527" s="39" t="s">
        <v>9</v>
      </c>
    </row>
    <row r="1528" spans="1:20" x14ac:dyDescent="0.25">
      <c r="A1528" s="20">
        <v>42139</v>
      </c>
      <c r="B1528" s="183">
        <v>21102</v>
      </c>
      <c r="C1528" s="14" t="s">
        <v>1175</v>
      </c>
      <c r="D1528" s="105">
        <v>28089.599999999999</v>
      </c>
      <c r="E1528" s="23">
        <v>42139</v>
      </c>
      <c r="F1528" s="106">
        <v>28089.599999999999</v>
      </c>
      <c r="G1528" s="48">
        <f t="shared" si="46"/>
        <v>0</v>
      </c>
      <c r="H1528" s="39" t="s">
        <v>1327</v>
      </c>
      <c r="K1528" s="3"/>
      <c r="M1528" s="20">
        <v>42154</v>
      </c>
      <c r="N1528" s="183">
        <v>22706</v>
      </c>
      <c r="O1528" s="14" t="s">
        <v>296</v>
      </c>
      <c r="P1528" s="105">
        <v>1630.1</v>
      </c>
      <c r="Q1528" s="23">
        <v>42154</v>
      </c>
      <c r="R1528" s="106">
        <v>1630.1</v>
      </c>
      <c r="S1528" s="31">
        <f t="shared" si="47"/>
        <v>0</v>
      </c>
      <c r="T1528" s="39" t="s">
        <v>9</v>
      </c>
    </row>
    <row r="1529" spans="1:20" x14ac:dyDescent="0.25">
      <c r="A1529" s="20">
        <v>42139</v>
      </c>
      <c r="B1529" s="183">
        <v>21103</v>
      </c>
      <c r="C1529" s="14" t="s">
        <v>854</v>
      </c>
      <c r="D1529" s="105">
        <v>5221.3999999999996</v>
      </c>
      <c r="E1529" s="23">
        <v>42139</v>
      </c>
      <c r="F1529" s="106">
        <v>5221.3999999999996</v>
      </c>
      <c r="G1529" s="48">
        <f t="shared" si="46"/>
        <v>0</v>
      </c>
      <c r="H1529" s="39" t="s">
        <v>9</v>
      </c>
      <c r="K1529" s="3"/>
      <c r="M1529" s="20">
        <v>42131</v>
      </c>
      <c r="N1529" s="183">
        <v>20244</v>
      </c>
      <c r="O1529" s="14" t="s">
        <v>729</v>
      </c>
      <c r="P1529" s="105">
        <v>1587.3</v>
      </c>
      <c r="Q1529" s="23">
        <v>42131</v>
      </c>
      <c r="R1529" s="106">
        <v>1587.3</v>
      </c>
      <c r="S1529" s="31">
        <f t="shared" si="47"/>
        <v>0</v>
      </c>
      <c r="T1529" s="19" t="s">
        <v>59</v>
      </c>
    </row>
    <row r="1530" spans="1:20" x14ac:dyDescent="0.25">
      <c r="A1530" s="20">
        <v>42139</v>
      </c>
      <c r="B1530" s="183">
        <v>21104</v>
      </c>
      <c r="C1530" s="14" t="s">
        <v>290</v>
      </c>
      <c r="D1530" s="105">
        <v>319.2</v>
      </c>
      <c r="E1530" s="23">
        <v>42139</v>
      </c>
      <c r="F1530" s="106">
        <v>319.2</v>
      </c>
      <c r="G1530" s="48">
        <f t="shared" si="46"/>
        <v>0</v>
      </c>
      <c r="H1530" s="39" t="s">
        <v>9</v>
      </c>
      <c r="K1530" s="3"/>
      <c r="M1530" s="20">
        <v>42137</v>
      </c>
      <c r="N1530" s="183">
        <v>20898</v>
      </c>
      <c r="O1530" s="14" t="s">
        <v>729</v>
      </c>
      <c r="P1530" s="105">
        <v>1591.2</v>
      </c>
      <c r="Q1530" s="23">
        <v>42137</v>
      </c>
      <c r="R1530" s="106">
        <v>1591.2</v>
      </c>
      <c r="S1530" s="31">
        <f t="shared" si="47"/>
        <v>0</v>
      </c>
      <c r="T1530" s="19" t="s">
        <v>1257</v>
      </c>
    </row>
    <row r="1531" spans="1:20" x14ac:dyDescent="0.25">
      <c r="A1531" s="20">
        <v>42139</v>
      </c>
      <c r="B1531" s="183">
        <v>21105</v>
      </c>
      <c r="C1531" s="14" t="s">
        <v>697</v>
      </c>
      <c r="D1531" s="105">
        <v>7831.8</v>
      </c>
      <c r="E1531" s="23">
        <v>42153</v>
      </c>
      <c r="F1531" s="106">
        <v>7831.8</v>
      </c>
      <c r="G1531" s="48">
        <f t="shared" si="46"/>
        <v>0</v>
      </c>
      <c r="H1531" s="39" t="s">
        <v>94</v>
      </c>
      <c r="K1531" s="3"/>
      <c r="M1531" s="20">
        <v>42144</v>
      </c>
      <c r="N1531" s="183">
        <v>21663</v>
      </c>
      <c r="O1531" s="14" t="s">
        <v>729</v>
      </c>
      <c r="P1531" s="105">
        <v>1668</v>
      </c>
      <c r="Q1531" s="23">
        <v>42145</v>
      </c>
      <c r="R1531" s="118">
        <v>1668</v>
      </c>
      <c r="S1531" s="31">
        <f t="shared" si="47"/>
        <v>0</v>
      </c>
      <c r="T1531" s="62" t="s">
        <v>1257</v>
      </c>
    </row>
    <row r="1532" spans="1:20" x14ac:dyDescent="0.25">
      <c r="A1532" s="20">
        <v>42139</v>
      </c>
      <c r="B1532" s="183">
        <v>21106</v>
      </c>
      <c r="C1532" s="14" t="s">
        <v>32</v>
      </c>
      <c r="D1532" s="105">
        <v>109611.3</v>
      </c>
      <c r="E1532" s="23">
        <v>42140</v>
      </c>
      <c r="F1532" s="106">
        <v>109611.3</v>
      </c>
      <c r="G1532" s="48">
        <f t="shared" si="46"/>
        <v>0</v>
      </c>
      <c r="H1532" s="39" t="s">
        <v>1273</v>
      </c>
      <c r="K1532" s="3"/>
      <c r="M1532" s="20">
        <v>42151</v>
      </c>
      <c r="N1532" s="183">
        <v>22373</v>
      </c>
      <c r="O1532" s="14" t="s">
        <v>729</v>
      </c>
      <c r="P1532" s="105">
        <v>1528.8</v>
      </c>
      <c r="Q1532" s="65">
        <v>42151</v>
      </c>
      <c r="R1532" s="106">
        <v>1528.8</v>
      </c>
      <c r="S1532" s="31">
        <f t="shared" si="47"/>
        <v>0</v>
      </c>
      <c r="T1532" s="39" t="s">
        <v>41</v>
      </c>
    </row>
    <row r="1533" spans="1:20" x14ac:dyDescent="0.25">
      <c r="A1533" s="20">
        <v>42139</v>
      </c>
      <c r="B1533" s="183">
        <v>21107</v>
      </c>
      <c r="C1533" s="14" t="s">
        <v>1261</v>
      </c>
      <c r="D1533" s="105">
        <v>3252</v>
      </c>
      <c r="E1533" s="23">
        <v>42139</v>
      </c>
      <c r="F1533" s="106">
        <v>3252</v>
      </c>
      <c r="G1533" s="48">
        <f t="shared" si="46"/>
        <v>0</v>
      </c>
      <c r="H1533" s="39" t="s">
        <v>1327</v>
      </c>
      <c r="K1533" s="3"/>
      <c r="M1533" s="20">
        <v>42125</v>
      </c>
      <c r="N1533" s="183">
        <v>19594</v>
      </c>
      <c r="O1533" s="14" t="s">
        <v>114</v>
      </c>
      <c r="P1533" s="105">
        <v>4147</v>
      </c>
      <c r="Q1533" s="23">
        <v>42125</v>
      </c>
      <c r="R1533" s="106">
        <v>4147</v>
      </c>
      <c r="S1533" s="25">
        <f t="shared" si="47"/>
        <v>0</v>
      </c>
      <c r="T1533" s="19" t="s">
        <v>9</v>
      </c>
    </row>
    <row r="1534" spans="1:20" x14ac:dyDescent="0.25">
      <c r="A1534" s="20">
        <v>42139</v>
      </c>
      <c r="B1534" s="183">
        <v>21108</v>
      </c>
      <c r="C1534" s="14" t="s">
        <v>20</v>
      </c>
      <c r="D1534" s="105">
        <v>18130.7</v>
      </c>
      <c r="E1534" s="23">
        <v>42140</v>
      </c>
      <c r="F1534" s="106">
        <v>18130.7</v>
      </c>
      <c r="G1534" s="48">
        <f t="shared" si="46"/>
        <v>0</v>
      </c>
      <c r="H1534" s="39" t="s">
        <v>94</v>
      </c>
      <c r="K1534" s="3"/>
      <c r="M1534" s="20">
        <v>42128</v>
      </c>
      <c r="N1534" s="183">
        <v>19901</v>
      </c>
      <c r="O1534" s="14" t="s">
        <v>114</v>
      </c>
      <c r="P1534" s="105">
        <v>307.2</v>
      </c>
      <c r="Q1534" s="23">
        <v>42128</v>
      </c>
      <c r="R1534" s="106">
        <v>307.2</v>
      </c>
      <c r="S1534" s="31">
        <f t="shared" si="47"/>
        <v>0</v>
      </c>
      <c r="T1534" s="19" t="s">
        <v>9</v>
      </c>
    </row>
    <row r="1535" spans="1:20" x14ac:dyDescent="0.25">
      <c r="A1535" s="20">
        <v>42139</v>
      </c>
      <c r="B1535" s="183">
        <v>21109</v>
      </c>
      <c r="C1535" s="14" t="s">
        <v>863</v>
      </c>
      <c r="D1535" s="105">
        <v>5771</v>
      </c>
      <c r="E1535" s="23">
        <v>42139</v>
      </c>
      <c r="F1535" s="106">
        <v>5771</v>
      </c>
      <c r="G1535" s="48">
        <f t="shared" si="46"/>
        <v>0</v>
      </c>
      <c r="H1535" s="39" t="s">
        <v>9</v>
      </c>
      <c r="K1535" s="3"/>
      <c r="M1535" s="20">
        <v>42129</v>
      </c>
      <c r="N1535" s="183">
        <v>20039</v>
      </c>
      <c r="O1535" s="14" t="s">
        <v>114</v>
      </c>
      <c r="P1535" s="105">
        <v>996</v>
      </c>
      <c r="Q1535" s="23">
        <v>42129</v>
      </c>
      <c r="R1535" s="106">
        <v>996</v>
      </c>
      <c r="S1535" s="31">
        <f t="shared" si="47"/>
        <v>0</v>
      </c>
      <c r="T1535" s="39" t="s">
        <v>9</v>
      </c>
    </row>
    <row r="1536" spans="1:20" x14ac:dyDescent="0.25">
      <c r="A1536" s="20">
        <v>42139</v>
      </c>
      <c r="B1536" s="183">
        <v>21110</v>
      </c>
      <c r="C1536" s="14" t="s">
        <v>50</v>
      </c>
      <c r="D1536" s="105">
        <v>413.4</v>
      </c>
      <c r="E1536" s="23">
        <v>42139</v>
      </c>
      <c r="F1536" s="106">
        <v>413.4</v>
      </c>
      <c r="G1536" s="48">
        <f t="shared" si="46"/>
        <v>0</v>
      </c>
      <c r="H1536" s="39" t="s">
        <v>94</v>
      </c>
      <c r="K1536" s="3"/>
      <c r="M1536" s="20">
        <v>42130</v>
      </c>
      <c r="N1536" s="183">
        <v>20117</v>
      </c>
      <c r="O1536" s="14" t="s">
        <v>114</v>
      </c>
      <c r="P1536" s="105">
        <v>837.6</v>
      </c>
      <c r="Q1536" s="23">
        <v>42130</v>
      </c>
      <c r="R1536" s="106">
        <v>837.6</v>
      </c>
      <c r="S1536" s="31">
        <f t="shared" si="47"/>
        <v>0</v>
      </c>
      <c r="T1536" s="39" t="s">
        <v>9</v>
      </c>
    </row>
    <row r="1537" spans="1:20" x14ac:dyDescent="0.25">
      <c r="A1537" s="20">
        <v>42139</v>
      </c>
      <c r="B1537" s="183">
        <v>21111</v>
      </c>
      <c r="C1537" s="14" t="s">
        <v>49</v>
      </c>
      <c r="D1537" s="105">
        <v>1428</v>
      </c>
      <c r="E1537" s="23">
        <v>42139</v>
      </c>
      <c r="F1537" s="106">
        <v>1428</v>
      </c>
      <c r="G1537" s="48">
        <f t="shared" si="46"/>
        <v>0</v>
      </c>
      <c r="H1537" s="39" t="s">
        <v>94</v>
      </c>
      <c r="K1537" s="3"/>
      <c r="M1537" s="20">
        <v>42131</v>
      </c>
      <c r="N1537" s="183">
        <v>20215</v>
      </c>
      <c r="O1537" s="14" t="s">
        <v>114</v>
      </c>
      <c r="P1537" s="105">
        <v>945.6</v>
      </c>
      <c r="Q1537" s="23">
        <v>42131</v>
      </c>
      <c r="R1537" s="106">
        <v>945.6</v>
      </c>
      <c r="S1537" s="31">
        <f t="shared" si="47"/>
        <v>0</v>
      </c>
      <c r="T1537" s="39" t="s">
        <v>9</v>
      </c>
    </row>
    <row r="1538" spans="1:20" x14ac:dyDescent="0.25">
      <c r="A1538" s="20">
        <v>42139</v>
      </c>
      <c r="B1538" s="183">
        <v>21112</v>
      </c>
      <c r="C1538" s="14" t="s">
        <v>215</v>
      </c>
      <c r="D1538" s="105">
        <v>39084.400000000001</v>
      </c>
      <c r="E1538" s="23">
        <v>42139</v>
      </c>
      <c r="F1538" s="106">
        <v>39084.400000000001</v>
      </c>
      <c r="G1538" s="48">
        <f t="shared" si="46"/>
        <v>0</v>
      </c>
      <c r="H1538" s="39" t="s">
        <v>62</v>
      </c>
      <c r="K1538" s="3"/>
      <c r="M1538" s="20">
        <v>42132</v>
      </c>
      <c r="N1538" s="183">
        <v>20341</v>
      </c>
      <c r="O1538" s="14" t="s">
        <v>114</v>
      </c>
      <c r="P1538" s="105">
        <v>30899.8</v>
      </c>
      <c r="Q1538" s="23">
        <v>42132</v>
      </c>
      <c r="R1538" s="106">
        <v>30899.8</v>
      </c>
      <c r="S1538" s="31">
        <f t="shared" si="47"/>
        <v>0</v>
      </c>
      <c r="T1538" s="19" t="s">
        <v>9</v>
      </c>
    </row>
    <row r="1539" spans="1:20" x14ac:dyDescent="0.25">
      <c r="A1539" s="20">
        <v>42139</v>
      </c>
      <c r="B1539" s="183">
        <v>21113</v>
      </c>
      <c r="C1539" s="14" t="s">
        <v>43</v>
      </c>
      <c r="D1539" s="105">
        <v>13890.94</v>
      </c>
      <c r="E1539" s="23">
        <v>42139</v>
      </c>
      <c r="F1539" s="106">
        <v>13890.94</v>
      </c>
      <c r="G1539" s="48">
        <f t="shared" ref="G1539:G1602" si="48">D1539-F1539</f>
        <v>0</v>
      </c>
      <c r="H1539" s="39" t="s">
        <v>9</v>
      </c>
      <c r="K1539" s="3"/>
      <c r="M1539" s="20">
        <v>42135</v>
      </c>
      <c r="N1539" s="183">
        <v>20678</v>
      </c>
      <c r="O1539" s="14" t="s">
        <v>114</v>
      </c>
      <c r="P1539" s="105">
        <v>1224</v>
      </c>
      <c r="Q1539" s="23">
        <v>42135</v>
      </c>
      <c r="R1539" s="106">
        <v>1224</v>
      </c>
      <c r="S1539" s="31">
        <f t="shared" ref="S1539:S1602" si="49">P1539-R1539</f>
        <v>0</v>
      </c>
      <c r="T1539" s="39" t="s">
        <v>9</v>
      </c>
    </row>
    <row r="1540" spans="1:20" x14ac:dyDescent="0.25">
      <c r="A1540" s="20">
        <v>42139</v>
      </c>
      <c r="B1540" s="183">
        <v>21114</v>
      </c>
      <c r="C1540" s="14" t="s">
        <v>1297</v>
      </c>
      <c r="D1540" s="105">
        <v>8778</v>
      </c>
      <c r="E1540" s="23">
        <v>42139</v>
      </c>
      <c r="F1540" s="106">
        <v>8778</v>
      </c>
      <c r="G1540" s="48">
        <f t="shared" si="48"/>
        <v>0</v>
      </c>
      <c r="H1540" s="39" t="s">
        <v>9</v>
      </c>
      <c r="K1540" s="3"/>
      <c r="M1540" s="20">
        <v>42136</v>
      </c>
      <c r="N1540" s="183">
        <v>20808</v>
      </c>
      <c r="O1540" s="14" t="s">
        <v>114</v>
      </c>
      <c r="P1540" s="105">
        <v>1405</v>
      </c>
      <c r="Q1540" s="23">
        <v>42136</v>
      </c>
      <c r="R1540" s="106">
        <v>1405</v>
      </c>
      <c r="S1540" s="31">
        <f t="shared" si="49"/>
        <v>0</v>
      </c>
      <c r="T1540" s="39" t="s">
        <v>9</v>
      </c>
    </row>
    <row r="1541" spans="1:20" x14ac:dyDescent="0.25">
      <c r="A1541" s="20">
        <v>42139</v>
      </c>
      <c r="B1541" s="183">
        <v>21115</v>
      </c>
      <c r="C1541" s="14" t="s">
        <v>23</v>
      </c>
      <c r="D1541" s="105">
        <v>5428.8</v>
      </c>
      <c r="E1541" s="23">
        <v>42139</v>
      </c>
      <c r="F1541" s="106">
        <v>5428.8</v>
      </c>
      <c r="G1541" s="48">
        <f t="shared" si="48"/>
        <v>0</v>
      </c>
      <c r="H1541" s="39" t="s">
        <v>9</v>
      </c>
      <c r="K1541" s="3"/>
      <c r="M1541" s="20">
        <v>42137</v>
      </c>
      <c r="N1541" s="183">
        <v>20903</v>
      </c>
      <c r="O1541" s="14" t="s">
        <v>114</v>
      </c>
      <c r="P1541" s="105">
        <v>1409.6</v>
      </c>
      <c r="Q1541" s="23">
        <v>42137</v>
      </c>
      <c r="R1541" s="106">
        <v>1409.6</v>
      </c>
      <c r="S1541" s="31">
        <f t="shared" si="49"/>
        <v>0</v>
      </c>
      <c r="T1541" s="19" t="s">
        <v>9</v>
      </c>
    </row>
    <row r="1542" spans="1:20" x14ac:dyDescent="0.25">
      <c r="A1542" s="20">
        <v>42139</v>
      </c>
      <c r="B1542" s="183">
        <v>21116</v>
      </c>
      <c r="C1542" s="14" t="s">
        <v>22</v>
      </c>
      <c r="D1542" s="105">
        <v>3952.8</v>
      </c>
      <c r="E1542" s="23">
        <v>42139</v>
      </c>
      <c r="F1542" s="106">
        <v>3952.8</v>
      </c>
      <c r="G1542" s="48">
        <f t="shared" si="48"/>
        <v>0</v>
      </c>
      <c r="H1542" s="39" t="s">
        <v>9</v>
      </c>
      <c r="K1542" s="3"/>
      <c r="M1542" s="20">
        <v>42138</v>
      </c>
      <c r="N1542" s="183">
        <v>20979</v>
      </c>
      <c r="O1542" s="14" t="s">
        <v>114</v>
      </c>
      <c r="P1542" s="105">
        <v>2520.4</v>
      </c>
      <c r="Q1542" s="23">
        <v>42138</v>
      </c>
      <c r="R1542" s="106">
        <v>2520.4</v>
      </c>
      <c r="S1542" s="31">
        <f t="shared" si="49"/>
        <v>0</v>
      </c>
      <c r="T1542" s="19" t="s">
        <v>9</v>
      </c>
    </row>
    <row r="1543" spans="1:20" x14ac:dyDescent="0.25">
      <c r="A1543" s="20">
        <v>42139</v>
      </c>
      <c r="B1543" s="183">
        <v>21117</v>
      </c>
      <c r="C1543" s="14" t="s">
        <v>81</v>
      </c>
      <c r="D1543" s="105">
        <v>3142.6</v>
      </c>
      <c r="E1543" s="23">
        <v>42139</v>
      </c>
      <c r="F1543" s="106">
        <v>3142.6</v>
      </c>
      <c r="G1543" s="48">
        <f t="shared" si="48"/>
        <v>0</v>
      </c>
      <c r="H1543" s="39" t="s">
        <v>59</v>
      </c>
      <c r="K1543" s="3"/>
      <c r="M1543" s="20">
        <v>42139</v>
      </c>
      <c r="N1543" s="183">
        <v>21141</v>
      </c>
      <c r="O1543" s="14" t="s">
        <v>114</v>
      </c>
      <c r="P1543" s="105">
        <v>2082.1999999999998</v>
      </c>
      <c r="Q1543" s="23">
        <v>42139</v>
      </c>
      <c r="R1543" s="106">
        <v>2082.1999999999998</v>
      </c>
      <c r="S1543" s="48">
        <f t="shared" si="49"/>
        <v>0</v>
      </c>
      <c r="T1543" s="39" t="s">
        <v>9</v>
      </c>
    </row>
    <row r="1544" spans="1:20" x14ac:dyDescent="0.25">
      <c r="A1544" s="20">
        <v>42139</v>
      </c>
      <c r="B1544" s="183">
        <v>21118</v>
      </c>
      <c r="C1544" s="14" t="s">
        <v>1295</v>
      </c>
      <c r="D1544" s="105">
        <v>2761.2</v>
      </c>
      <c r="E1544" s="23">
        <v>42139</v>
      </c>
      <c r="F1544" s="106">
        <v>2761.2</v>
      </c>
      <c r="G1544" s="48">
        <f t="shared" si="48"/>
        <v>0</v>
      </c>
      <c r="H1544" s="39" t="s">
        <v>59</v>
      </c>
      <c r="K1544" s="3"/>
      <c r="M1544" s="20">
        <v>42140</v>
      </c>
      <c r="N1544" s="183">
        <v>21241</v>
      </c>
      <c r="O1544" s="14" t="s">
        <v>114</v>
      </c>
      <c r="P1544" s="105">
        <v>4687.2</v>
      </c>
      <c r="Q1544" s="23">
        <v>42140</v>
      </c>
      <c r="R1544" s="106">
        <v>4687.2</v>
      </c>
      <c r="S1544" s="48">
        <f t="shared" si="49"/>
        <v>0</v>
      </c>
      <c r="T1544" s="39" t="s">
        <v>9</v>
      </c>
    </row>
    <row r="1545" spans="1:20" x14ac:dyDescent="0.25">
      <c r="A1545" s="20">
        <v>42139</v>
      </c>
      <c r="B1545" s="183">
        <v>21119</v>
      </c>
      <c r="C1545" s="14" t="s">
        <v>82</v>
      </c>
      <c r="D1545" s="105">
        <v>5341.8</v>
      </c>
      <c r="E1545" s="23">
        <v>42139</v>
      </c>
      <c r="F1545" s="106">
        <v>5341.8</v>
      </c>
      <c r="G1545" s="48">
        <f t="shared" si="48"/>
        <v>0</v>
      </c>
      <c r="H1545" s="39" t="s">
        <v>59</v>
      </c>
      <c r="K1545" s="3"/>
      <c r="M1545" s="20">
        <v>42141</v>
      </c>
      <c r="N1545" s="183">
        <v>21328</v>
      </c>
      <c r="O1545" s="14" t="s">
        <v>114</v>
      </c>
      <c r="P1545" s="105">
        <v>3589.2</v>
      </c>
      <c r="Q1545" s="23">
        <v>42141</v>
      </c>
      <c r="R1545" s="118">
        <v>3589.2</v>
      </c>
      <c r="S1545" s="31">
        <f t="shared" si="49"/>
        <v>0</v>
      </c>
      <c r="T1545" s="62" t="s">
        <v>9</v>
      </c>
    </row>
    <row r="1546" spans="1:20" x14ac:dyDescent="0.25">
      <c r="A1546" s="20">
        <v>42139</v>
      </c>
      <c r="B1546" s="183">
        <v>21120</v>
      </c>
      <c r="C1546" s="14" t="s">
        <v>604</v>
      </c>
      <c r="D1546" s="105">
        <v>7039.8</v>
      </c>
      <c r="E1546" s="23">
        <v>42139</v>
      </c>
      <c r="F1546" s="106">
        <v>7039.8</v>
      </c>
      <c r="G1546" s="48">
        <f t="shared" si="48"/>
        <v>0</v>
      </c>
      <c r="H1546" s="39" t="s">
        <v>9</v>
      </c>
      <c r="K1546" s="3"/>
      <c r="M1546" s="20">
        <v>42142</v>
      </c>
      <c r="N1546" s="183">
        <v>21396</v>
      </c>
      <c r="O1546" s="150" t="s">
        <v>114</v>
      </c>
      <c r="P1546" s="105">
        <v>2749.4</v>
      </c>
      <c r="Q1546" s="23">
        <v>42142</v>
      </c>
      <c r="R1546" s="118">
        <v>2749.4</v>
      </c>
      <c r="S1546" s="31">
        <f t="shared" si="49"/>
        <v>0</v>
      </c>
      <c r="T1546" s="56" t="s">
        <v>9</v>
      </c>
    </row>
    <row r="1547" spans="1:20" x14ac:dyDescent="0.25">
      <c r="A1547" s="20">
        <v>42139</v>
      </c>
      <c r="B1547" s="183">
        <v>21121</v>
      </c>
      <c r="C1547" s="14" t="s">
        <v>125</v>
      </c>
      <c r="D1547" s="105">
        <v>12634.05</v>
      </c>
      <c r="E1547" s="23">
        <v>42143</v>
      </c>
      <c r="F1547" s="106">
        <v>12634.05</v>
      </c>
      <c r="G1547" s="48">
        <f t="shared" si="48"/>
        <v>0</v>
      </c>
      <c r="H1547" s="39" t="s">
        <v>9</v>
      </c>
      <c r="K1547" s="3"/>
      <c r="M1547" s="20">
        <v>42143</v>
      </c>
      <c r="N1547" s="183">
        <v>21544</v>
      </c>
      <c r="O1547" s="14" t="s">
        <v>114</v>
      </c>
      <c r="P1547" s="105">
        <v>6127.65</v>
      </c>
      <c r="Q1547" s="23">
        <v>42143</v>
      </c>
      <c r="R1547" s="118">
        <v>6127.65</v>
      </c>
      <c r="S1547" s="31">
        <f t="shared" si="49"/>
        <v>0</v>
      </c>
      <c r="T1547" s="56" t="s">
        <v>9</v>
      </c>
    </row>
    <row r="1548" spans="1:20" x14ac:dyDescent="0.25">
      <c r="A1548" s="20">
        <v>42139</v>
      </c>
      <c r="B1548" s="183">
        <v>21122</v>
      </c>
      <c r="C1548" s="14" t="s">
        <v>1295</v>
      </c>
      <c r="D1548" s="105">
        <v>699.4</v>
      </c>
      <c r="E1548" s="23">
        <v>42139</v>
      </c>
      <c r="F1548" s="106">
        <v>699.4</v>
      </c>
      <c r="G1548" s="48">
        <f t="shared" si="48"/>
        <v>0</v>
      </c>
      <c r="H1548" s="39" t="s">
        <v>59</v>
      </c>
      <c r="K1548" s="3"/>
      <c r="M1548" s="20">
        <v>42144</v>
      </c>
      <c r="N1548" s="183">
        <v>21635</v>
      </c>
      <c r="O1548" s="14" t="s">
        <v>114</v>
      </c>
      <c r="P1548" s="105">
        <v>5115.2</v>
      </c>
      <c r="Q1548" s="23">
        <v>42144</v>
      </c>
      <c r="R1548" s="118">
        <v>5115.2</v>
      </c>
      <c r="S1548" s="31">
        <f t="shared" si="49"/>
        <v>0</v>
      </c>
      <c r="T1548" s="62" t="s">
        <v>9</v>
      </c>
    </row>
    <row r="1549" spans="1:20" x14ac:dyDescent="0.25">
      <c r="A1549" s="20">
        <v>42139</v>
      </c>
      <c r="B1549" s="183">
        <v>21123</v>
      </c>
      <c r="C1549" s="14" t="s">
        <v>1389</v>
      </c>
      <c r="D1549" s="105">
        <v>722.8</v>
      </c>
      <c r="E1549" s="23">
        <v>42139</v>
      </c>
      <c r="F1549" s="106">
        <v>722.8</v>
      </c>
      <c r="G1549" s="48">
        <f t="shared" si="48"/>
        <v>0</v>
      </c>
      <c r="H1549" s="39" t="s">
        <v>59</v>
      </c>
      <c r="K1549" s="3"/>
      <c r="M1549" s="20">
        <v>42145</v>
      </c>
      <c r="N1549" s="183">
        <v>21733</v>
      </c>
      <c r="O1549" s="14" t="s">
        <v>114</v>
      </c>
      <c r="P1549" s="105">
        <v>1998</v>
      </c>
      <c r="Q1549" s="23">
        <v>42145</v>
      </c>
      <c r="R1549" s="106">
        <v>1998</v>
      </c>
      <c r="S1549" s="31">
        <f t="shared" si="49"/>
        <v>0</v>
      </c>
      <c r="T1549" s="39" t="s">
        <v>9</v>
      </c>
    </row>
    <row r="1550" spans="1:20" x14ac:dyDescent="0.25">
      <c r="A1550" s="20">
        <v>42139</v>
      </c>
      <c r="B1550" s="183">
        <v>21124</v>
      </c>
      <c r="C1550" s="14" t="s">
        <v>120</v>
      </c>
      <c r="D1550" s="105">
        <v>1216.8</v>
      </c>
      <c r="E1550" s="23">
        <v>42139</v>
      </c>
      <c r="F1550" s="106">
        <v>1216.8</v>
      </c>
      <c r="G1550" s="48">
        <f t="shared" si="48"/>
        <v>0</v>
      </c>
      <c r="H1550" s="39" t="s">
        <v>59</v>
      </c>
      <c r="J1550" s="107"/>
      <c r="K1550" s="3"/>
      <c r="M1550" s="20">
        <v>42146</v>
      </c>
      <c r="N1550" s="183">
        <v>21851</v>
      </c>
      <c r="O1550" s="14" t="s">
        <v>114</v>
      </c>
      <c r="P1550" s="105">
        <v>2820</v>
      </c>
      <c r="Q1550" s="23">
        <v>42146</v>
      </c>
      <c r="R1550" s="106">
        <v>2820</v>
      </c>
      <c r="S1550" s="31">
        <f t="shared" si="49"/>
        <v>0</v>
      </c>
      <c r="T1550" s="39" t="s">
        <v>9</v>
      </c>
    </row>
    <row r="1551" spans="1:20" x14ac:dyDescent="0.25">
      <c r="A1551" s="20">
        <v>42139</v>
      </c>
      <c r="B1551" s="183">
        <v>21125</v>
      </c>
      <c r="C1551" s="14" t="s">
        <v>915</v>
      </c>
      <c r="D1551" s="105">
        <v>1476</v>
      </c>
      <c r="E1551" s="23">
        <v>42139</v>
      </c>
      <c r="F1551" s="106">
        <v>1476</v>
      </c>
      <c r="G1551" s="48">
        <f t="shared" si="48"/>
        <v>0</v>
      </c>
      <c r="H1551" s="39" t="s">
        <v>59</v>
      </c>
      <c r="K1551" s="3"/>
      <c r="M1551" s="20">
        <v>42147</v>
      </c>
      <c r="N1551" s="183">
        <v>21985</v>
      </c>
      <c r="O1551" s="14" t="s">
        <v>114</v>
      </c>
      <c r="P1551" s="105">
        <v>4170</v>
      </c>
      <c r="Q1551" s="65">
        <v>42147</v>
      </c>
      <c r="R1551" s="106">
        <v>4170</v>
      </c>
      <c r="S1551" s="31">
        <f t="shared" si="49"/>
        <v>0</v>
      </c>
      <c r="T1551" s="39" t="s">
        <v>9</v>
      </c>
    </row>
    <row r="1552" spans="1:20" x14ac:dyDescent="0.25">
      <c r="A1552" s="20">
        <v>42139</v>
      </c>
      <c r="B1552" s="183">
        <v>21126</v>
      </c>
      <c r="C1552" s="14" t="s">
        <v>169</v>
      </c>
      <c r="D1552" s="105">
        <v>2304.5</v>
      </c>
      <c r="E1552" s="23">
        <v>42139</v>
      </c>
      <c r="F1552" s="106">
        <v>2304.5</v>
      </c>
      <c r="G1552" s="48">
        <f t="shared" si="48"/>
        <v>0</v>
      </c>
      <c r="H1552" s="39" t="s">
        <v>59</v>
      </c>
      <c r="K1552" s="3"/>
      <c r="M1552" s="20">
        <v>42148</v>
      </c>
      <c r="N1552" s="183">
        <v>22072</v>
      </c>
      <c r="O1552" s="14" t="s">
        <v>114</v>
      </c>
      <c r="P1552" s="105">
        <v>3108</v>
      </c>
      <c r="Q1552" s="65">
        <v>42148</v>
      </c>
      <c r="R1552" s="106">
        <v>3108</v>
      </c>
      <c r="S1552" s="31">
        <f t="shared" si="49"/>
        <v>0</v>
      </c>
      <c r="T1552" s="39" t="s">
        <v>9</v>
      </c>
    </row>
    <row r="1553" spans="1:20" x14ac:dyDescent="0.25">
      <c r="A1553" s="20">
        <v>42139</v>
      </c>
      <c r="B1553" s="183">
        <v>21127</v>
      </c>
      <c r="C1553" s="14" t="s">
        <v>906</v>
      </c>
      <c r="D1553" s="105">
        <v>1123.5</v>
      </c>
      <c r="E1553" s="23">
        <v>42142</v>
      </c>
      <c r="F1553" s="106">
        <v>1123.5</v>
      </c>
      <c r="G1553" s="48">
        <f t="shared" si="48"/>
        <v>0</v>
      </c>
      <c r="H1553" s="39" t="s">
        <v>9</v>
      </c>
      <c r="K1553" s="3"/>
      <c r="M1553" s="20">
        <v>42149</v>
      </c>
      <c r="N1553" s="183">
        <v>22156</v>
      </c>
      <c r="O1553" s="14" t="s">
        <v>114</v>
      </c>
      <c r="P1553" s="105">
        <v>2757.2</v>
      </c>
      <c r="Q1553" s="65">
        <v>42149</v>
      </c>
      <c r="R1553" s="106">
        <v>2757.2</v>
      </c>
      <c r="S1553" s="31">
        <f t="shared" si="49"/>
        <v>0</v>
      </c>
      <c r="T1553" s="39" t="s">
        <v>9</v>
      </c>
    </row>
    <row r="1554" spans="1:20" x14ac:dyDescent="0.25">
      <c r="A1554" s="20">
        <v>42139</v>
      </c>
      <c r="B1554" s="183">
        <v>21128</v>
      </c>
      <c r="C1554" s="14" t="s">
        <v>99</v>
      </c>
      <c r="D1554" s="105">
        <v>1159.5999999999999</v>
      </c>
      <c r="E1554" s="23">
        <v>42142</v>
      </c>
      <c r="F1554" s="106">
        <v>1159.5999999999999</v>
      </c>
      <c r="G1554" s="48">
        <f t="shared" si="48"/>
        <v>0</v>
      </c>
      <c r="H1554" s="39" t="s">
        <v>312</v>
      </c>
      <c r="I1554" s="3"/>
      <c r="J1554" s="42"/>
      <c r="K1554" s="3"/>
      <c r="M1554" s="20">
        <v>42150</v>
      </c>
      <c r="N1554" s="183">
        <v>22264</v>
      </c>
      <c r="O1554" s="14" t="s">
        <v>114</v>
      </c>
      <c r="P1554" s="105">
        <v>3294</v>
      </c>
      <c r="Q1554" s="65">
        <v>42150</v>
      </c>
      <c r="R1554" s="106">
        <v>3294</v>
      </c>
      <c r="S1554" s="31">
        <f t="shared" si="49"/>
        <v>0</v>
      </c>
      <c r="T1554" s="39" t="s">
        <v>9</v>
      </c>
    </row>
    <row r="1555" spans="1:20" x14ac:dyDescent="0.25">
      <c r="A1555" s="20">
        <v>42139</v>
      </c>
      <c r="B1555" s="183">
        <v>21129</v>
      </c>
      <c r="C1555" s="110">
        <v>105</v>
      </c>
      <c r="D1555" s="105">
        <v>2088</v>
      </c>
      <c r="E1555" s="23">
        <v>42140</v>
      </c>
      <c r="F1555" s="106">
        <v>2088</v>
      </c>
      <c r="G1555" s="48">
        <f t="shared" si="48"/>
        <v>0</v>
      </c>
      <c r="H1555" s="39" t="s">
        <v>59</v>
      </c>
      <c r="I1555" s="3"/>
      <c r="J1555" s="42"/>
      <c r="K1555" s="3"/>
      <c r="M1555" s="20">
        <v>42150</v>
      </c>
      <c r="N1555" s="183">
        <v>22265</v>
      </c>
      <c r="O1555" s="14" t="s">
        <v>114</v>
      </c>
      <c r="P1555" s="105">
        <v>728</v>
      </c>
      <c r="Q1555" s="65">
        <v>42150</v>
      </c>
      <c r="R1555" s="106">
        <v>728</v>
      </c>
      <c r="S1555" s="31">
        <f t="shared" si="49"/>
        <v>0</v>
      </c>
      <c r="T1555" s="39" t="s">
        <v>9</v>
      </c>
    </row>
    <row r="1556" spans="1:20" x14ac:dyDescent="0.25">
      <c r="A1556" s="20">
        <v>42139</v>
      </c>
      <c r="B1556" s="183">
        <v>21130</v>
      </c>
      <c r="C1556" s="14" t="s">
        <v>164</v>
      </c>
      <c r="D1556" s="105">
        <v>3326.2</v>
      </c>
      <c r="E1556" s="23">
        <v>42139</v>
      </c>
      <c r="F1556" s="106">
        <v>3326.2</v>
      </c>
      <c r="G1556" s="48">
        <f t="shared" si="48"/>
        <v>0</v>
      </c>
      <c r="H1556" s="39" t="s">
        <v>9</v>
      </c>
      <c r="I1556" s="3"/>
      <c r="J1556" s="42"/>
      <c r="K1556" s="3"/>
      <c r="M1556" s="20">
        <v>42151</v>
      </c>
      <c r="N1556" s="183">
        <v>22344</v>
      </c>
      <c r="O1556" s="14" t="s">
        <v>114</v>
      </c>
      <c r="P1556" s="105">
        <v>2635.2</v>
      </c>
      <c r="Q1556" s="65">
        <v>42151</v>
      </c>
      <c r="R1556" s="106">
        <v>2635.2</v>
      </c>
      <c r="S1556" s="31">
        <f t="shared" si="49"/>
        <v>0</v>
      </c>
      <c r="T1556" s="39" t="s">
        <v>9</v>
      </c>
    </row>
    <row r="1557" spans="1:20" x14ac:dyDescent="0.25">
      <c r="A1557" s="20">
        <v>42139</v>
      </c>
      <c r="B1557" s="183">
        <v>21131</v>
      </c>
      <c r="C1557" s="14" t="s">
        <v>694</v>
      </c>
      <c r="D1557" s="105">
        <v>1399.95</v>
      </c>
      <c r="E1557" s="23">
        <v>42139</v>
      </c>
      <c r="F1557" s="106">
        <v>1399.95</v>
      </c>
      <c r="G1557" s="48">
        <f t="shared" si="48"/>
        <v>0</v>
      </c>
      <c r="H1557" s="39" t="s">
        <v>9</v>
      </c>
      <c r="I1557" s="3"/>
      <c r="J1557" s="42"/>
      <c r="K1557" s="3"/>
      <c r="M1557" s="20">
        <v>42152</v>
      </c>
      <c r="N1557" s="183">
        <v>22434</v>
      </c>
      <c r="O1557" s="14" t="s">
        <v>114</v>
      </c>
      <c r="P1557" s="105">
        <v>2781.6</v>
      </c>
      <c r="Q1557" s="23">
        <v>42152</v>
      </c>
      <c r="R1557" s="106">
        <v>2781.6</v>
      </c>
      <c r="S1557" s="31">
        <f t="shared" si="49"/>
        <v>0</v>
      </c>
      <c r="T1557" s="39" t="s">
        <v>9</v>
      </c>
    </row>
    <row r="1558" spans="1:20" x14ac:dyDescent="0.25">
      <c r="A1558" s="20">
        <v>42139</v>
      </c>
      <c r="B1558" s="183">
        <v>21132</v>
      </c>
      <c r="C1558" s="14" t="s">
        <v>375</v>
      </c>
      <c r="D1558" s="105">
        <v>2548.4</v>
      </c>
      <c r="E1558" s="23">
        <v>42139</v>
      </c>
      <c r="F1558" s="106">
        <v>2548.4</v>
      </c>
      <c r="G1558" s="48">
        <f t="shared" si="48"/>
        <v>0</v>
      </c>
      <c r="H1558" s="39" t="s">
        <v>9</v>
      </c>
      <c r="I1558" s="3"/>
      <c r="J1558" s="42"/>
      <c r="K1558" s="3"/>
      <c r="M1558" s="20">
        <v>42153</v>
      </c>
      <c r="N1558" s="183">
        <v>22564</v>
      </c>
      <c r="O1558" s="14" t="s">
        <v>114</v>
      </c>
      <c r="P1558" s="105">
        <v>2712</v>
      </c>
      <c r="Q1558" s="23">
        <v>42153</v>
      </c>
      <c r="R1558" s="106">
        <v>2712</v>
      </c>
      <c r="S1558" s="31">
        <f t="shared" si="49"/>
        <v>0</v>
      </c>
      <c r="T1558" s="39" t="s">
        <v>9</v>
      </c>
    </row>
    <row r="1559" spans="1:20" x14ac:dyDescent="0.25">
      <c r="A1559" s="20">
        <v>42139</v>
      </c>
      <c r="B1559" s="183">
        <v>21133</v>
      </c>
      <c r="C1559" s="14" t="s">
        <v>225</v>
      </c>
      <c r="D1559" s="105">
        <v>2574</v>
      </c>
      <c r="E1559" s="23">
        <v>42139</v>
      </c>
      <c r="F1559" s="106">
        <v>2574</v>
      </c>
      <c r="G1559" s="48">
        <f t="shared" si="48"/>
        <v>0</v>
      </c>
      <c r="H1559" s="39" t="s">
        <v>9</v>
      </c>
      <c r="I1559" s="3"/>
      <c r="J1559" s="42"/>
      <c r="K1559" s="3"/>
      <c r="M1559" s="20">
        <v>42154</v>
      </c>
      <c r="N1559" s="183">
        <v>22683</v>
      </c>
      <c r="O1559" s="14" t="s">
        <v>114</v>
      </c>
      <c r="P1559" s="105">
        <v>7413.8</v>
      </c>
      <c r="Q1559" s="23">
        <v>42154</v>
      </c>
      <c r="R1559" s="106">
        <v>7413.8</v>
      </c>
      <c r="S1559" s="31">
        <f t="shared" si="49"/>
        <v>0</v>
      </c>
      <c r="T1559" s="39" t="s">
        <v>9</v>
      </c>
    </row>
    <row r="1560" spans="1:20" x14ac:dyDescent="0.25">
      <c r="A1560" s="20">
        <v>42139</v>
      </c>
      <c r="B1560" s="183">
        <v>21134</v>
      </c>
      <c r="C1560" s="14" t="s">
        <v>57</v>
      </c>
      <c r="D1560" s="105">
        <v>1980</v>
      </c>
      <c r="E1560" s="23">
        <v>42139</v>
      </c>
      <c r="F1560" s="106">
        <v>1980</v>
      </c>
      <c r="G1560" s="48">
        <f t="shared" si="48"/>
        <v>0</v>
      </c>
      <c r="H1560" s="39" t="s">
        <v>1257</v>
      </c>
      <c r="I1560" s="3"/>
      <c r="J1560" s="42"/>
      <c r="K1560" s="3"/>
      <c r="M1560" s="20">
        <v>42155</v>
      </c>
      <c r="N1560" s="183">
        <v>22796</v>
      </c>
      <c r="O1560" s="14" t="s">
        <v>114</v>
      </c>
      <c r="P1560" s="105">
        <v>3825.2</v>
      </c>
      <c r="Q1560" s="23">
        <v>42155</v>
      </c>
      <c r="R1560" s="106">
        <v>3825.2</v>
      </c>
      <c r="S1560" s="31">
        <f t="shared" si="49"/>
        <v>0</v>
      </c>
      <c r="T1560" s="39" t="s">
        <v>9</v>
      </c>
    </row>
    <row r="1561" spans="1:20" x14ac:dyDescent="0.25">
      <c r="A1561" s="20">
        <v>42139</v>
      </c>
      <c r="B1561" s="183">
        <v>21135</v>
      </c>
      <c r="C1561" s="14" t="s">
        <v>83</v>
      </c>
      <c r="D1561" s="105">
        <v>2162.4</v>
      </c>
      <c r="E1561" s="23">
        <v>42139</v>
      </c>
      <c r="F1561" s="106">
        <v>2162.4</v>
      </c>
      <c r="G1561" s="48">
        <f t="shared" si="48"/>
        <v>0</v>
      </c>
      <c r="H1561" s="39" t="s">
        <v>59</v>
      </c>
      <c r="I1561" s="3"/>
      <c r="J1561" s="42"/>
      <c r="K1561" s="3"/>
      <c r="M1561" s="20">
        <v>42128</v>
      </c>
      <c r="N1561" s="183">
        <v>19941</v>
      </c>
      <c r="O1561" s="14" t="s">
        <v>589</v>
      </c>
      <c r="P1561" s="105">
        <v>4713.5</v>
      </c>
      <c r="Q1561" s="23">
        <v>42128</v>
      </c>
      <c r="R1561" s="106">
        <v>4713.5</v>
      </c>
      <c r="S1561" s="31">
        <f t="shared" si="49"/>
        <v>0</v>
      </c>
      <c r="T1561" s="19" t="s">
        <v>1257</v>
      </c>
    </row>
    <row r="1562" spans="1:20" x14ac:dyDescent="0.25">
      <c r="A1562" s="20">
        <v>42139</v>
      </c>
      <c r="B1562" s="183">
        <v>21136</v>
      </c>
      <c r="C1562" s="14" t="s">
        <v>14</v>
      </c>
      <c r="D1562" s="105">
        <v>16434.599999999999</v>
      </c>
      <c r="E1562" s="23">
        <v>42153</v>
      </c>
      <c r="F1562" s="106">
        <v>16434.599999999999</v>
      </c>
      <c r="G1562" s="48">
        <f t="shared" si="48"/>
        <v>0</v>
      </c>
      <c r="H1562" s="39" t="s">
        <v>9</v>
      </c>
      <c r="I1562" s="3"/>
      <c r="J1562" s="42"/>
      <c r="K1562" s="3"/>
      <c r="M1562" s="20">
        <v>42145</v>
      </c>
      <c r="N1562" s="183">
        <v>21788</v>
      </c>
      <c r="O1562" s="15" t="s">
        <v>589</v>
      </c>
      <c r="P1562" s="122">
        <v>25848.28</v>
      </c>
      <c r="Q1562" s="23">
        <v>42145</v>
      </c>
      <c r="R1562" s="118">
        <v>25848.28</v>
      </c>
      <c r="S1562" s="31">
        <f t="shared" si="49"/>
        <v>0</v>
      </c>
      <c r="T1562" s="68" t="s">
        <v>1257</v>
      </c>
    </row>
    <row r="1563" spans="1:20" x14ac:dyDescent="0.25">
      <c r="A1563" s="20">
        <v>42139</v>
      </c>
      <c r="B1563" s="183">
        <v>21137</v>
      </c>
      <c r="C1563" s="14" t="s">
        <v>213</v>
      </c>
      <c r="D1563" s="105">
        <v>19439.099999999999</v>
      </c>
      <c r="E1563" s="23">
        <v>42139</v>
      </c>
      <c r="F1563" s="106">
        <v>19439.099999999999</v>
      </c>
      <c r="G1563" s="48">
        <f t="shared" si="48"/>
        <v>0</v>
      </c>
      <c r="H1563" s="39" t="s">
        <v>46</v>
      </c>
      <c r="I1563" s="3"/>
      <c r="J1563" s="42"/>
      <c r="K1563" s="3"/>
      <c r="M1563" s="20">
        <v>42151</v>
      </c>
      <c r="N1563" s="183">
        <v>22370</v>
      </c>
      <c r="O1563" s="14" t="s">
        <v>589</v>
      </c>
      <c r="P1563" s="105">
        <v>5649.6</v>
      </c>
      <c r="Q1563" s="65">
        <v>42151</v>
      </c>
      <c r="R1563" s="106">
        <v>5649.6</v>
      </c>
      <c r="S1563" s="31">
        <f t="shared" si="49"/>
        <v>0</v>
      </c>
      <c r="T1563" s="39" t="s">
        <v>9</v>
      </c>
    </row>
    <row r="1564" spans="1:20" x14ac:dyDescent="0.25">
      <c r="A1564" s="20">
        <v>42139</v>
      </c>
      <c r="B1564" s="183">
        <v>21138</v>
      </c>
      <c r="C1564" s="14" t="s">
        <v>24</v>
      </c>
      <c r="D1564" s="105">
        <v>9230.1</v>
      </c>
      <c r="E1564" s="23">
        <v>42153</v>
      </c>
      <c r="F1564" s="106">
        <v>9230.1</v>
      </c>
      <c r="G1564" s="48">
        <f t="shared" si="48"/>
        <v>0</v>
      </c>
      <c r="H1564" s="39" t="s">
        <v>312</v>
      </c>
      <c r="I1564" s="3"/>
      <c r="J1564" s="42"/>
      <c r="K1564" s="3"/>
      <c r="M1564" s="20">
        <v>42155</v>
      </c>
      <c r="N1564" s="183">
        <v>22793</v>
      </c>
      <c r="O1564" s="14" t="s">
        <v>589</v>
      </c>
      <c r="P1564" s="105">
        <v>19057.599999999999</v>
      </c>
      <c r="Q1564" s="23">
        <v>42155</v>
      </c>
      <c r="R1564" s="106">
        <v>19057.599999999999</v>
      </c>
      <c r="S1564" s="31">
        <f t="shared" si="49"/>
        <v>0</v>
      </c>
      <c r="T1564" s="39" t="s">
        <v>9</v>
      </c>
    </row>
    <row r="1565" spans="1:20" x14ac:dyDescent="0.25">
      <c r="A1565" s="20">
        <v>42139</v>
      </c>
      <c r="B1565" s="183">
        <v>21139</v>
      </c>
      <c r="C1565" s="14" t="s">
        <v>25</v>
      </c>
      <c r="D1565" s="105">
        <v>891</v>
      </c>
      <c r="E1565" s="23">
        <v>42139</v>
      </c>
      <c r="F1565" s="106">
        <v>891</v>
      </c>
      <c r="G1565" s="48">
        <f t="shared" si="48"/>
        <v>0</v>
      </c>
      <c r="H1565" s="39" t="s">
        <v>9</v>
      </c>
      <c r="I1565" s="3"/>
      <c r="J1565" s="42"/>
      <c r="K1565" s="3"/>
      <c r="M1565" s="20">
        <v>42125</v>
      </c>
      <c r="N1565" s="183">
        <v>19664</v>
      </c>
      <c r="O1565" s="14" t="s">
        <v>66</v>
      </c>
      <c r="P1565" s="105">
        <v>1264</v>
      </c>
      <c r="Q1565" s="23">
        <v>42125</v>
      </c>
      <c r="R1565" s="106">
        <v>1264</v>
      </c>
      <c r="S1565" s="25">
        <f t="shared" si="49"/>
        <v>0</v>
      </c>
      <c r="T1565" s="39" t="s">
        <v>9</v>
      </c>
    </row>
    <row r="1566" spans="1:20" x14ac:dyDescent="0.25">
      <c r="A1566" s="20">
        <v>42139</v>
      </c>
      <c r="B1566" s="183">
        <v>21140</v>
      </c>
      <c r="C1566" s="14" t="s">
        <v>1142</v>
      </c>
      <c r="D1566" s="105">
        <v>7377.6</v>
      </c>
      <c r="E1566" s="23">
        <v>42139</v>
      </c>
      <c r="F1566" s="106">
        <v>7377.6</v>
      </c>
      <c r="G1566" s="48">
        <f t="shared" si="48"/>
        <v>0</v>
      </c>
      <c r="H1566" s="39" t="s">
        <v>9</v>
      </c>
      <c r="I1566" s="3"/>
      <c r="J1566" s="42"/>
      <c r="K1566" s="3"/>
      <c r="M1566" s="20">
        <v>42127</v>
      </c>
      <c r="N1566" s="183">
        <v>19864</v>
      </c>
      <c r="O1566" s="40" t="s">
        <v>66</v>
      </c>
      <c r="P1566" s="105">
        <v>1495.65</v>
      </c>
      <c r="Q1566" s="23">
        <v>42127</v>
      </c>
      <c r="R1566" s="106">
        <v>1495.65</v>
      </c>
      <c r="S1566" s="31">
        <f t="shared" si="49"/>
        <v>0</v>
      </c>
      <c r="T1566" s="41" t="s">
        <v>9</v>
      </c>
    </row>
    <row r="1567" spans="1:20" x14ac:dyDescent="0.25">
      <c r="A1567" s="20">
        <v>42139</v>
      </c>
      <c r="B1567" s="183">
        <v>21141</v>
      </c>
      <c r="C1567" s="14" t="s">
        <v>114</v>
      </c>
      <c r="D1567" s="105">
        <v>2082.1999999999998</v>
      </c>
      <c r="E1567" s="23">
        <v>42139</v>
      </c>
      <c r="F1567" s="106">
        <v>2082.1999999999998</v>
      </c>
      <c r="G1567" s="48">
        <f t="shared" si="48"/>
        <v>0</v>
      </c>
      <c r="H1567" s="39" t="s">
        <v>9</v>
      </c>
      <c r="I1567" s="3"/>
      <c r="J1567" s="42"/>
      <c r="K1567" s="3"/>
      <c r="M1567" s="20">
        <v>42129</v>
      </c>
      <c r="N1567" s="183">
        <v>20080</v>
      </c>
      <c r="O1567" s="14" t="s">
        <v>66</v>
      </c>
      <c r="P1567" s="105">
        <v>1310.2</v>
      </c>
      <c r="Q1567" s="23">
        <v>42129</v>
      </c>
      <c r="R1567" s="106">
        <v>1310.2</v>
      </c>
      <c r="S1567" s="31">
        <f t="shared" si="49"/>
        <v>0</v>
      </c>
      <c r="T1567" s="39" t="s">
        <v>9</v>
      </c>
    </row>
    <row r="1568" spans="1:20" x14ac:dyDescent="0.25">
      <c r="A1568" s="20">
        <v>42139</v>
      </c>
      <c r="B1568" s="183">
        <v>21142</v>
      </c>
      <c r="C1568" s="14" t="s">
        <v>261</v>
      </c>
      <c r="D1568" s="105">
        <v>5346.6</v>
      </c>
      <c r="E1568" s="23">
        <v>42139</v>
      </c>
      <c r="F1568" s="106">
        <v>5346.6</v>
      </c>
      <c r="G1568" s="48">
        <f t="shared" si="48"/>
        <v>0</v>
      </c>
      <c r="H1568" s="39" t="s">
        <v>9</v>
      </c>
      <c r="I1568" s="3"/>
      <c r="J1568" s="42"/>
      <c r="K1568" s="3"/>
      <c r="M1568" s="20">
        <v>42130</v>
      </c>
      <c r="N1568" s="183">
        <v>20131</v>
      </c>
      <c r="O1568" s="14" t="s">
        <v>66</v>
      </c>
      <c r="P1568" s="105">
        <v>1366.9</v>
      </c>
      <c r="Q1568" s="23">
        <v>42130</v>
      </c>
      <c r="R1568" s="106">
        <v>1366.9</v>
      </c>
      <c r="S1568" s="31">
        <f t="shared" si="49"/>
        <v>0</v>
      </c>
      <c r="T1568" s="39" t="s">
        <v>9</v>
      </c>
    </row>
    <row r="1569" spans="1:20" x14ac:dyDescent="0.25">
      <c r="A1569" s="20">
        <v>42139</v>
      </c>
      <c r="B1569" s="183">
        <v>21143</v>
      </c>
      <c r="C1569" s="14" t="s">
        <v>135</v>
      </c>
      <c r="D1569" s="105">
        <v>5183.5</v>
      </c>
      <c r="E1569" s="23">
        <v>42139</v>
      </c>
      <c r="F1569" s="106">
        <v>5183.5</v>
      </c>
      <c r="G1569" s="48">
        <f t="shared" si="48"/>
        <v>0</v>
      </c>
      <c r="H1569" s="39" t="s">
        <v>9</v>
      </c>
      <c r="I1569" s="3"/>
      <c r="J1569" s="42"/>
      <c r="K1569" s="3"/>
      <c r="M1569" s="20">
        <v>42131</v>
      </c>
      <c r="N1569" s="183">
        <v>20227</v>
      </c>
      <c r="O1569" s="14" t="s">
        <v>66</v>
      </c>
      <c r="P1569" s="105">
        <v>364</v>
      </c>
      <c r="Q1569" s="23">
        <v>42131</v>
      </c>
      <c r="R1569" s="106">
        <v>364</v>
      </c>
      <c r="S1569" s="31">
        <f t="shared" si="49"/>
        <v>0</v>
      </c>
      <c r="T1569" s="39" t="s">
        <v>9</v>
      </c>
    </row>
    <row r="1570" spans="1:20" x14ac:dyDescent="0.25">
      <c r="A1570" s="20">
        <v>42139</v>
      </c>
      <c r="B1570" s="183">
        <v>21144</v>
      </c>
      <c r="C1570" s="14" t="s">
        <v>137</v>
      </c>
      <c r="D1570" s="105">
        <v>2440.8000000000002</v>
      </c>
      <c r="E1570" s="23">
        <v>42139</v>
      </c>
      <c r="F1570" s="106">
        <v>2440.8000000000002</v>
      </c>
      <c r="G1570" s="48">
        <f t="shared" si="48"/>
        <v>0</v>
      </c>
      <c r="H1570" s="39" t="s">
        <v>9</v>
      </c>
      <c r="K1570" s="3"/>
      <c r="M1570" s="20">
        <v>42132</v>
      </c>
      <c r="N1570" s="183">
        <v>20351</v>
      </c>
      <c r="O1570" s="14" t="s">
        <v>66</v>
      </c>
      <c r="P1570" s="105">
        <v>2255</v>
      </c>
      <c r="Q1570" s="23">
        <v>42132</v>
      </c>
      <c r="R1570" s="106">
        <v>2255</v>
      </c>
      <c r="S1570" s="31">
        <f t="shared" si="49"/>
        <v>0</v>
      </c>
      <c r="T1570" s="19" t="s">
        <v>9</v>
      </c>
    </row>
    <row r="1571" spans="1:20" x14ac:dyDescent="0.25">
      <c r="A1571" s="20">
        <v>42139</v>
      </c>
      <c r="B1571" s="183">
        <v>21145</v>
      </c>
      <c r="C1571" s="14" t="s">
        <v>137</v>
      </c>
      <c r="D1571" s="105">
        <v>345</v>
      </c>
      <c r="E1571" s="23">
        <v>42139</v>
      </c>
      <c r="F1571" s="106">
        <v>345</v>
      </c>
      <c r="G1571" s="48">
        <f t="shared" si="48"/>
        <v>0</v>
      </c>
      <c r="H1571" s="39" t="s">
        <v>9</v>
      </c>
      <c r="K1571" s="3"/>
      <c r="M1571" s="20">
        <v>42133</v>
      </c>
      <c r="N1571" s="183">
        <v>20538</v>
      </c>
      <c r="O1571" s="14" t="s">
        <v>66</v>
      </c>
      <c r="P1571" s="105">
        <v>2341.0500000000002</v>
      </c>
      <c r="Q1571" s="23">
        <v>42133</v>
      </c>
      <c r="R1571" s="106">
        <v>2341.0500000000002</v>
      </c>
      <c r="S1571" s="31">
        <f t="shared" si="49"/>
        <v>0</v>
      </c>
      <c r="T1571" s="19" t="s">
        <v>9</v>
      </c>
    </row>
    <row r="1572" spans="1:20" x14ac:dyDescent="0.25">
      <c r="A1572" s="20">
        <v>42139</v>
      </c>
      <c r="B1572" s="183">
        <v>21146</v>
      </c>
      <c r="C1572" s="14" t="s">
        <v>1058</v>
      </c>
      <c r="D1572" s="105">
        <v>1512.8</v>
      </c>
      <c r="E1572" s="23">
        <v>42139</v>
      </c>
      <c r="F1572" s="106">
        <v>1512.8</v>
      </c>
      <c r="G1572" s="48">
        <f t="shared" si="48"/>
        <v>0</v>
      </c>
      <c r="H1572" s="39" t="s">
        <v>9</v>
      </c>
      <c r="K1572" s="3"/>
      <c r="M1572" s="20">
        <v>42136</v>
      </c>
      <c r="N1572" s="183">
        <v>20840</v>
      </c>
      <c r="O1572" s="14" t="s">
        <v>66</v>
      </c>
      <c r="P1572" s="105">
        <v>1146.8</v>
      </c>
      <c r="Q1572" s="23">
        <v>42136</v>
      </c>
      <c r="R1572" s="106">
        <v>1146.8</v>
      </c>
      <c r="S1572" s="31">
        <f t="shared" si="49"/>
        <v>0</v>
      </c>
      <c r="T1572" s="39" t="s">
        <v>9</v>
      </c>
    </row>
    <row r="1573" spans="1:20" x14ac:dyDescent="0.25">
      <c r="A1573" s="20">
        <v>42139</v>
      </c>
      <c r="B1573" s="183">
        <v>21147</v>
      </c>
      <c r="C1573" s="14" t="s">
        <v>158</v>
      </c>
      <c r="D1573" s="105">
        <v>1920</v>
      </c>
      <c r="E1573" s="23">
        <v>42139</v>
      </c>
      <c r="F1573" s="106">
        <v>1920</v>
      </c>
      <c r="G1573" s="48">
        <f t="shared" si="48"/>
        <v>0</v>
      </c>
      <c r="H1573" s="39" t="s">
        <v>9</v>
      </c>
      <c r="K1573" s="3"/>
      <c r="M1573" s="20">
        <v>42137</v>
      </c>
      <c r="N1573" s="183">
        <v>20885</v>
      </c>
      <c r="O1573" s="14" t="s">
        <v>66</v>
      </c>
      <c r="P1573" s="105">
        <v>1305.75</v>
      </c>
      <c r="Q1573" s="23">
        <v>42137</v>
      </c>
      <c r="R1573" s="106">
        <v>1305.75</v>
      </c>
      <c r="S1573" s="31">
        <f t="shared" si="49"/>
        <v>0</v>
      </c>
      <c r="T1573" s="57" t="s">
        <v>9</v>
      </c>
    </row>
    <row r="1574" spans="1:20" x14ac:dyDescent="0.25">
      <c r="A1574" s="20">
        <v>42139</v>
      </c>
      <c r="B1574" s="183">
        <v>21148</v>
      </c>
      <c r="C1574" s="14" t="s">
        <v>130</v>
      </c>
      <c r="D1574" s="105">
        <v>3877.3</v>
      </c>
      <c r="E1574" s="23">
        <v>42142</v>
      </c>
      <c r="F1574" s="106">
        <v>3877.3</v>
      </c>
      <c r="G1574" s="48">
        <f t="shared" si="48"/>
        <v>0</v>
      </c>
      <c r="H1574" s="39" t="s">
        <v>1257</v>
      </c>
      <c r="K1574" s="3"/>
      <c r="M1574" s="20">
        <v>42138</v>
      </c>
      <c r="N1574" s="183">
        <v>20992</v>
      </c>
      <c r="O1574" s="14" t="s">
        <v>66</v>
      </c>
      <c r="P1574" s="105">
        <v>2169.9</v>
      </c>
      <c r="Q1574" s="23">
        <v>42138</v>
      </c>
      <c r="R1574" s="106">
        <v>2169.9</v>
      </c>
      <c r="S1574" s="31">
        <f t="shared" si="49"/>
        <v>0</v>
      </c>
      <c r="T1574" s="19" t="s">
        <v>9</v>
      </c>
    </row>
    <row r="1575" spans="1:20" x14ac:dyDescent="0.25">
      <c r="A1575" s="20">
        <v>42139</v>
      </c>
      <c r="B1575" s="183">
        <v>21149</v>
      </c>
      <c r="C1575" s="14" t="s">
        <v>131</v>
      </c>
      <c r="D1575" s="105">
        <v>8291.7999999999993</v>
      </c>
      <c r="E1575" s="23">
        <v>42141</v>
      </c>
      <c r="F1575" s="106">
        <v>8291.7999999999993</v>
      </c>
      <c r="G1575" s="48">
        <f t="shared" si="48"/>
        <v>0</v>
      </c>
      <c r="H1575" s="39" t="s">
        <v>9</v>
      </c>
      <c r="K1575" s="3"/>
      <c r="M1575" s="20">
        <v>42140</v>
      </c>
      <c r="N1575" s="183">
        <v>21275</v>
      </c>
      <c r="O1575" s="14" t="s">
        <v>66</v>
      </c>
      <c r="P1575" s="105">
        <v>162.80000000000001</v>
      </c>
      <c r="Q1575" s="23">
        <v>42140</v>
      </c>
      <c r="R1575" s="118">
        <v>162.80000000000001</v>
      </c>
      <c r="S1575" s="31">
        <f t="shared" si="49"/>
        <v>0</v>
      </c>
      <c r="T1575" s="62" t="s">
        <v>9</v>
      </c>
    </row>
    <row r="1576" spans="1:20" x14ac:dyDescent="0.25">
      <c r="A1576" s="20">
        <v>42139</v>
      </c>
      <c r="B1576" s="183">
        <v>21150</v>
      </c>
      <c r="C1576" s="14" t="s">
        <v>232</v>
      </c>
      <c r="D1576" s="105">
        <v>4358.3999999999996</v>
      </c>
      <c r="E1576" s="23">
        <v>42139</v>
      </c>
      <c r="F1576" s="106">
        <v>4358.3999999999996</v>
      </c>
      <c r="G1576" s="48">
        <f t="shared" si="48"/>
        <v>0</v>
      </c>
      <c r="H1576" s="39" t="s">
        <v>1257</v>
      </c>
      <c r="K1576" s="3"/>
      <c r="M1576" s="20">
        <v>42141</v>
      </c>
      <c r="N1576" s="183">
        <v>21359</v>
      </c>
      <c r="O1576" s="14" t="s">
        <v>66</v>
      </c>
      <c r="P1576" s="105">
        <v>1145.9000000000001</v>
      </c>
      <c r="Q1576" s="23">
        <v>42141</v>
      </c>
      <c r="R1576" s="118">
        <v>1145.9000000000001</v>
      </c>
      <c r="S1576" s="31">
        <f t="shared" si="49"/>
        <v>0</v>
      </c>
      <c r="T1576" s="56" t="s">
        <v>9</v>
      </c>
    </row>
    <row r="1577" spans="1:20" x14ac:dyDescent="0.25">
      <c r="A1577" s="20">
        <v>42139</v>
      </c>
      <c r="B1577" s="183">
        <v>21151</v>
      </c>
      <c r="C1577" s="14" t="s">
        <v>128</v>
      </c>
      <c r="D1577" s="105">
        <v>6128.8</v>
      </c>
      <c r="E1577" s="23">
        <v>42139</v>
      </c>
      <c r="F1577" s="106">
        <v>6128.8</v>
      </c>
      <c r="G1577" s="48">
        <f t="shared" si="48"/>
        <v>0</v>
      </c>
      <c r="H1577" s="39" t="s">
        <v>1257</v>
      </c>
      <c r="K1577" s="3"/>
      <c r="M1577" s="20">
        <v>42142</v>
      </c>
      <c r="N1577" s="183">
        <v>21496</v>
      </c>
      <c r="O1577" s="14" t="s">
        <v>66</v>
      </c>
      <c r="P1577" s="105">
        <v>1131.2</v>
      </c>
      <c r="Q1577" s="23">
        <v>42142</v>
      </c>
      <c r="R1577" s="106">
        <v>1131.2</v>
      </c>
      <c r="S1577" s="31">
        <f t="shared" si="49"/>
        <v>0</v>
      </c>
      <c r="T1577" s="19" t="s">
        <v>9</v>
      </c>
    </row>
    <row r="1578" spans="1:20" x14ac:dyDescent="0.25">
      <c r="A1578" s="20">
        <v>42139</v>
      </c>
      <c r="B1578" s="183">
        <v>21152</v>
      </c>
      <c r="C1578" s="14" t="s">
        <v>1274</v>
      </c>
      <c r="D1578" s="105">
        <v>2843.8</v>
      </c>
      <c r="E1578" s="23">
        <v>42139</v>
      </c>
      <c r="F1578" s="106">
        <v>2843.8</v>
      </c>
      <c r="G1578" s="48">
        <f t="shared" si="48"/>
        <v>0</v>
      </c>
      <c r="H1578" s="39" t="s">
        <v>9</v>
      </c>
      <c r="K1578" s="3"/>
      <c r="M1578" s="20">
        <v>42147</v>
      </c>
      <c r="N1578" s="183">
        <v>22024</v>
      </c>
      <c r="O1578" s="14" t="s">
        <v>66</v>
      </c>
      <c r="P1578" s="105">
        <v>627.5</v>
      </c>
      <c r="Q1578" s="65">
        <v>42147</v>
      </c>
      <c r="R1578" s="106">
        <v>627.5</v>
      </c>
      <c r="S1578" s="31">
        <f t="shared" si="49"/>
        <v>0</v>
      </c>
      <c r="T1578" s="39" t="s">
        <v>9</v>
      </c>
    </row>
    <row r="1579" spans="1:20" x14ac:dyDescent="0.25">
      <c r="A1579" s="20">
        <v>42139</v>
      </c>
      <c r="B1579" s="183">
        <v>21153</v>
      </c>
      <c r="C1579" s="14" t="s">
        <v>133</v>
      </c>
      <c r="D1579" s="105">
        <v>1328.4</v>
      </c>
      <c r="E1579" s="23">
        <v>42139</v>
      </c>
      <c r="F1579" s="106">
        <v>1328.4</v>
      </c>
      <c r="G1579" s="48">
        <f t="shared" si="48"/>
        <v>0</v>
      </c>
      <c r="H1579" s="39" t="s">
        <v>9</v>
      </c>
      <c r="K1579" s="3"/>
      <c r="M1579" s="20">
        <v>42148</v>
      </c>
      <c r="N1579" s="183">
        <v>22113</v>
      </c>
      <c r="O1579" s="14" t="s">
        <v>66</v>
      </c>
      <c r="P1579" s="105">
        <v>1355.1</v>
      </c>
      <c r="Q1579" s="65">
        <v>42148</v>
      </c>
      <c r="R1579" s="106">
        <v>1355.1</v>
      </c>
      <c r="S1579" s="31">
        <f t="shared" si="49"/>
        <v>0</v>
      </c>
      <c r="T1579" s="39" t="s">
        <v>9</v>
      </c>
    </row>
    <row r="1580" spans="1:20" x14ac:dyDescent="0.25">
      <c r="A1580" s="20">
        <v>42139</v>
      </c>
      <c r="B1580" s="183">
        <v>21154</v>
      </c>
      <c r="C1580" s="14" t="s">
        <v>24</v>
      </c>
      <c r="D1580" s="105">
        <v>400</v>
      </c>
      <c r="E1580" s="23">
        <v>42153</v>
      </c>
      <c r="F1580" s="106">
        <v>400</v>
      </c>
      <c r="G1580" s="48">
        <f t="shared" si="48"/>
        <v>0</v>
      </c>
      <c r="H1580" s="39" t="s">
        <v>9</v>
      </c>
      <c r="K1580" s="3"/>
      <c r="M1580" s="20">
        <v>42149</v>
      </c>
      <c r="N1580" s="183">
        <v>22214</v>
      </c>
      <c r="O1580" s="14" t="s">
        <v>66</v>
      </c>
      <c r="P1580" s="105">
        <v>1241.5</v>
      </c>
      <c r="Q1580" s="65">
        <v>42149</v>
      </c>
      <c r="R1580" s="106">
        <v>1241.5</v>
      </c>
      <c r="S1580" s="31">
        <f t="shared" si="49"/>
        <v>0</v>
      </c>
      <c r="T1580" s="39" t="s">
        <v>9</v>
      </c>
    </row>
    <row r="1581" spans="1:20" x14ac:dyDescent="0.25">
      <c r="A1581" s="20">
        <v>42139</v>
      </c>
      <c r="B1581" s="183">
        <v>21155</v>
      </c>
      <c r="C1581" s="14" t="s">
        <v>78</v>
      </c>
      <c r="D1581" s="105">
        <v>8992.7999999999993</v>
      </c>
      <c r="E1581" s="23">
        <v>42140</v>
      </c>
      <c r="F1581" s="106">
        <v>8992.7999999999993</v>
      </c>
      <c r="G1581" s="48">
        <f t="shared" si="48"/>
        <v>0</v>
      </c>
      <c r="H1581" s="39" t="s">
        <v>62</v>
      </c>
      <c r="K1581" s="3"/>
      <c r="M1581" s="20">
        <v>42151</v>
      </c>
      <c r="N1581" s="183">
        <v>22399</v>
      </c>
      <c r="O1581" s="14" t="s">
        <v>66</v>
      </c>
      <c r="P1581" s="105">
        <v>2604.4</v>
      </c>
      <c r="Q1581" s="23">
        <v>42151</v>
      </c>
      <c r="R1581" s="106">
        <v>2604.4</v>
      </c>
      <c r="S1581" s="31">
        <f t="shared" si="49"/>
        <v>0</v>
      </c>
      <c r="T1581" s="39" t="s">
        <v>9</v>
      </c>
    </row>
    <row r="1582" spans="1:20" x14ac:dyDescent="0.25">
      <c r="A1582" s="20">
        <v>42139</v>
      </c>
      <c r="B1582" s="183">
        <v>21156</v>
      </c>
      <c r="C1582" s="14" t="s">
        <v>67</v>
      </c>
      <c r="D1582" s="105">
        <v>4465.6000000000004</v>
      </c>
      <c r="E1582" s="23">
        <v>42140</v>
      </c>
      <c r="F1582" s="106">
        <v>4465.6000000000004</v>
      </c>
      <c r="G1582" s="48">
        <f t="shared" si="48"/>
        <v>0</v>
      </c>
      <c r="H1582" s="39" t="s">
        <v>62</v>
      </c>
      <c r="K1582" s="3"/>
      <c r="M1582" s="20">
        <v>42153</v>
      </c>
      <c r="N1582" s="183">
        <v>22605</v>
      </c>
      <c r="O1582" s="14" t="s">
        <v>66</v>
      </c>
      <c r="P1582" s="105">
        <v>406.3</v>
      </c>
      <c r="Q1582" s="23">
        <v>42153</v>
      </c>
      <c r="R1582" s="106">
        <v>406.3</v>
      </c>
      <c r="S1582" s="31">
        <f t="shared" si="49"/>
        <v>0</v>
      </c>
      <c r="T1582" s="39" t="s">
        <v>9</v>
      </c>
    </row>
    <row r="1583" spans="1:20" x14ac:dyDescent="0.25">
      <c r="A1583" s="20">
        <v>42139</v>
      </c>
      <c r="B1583" s="183">
        <v>21157</v>
      </c>
      <c r="C1583" s="14" t="s">
        <v>170</v>
      </c>
      <c r="D1583" s="105">
        <v>6911.2</v>
      </c>
      <c r="E1583" s="23">
        <v>42140</v>
      </c>
      <c r="F1583" s="106">
        <v>6911.2</v>
      </c>
      <c r="G1583" s="48">
        <f t="shared" si="48"/>
        <v>0</v>
      </c>
      <c r="H1583" s="39" t="s">
        <v>62</v>
      </c>
      <c r="K1583" s="3"/>
      <c r="M1583" s="20">
        <v>42153</v>
      </c>
      <c r="N1583" s="183">
        <v>22635</v>
      </c>
      <c r="O1583" s="14" t="s">
        <v>66</v>
      </c>
      <c r="P1583" s="105">
        <v>2265.3000000000002</v>
      </c>
      <c r="Q1583" s="23">
        <v>42153</v>
      </c>
      <c r="R1583" s="106">
        <v>2265.3000000000002</v>
      </c>
      <c r="S1583" s="31">
        <f t="shared" si="49"/>
        <v>0</v>
      </c>
      <c r="T1583" s="39" t="s">
        <v>9</v>
      </c>
    </row>
    <row r="1584" spans="1:20" x14ac:dyDescent="0.25">
      <c r="A1584" s="20">
        <v>42139</v>
      </c>
      <c r="B1584" s="183">
        <v>21158</v>
      </c>
      <c r="C1584" s="14" t="s">
        <v>232</v>
      </c>
      <c r="D1584" s="105">
        <v>8575.6</v>
      </c>
      <c r="E1584" s="23">
        <v>42149</v>
      </c>
      <c r="F1584" s="106">
        <v>8575.6</v>
      </c>
      <c r="G1584" s="48">
        <f t="shared" si="48"/>
        <v>0</v>
      </c>
      <c r="H1584" s="39" t="s">
        <v>9</v>
      </c>
      <c r="J1584" s="107"/>
      <c r="K1584" s="3"/>
      <c r="M1584" s="20">
        <v>42154</v>
      </c>
      <c r="N1584" s="183">
        <v>22749</v>
      </c>
      <c r="O1584" s="14" t="s">
        <v>66</v>
      </c>
      <c r="P1584" s="105">
        <v>2714.5</v>
      </c>
      <c r="Q1584" s="23">
        <v>42154</v>
      </c>
      <c r="R1584" s="106">
        <v>2714.5</v>
      </c>
      <c r="S1584" s="31">
        <f t="shared" si="49"/>
        <v>0</v>
      </c>
      <c r="T1584" s="39" t="s">
        <v>9</v>
      </c>
    </row>
    <row r="1585" spans="1:20" x14ac:dyDescent="0.25">
      <c r="A1585" s="20">
        <v>42139</v>
      </c>
      <c r="B1585" s="183">
        <v>21159</v>
      </c>
      <c r="C1585" s="26" t="s">
        <v>218</v>
      </c>
      <c r="D1585" s="108">
        <v>0</v>
      </c>
      <c r="E1585" s="23"/>
      <c r="F1585" s="106"/>
      <c r="G1585" s="48">
        <f t="shared" si="48"/>
        <v>0</v>
      </c>
      <c r="H1585" s="39" t="s">
        <v>13</v>
      </c>
      <c r="K1585" s="3"/>
      <c r="M1585" s="20">
        <v>42125</v>
      </c>
      <c r="N1585" s="183">
        <v>19665</v>
      </c>
      <c r="O1585" s="14" t="s">
        <v>127</v>
      </c>
      <c r="P1585" s="105">
        <v>2969.7</v>
      </c>
      <c r="Q1585" s="23">
        <v>42125</v>
      </c>
      <c r="R1585" s="106">
        <v>2969.7</v>
      </c>
      <c r="S1585" s="25">
        <f t="shared" si="49"/>
        <v>0</v>
      </c>
      <c r="T1585" s="39" t="s">
        <v>9</v>
      </c>
    </row>
    <row r="1586" spans="1:20" x14ac:dyDescent="0.25">
      <c r="A1586" s="20">
        <v>42139</v>
      </c>
      <c r="B1586" s="183">
        <v>21160</v>
      </c>
      <c r="C1586" s="14" t="s">
        <v>71</v>
      </c>
      <c r="D1586" s="105">
        <v>1398.71</v>
      </c>
      <c r="E1586" s="23">
        <v>42139</v>
      </c>
      <c r="F1586" s="106">
        <v>1398.71</v>
      </c>
      <c r="G1586" s="48">
        <f t="shared" si="48"/>
        <v>0</v>
      </c>
      <c r="H1586" s="39" t="s">
        <v>9</v>
      </c>
      <c r="I1586" s="3"/>
      <c r="J1586" s="42"/>
      <c r="K1586" s="3"/>
      <c r="M1586" s="20">
        <v>42131</v>
      </c>
      <c r="N1586" s="183">
        <v>20241</v>
      </c>
      <c r="O1586" s="14" t="s">
        <v>127</v>
      </c>
      <c r="P1586" s="105">
        <v>16808.849999999999</v>
      </c>
      <c r="Q1586" s="23">
        <v>42131</v>
      </c>
      <c r="R1586" s="106">
        <v>16808.849999999999</v>
      </c>
      <c r="S1586" s="31">
        <f t="shared" si="49"/>
        <v>0</v>
      </c>
      <c r="T1586" s="19" t="s">
        <v>9</v>
      </c>
    </row>
    <row r="1587" spans="1:20" x14ac:dyDescent="0.25">
      <c r="A1587" s="20">
        <v>42139</v>
      </c>
      <c r="B1587" s="183">
        <v>21161</v>
      </c>
      <c r="C1587" s="14" t="s">
        <v>89</v>
      </c>
      <c r="D1587" s="105">
        <v>4274</v>
      </c>
      <c r="E1587" s="23">
        <v>42139</v>
      </c>
      <c r="F1587" s="106">
        <v>4274</v>
      </c>
      <c r="G1587" s="48">
        <f t="shared" si="48"/>
        <v>0</v>
      </c>
      <c r="H1587" s="39" t="s">
        <v>9</v>
      </c>
      <c r="I1587" s="3"/>
      <c r="J1587" s="42"/>
      <c r="K1587" s="3"/>
      <c r="M1587" s="20">
        <v>42137</v>
      </c>
      <c r="N1587" s="183">
        <v>20943</v>
      </c>
      <c r="O1587" s="14" t="s">
        <v>127</v>
      </c>
      <c r="P1587" s="105">
        <v>21549</v>
      </c>
      <c r="Q1587" s="23">
        <v>42137</v>
      </c>
      <c r="R1587" s="106">
        <v>21549</v>
      </c>
      <c r="S1587" s="31">
        <f t="shared" si="49"/>
        <v>0</v>
      </c>
      <c r="T1587" s="19" t="s">
        <v>9</v>
      </c>
    </row>
    <row r="1588" spans="1:20" x14ac:dyDescent="0.25">
      <c r="A1588" s="20">
        <v>42139</v>
      </c>
      <c r="B1588" s="183">
        <v>21162</v>
      </c>
      <c r="C1588" s="14" t="s">
        <v>100</v>
      </c>
      <c r="D1588" s="105">
        <v>179.8</v>
      </c>
      <c r="E1588" s="23">
        <v>42139</v>
      </c>
      <c r="F1588" s="106">
        <v>179.8</v>
      </c>
      <c r="G1588" s="48">
        <f t="shared" si="48"/>
        <v>0</v>
      </c>
      <c r="H1588" s="39" t="s">
        <v>9</v>
      </c>
      <c r="I1588" s="3"/>
      <c r="J1588" s="42"/>
      <c r="K1588" s="3"/>
      <c r="M1588" s="20">
        <v>42144</v>
      </c>
      <c r="N1588" s="183">
        <v>21646</v>
      </c>
      <c r="O1588" s="14" t="s">
        <v>127</v>
      </c>
      <c r="P1588" s="105">
        <v>7921.2</v>
      </c>
      <c r="Q1588" s="23">
        <v>42144</v>
      </c>
      <c r="R1588" s="118">
        <v>7921.2</v>
      </c>
      <c r="S1588" s="31">
        <f t="shared" si="49"/>
        <v>0</v>
      </c>
      <c r="T1588" s="62" t="s">
        <v>9</v>
      </c>
    </row>
    <row r="1589" spans="1:20" x14ac:dyDescent="0.25">
      <c r="A1589" s="20">
        <v>42139</v>
      </c>
      <c r="B1589" s="183">
        <v>21163</v>
      </c>
      <c r="C1589" s="14" t="s">
        <v>173</v>
      </c>
      <c r="D1589" s="105">
        <v>39717.599999999999</v>
      </c>
      <c r="E1589" s="30" t="s">
        <v>1334</v>
      </c>
      <c r="F1589" s="106">
        <v>39717.599999999999</v>
      </c>
      <c r="G1589" s="48">
        <f t="shared" si="48"/>
        <v>0</v>
      </c>
      <c r="H1589" s="39" t="s">
        <v>62</v>
      </c>
      <c r="I1589" s="3"/>
      <c r="J1589" s="42"/>
      <c r="K1589" s="3"/>
      <c r="M1589" s="20">
        <v>42149</v>
      </c>
      <c r="N1589" s="183">
        <v>22195</v>
      </c>
      <c r="O1589" s="14" t="s">
        <v>127</v>
      </c>
      <c r="P1589" s="105">
        <v>6067.7</v>
      </c>
      <c r="Q1589" s="65">
        <v>42149</v>
      </c>
      <c r="R1589" s="106">
        <v>6067.7</v>
      </c>
      <c r="S1589" s="31">
        <f t="shared" si="49"/>
        <v>0</v>
      </c>
      <c r="T1589" s="39" t="s">
        <v>9</v>
      </c>
    </row>
    <row r="1590" spans="1:20" x14ac:dyDescent="0.25">
      <c r="A1590" s="20">
        <v>42139</v>
      </c>
      <c r="B1590" s="183">
        <v>21164</v>
      </c>
      <c r="C1590" s="14" t="s">
        <v>84</v>
      </c>
      <c r="D1590" s="105">
        <v>58957.1</v>
      </c>
      <c r="E1590" s="30" t="s">
        <v>1398</v>
      </c>
      <c r="F1590" s="106">
        <v>58957.1</v>
      </c>
      <c r="G1590" s="48">
        <f t="shared" si="48"/>
        <v>0</v>
      </c>
      <c r="H1590" s="39" t="s">
        <v>62</v>
      </c>
      <c r="I1590" s="3"/>
      <c r="J1590" s="42"/>
      <c r="K1590" s="3"/>
      <c r="M1590" s="20">
        <v>42153</v>
      </c>
      <c r="N1590" s="183">
        <v>22590</v>
      </c>
      <c r="O1590" s="14" t="s">
        <v>127</v>
      </c>
      <c r="P1590" s="105">
        <v>13421.5</v>
      </c>
      <c r="Q1590" s="23">
        <v>42153</v>
      </c>
      <c r="R1590" s="106">
        <v>13421.5</v>
      </c>
      <c r="S1590" s="31">
        <f t="shared" si="49"/>
        <v>0</v>
      </c>
      <c r="T1590" s="39" t="s">
        <v>9</v>
      </c>
    </row>
    <row r="1591" spans="1:20" x14ac:dyDescent="0.25">
      <c r="A1591" s="20">
        <v>42139</v>
      </c>
      <c r="B1591" s="183">
        <v>21165</v>
      </c>
      <c r="C1591" s="14" t="s">
        <v>71</v>
      </c>
      <c r="D1591" s="105">
        <v>7700.7</v>
      </c>
      <c r="E1591" s="23">
        <v>42139</v>
      </c>
      <c r="F1591" s="106">
        <v>7700.7</v>
      </c>
      <c r="G1591" s="48">
        <f t="shared" si="48"/>
        <v>0</v>
      </c>
      <c r="H1591" s="39" t="s">
        <v>9</v>
      </c>
      <c r="I1591" s="3"/>
      <c r="J1591" s="42"/>
      <c r="K1591" s="3"/>
      <c r="M1591" s="20">
        <v>42153</v>
      </c>
      <c r="N1591" s="183">
        <v>22666</v>
      </c>
      <c r="O1591" s="14" t="s">
        <v>1399</v>
      </c>
      <c r="P1591" s="105">
        <v>3182.4</v>
      </c>
      <c r="Q1591" s="23">
        <v>42154</v>
      </c>
      <c r="R1591" s="106">
        <v>3182.4</v>
      </c>
      <c r="S1591" s="31">
        <f t="shared" si="49"/>
        <v>0</v>
      </c>
      <c r="T1591" s="39" t="s">
        <v>9</v>
      </c>
    </row>
    <row r="1592" spans="1:20" x14ac:dyDescent="0.25">
      <c r="A1592" s="20">
        <v>42139</v>
      </c>
      <c r="B1592" s="183">
        <v>21166</v>
      </c>
      <c r="C1592" s="14" t="s">
        <v>75</v>
      </c>
      <c r="D1592" s="105">
        <v>18319.2</v>
      </c>
      <c r="E1592" s="23">
        <v>42140</v>
      </c>
      <c r="F1592" s="106">
        <v>18319.2</v>
      </c>
      <c r="G1592" s="48">
        <f t="shared" si="48"/>
        <v>0</v>
      </c>
      <c r="H1592" s="39" t="s">
        <v>9</v>
      </c>
      <c r="I1592" s="3"/>
      <c r="J1592" s="42"/>
      <c r="K1592" s="3"/>
      <c r="M1592" s="20">
        <v>42125</v>
      </c>
      <c r="N1592" s="183">
        <v>19686</v>
      </c>
      <c r="O1592" s="14" t="s">
        <v>90</v>
      </c>
      <c r="P1592" s="105">
        <v>1656.9</v>
      </c>
      <c r="Q1592" s="23">
        <v>42125</v>
      </c>
      <c r="R1592" s="106">
        <v>1656.9</v>
      </c>
      <c r="S1592" s="25">
        <f t="shared" si="49"/>
        <v>0</v>
      </c>
      <c r="T1592" s="39" t="s">
        <v>9</v>
      </c>
    </row>
    <row r="1593" spans="1:20" x14ac:dyDescent="0.25">
      <c r="A1593" s="20">
        <v>42139</v>
      </c>
      <c r="B1593" s="183">
        <v>21167</v>
      </c>
      <c r="C1593" s="14" t="s">
        <v>1400</v>
      </c>
      <c r="D1593" s="105">
        <v>21655.95</v>
      </c>
      <c r="E1593" s="23">
        <v>42140</v>
      </c>
      <c r="F1593" s="106">
        <v>21655.95</v>
      </c>
      <c r="G1593" s="48">
        <f t="shared" si="48"/>
        <v>0</v>
      </c>
      <c r="H1593" s="39" t="s">
        <v>62</v>
      </c>
      <c r="I1593" s="3"/>
      <c r="J1593" s="42"/>
      <c r="K1593" s="3"/>
      <c r="M1593" s="20">
        <v>42128</v>
      </c>
      <c r="N1593" s="183">
        <v>20005</v>
      </c>
      <c r="O1593" s="14" t="s">
        <v>90</v>
      </c>
      <c r="P1593" s="105">
        <v>1132.3</v>
      </c>
      <c r="Q1593" s="23">
        <v>42128</v>
      </c>
      <c r="R1593" s="106">
        <v>1132.3</v>
      </c>
      <c r="S1593" s="31">
        <f t="shared" si="49"/>
        <v>0</v>
      </c>
      <c r="T1593" s="19" t="s">
        <v>9</v>
      </c>
    </row>
    <row r="1594" spans="1:20" x14ac:dyDescent="0.25">
      <c r="A1594" s="20">
        <v>42139</v>
      </c>
      <c r="B1594" s="183">
        <v>21168</v>
      </c>
      <c r="C1594" s="14" t="s">
        <v>65</v>
      </c>
      <c r="D1594" s="105">
        <v>20049.93</v>
      </c>
      <c r="E1594" s="23">
        <v>42140</v>
      </c>
      <c r="F1594" s="106">
        <v>20049.932000000001</v>
      </c>
      <c r="G1594" s="48">
        <f t="shared" si="48"/>
        <v>-2.0000000004074536E-3</v>
      </c>
      <c r="H1594" s="39" t="s">
        <v>62</v>
      </c>
      <c r="I1594" s="3"/>
      <c r="J1594" s="42"/>
      <c r="K1594" s="3"/>
      <c r="M1594" s="20">
        <v>42132</v>
      </c>
      <c r="N1594" s="183">
        <v>20452</v>
      </c>
      <c r="O1594" s="14" t="s">
        <v>90</v>
      </c>
      <c r="P1594" s="105">
        <v>1482.3</v>
      </c>
      <c r="Q1594" s="23">
        <v>42133</v>
      </c>
      <c r="R1594" s="106">
        <v>1482.3</v>
      </c>
      <c r="S1594" s="31">
        <f t="shared" si="49"/>
        <v>0</v>
      </c>
      <c r="T1594" s="19" t="s">
        <v>9</v>
      </c>
    </row>
    <row r="1595" spans="1:20" x14ac:dyDescent="0.25">
      <c r="A1595" s="20">
        <v>42139</v>
      </c>
      <c r="B1595" s="183">
        <v>21169</v>
      </c>
      <c r="C1595" s="14" t="s">
        <v>1267</v>
      </c>
      <c r="D1595" s="105">
        <v>1000</v>
      </c>
      <c r="E1595" s="23">
        <v>42140</v>
      </c>
      <c r="F1595" s="106">
        <v>1000</v>
      </c>
      <c r="G1595" s="48">
        <f t="shared" si="48"/>
        <v>0</v>
      </c>
      <c r="H1595" s="39" t="s">
        <v>9</v>
      </c>
      <c r="I1595" s="3"/>
      <c r="J1595" s="42"/>
      <c r="K1595" s="3"/>
      <c r="M1595" s="20">
        <v>42135</v>
      </c>
      <c r="N1595" s="183">
        <v>20775</v>
      </c>
      <c r="O1595" s="14" t="s">
        <v>90</v>
      </c>
      <c r="P1595" s="105">
        <v>538</v>
      </c>
      <c r="Q1595" s="23">
        <v>42135</v>
      </c>
      <c r="R1595" s="106">
        <v>538</v>
      </c>
      <c r="S1595" s="31">
        <f t="shared" si="49"/>
        <v>0</v>
      </c>
      <c r="T1595" s="19" t="s">
        <v>9</v>
      </c>
    </row>
    <row r="1596" spans="1:20" x14ac:dyDescent="0.25">
      <c r="A1596" s="20">
        <v>42139</v>
      </c>
      <c r="B1596" s="183">
        <v>21170</v>
      </c>
      <c r="C1596" s="150" t="s">
        <v>444</v>
      </c>
      <c r="D1596" s="105">
        <v>23457.71</v>
      </c>
      <c r="E1596" s="23">
        <v>42140</v>
      </c>
      <c r="F1596" s="106">
        <v>23457.71</v>
      </c>
      <c r="G1596" s="48">
        <f t="shared" si="48"/>
        <v>0</v>
      </c>
      <c r="H1596" s="39" t="s">
        <v>62</v>
      </c>
      <c r="I1596" s="3"/>
      <c r="J1596" s="42"/>
      <c r="K1596" s="3"/>
      <c r="M1596" s="20">
        <v>42139</v>
      </c>
      <c r="N1596" s="183">
        <v>21192</v>
      </c>
      <c r="O1596" s="14" t="s">
        <v>90</v>
      </c>
      <c r="P1596" s="105">
        <v>1456.6</v>
      </c>
      <c r="Q1596" s="23">
        <v>42139</v>
      </c>
      <c r="R1596" s="106">
        <v>1456.6</v>
      </c>
      <c r="S1596" s="48">
        <f t="shared" si="49"/>
        <v>0</v>
      </c>
      <c r="T1596" s="39" t="s">
        <v>9</v>
      </c>
    </row>
    <row r="1597" spans="1:20" x14ac:dyDescent="0.25">
      <c r="A1597" s="20">
        <v>42139</v>
      </c>
      <c r="B1597" s="183">
        <v>21171</v>
      </c>
      <c r="C1597" s="14" t="s">
        <v>111</v>
      </c>
      <c r="D1597" s="105">
        <v>225060</v>
      </c>
      <c r="E1597" s="23">
        <v>42143</v>
      </c>
      <c r="F1597" s="106">
        <v>225060</v>
      </c>
      <c r="G1597" s="48">
        <f t="shared" si="48"/>
        <v>0</v>
      </c>
      <c r="H1597" s="39" t="s">
        <v>9</v>
      </c>
      <c r="I1597" s="3"/>
      <c r="J1597" s="42"/>
      <c r="K1597" s="3"/>
      <c r="M1597" s="20">
        <v>42139</v>
      </c>
      <c r="N1597" s="183">
        <v>21193</v>
      </c>
      <c r="O1597" s="14" t="s">
        <v>90</v>
      </c>
      <c r="P1597" s="105">
        <v>473.2</v>
      </c>
      <c r="Q1597" s="23">
        <v>42139</v>
      </c>
      <c r="R1597" s="106">
        <v>473.2</v>
      </c>
      <c r="S1597" s="48">
        <f t="shared" si="49"/>
        <v>0</v>
      </c>
      <c r="T1597" s="39" t="s">
        <v>9</v>
      </c>
    </row>
    <row r="1598" spans="1:20" x14ac:dyDescent="0.25">
      <c r="A1598" s="20">
        <v>42139</v>
      </c>
      <c r="B1598" s="183">
        <v>21172</v>
      </c>
      <c r="C1598" s="14" t="s">
        <v>102</v>
      </c>
      <c r="D1598" s="105">
        <v>2679.6</v>
      </c>
      <c r="E1598" s="23">
        <v>42139</v>
      </c>
      <c r="F1598" s="106">
        <v>2679.6</v>
      </c>
      <c r="G1598" s="48">
        <f t="shared" si="48"/>
        <v>0</v>
      </c>
      <c r="H1598" s="39" t="s">
        <v>9</v>
      </c>
      <c r="I1598" s="3"/>
      <c r="J1598" s="42"/>
      <c r="K1598" s="3"/>
      <c r="M1598" s="20">
        <v>42142</v>
      </c>
      <c r="N1598" s="183">
        <v>21525</v>
      </c>
      <c r="O1598" s="14" t="s">
        <v>90</v>
      </c>
      <c r="P1598" s="105">
        <v>565.4</v>
      </c>
      <c r="Q1598" s="23">
        <v>42142</v>
      </c>
      <c r="R1598" s="118">
        <v>565.4</v>
      </c>
      <c r="S1598" s="31">
        <f t="shared" si="49"/>
        <v>0</v>
      </c>
      <c r="T1598" s="56" t="s">
        <v>9</v>
      </c>
    </row>
    <row r="1599" spans="1:20" x14ac:dyDescent="0.25">
      <c r="A1599" s="20">
        <v>42139</v>
      </c>
      <c r="B1599" s="183">
        <v>21173</v>
      </c>
      <c r="C1599" s="14" t="s">
        <v>47</v>
      </c>
      <c r="D1599" s="105">
        <v>13789.6</v>
      </c>
      <c r="E1599" s="23">
        <v>42139</v>
      </c>
      <c r="F1599" s="106">
        <v>13789.6</v>
      </c>
      <c r="G1599" s="48">
        <f t="shared" si="48"/>
        <v>0</v>
      </c>
      <c r="H1599" s="39" t="s">
        <v>94</v>
      </c>
      <c r="I1599" s="3"/>
      <c r="J1599" s="42"/>
      <c r="K1599" s="3"/>
      <c r="M1599" s="20">
        <v>42142</v>
      </c>
      <c r="N1599" s="183">
        <v>21526</v>
      </c>
      <c r="O1599" s="14" t="s">
        <v>90</v>
      </c>
      <c r="P1599" s="105">
        <v>592.20000000000005</v>
      </c>
      <c r="Q1599" s="23">
        <v>42142</v>
      </c>
      <c r="R1599" s="118">
        <v>592.20000000000005</v>
      </c>
      <c r="S1599" s="31">
        <f t="shared" si="49"/>
        <v>0</v>
      </c>
      <c r="T1599" s="56" t="s">
        <v>9</v>
      </c>
    </row>
    <row r="1600" spans="1:20" x14ac:dyDescent="0.25">
      <c r="A1600" s="20">
        <v>42139</v>
      </c>
      <c r="B1600" s="183">
        <v>21174</v>
      </c>
      <c r="C1600" s="14" t="s">
        <v>78</v>
      </c>
      <c r="D1600" s="105">
        <v>3276.8</v>
      </c>
      <c r="E1600" s="23">
        <v>42140</v>
      </c>
      <c r="F1600" s="106">
        <v>3276.8</v>
      </c>
      <c r="G1600" s="48">
        <f t="shared" si="48"/>
        <v>0</v>
      </c>
      <c r="H1600" s="39" t="s">
        <v>9</v>
      </c>
      <c r="I1600" s="3"/>
      <c r="J1600" s="42"/>
      <c r="K1600" s="3"/>
      <c r="M1600" s="20">
        <v>42145</v>
      </c>
      <c r="N1600" s="183">
        <v>21791</v>
      </c>
      <c r="O1600" s="15" t="s">
        <v>90</v>
      </c>
      <c r="P1600" s="122">
        <v>356.4</v>
      </c>
      <c r="Q1600" s="23">
        <v>42145</v>
      </c>
      <c r="R1600" s="118">
        <v>356.4</v>
      </c>
      <c r="S1600" s="31">
        <f t="shared" si="49"/>
        <v>0</v>
      </c>
      <c r="T1600" s="68" t="s">
        <v>9</v>
      </c>
    </row>
    <row r="1601" spans="1:20" x14ac:dyDescent="0.25">
      <c r="A1601" s="20">
        <v>42139</v>
      </c>
      <c r="B1601" s="183">
        <v>21175</v>
      </c>
      <c r="C1601" s="14" t="s">
        <v>416</v>
      </c>
      <c r="D1601" s="105">
        <v>210.4</v>
      </c>
      <c r="E1601" s="23">
        <v>42140</v>
      </c>
      <c r="F1601" s="106">
        <v>210.4</v>
      </c>
      <c r="G1601" s="48">
        <f t="shared" si="48"/>
        <v>0</v>
      </c>
      <c r="H1601" s="39" t="s">
        <v>9</v>
      </c>
      <c r="I1601" s="3"/>
      <c r="J1601" s="42"/>
      <c r="K1601" s="3"/>
      <c r="M1601" s="20">
        <v>42146</v>
      </c>
      <c r="N1601" s="183">
        <v>21958</v>
      </c>
      <c r="O1601" s="14" t="s">
        <v>90</v>
      </c>
      <c r="P1601" s="105">
        <v>1420</v>
      </c>
      <c r="Q1601" s="65">
        <v>42146</v>
      </c>
      <c r="R1601" s="106">
        <v>1420</v>
      </c>
      <c r="S1601" s="31">
        <f t="shared" si="49"/>
        <v>0</v>
      </c>
      <c r="T1601" s="39" t="s">
        <v>9</v>
      </c>
    </row>
    <row r="1602" spans="1:20" x14ac:dyDescent="0.25">
      <c r="A1602" s="20">
        <v>42139</v>
      </c>
      <c r="B1602" s="183">
        <v>21176</v>
      </c>
      <c r="C1602" s="14" t="s">
        <v>367</v>
      </c>
      <c r="D1602" s="105">
        <v>89064.8</v>
      </c>
      <c r="E1602" s="30">
        <v>42159</v>
      </c>
      <c r="F1602" s="144">
        <v>89064.8</v>
      </c>
      <c r="G1602" s="48">
        <f t="shared" si="48"/>
        <v>0</v>
      </c>
      <c r="H1602" s="39" t="s">
        <v>46</v>
      </c>
      <c r="K1602" s="3"/>
      <c r="M1602" s="20">
        <v>42149</v>
      </c>
      <c r="N1602" s="183">
        <v>22233</v>
      </c>
      <c r="O1602" s="14" t="s">
        <v>90</v>
      </c>
      <c r="P1602" s="105">
        <v>1088.4000000000001</v>
      </c>
      <c r="Q1602" s="65"/>
      <c r="R1602" s="106"/>
      <c r="S1602" s="31">
        <f t="shared" si="49"/>
        <v>1088.4000000000001</v>
      </c>
      <c r="T1602" s="39" t="s">
        <v>9</v>
      </c>
    </row>
    <row r="1603" spans="1:20" x14ac:dyDescent="0.25">
      <c r="A1603" s="20">
        <v>42139</v>
      </c>
      <c r="B1603" s="183">
        <v>21177</v>
      </c>
      <c r="C1603" s="14" t="s">
        <v>98</v>
      </c>
      <c r="D1603" s="105">
        <v>4613</v>
      </c>
      <c r="E1603" s="23">
        <v>42140</v>
      </c>
      <c r="F1603" s="106">
        <v>4613</v>
      </c>
      <c r="G1603" s="48">
        <f t="shared" ref="G1603:G1666" si="50">D1603-F1603</f>
        <v>0</v>
      </c>
      <c r="H1603" s="39" t="s">
        <v>1273</v>
      </c>
      <c r="K1603" s="3"/>
      <c r="M1603" s="20">
        <v>42154</v>
      </c>
      <c r="N1603" s="183">
        <v>22786</v>
      </c>
      <c r="O1603" s="14" t="s">
        <v>90</v>
      </c>
      <c r="P1603" s="105">
        <v>753.6</v>
      </c>
      <c r="Q1603" s="23">
        <v>42154</v>
      </c>
      <c r="R1603" s="106">
        <v>753.6</v>
      </c>
      <c r="S1603" s="31">
        <f t="shared" ref="S1603:S1666" si="51">P1603-R1603</f>
        <v>0</v>
      </c>
      <c r="T1603" s="39" t="s">
        <v>9</v>
      </c>
    </row>
    <row r="1604" spans="1:20" x14ac:dyDescent="0.25">
      <c r="A1604" s="20">
        <v>42139</v>
      </c>
      <c r="B1604" s="183">
        <v>21178</v>
      </c>
      <c r="C1604" s="14" t="s">
        <v>104</v>
      </c>
      <c r="D1604" s="105">
        <v>2366.6</v>
      </c>
      <c r="E1604" s="23">
        <v>42140</v>
      </c>
      <c r="F1604" s="106">
        <v>2366.6</v>
      </c>
      <c r="G1604" s="48">
        <f t="shared" si="50"/>
        <v>0</v>
      </c>
      <c r="H1604" s="39" t="s">
        <v>1273</v>
      </c>
      <c r="K1604" s="3"/>
      <c r="M1604" s="20">
        <v>42126</v>
      </c>
      <c r="N1604" s="183">
        <v>19802</v>
      </c>
      <c r="O1604" s="40" t="s">
        <v>855</v>
      </c>
      <c r="P1604" s="105">
        <v>3220.1</v>
      </c>
      <c r="Q1604" s="23">
        <v>42126</v>
      </c>
      <c r="R1604" s="106">
        <v>3220.1</v>
      </c>
      <c r="S1604" s="31">
        <f t="shared" si="51"/>
        <v>0</v>
      </c>
      <c r="T1604" s="41" t="s">
        <v>9</v>
      </c>
    </row>
    <row r="1605" spans="1:20" x14ac:dyDescent="0.25">
      <c r="A1605" s="20">
        <v>42139</v>
      </c>
      <c r="B1605" s="183">
        <v>21179</v>
      </c>
      <c r="C1605" s="14" t="s">
        <v>176</v>
      </c>
      <c r="D1605" s="105">
        <v>7089</v>
      </c>
      <c r="E1605" s="30" t="s">
        <v>1401</v>
      </c>
      <c r="F1605" s="106">
        <v>7089</v>
      </c>
      <c r="G1605" s="48">
        <f t="shared" si="50"/>
        <v>0</v>
      </c>
      <c r="H1605" s="39" t="s">
        <v>62</v>
      </c>
      <c r="K1605" s="3"/>
      <c r="M1605" s="20">
        <v>42131</v>
      </c>
      <c r="N1605" s="183">
        <v>20288</v>
      </c>
      <c r="O1605" s="14" t="s">
        <v>855</v>
      </c>
      <c r="P1605" s="105">
        <v>6061.85</v>
      </c>
      <c r="Q1605" s="23">
        <v>42131</v>
      </c>
      <c r="R1605" s="106">
        <v>6061.85</v>
      </c>
      <c r="S1605" s="31">
        <f t="shared" si="51"/>
        <v>0</v>
      </c>
      <c r="T1605" s="19" t="s">
        <v>9</v>
      </c>
    </row>
    <row r="1606" spans="1:20" x14ac:dyDescent="0.25">
      <c r="A1606" s="20">
        <v>42139</v>
      </c>
      <c r="B1606" s="183">
        <v>21180</v>
      </c>
      <c r="C1606" s="14" t="s">
        <v>224</v>
      </c>
      <c r="D1606" s="105">
        <v>3705.14</v>
      </c>
      <c r="E1606" s="23">
        <v>42140</v>
      </c>
      <c r="F1606" s="106">
        <v>3705.14</v>
      </c>
      <c r="G1606" s="48">
        <f t="shared" si="50"/>
        <v>0</v>
      </c>
      <c r="H1606" s="39" t="s">
        <v>9</v>
      </c>
      <c r="K1606" s="3"/>
      <c r="M1606" s="20">
        <v>42128</v>
      </c>
      <c r="N1606" s="183">
        <v>19911</v>
      </c>
      <c r="O1606" s="14" t="s">
        <v>1142</v>
      </c>
      <c r="P1606" s="105">
        <v>5500.7</v>
      </c>
      <c r="Q1606" s="23">
        <v>42128</v>
      </c>
      <c r="R1606" s="106">
        <v>5500.7</v>
      </c>
      <c r="S1606" s="31">
        <f t="shared" si="51"/>
        <v>0</v>
      </c>
      <c r="T1606" s="19" t="s">
        <v>9</v>
      </c>
    </row>
    <row r="1607" spans="1:20" x14ac:dyDescent="0.25">
      <c r="A1607" s="20">
        <v>42139</v>
      </c>
      <c r="B1607" s="183">
        <v>21181</v>
      </c>
      <c r="C1607" s="14" t="s">
        <v>391</v>
      </c>
      <c r="D1607" s="105">
        <v>2340.8000000000002</v>
      </c>
      <c r="E1607" s="23">
        <v>42139</v>
      </c>
      <c r="F1607" s="106">
        <v>2340.8000000000002</v>
      </c>
      <c r="G1607" s="48">
        <f t="shared" si="50"/>
        <v>0</v>
      </c>
      <c r="H1607" s="39" t="s">
        <v>9</v>
      </c>
      <c r="K1607" s="3"/>
      <c r="M1607" s="20">
        <v>42131</v>
      </c>
      <c r="N1607" s="183">
        <v>20234</v>
      </c>
      <c r="O1607" s="14" t="s">
        <v>1142</v>
      </c>
      <c r="P1607" s="105">
        <v>2485.1999999999998</v>
      </c>
      <c r="Q1607" s="23">
        <v>42131</v>
      </c>
      <c r="R1607" s="106">
        <v>2485.1999999999998</v>
      </c>
      <c r="S1607" s="31">
        <f t="shared" si="51"/>
        <v>0</v>
      </c>
      <c r="T1607" s="39" t="s">
        <v>9</v>
      </c>
    </row>
    <row r="1608" spans="1:20" x14ac:dyDescent="0.25">
      <c r="A1608" s="20">
        <v>42139</v>
      </c>
      <c r="B1608" s="183">
        <v>21182</v>
      </c>
      <c r="C1608" s="14" t="s">
        <v>689</v>
      </c>
      <c r="D1608" s="105">
        <v>10179</v>
      </c>
      <c r="E1608" s="23">
        <v>42140</v>
      </c>
      <c r="F1608" s="106">
        <v>10179</v>
      </c>
      <c r="G1608" s="48">
        <f t="shared" si="50"/>
        <v>0</v>
      </c>
      <c r="H1608" s="39" t="s">
        <v>1273</v>
      </c>
      <c r="K1608" s="3"/>
      <c r="M1608" s="20">
        <v>42132</v>
      </c>
      <c r="N1608" s="183">
        <v>20444</v>
      </c>
      <c r="O1608" s="14" t="s">
        <v>1142</v>
      </c>
      <c r="P1608" s="105">
        <v>2494</v>
      </c>
      <c r="Q1608" s="23">
        <v>42132</v>
      </c>
      <c r="R1608" s="106">
        <v>2494</v>
      </c>
      <c r="S1608" s="31">
        <f t="shared" si="51"/>
        <v>0</v>
      </c>
      <c r="T1608" s="19" t="s">
        <v>9</v>
      </c>
    </row>
    <row r="1609" spans="1:20" x14ac:dyDescent="0.25">
      <c r="A1609" s="20">
        <v>42139</v>
      </c>
      <c r="B1609" s="183">
        <v>21183</v>
      </c>
      <c r="C1609" s="150" t="s">
        <v>61</v>
      </c>
      <c r="D1609" s="105">
        <v>7071.6</v>
      </c>
      <c r="E1609" s="23">
        <v>42140</v>
      </c>
      <c r="F1609" s="106">
        <v>7071.6</v>
      </c>
      <c r="G1609" s="48">
        <f t="shared" si="50"/>
        <v>0</v>
      </c>
      <c r="H1609" s="39" t="s">
        <v>62</v>
      </c>
      <c r="K1609" s="3"/>
      <c r="M1609" s="20">
        <v>42134</v>
      </c>
      <c r="N1609" s="183">
        <v>20635</v>
      </c>
      <c r="O1609" s="14" t="s">
        <v>1142</v>
      </c>
      <c r="P1609" s="105">
        <v>2575.1999999999998</v>
      </c>
      <c r="Q1609" s="23">
        <v>42134</v>
      </c>
      <c r="R1609" s="118">
        <v>2575.1999999999998</v>
      </c>
      <c r="S1609" s="31">
        <f t="shared" si="51"/>
        <v>0</v>
      </c>
      <c r="T1609" s="56" t="s">
        <v>9</v>
      </c>
    </row>
    <row r="1610" spans="1:20" x14ac:dyDescent="0.25">
      <c r="A1610" s="20">
        <v>42139</v>
      </c>
      <c r="B1610" s="183">
        <v>21184</v>
      </c>
      <c r="C1610" s="50" t="s">
        <v>72</v>
      </c>
      <c r="D1610" s="105">
        <v>18351.599999999999</v>
      </c>
      <c r="E1610" s="30">
        <v>42160</v>
      </c>
      <c r="F1610" s="144">
        <v>18351.599999999999</v>
      </c>
      <c r="G1610" s="48">
        <f t="shared" si="50"/>
        <v>0</v>
      </c>
      <c r="H1610" s="39" t="s">
        <v>62</v>
      </c>
      <c r="K1610" s="3"/>
      <c r="M1610" s="20">
        <v>42136</v>
      </c>
      <c r="N1610" s="183">
        <v>20807</v>
      </c>
      <c r="O1610" s="14" t="s">
        <v>1142</v>
      </c>
      <c r="P1610" s="105">
        <v>2616</v>
      </c>
      <c r="Q1610" s="23">
        <v>42136</v>
      </c>
      <c r="R1610" s="106">
        <v>2616</v>
      </c>
      <c r="S1610" s="31">
        <f t="shared" si="51"/>
        <v>0</v>
      </c>
      <c r="T1610" s="39" t="s">
        <v>9</v>
      </c>
    </row>
    <row r="1611" spans="1:20" x14ac:dyDescent="0.25">
      <c r="A1611" s="20">
        <v>42139</v>
      </c>
      <c r="B1611" s="183">
        <v>21185</v>
      </c>
      <c r="C1611" s="14" t="s">
        <v>93</v>
      </c>
      <c r="D1611" s="105">
        <v>1958.4</v>
      </c>
      <c r="E1611" s="23">
        <v>42140</v>
      </c>
      <c r="F1611" s="106">
        <v>1958.4</v>
      </c>
      <c r="G1611" s="48">
        <f t="shared" si="50"/>
        <v>0</v>
      </c>
      <c r="H1611" s="39" t="s">
        <v>1273</v>
      </c>
      <c r="K1611" s="3"/>
      <c r="M1611" s="20">
        <v>42137</v>
      </c>
      <c r="N1611" s="183">
        <v>20901</v>
      </c>
      <c r="O1611" s="14" t="s">
        <v>1142</v>
      </c>
      <c r="P1611" s="105">
        <v>2526</v>
      </c>
      <c r="Q1611" s="23">
        <v>42137</v>
      </c>
      <c r="R1611" s="106">
        <v>2526</v>
      </c>
      <c r="S1611" s="31">
        <f t="shared" si="51"/>
        <v>0</v>
      </c>
      <c r="T1611" s="19" t="s">
        <v>62</v>
      </c>
    </row>
    <row r="1612" spans="1:20" x14ac:dyDescent="0.25">
      <c r="A1612" s="20">
        <v>42139</v>
      </c>
      <c r="B1612" s="183">
        <v>21186</v>
      </c>
      <c r="C1612" s="14" t="s">
        <v>1372</v>
      </c>
      <c r="D1612" s="105">
        <v>2329</v>
      </c>
      <c r="E1612" s="23">
        <v>42140</v>
      </c>
      <c r="F1612" s="106">
        <v>2329</v>
      </c>
      <c r="G1612" s="48">
        <f t="shared" si="50"/>
        <v>0</v>
      </c>
      <c r="H1612" s="39" t="s">
        <v>1273</v>
      </c>
      <c r="K1612" s="3"/>
      <c r="M1612" s="20">
        <v>42139</v>
      </c>
      <c r="N1612" s="183">
        <v>21140</v>
      </c>
      <c r="O1612" s="14" t="s">
        <v>1142</v>
      </c>
      <c r="P1612" s="105">
        <v>7377.6</v>
      </c>
      <c r="Q1612" s="23">
        <v>42139</v>
      </c>
      <c r="R1612" s="106">
        <v>7377.6</v>
      </c>
      <c r="S1612" s="48">
        <f t="shared" si="51"/>
        <v>0</v>
      </c>
      <c r="T1612" s="39" t="s">
        <v>9</v>
      </c>
    </row>
    <row r="1613" spans="1:20" x14ac:dyDescent="0.25">
      <c r="A1613" s="20">
        <v>42139</v>
      </c>
      <c r="B1613" s="183">
        <v>21187</v>
      </c>
      <c r="C1613" s="14" t="s">
        <v>61</v>
      </c>
      <c r="D1613" s="105">
        <v>2331.6</v>
      </c>
      <c r="E1613" s="23">
        <v>42140</v>
      </c>
      <c r="F1613" s="106">
        <v>2331.6</v>
      </c>
      <c r="G1613" s="48">
        <f t="shared" si="50"/>
        <v>0</v>
      </c>
      <c r="H1613" s="39" t="s">
        <v>62</v>
      </c>
      <c r="K1613" s="3"/>
      <c r="M1613" s="20">
        <v>42140</v>
      </c>
      <c r="N1613" s="183">
        <v>21282</v>
      </c>
      <c r="O1613" s="14" t="s">
        <v>1142</v>
      </c>
      <c r="P1613" s="105">
        <v>2308.4</v>
      </c>
      <c r="Q1613" s="23">
        <v>42140</v>
      </c>
      <c r="R1613" s="118">
        <v>2308.4</v>
      </c>
      <c r="S1613" s="31">
        <f t="shared" si="51"/>
        <v>0</v>
      </c>
      <c r="T1613" s="62" t="s">
        <v>9</v>
      </c>
    </row>
    <row r="1614" spans="1:20" x14ac:dyDescent="0.25">
      <c r="A1614" s="20">
        <v>42139</v>
      </c>
      <c r="B1614" s="183">
        <v>21188</v>
      </c>
      <c r="C1614" s="14" t="s">
        <v>1402</v>
      </c>
      <c r="D1614" s="105">
        <v>897</v>
      </c>
      <c r="E1614" s="23">
        <v>42140</v>
      </c>
      <c r="F1614" s="106">
        <v>897</v>
      </c>
      <c r="G1614" s="48">
        <f t="shared" si="50"/>
        <v>0</v>
      </c>
      <c r="H1614" s="39" t="s">
        <v>62</v>
      </c>
      <c r="K1614" s="3"/>
      <c r="M1614" s="20">
        <v>42142</v>
      </c>
      <c r="N1614" s="183">
        <v>21434</v>
      </c>
      <c r="O1614" s="14" t="s">
        <v>1142</v>
      </c>
      <c r="P1614" s="105">
        <v>2602.8000000000002</v>
      </c>
      <c r="Q1614" s="23">
        <v>42142</v>
      </c>
      <c r="R1614" s="106">
        <v>2602.8000000000002</v>
      </c>
      <c r="S1614" s="31">
        <f t="shared" si="51"/>
        <v>0</v>
      </c>
      <c r="T1614" s="39" t="s">
        <v>9</v>
      </c>
    </row>
    <row r="1615" spans="1:20" x14ac:dyDescent="0.25">
      <c r="A1615" s="20">
        <v>42139</v>
      </c>
      <c r="B1615" s="183">
        <v>21189</v>
      </c>
      <c r="C1615" s="14" t="s">
        <v>821</v>
      </c>
      <c r="D1615" s="105">
        <v>12633</v>
      </c>
      <c r="E1615" s="23">
        <v>42139</v>
      </c>
      <c r="F1615" s="106">
        <v>12633</v>
      </c>
      <c r="G1615" s="48">
        <f t="shared" si="50"/>
        <v>0</v>
      </c>
      <c r="H1615" s="39" t="s">
        <v>9</v>
      </c>
      <c r="J1615" s="120"/>
      <c r="K1615" s="3"/>
      <c r="M1615" s="20">
        <v>42144</v>
      </c>
      <c r="N1615" s="183">
        <v>21651</v>
      </c>
      <c r="O1615" s="14" t="s">
        <v>1142</v>
      </c>
      <c r="P1615" s="105">
        <v>4277</v>
      </c>
      <c r="Q1615" s="23">
        <v>42144</v>
      </c>
      <c r="R1615" s="118">
        <v>4277</v>
      </c>
      <c r="S1615" s="31">
        <f t="shared" si="51"/>
        <v>0</v>
      </c>
      <c r="T1615" s="62" t="s">
        <v>9</v>
      </c>
    </row>
    <row r="1616" spans="1:20" x14ac:dyDescent="0.25">
      <c r="A1616" s="20">
        <v>42139</v>
      </c>
      <c r="B1616" s="183">
        <v>21190</v>
      </c>
      <c r="C1616" s="14" t="s">
        <v>106</v>
      </c>
      <c r="D1616" s="105">
        <v>1867.6</v>
      </c>
      <c r="E1616" s="23">
        <v>42139</v>
      </c>
      <c r="F1616" s="106">
        <v>1867.6</v>
      </c>
      <c r="G1616" s="48">
        <f t="shared" si="50"/>
        <v>0</v>
      </c>
      <c r="H1616" s="39" t="s">
        <v>9</v>
      </c>
      <c r="K1616" s="3"/>
      <c r="M1616" s="20">
        <v>42145</v>
      </c>
      <c r="N1616" s="183">
        <v>21790</v>
      </c>
      <c r="O1616" s="15" t="s">
        <v>1142</v>
      </c>
      <c r="P1616" s="122">
        <v>2694</v>
      </c>
      <c r="Q1616" s="23">
        <v>42145</v>
      </c>
      <c r="R1616" s="118">
        <v>2694</v>
      </c>
      <c r="S1616" s="31">
        <f t="shared" si="51"/>
        <v>0</v>
      </c>
      <c r="T1616" s="68" t="s">
        <v>62</v>
      </c>
    </row>
    <row r="1617" spans="1:20" x14ac:dyDescent="0.25">
      <c r="A1617" s="20">
        <v>42139</v>
      </c>
      <c r="B1617" s="183">
        <v>21191</v>
      </c>
      <c r="C1617" s="14" t="s">
        <v>24</v>
      </c>
      <c r="D1617" s="105">
        <v>19035.099999999999</v>
      </c>
      <c r="E1617" s="23">
        <v>42153</v>
      </c>
      <c r="F1617" s="106">
        <v>19035.099999999999</v>
      </c>
      <c r="G1617" s="48">
        <f t="shared" si="50"/>
        <v>0</v>
      </c>
      <c r="H1617" s="39" t="s">
        <v>9</v>
      </c>
      <c r="K1617" s="3"/>
      <c r="M1617" s="20">
        <v>42149</v>
      </c>
      <c r="N1617" s="183">
        <v>22181</v>
      </c>
      <c r="O1617" s="14" t="s">
        <v>1142</v>
      </c>
      <c r="P1617" s="105">
        <v>2199.6</v>
      </c>
      <c r="Q1617" s="65">
        <v>42149</v>
      </c>
      <c r="R1617" s="106">
        <v>2199.6</v>
      </c>
      <c r="S1617" s="31">
        <f t="shared" si="51"/>
        <v>0</v>
      </c>
      <c r="T1617" s="39" t="s">
        <v>9</v>
      </c>
    </row>
    <row r="1618" spans="1:20" x14ac:dyDescent="0.25">
      <c r="A1618" s="20">
        <v>42139</v>
      </c>
      <c r="B1618" s="183">
        <v>21192</v>
      </c>
      <c r="C1618" s="14" t="s">
        <v>90</v>
      </c>
      <c r="D1618" s="105">
        <v>1456.6</v>
      </c>
      <c r="E1618" s="23">
        <v>42139</v>
      </c>
      <c r="F1618" s="106">
        <v>1456.6</v>
      </c>
      <c r="G1618" s="48">
        <f t="shared" si="50"/>
        <v>0</v>
      </c>
      <c r="H1618" s="39" t="s">
        <v>9</v>
      </c>
      <c r="I1618" s="3"/>
      <c r="J1618" s="42"/>
      <c r="K1618" s="3"/>
      <c r="M1618" s="20">
        <v>42150</v>
      </c>
      <c r="N1618" s="183">
        <v>22325</v>
      </c>
      <c r="O1618" s="14" t="s">
        <v>1142</v>
      </c>
      <c r="P1618" s="105">
        <v>896.7</v>
      </c>
      <c r="Q1618" s="65">
        <v>42150</v>
      </c>
      <c r="R1618" s="106">
        <v>896.7</v>
      </c>
      <c r="S1618" s="31">
        <f t="shared" si="51"/>
        <v>0</v>
      </c>
      <c r="T1618" s="39" t="s">
        <v>9</v>
      </c>
    </row>
    <row r="1619" spans="1:20" x14ac:dyDescent="0.25">
      <c r="A1619" s="20">
        <v>42139</v>
      </c>
      <c r="B1619" s="183">
        <v>21193</v>
      </c>
      <c r="C1619" s="14" t="s">
        <v>90</v>
      </c>
      <c r="D1619" s="105">
        <v>473.2</v>
      </c>
      <c r="E1619" s="23">
        <v>42139</v>
      </c>
      <c r="F1619" s="106">
        <v>473.2</v>
      </c>
      <c r="G1619" s="48">
        <f t="shared" si="50"/>
        <v>0</v>
      </c>
      <c r="H1619" s="39" t="s">
        <v>9</v>
      </c>
      <c r="I1619" s="3"/>
      <c r="J1619" s="42"/>
      <c r="K1619" s="3"/>
      <c r="M1619" s="20">
        <v>42152</v>
      </c>
      <c r="N1619" s="183">
        <v>22503</v>
      </c>
      <c r="O1619" s="14" t="s">
        <v>1142</v>
      </c>
      <c r="P1619" s="105">
        <v>715.4</v>
      </c>
      <c r="Q1619" s="23">
        <v>42152</v>
      </c>
      <c r="R1619" s="106">
        <v>715.4</v>
      </c>
      <c r="S1619" s="31">
        <f t="shared" si="51"/>
        <v>0</v>
      </c>
      <c r="T1619" s="39" t="s">
        <v>9</v>
      </c>
    </row>
    <row r="1620" spans="1:20" x14ac:dyDescent="0.25">
      <c r="A1620" s="20">
        <v>42139</v>
      </c>
      <c r="B1620" s="183">
        <v>21194</v>
      </c>
      <c r="C1620" s="14" t="s">
        <v>24</v>
      </c>
      <c r="D1620" s="105">
        <v>15391.8</v>
      </c>
      <c r="E1620" s="23">
        <v>42153</v>
      </c>
      <c r="F1620" s="106">
        <v>15391.8</v>
      </c>
      <c r="G1620" s="48">
        <f t="shared" si="50"/>
        <v>0</v>
      </c>
      <c r="H1620" s="39" t="s">
        <v>1257</v>
      </c>
      <c r="I1620" s="3"/>
      <c r="J1620" s="42"/>
      <c r="K1620" s="3"/>
      <c r="M1620" s="20">
        <v>42129</v>
      </c>
      <c r="N1620" s="183">
        <v>20030</v>
      </c>
      <c r="O1620" s="14" t="s">
        <v>1190</v>
      </c>
      <c r="P1620" s="105">
        <v>1999.8</v>
      </c>
      <c r="Q1620" s="23">
        <v>42129</v>
      </c>
      <c r="R1620" s="106">
        <v>1999.8</v>
      </c>
      <c r="S1620" s="31">
        <f t="shared" si="51"/>
        <v>0</v>
      </c>
      <c r="T1620" s="39" t="s">
        <v>9</v>
      </c>
    </row>
    <row r="1621" spans="1:20" x14ac:dyDescent="0.25">
      <c r="A1621" s="20">
        <v>42139</v>
      </c>
      <c r="B1621" s="183">
        <v>21195</v>
      </c>
      <c r="C1621" s="14" t="s">
        <v>125</v>
      </c>
      <c r="D1621" s="105">
        <v>1766.4</v>
      </c>
      <c r="E1621" s="23">
        <v>42143</v>
      </c>
      <c r="F1621" s="106">
        <v>1766.4</v>
      </c>
      <c r="G1621" s="48">
        <f t="shared" si="50"/>
        <v>0</v>
      </c>
      <c r="H1621" s="39" t="s">
        <v>9</v>
      </c>
      <c r="I1621" s="3"/>
      <c r="J1621" s="42"/>
      <c r="K1621" s="3"/>
      <c r="M1621" s="20">
        <v>42130</v>
      </c>
      <c r="N1621" s="183">
        <v>20110</v>
      </c>
      <c r="O1621" s="14" t="s">
        <v>1190</v>
      </c>
      <c r="P1621" s="105">
        <v>2145</v>
      </c>
      <c r="Q1621" s="23">
        <v>42130</v>
      </c>
      <c r="R1621" s="106">
        <v>2145</v>
      </c>
      <c r="S1621" s="31">
        <f t="shared" si="51"/>
        <v>0</v>
      </c>
      <c r="T1621" s="39" t="s">
        <v>9</v>
      </c>
    </row>
    <row r="1622" spans="1:20" x14ac:dyDescent="0.25">
      <c r="A1622" s="20">
        <v>42139</v>
      </c>
      <c r="B1622" s="183">
        <v>21196</v>
      </c>
      <c r="C1622" s="14" t="s">
        <v>1262</v>
      </c>
      <c r="D1622" s="105">
        <v>59002.8</v>
      </c>
      <c r="E1622" s="23">
        <v>42147</v>
      </c>
      <c r="F1622" s="106">
        <v>59002.8</v>
      </c>
      <c r="G1622" s="48">
        <f t="shared" si="50"/>
        <v>0</v>
      </c>
      <c r="H1622" s="39" t="s">
        <v>94</v>
      </c>
      <c r="I1622" s="3"/>
      <c r="J1622" s="42"/>
      <c r="K1622" s="3"/>
      <c r="M1622" s="20">
        <v>42131</v>
      </c>
      <c r="N1622" s="183">
        <v>20230</v>
      </c>
      <c r="O1622" s="14" t="s">
        <v>1190</v>
      </c>
      <c r="P1622" s="105">
        <v>4501.2</v>
      </c>
      <c r="Q1622" s="23">
        <v>42131</v>
      </c>
      <c r="R1622" s="106">
        <v>4501.2</v>
      </c>
      <c r="S1622" s="31">
        <f t="shared" si="51"/>
        <v>0</v>
      </c>
      <c r="T1622" s="39" t="s">
        <v>9</v>
      </c>
    </row>
    <row r="1623" spans="1:20" x14ac:dyDescent="0.25">
      <c r="A1623" s="20">
        <v>42139</v>
      </c>
      <c r="B1623" s="183">
        <v>21197</v>
      </c>
      <c r="C1623" s="14" t="s">
        <v>136</v>
      </c>
      <c r="D1623" s="105">
        <v>35189</v>
      </c>
      <c r="E1623" s="23" t="s">
        <v>1403</v>
      </c>
      <c r="F1623" s="106">
        <f>20500+14689</f>
        <v>35189</v>
      </c>
      <c r="G1623" s="48">
        <f t="shared" si="50"/>
        <v>0</v>
      </c>
      <c r="H1623" s="39" t="s">
        <v>1257</v>
      </c>
      <c r="I1623" s="3"/>
      <c r="J1623" s="42"/>
      <c r="K1623" s="3"/>
      <c r="M1623" s="20">
        <v>42135</v>
      </c>
      <c r="N1623" s="183">
        <v>20687</v>
      </c>
      <c r="O1623" s="14" t="s">
        <v>1190</v>
      </c>
      <c r="P1623" s="105">
        <v>2290.4</v>
      </c>
      <c r="Q1623" s="23">
        <v>42135</v>
      </c>
      <c r="R1623" s="106">
        <v>2290.4</v>
      </c>
      <c r="S1623" s="31">
        <f t="shared" si="51"/>
        <v>0</v>
      </c>
      <c r="T1623" s="39" t="s">
        <v>9</v>
      </c>
    </row>
    <row r="1624" spans="1:20" x14ac:dyDescent="0.25">
      <c r="A1624" s="20">
        <v>42139</v>
      </c>
      <c r="B1624" s="183">
        <v>21198</v>
      </c>
      <c r="C1624" s="14" t="s">
        <v>80</v>
      </c>
      <c r="D1624" s="105">
        <v>6915.6</v>
      </c>
      <c r="E1624" s="23">
        <v>42139</v>
      </c>
      <c r="F1624" s="106">
        <v>6915.6</v>
      </c>
      <c r="G1624" s="48">
        <f t="shared" si="50"/>
        <v>0</v>
      </c>
      <c r="H1624" s="39" t="s">
        <v>9</v>
      </c>
      <c r="I1624" s="3"/>
      <c r="J1624" s="42"/>
      <c r="K1624" s="3"/>
      <c r="M1624" s="20">
        <v>42137</v>
      </c>
      <c r="N1624" s="183">
        <v>20889</v>
      </c>
      <c r="O1624" s="14" t="s">
        <v>1190</v>
      </c>
      <c r="P1624" s="105">
        <v>2232</v>
      </c>
      <c r="Q1624" s="23">
        <v>42137</v>
      </c>
      <c r="R1624" s="106">
        <v>2232</v>
      </c>
      <c r="S1624" s="31">
        <f t="shared" si="51"/>
        <v>0</v>
      </c>
      <c r="T1624" s="19" t="s">
        <v>9</v>
      </c>
    </row>
    <row r="1625" spans="1:20" x14ac:dyDescent="0.25">
      <c r="A1625" s="20">
        <v>42139</v>
      </c>
      <c r="B1625" s="183">
        <v>21199</v>
      </c>
      <c r="C1625" s="14" t="s">
        <v>571</v>
      </c>
      <c r="D1625" s="105">
        <v>71250.899999999994</v>
      </c>
      <c r="E1625" s="23">
        <v>42140</v>
      </c>
      <c r="F1625" s="106">
        <v>71250.899999999994</v>
      </c>
      <c r="G1625" s="48">
        <f t="shared" si="50"/>
        <v>0</v>
      </c>
      <c r="H1625" s="39" t="s">
        <v>59</v>
      </c>
      <c r="I1625" s="3"/>
      <c r="J1625" s="42"/>
      <c r="K1625" s="3"/>
      <c r="M1625" s="20">
        <v>42138</v>
      </c>
      <c r="N1625" s="183">
        <v>21000</v>
      </c>
      <c r="O1625" s="150" t="s">
        <v>1190</v>
      </c>
      <c r="P1625" s="105">
        <v>3139.9</v>
      </c>
      <c r="Q1625" s="23">
        <v>42138</v>
      </c>
      <c r="R1625" s="106">
        <v>3139.9</v>
      </c>
      <c r="S1625" s="48">
        <f t="shared" si="51"/>
        <v>0</v>
      </c>
      <c r="T1625" s="19" t="s">
        <v>9</v>
      </c>
    </row>
    <row r="1626" spans="1:20" x14ac:dyDescent="0.25">
      <c r="A1626" s="20">
        <v>42139</v>
      </c>
      <c r="B1626" s="183">
        <v>21200</v>
      </c>
      <c r="C1626" s="14" t="s">
        <v>145</v>
      </c>
      <c r="D1626" s="105">
        <v>3812</v>
      </c>
      <c r="E1626" s="23">
        <v>42139</v>
      </c>
      <c r="F1626" s="106">
        <v>3812</v>
      </c>
      <c r="G1626" s="48">
        <f t="shared" si="50"/>
        <v>0</v>
      </c>
      <c r="H1626" s="39" t="s">
        <v>9</v>
      </c>
      <c r="I1626" s="3"/>
      <c r="J1626" s="42"/>
      <c r="K1626" s="3"/>
      <c r="M1626" s="20">
        <v>42139</v>
      </c>
      <c r="N1626" s="183">
        <v>21100</v>
      </c>
      <c r="O1626" s="14" t="s">
        <v>1190</v>
      </c>
      <c r="P1626" s="105">
        <v>2163.1999999999998</v>
      </c>
      <c r="Q1626" s="23">
        <v>42139</v>
      </c>
      <c r="R1626" s="106">
        <v>2163.1999999999998</v>
      </c>
      <c r="S1626" s="48">
        <f t="shared" si="51"/>
        <v>0</v>
      </c>
      <c r="T1626" s="39" t="s">
        <v>1327</v>
      </c>
    </row>
    <row r="1627" spans="1:20" x14ac:dyDescent="0.25">
      <c r="A1627" s="20">
        <v>42139</v>
      </c>
      <c r="B1627" s="183">
        <v>21201</v>
      </c>
      <c r="C1627" s="14" t="s">
        <v>1338</v>
      </c>
      <c r="D1627" s="105">
        <v>55476.4</v>
      </c>
      <c r="E1627" s="23">
        <v>42153</v>
      </c>
      <c r="F1627" s="106">
        <v>55476.4</v>
      </c>
      <c r="G1627" s="48">
        <f t="shared" si="50"/>
        <v>0</v>
      </c>
      <c r="H1627" s="39" t="s">
        <v>773</v>
      </c>
      <c r="I1627" s="3"/>
      <c r="J1627" s="42"/>
      <c r="K1627" s="3"/>
      <c r="M1627" s="20">
        <v>42140</v>
      </c>
      <c r="N1627" s="183">
        <v>21214</v>
      </c>
      <c r="O1627" s="14" t="s">
        <v>1190</v>
      </c>
      <c r="P1627" s="105">
        <v>4934.6499999999996</v>
      </c>
      <c r="Q1627" s="23">
        <v>42140</v>
      </c>
      <c r="R1627" s="106">
        <v>4934.6499999999996</v>
      </c>
      <c r="S1627" s="48">
        <f t="shared" si="51"/>
        <v>0</v>
      </c>
      <c r="T1627" s="39" t="s">
        <v>587</v>
      </c>
    </row>
    <row r="1628" spans="1:20" x14ac:dyDescent="0.25">
      <c r="A1628" s="20">
        <v>42139</v>
      </c>
      <c r="B1628" s="183">
        <v>21202</v>
      </c>
      <c r="C1628" s="14" t="s">
        <v>1020</v>
      </c>
      <c r="D1628" s="105">
        <v>4453.6000000000004</v>
      </c>
      <c r="E1628" s="23">
        <v>42139</v>
      </c>
      <c r="F1628" s="106">
        <v>4453.6000000000004</v>
      </c>
      <c r="G1628" s="48">
        <f t="shared" si="50"/>
        <v>0</v>
      </c>
      <c r="H1628" s="39" t="s">
        <v>9</v>
      </c>
      <c r="I1628" s="3"/>
      <c r="J1628" s="42"/>
      <c r="K1628" s="3"/>
      <c r="M1628" s="20">
        <v>42144</v>
      </c>
      <c r="N1628" s="183">
        <v>21622</v>
      </c>
      <c r="O1628" s="14" t="s">
        <v>1190</v>
      </c>
      <c r="P1628" s="105">
        <v>4802.6000000000004</v>
      </c>
      <c r="Q1628" s="23">
        <v>42144</v>
      </c>
      <c r="R1628" s="118">
        <v>4802.6000000000004</v>
      </c>
      <c r="S1628" s="31">
        <f t="shared" si="51"/>
        <v>0</v>
      </c>
      <c r="T1628" s="62" t="s">
        <v>587</v>
      </c>
    </row>
    <row r="1629" spans="1:20" x14ac:dyDescent="0.25">
      <c r="A1629" s="20">
        <v>42139</v>
      </c>
      <c r="B1629" s="183">
        <v>21203</v>
      </c>
      <c r="C1629" s="150" t="s">
        <v>112</v>
      </c>
      <c r="D1629" s="105">
        <v>14346.9</v>
      </c>
      <c r="E1629" s="23" t="s">
        <v>1392</v>
      </c>
      <c r="F1629" s="106">
        <f>14000+346.9</f>
        <v>14346.9</v>
      </c>
      <c r="G1629" s="48">
        <f t="shared" si="50"/>
        <v>0</v>
      </c>
      <c r="H1629" s="39" t="s">
        <v>9</v>
      </c>
      <c r="I1629" s="3"/>
      <c r="J1629" s="42"/>
      <c r="K1629" s="3"/>
      <c r="M1629" s="20">
        <v>42145</v>
      </c>
      <c r="N1629" s="183">
        <v>21730</v>
      </c>
      <c r="O1629" s="14" t="s">
        <v>1190</v>
      </c>
      <c r="P1629" s="105">
        <v>4708.2</v>
      </c>
      <c r="Q1629" s="23">
        <v>42145</v>
      </c>
      <c r="R1629" s="106">
        <v>4708.2</v>
      </c>
      <c r="S1629" s="31">
        <f t="shared" si="51"/>
        <v>0</v>
      </c>
      <c r="T1629" s="39" t="s">
        <v>9</v>
      </c>
    </row>
    <row r="1630" spans="1:20" x14ac:dyDescent="0.25">
      <c r="A1630" s="20">
        <v>42139</v>
      </c>
      <c r="B1630" s="183">
        <v>21204</v>
      </c>
      <c r="C1630" s="26" t="s">
        <v>218</v>
      </c>
      <c r="D1630" s="108">
        <v>0</v>
      </c>
      <c r="E1630" s="23"/>
      <c r="F1630" s="106"/>
      <c r="G1630" s="48">
        <f t="shared" si="50"/>
        <v>0</v>
      </c>
      <c r="H1630" s="39" t="s">
        <v>13</v>
      </c>
      <c r="I1630" s="3"/>
      <c r="J1630" s="42"/>
      <c r="K1630" s="3"/>
      <c r="M1630" s="20">
        <v>42147</v>
      </c>
      <c r="N1630" s="183">
        <v>21975</v>
      </c>
      <c r="O1630" s="14" t="s">
        <v>1190</v>
      </c>
      <c r="P1630" s="105">
        <v>11291.1</v>
      </c>
      <c r="Q1630" s="65">
        <v>42147</v>
      </c>
      <c r="R1630" s="106">
        <v>11291.1</v>
      </c>
      <c r="S1630" s="31">
        <f t="shared" si="51"/>
        <v>0</v>
      </c>
      <c r="T1630" s="39" t="s">
        <v>587</v>
      </c>
    </row>
    <row r="1631" spans="1:20" x14ac:dyDescent="0.25">
      <c r="A1631" s="20">
        <v>42139</v>
      </c>
      <c r="B1631" s="183">
        <v>21205</v>
      </c>
      <c r="C1631" s="14" t="s">
        <v>1338</v>
      </c>
      <c r="D1631" s="105">
        <v>14878.61</v>
      </c>
      <c r="E1631" s="23">
        <v>42153</v>
      </c>
      <c r="F1631" s="106">
        <v>14878.61</v>
      </c>
      <c r="G1631" s="48">
        <f t="shared" si="50"/>
        <v>0</v>
      </c>
      <c r="H1631" s="39" t="s">
        <v>773</v>
      </c>
      <c r="I1631" s="3"/>
      <c r="J1631" s="42"/>
      <c r="K1631" s="3"/>
      <c r="M1631" s="20">
        <v>42125</v>
      </c>
      <c r="N1631" s="183">
        <v>19605</v>
      </c>
      <c r="O1631" s="14" t="s">
        <v>1193</v>
      </c>
      <c r="P1631" s="105">
        <v>4316.3999999999996</v>
      </c>
      <c r="Q1631" s="23">
        <v>42125</v>
      </c>
      <c r="R1631" s="106">
        <v>4316.3999999999996</v>
      </c>
      <c r="S1631" s="25">
        <f t="shared" si="51"/>
        <v>0</v>
      </c>
      <c r="T1631" s="19" t="s">
        <v>9</v>
      </c>
    </row>
    <row r="1632" spans="1:20" x14ac:dyDescent="0.25">
      <c r="A1632" s="20">
        <v>42139</v>
      </c>
      <c r="B1632" s="183">
        <v>21206</v>
      </c>
      <c r="C1632" s="14" t="s">
        <v>122</v>
      </c>
      <c r="D1632" s="105">
        <v>3216</v>
      </c>
      <c r="E1632" s="23">
        <v>42139</v>
      </c>
      <c r="F1632" s="106">
        <v>3216</v>
      </c>
      <c r="G1632" s="48">
        <f t="shared" si="50"/>
        <v>0</v>
      </c>
      <c r="H1632" s="39" t="s">
        <v>9</v>
      </c>
      <c r="I1632" s="3"/>
      <c r="J1632" s="42"/>
      <c r="K1632" s="3"/>
      <c r="M1632" s="20">
        <v>42131</v>
      </c>
      <c r="N1632" s="183">
        <v>20219</v>
      </c>
      <c r="O1632" s="14" t="s">
        <v>1193</v>
      </c>
      <c r="P1632" s="105">
        <v>233.2</v>
      </c>
      <c r="Q1632" s="23">
        <v>42131</v>
      </c>
      <c r="R1632" s="106">
        <v>233.2</v>
      </c>
      <c r="S1632" s="31">
        <f t="shared" si="51"/>
        <v>0</v>
      </c>
      <c r="T1632" s="39" t="s">
        <v>9</v>
      </c>
    </row>
    <row r="1633" spans="1:20" x14ac:dyDescent="0.25">
      <c r="A1633" s="20">
        <v>42139</v>
      </c>
      <c r="B1633" s="183">
        <v>21207</v>
      </c>
      <c r="C1633" s="14" t="s">
        <v>102</v>
      </c>
      <c r="D1633" s="105">
        <v>2366.4</v>
      </c>
      <c r="E1633" s="23">
        <v>42139</v>
      </c>
      <c r="F1633" s="106">
        <v>2366.4</v>
      </c>
      <c r="G1633" s="48">
        <f t="shared" si="50"/>
        <v>0</v>
      </c>
      <c r="H1633" s="39" t="s">
        <v>9</v>
      </c>
      <c r="I1633" s="3"/>
      <c r="J1633" s="42"/>
      <c r="K1633" s="3"/>
      <c r="M1633" s="20">
        <v>42132</v>
      </c>
      <c r="N1633" s="183">
        <v>20344</v>
      </c>
      <c r="O1633" s="14" t="s">
        <v>1193</v>
      </c>
      <c r="P1633" s="105">
        <v>1488</v>
      </c>
      <c r="Q1633" s="23">
        <v>42132</v>
      </c>
      <c r="R1633" s="106">
        <v>1488</v>
      </c>
      <c r="S1633" s="31">
        <f t="shared" si="51"/>
        <v>0</v>
      </c>
      <c r="T1633" s="19" t="s">
        <v>9</v>
      </c>
    </row>
    <row r="1634" spans="1:20" x14ac:dyDescent="0.25">
      <c r="A1634" s="59">
        <v>42139</v>
      </c>
      <c r="B1634" s="183">
        <v>21208</v>
      </c>
      <c r="C1634" s="14" t="s">
        <v>24</v>
      </c>
      <c r="D1634" s="105">
        <v>285646.65000000002</v>
      </c>
      <c r="E1634" s="23">
        <v>42153</v>
      </c>
      <c r="F1634" s="106">
        <v>285646.65000000002</v>
      </c>
      <c r="G1634" s="48">
        <f t="shared" si="50"/>
        <v>0</v>
      </c>
      <c r="H1634" s="39" t="s">
        <v>59</v>
      </c>
      <c r="K1634" s="3"/>
      <c r="M1634" s="59">
        <v>42136</v>
      </c>
      <c r="N1634" s="183">
        <v>20809</v>
      </c>
      <c r="O1634" s="14" t="s">
        <v>1193</v>
      </c>
      <c r="P1634" s="105">
        <v>5158.5</v>
      </c>
      <c r="Q1634" s="23">
        <v>42136</v>
      </c>
      <c r="R1634" s="106">
        <v>5158.5</v>
      </c>
      <c r="S1634" s="31">
        <f t="shared" si="51"/>
        <v>0</v>
      </c>
      <c r="T1634" s="39" t="s">
        <v>9</v>
      </c>
    </row>
    <row r="1635" spans="1:20" x14ac:dyDescent="0.25">
      <c r="A1635" s="20">
        <v>42140</v>
      </c>
      <c r="B1635" s="183">
        <v>21209</v>
      </c>
      <c r="C1635" s="14" t="s">
        <v>1256</v>
      </c>
      <c r="D1635" s="105">
        <v>13893</v>
      </c>
      <c r="E1635" s="23">
        <v>42142</v>
      </c>
      <c r="F1635" s="106">
        <v>13893</v>
      </c>
      <c r="G1635" s="48">
        <f t="shared" si="50"/>
        <v>0</v>
      </c>
      <c r="H1635" s="39" t="s">
        <v>1257</v>
      </c>
      <c r="K1635" s="3"/>
      <c r="M1635" s="20">
        <v>42140</v>
      </c>
      <c r="N1635" s="183">
        <v>21281</v>
      </c>
      <c r="O1635" s="14" t="s">
        <v>1193</v>
      </c>
      <c r="P1635" s="105">
        <v>2217.3000000000002</v>
      </c>
      <c r="Q1635" s="23">
        <v>42140</v>
      </c>
      <c r="R1635" s="118">
        <v>2217.3000000000002</v>
      </c>
      <c r="S1635" s="31">
        <f t="shared" si="51"/>
        <v>0</v>
      </c>
      <c r="T1635" s="62" t="s">
        <v>587</v>
      </c>
    </row>
    <row r="1636" spans="1:20" x14ac:dyDescent="0.25">
      <c r="A1636" s="59">
        <v>42140</v>
      </c>
      <c r="B1636" s="183">
        <v>21210</v>
      </c>
      <c r="C1636" s="14" t="s">
        <v>1256</v>
      </c>
      <c r="D1636" s="105">
        <v>216</v>
      </c>
      <c r="E1636" s="23">
        <v>42142</v>
      </c>
      <c r="F1636" s="106">
        <v>216</v>
      </c>
      <c r="G1636" s="48">
        <f t="shared" si="50"/>
        <v>0</v>
      </c>
      <c r="H1636" s="39" t="s">
        <v>1257</v>
      </c>
      <c r="K1636" s="3"/>
      <c r="M1636" s="59">
        <v>42142</v>
      </c>
      <c r="N1636" s="183">
        <v>21405</v>
      </c>
      <c r="O1636" s="14" t="s">
        <v>1193</v>
      </c>
      <c r="P1636" s="105">
        <v>4764.7</v>
      </c>
      <c r="Q1636" s="23">
        <v>42142</v>
      </c>
      <c r="R1636" s="118">
        <v>4764.7</v>
      </c>
      <c r="S1636" s="31">
        <f t="shared" si="51"/>
        <v>0</v>
      </c>
      <c r="T1636" s="56" t="s">
        <v>587</v>
      </c>
    </row>
    <row r="1637" spans="1:20" x14ac:dyDescent="0.25">
      <c r="A1637" s="20">
        <v>42140</v>
      </c>
      <c r="B1637" s="183">
        <v>21211</v>
      </c>
      <c r="C1637" s="14" t="s">
        <v>1338</v>
      </c>
      <c r="D1637" s="105">
        <v>2755</v>
      </c>
      <c r="E1637" s="23">
        <v>42153</v>
      </c>
      <c r="F1637" s="106">
        <v>2755</v>
      </c>
      <c r="G1637" s="48">
        <f t="shared" si="50"/>
        <v>0</v>
      </c>
      <c r="H1637" s="39" t="s">
        <v>1257</v>
      </c>
      <c r="K1637" s="3"/>
      <c r="M1637" s="20">
        <v>42152</v>
      </c>
      <c r="N1637" s="183">
        <v>22439</v>
      </c>
      <c r="O1637" s="14" t="s">
        <v>1193</v>
      </c>
      <c r="P1637" s="105">
        <v>2656</v>
      </c>
      <c r="Q1637" s="23">
        <v>42153</v>
      </c>
      <c r="R1637" s="106">
        <v>2656</v>
      </c>
      <c r="S1637" s="31">
        <f t="shared" si="51"/>
        <v>0</v>
      </c>
      <c r="T1637" s="39" t="s">
        <v>587</v>
      </c>
    </row>
    <row r="1638" spans="1:20" x14ac:dyDescent="0.25">
      <c r="A1638" s="59">
        <v>42140</v>
      </c>
      <c r="B1638" s="183">
        <v>21212</v>
      </c>
      <c r="C1638" s="14" t="s">
        <v>226</v>
      </c>
      <c r="D1638" s="105">
        <v>2338</v>
      </c>
      <c r="E1638" s="23">
        <v>42142</v>
      </c>
      <c r="F1638" s="106">
        <v>2338</v>
      </c>
      <c r="G1638" s="48">
        <f t="shared" si="50"/>
        <v>0</v>
      </c>
      <c r="H1638" s="39" t="s">
        <v>1257</v>
      </c>
      <c r="K1638" s="3"/>
      <c r="M1638" s="59">
        <v>42153</v>
      </c>
      <c r="N1638" s="183">
        <v>22584</v>
      </c>
      <c r="O1638" s="14" t="s">
        <v>1193</v>
      </c>
      <c r="P1638" s="105">
        <v>2308.8000000000002</v>
      </c>
      <c r="Q1638" s="23">
        <v>42153</v>
      </c>
      <c r="R1638" s="106">
        <v>2308.8000000000002</v>
      </c>
      <c r="S1638" s="31">
        <f t="shared" si="51"/>
        <v>0</v>
      </c>
      <c r="T1638" s="39" t="s">
        <v>46</v>
      </c>
    </row>
    <row r="1639" spans="1:20" x14ac:dyDescent="0.25">
      <c r="A1639" s="20">
        <v>42140</v>
      </c>
      <c r="B1639" s="183">
        <v>21213</v>
      </c>
      <c r="C1639" s="14" t="s">
        <v>1297</v>
      </c>
      <c r="D1639" s="105">
        <v>9714</v>
      </c>
      <c r="E1639" s="23">
        <v>42140</v>
      </c>
      <c r="F1639" s="106">
        <v>9714</v>
      </c>
      <c r="G1639" s="48">
        <f t="shared" si="50"/>
        <v>0</v>
      </c>
      <c r="H1639" s="39" t="s">
        <v>9</v>
      </c>
      <c r="K1639" s="3"/>
      <c r="M1639" s="20">
        <v>42125</v>
      </c>
      <c r="N1639" s="183">
        <v>19650</v>
      </c>
      <c r="O1639" s="14" t="s">
        <v>151</v>
      </c>
      <c r="P1639" s="105">
        <v>3204.35</v>
      </c>
      <c r="Q1639" s="23">
        <v>42126</v>
      </c>
      <c r="R1639" s="106">
        <v>3204.35</v>
      </c>
      <c r="S1639" s="25">
        <f t="shared" si="51"/>
        <v>0</v>
      </c>
      <c r="T1639" s="19" t="s">
        <v>9</v>
      </c>
    </row>
    <row r="1640" spans="1:20" x14ac:dyDescent="0.25">
      <c r="A1640" s="59">
        <v>42140</v>
      </c>
      <c r="B1640" s="183">
        <v>21214</v>
      </c>
      <c r="C1640" s="14" t="s">
        <v>1190</v>
      </c>
      <c r="D1640" s="105">
        <v>4934.6499999999996</v>
      </c>
      <c r="E1640" s="23">
        <v>42140</v>
      </c>
      <c r="F1640" s="106">
        <v>4934.6499999999996</v>
      </c>
      <c r="G1640" s="48">
        <f t="shared" si="50"/>
        <v>0</v>
      </c>
      <c r="H1640" s="39" t="s">
        <v>587</v>
      </c>
      <c r="K1640" s="3"/>
      <c r="M1640" s="59">
        <v>42126</v>
      </c>
      <c r="N1640" s="183">
        <v>19738</v>
      </c>
      <c r="O1640" s="40" t="s">
        <v>151</v>
      </c>
      <c r="P1640" s="105">
        <v>1454.25</v>
      </c>
      <c r="Q1640" s="23">
        <v>42127</v>
      </c>
      <c r="R1640" s="106">
        <v>1454.25</v>
      </c>
      <c r="S1640" s="25">
        <f t="shared" si="51"/>
        <v>0</v>
      </c>
      <c r="T1640" s="41" t="s">
        <v>9</v>
      </c>
    </row>
    <row r="1641" spans="1:20" x14ac:dyDescent="0.25">
      <c r="A1641" s="20">
        <v>42140</v>
      </c>
      <c r="B1641" s="183">
        <v>21215</v>
      </c>
      <c r="C1641" s="14" t="s">
        <v>1172</v>
      </c>
      <c r="D1641" s="105">
        <v>10792.95</v>
      </c>
      <c r="E1641" s="23">
        <v>42140</v>
      </c>
      <c r="F1641" s="106">
        <v>10792.95</v>
      </c>
      <c r="G1641" s="48">
        <f t="shared" si="50"/>
        <v>0</v>
      </c>
      <c r="H1641" s="39" t="s">
        <v>587</v>
      </c>
      <c r="K1641" s="3"/>
      <c r="M1641" s="20">
        <v>42127</v>
      </c>
      <c r="N1641" s="183">
        <v>19844</v>
      </c>
      <c r="O1641" s="40" t="s">
        <v>151</v>
      </c>
      <c r="P1641" s="105">
        <v>4183.3999999999996</v>
      </c>
      <c r="Q1641" s="23">
        <v>42128</v>
      </c>
      <c r="R1641" s="106">
        <v>4183.3999999999996</v>
      </c>
      <c r="S1641" s="31">
        <f t="shared" si="51"/>
        <v>0</v>
      </c>
      <c r="T1641" s="41" t="s">
        <v>9</v>
      </c>
    </row>
    <row r="1642" spans="1:20" x14ac:dyDescent="0.25">
      <c r="A1642" s="59">
        <v>42140</v>
      </c>
      <c r="B1642" s="183">
        <v>21216</v>
      </c>
      <c r="C1642" s="14" t="s">
        <v>720</v>
      </c>
      <c r="D1642" s="105">
        <v>16360.3</v>
      </c>
      <c r="E1642" s="23">
        <v>42140</v>
      </c>
      <c r="F1642" s="106">
        <v>16360.3</v>
      </c>
      <c r="G1642" s="48">
        <f t="shared" si="50"/>
        <v>0</v>
      </c>
      <c r="H1642" s="39" t="s">
        <v>9</v>
      </c>
      <c r="J1642" s="107"/>
      <c r="K1642" s="3"/>
      <c r="M1642" s="59">
        <v>42128</v>
      </c>
      <c r="N1642" s="183">
        <v>19896</v>
      </c>
      <c r="O1642" s="14" t="s">
        <v>151</v>
      </c>
      <c r="P1642" s="105">
        <v>2659.5</v>
      </c>
      <c r="Q1642" s="23">
        <v>42129</v>
      </c>
      <c r="R1642" s="106">
        <v>2659.5</v>
      </c>
      <c r="S1642" s="31">
        <f t="shared" si="51"/>
        <v>0</v>
      </c>
      <c r="T1642" s="19" t="s">
        <v>9</v>
      </c>
    </row>
    <row r="1643" spans="1:20" x14ac:dyDescent="0.25">
      <c r="A1643" s="20">
        <v>42140</v>
      </c>
      <c r="B1643" s="183">
        <v>21217</v>
      </c>
      <c r="C1643" s="14" t="s">
        <v>1261</v>
      </c>
      <c r="D1643" s="105">
        <v>27183.8</v>
      </c>
      <c r="E1643" s="23">
        <v>42140</v>
      </c>
      <c r="F1643" s="106">
        <v>27183.8</v>
      </c>
      <c r="G1643" s="48">
        <f t="shared" si="50"/>
        <v>0</v>
      </c>
      <c r="H1643" s="39" t="s">
        <v>587</v>
      </c>
      <c r="K1643" s="3"/>
      <c r="M1643" s="20">
        <v>42129</v>
      </c>
      <c r="N1643" s="183">
        <v>20025</v>
      </c>
      <c r="O1643" s="14" t="s">
        <v>151</v>
      </c>
      <c r="P1643" s="105">
        <v>5825.7</v>
      </c>
      <c r="Q1643" s="23">
        <v>42130</v>
      </c>
      <c r="R1643" s="106">
        <v>5825.7</v>
      </c>
      <c r="S1643" s="31">
        <f t="shared" si="51"/>
        <v>0</v>
      </c>
      <c r="T1643" s="19" t="s">
        <v>9</v>
      </c>
    </row>
    <row r="1644" spans="1:20" x14ac:dyDescent="0.25">
      <c r="A1644" s="59">
        <v>42140</v>
      </c>
      <c r="B1644" s="183">
        <v>21218</v>
      </c>
      <c r="C1644" s="14" t="s">
        <v>1175</v>
      </c>
      <c r="D1644" s="105">
        <v>37446.15</v>
      </c>
      <c r="E1644" s="23">
        <v>42140</v>
      </c>
      <c r="F1644" s="106">
        <v>37446.15</v>
      </c>
      <c r="G1644" s="48">
        <f t="shared" si="50"/>
        <v>0</v>
      </c>
      <c r="H1644" s="39" t="s">
        <v>587</v>
      </c>
      <c r="K1644" s="3"/>
      <c r="M1644" s="59">
        <v>42130</v>
      </c>
      <c r="N1644" s="183">
        <v>20133</v>
      </c>
      <c r="O1644" s="14" t="s">
        <v>151</v>
      </c>
      <c r="P1644" s="105">
        <v>2737</v>
      </c>
      <c r="Q1644" s="23">
        <v>42131</v>
      </c>
      <c r="R1644" s="106">
        <v>2737</v>
      </c>
      <c r="S1644" s="31">
        <f t="shared" si="51"/>
        <v>0</v>
      </c>
      <c r="T1644" s="39" t="s">
        <v>9</v>
      </c>
    </row>
    <row r="1645" spans="1:20" x14ac:dyDescent="0.25">
      <c r="A1645" s="20">
        <v>42140</v>
      </c>
      <c r="B1645" s="183">
        <v>21219</v>
      </c>
      <c r="C1645" s="14" t="s">
        <v>112</v>
      </c>
      <c r="D1645" s="105">
        <v>14554.4</v>
      </c>
      <c r="E1645" s="23" t="s">
        <v>1404</v>
      </c>
      <c r="F1645" s="106">
        <f>10500+4054.4</f>
        <v>14554.4</v>
      </c>
      <c r="G1645" s="48">
        <f t="shared" si="50"/>
        <v>0</v>
      </c>
      <c r="H1645" s="39" t="s">
        <v>9</v>
      </c>
      <c r="K1645" s="3"/>
      <c r="M1645" s="20">
        <v>42131</v>
      </c>
      <c r="N1645" s="183">
        <v>20211</v>
      </c>
      <c r="O1645" s="14" t="s">
        <v>151</v>
      </c>
      <c r="P1645" s="105">
        <v>2600.5</v>
      </c>
      <c r="Q1645" s="23">
        <v>42132</v>
      </c>
      <c r="R1645" s="106">
        <v>2600.5</v>
      </c>
      <c r="S1645" s="31">
        <f t="shared" si="51"/>
        <v>0</v>
      </c>
      <c r="T1645" s="39" t="s">
        <v>9</v>
      </c>
    </row>
    <row r="1646" spans="1:20" x14ac:dyDescent="0.25">
      <c r="A1646" s="59">
        <v>42140</v>
      </c>
      <c r="B1646" s="183">
        <v>21220</v>
      </c>
      <c r="C1646" s="14" t="s">
        <v>367</v>
      </c>
      <c r="D1646" s="105">
        <v>41026.5</v>
      </c>
      <c r="E1646" s="30">
        <v>42159</v>
      </c>
      <c r="F1646" s="144">
        <v>41026.5</v>
      </c>
      <c r="G1646" s="48">
        <f t="shared" si="50"/>
        <v>0</v>
      </c>
      <c r="H1646" s="39" t="s">
        <v>9</v>
      </c>
      <c r="K1646" s="3"/>
      <c r="M1646" s="59">
        <v>42132</v>
      </c>
      <c r="N1646" s="183">
        <v>20364</v>
      </c>
      <c r="O1646" s="14" t="s">
        <v>151</v>
      </c>
      <c r="P1646" s="105">
        <v>3588</v>
      </c>
      <c r="Q1646" s="23">
        <v>42133</v>
      </c>
      <c r="R1646" s="106">
        <v>3588</v>
      </c>
      <c r="S1646" s="31">
        <f t="shared" si="51"/>
        <v>0</v>
      </c>
      <c r="T1646" s="19" t="s">
        <v>9</v>
      </c>
    </row>
    <row r="1647" spans="1:20" x14ac:dyDescent="0.25">
      <c r="A1647" s="20">
        <v>42140</v>
      </c>
      <c r="B1647" s="183">
        <v>21221</v>
      </c>
      <c r="C1647" s="14" t="s">
        <v>121</v>
      </c>
      <c r="D1647" s="105">
        <v>2406</v>
      </c>
      <c r="E1647" s="23">
        <v>42140</v>
      </c>
      <c r="F1647" s="106">
        <v>2406</v>
      </c>
      <c r="G1647" s="48">
        <f t="shared" si="50"/>
        <v>0</v>
      </c>
      <c r="H1647" s="39" t="s">
        <v>9</v>
      </c>
      <c r="K1647" s="3"/>
      <c r="M1647" s="20">
        <v>42133</v>
      </c>
      <c r="N1647" s="183">
        <v>20503</v>
      </c>
      <c r="O1647" s="14" t="s">
        <v>151</v>
      </c>
      <c r="P1647" s="105">
        <v>2809.6</v>
      </c>
      <c r="Q1647" s="23">
        <v>42134</v>
      </c>
      <c r="R1647" s="106">
        <v>2809.6</v>
      </c>
      <c r="S1647" s="31">
        <f t="shared" si="51"/>
        <v>0</v>
      </c>
      <c r="T1647" s="19" t="s">
        <v>9</v>
      </c>
    </row>
    <row r="1648" spans="1:20" x14ac:dyDescent="0.25">
      <c r="A1648" s="59">
        <v>42140</v>
      </c>
      <c r="B1648" s="183">
        <v>21222</v>
      </c>
      <c r="C1648" s="14" t="s">
        <v>1265</v>
      </c>
      <c r="D1648" s="105">
        <v>2529.1999999999998</v>
      </c>
      <c r="E1648" s="23">
        <v>42140</v>
      </c>
      <c r="F1648" s="106">
        <v>2529.1999999999998</v>
      </c>
      <c r="G1648" s="48">
        <f t="shared" si="50"/>
        <v>0</v>
      </c>
      <c r="H1648" s="39" t="s">
        <v>9</v>
      </c>
      <c r="K1648" s="3"/>
      <c r="M1648" s="59">
        <v>42134</v>
      </c>
      <c r="N1648" s="183">
        <v>20628</v>
      </c>
      <c r="O1648" s="14" t="s">
        <v>151</v>
      </c>
      <c r="P1648" s="105">
        <v>5260.2</v>
      </c>
      <c r="Q1648" s="23">
        <v>42136</v>
      </c>
      <c r="R1648" s="118">
        <v>5260.2</v>
      </c>
      <c r="S1648" s="31">
        <f t="shared" si="51"/>
        <v>0</v>
      </c>
      <c r="T1648" s="56" t="s">
        <v>9</v>
      </c>
    </row>
    <row r="1649" spans="1:20" x14ac:dyDescent="0.25">
      <c r="A1649" s="20">
        <v>42140</v>
      </c>
      <c r="B1649" s="183">
        <v>21223</v>
      </c>
      <c r="C1649" s="14" t="s">
        <v>151</v>
      </c>
      <c r="D1649" s="105">
        <v>5816.4</v>
      </c>
      <c r="E1649" s="23">
        <v>42141</v>
      </c>
      <c r="F1649" s="106">
        <v>5816.4</v>
      </c>
      <c r="G1649" s="48">
        <f t="shared" si="50"/>
        <v>0</v>
      </c>
      <c r="H1649" s="39" t="s">
        <v>9</v>
      </c>
      <c r="K1649" s="3"/>
      <c r="M1649" s="20">
        <v>42136</v>
      </c>
      <c r="N1649" s="183">
        <v>20824</v>
      </c>
      <c r="O1649" s="14" t="s">
        <v>151</v>
      </c>
      <c r="P1649" s="105">
        <v>2395.8000000000002</v>
      </c>
      <c r="Q1649" s="23">
        <v>42138</v>
      </c>
      <c r="R1649" s="106">
        <v>2395.8000000000002</v>
      </c>
      <c r="S1649" s="31">
        <f t="shared" si="51"/>
        <v>0</v>
      </c>
      <c r="T1649" s="39" t="s">
        <v>9</v>
      </c>
    </row>
    <row r="1650" spans="1:20" x14ac:dyDescent="0.25">
      <c r="A1650" s="59">
        <v>42140</v>
      </c>
      <c r="B1650" s="183">
        <v>21224</v>
      </c>
      <c r="C1650" s="14" t="s">
        <v>116</v>
      </c>
      <c r="D1650" s="105">
        <v>12183</v>
      </c>
      <c r="E1650" s="23">
        <v>42140</v>
      </c>
      <c r="F1650" s="106">
        <v>12183</v>
      </c>
      <c r="G1650" s="48">
        <f t="shared" si="50"/>
        <v>0</v>
      </c>
      <c r="H1650" s="39" t="s">
        <v>1273</v>
      </c>
      <c r="I1650" s="3"/>
      <c r="J1650" s="42"/>
      <c r="K1650" s="3"/>
      <c r="M1650" s="59">
        <v>42138</v>
      </c>
      <c r="N1650" s="183">
        <v>20967</v>
      </c>
      <c r="O1650" s="14" t="s">
        <v>151</v>
      </c>
      <c r="P1650" s="105">
        <v>6041.6</v>
      </c>
      <c r="Q1650" s="23">
        <v>42140</v>
      </c>
      <c r="R1650" s="106">
        <v>6041.6</v>
      </c>
      <c r="S1650" s="31">
        <f t="shared" si="51"/>
        <v>0</v>
      </c>
      <c r="T1650" s="19" t="s">
        <v>9</v>
      </c>
    </row>
    <row r="1651" spans="1:20" x14ac:dyDescent="0.25">
      <c r="A1651" s="20">
        <v>42140</v>
      </c>
      <c r="B1651" s="183">
        <v>21225</v>
      </c>
      <c r="C1651" s="14" t="s">
        <v>14</v>
      </c>
      <c r="D1651" s="105">
        <v>25797.3</v>
      </c>
      <c r="E1651" s="23">
        <v>42153</v>
      </c>
      <c r="F1651" s="106">
        <v>25797.3</v>
      </c>
      <c r="G1651" s="48">
        <f t="shared" si="50"/>
        <v>0</v>
      </c>
      <c r="H1651" s="39" t="s">
        <v>9</v>
      </c>
      <c r="I1651" s="3"/>
      <c r="J1651" s="42"/>
      <c r="K1651" s="3"/>
      <c r="M1651" s="20">
        <v>42140</v>
      </c>
      <c r="N1651" s="183">
        <v>21223</v>
      </c>
      <c r="O1651" s="14" t="s">
        <v>151</v>
      </c>
      <c r="P1651" s="105">
        <v>5816.4</v>
      </c>
      <c r="Q1651" s="23">
        <v>42141</v>
      </c>
      <c r="R1651" s="106">
        <v>5816.4</v>
      </c>
      <c r="S1651" s="48">
        <f t="shared" si="51"/>
        <v>0</v>
      </c>
      <c r="T1651" s="39" t="s">
        <v>9</v>
      </c>
    </row>
    <row r="1652" spans="1:20" x14ac:dyDescent="0.25">
      <c r="A1652" s="59">
        <v>42140</v>
      </c>
      <c r="B1652" s="183">
        <v>21226</v>
      </c>
      <c r="C1652" s="14" t="s">
        <v>122</v>
      </c>
      <c r="D1652" s="105">
        <v>3648</v>
      </c>
      <c r="E1652" s="23">
        <v>42140</v>
      </c>
      <c r="F1652" s="106">
        <v>3648</v>
      </c>
      <c r="G1652" s="48">
        <f t="shared" si="50"/>
        <v>0</v>
      </c>
      <c r="H1652" s="39" t="s">
        <v>9</v>
      </c>
      <c r="I1652" s="3"/>
      <c r="J1652" s="42"/>
      <c r="K1652" s="3"/>
      <c r="M1652" s="59">
        <v>42141</v>
      </c>
      <c r="N1652" s="183">
        <v>21358</v>
      </c>
      <c r="O1652" s="14" t="s">
        <v>151</v>
      </c>
      <c r="P1652" s="122">
        <v>1687.2</v>
      </c>
      <c r="Q1652" s="23">
        <v>42142</v>
      </c>
      <c r="R1652" s="118">
        <v>1687.2</v>
      </c>
      <c r="S1652" s="31">
        <f t="shared" si="51"/>
        <v>0</v>
      </c>
      <c r="T1652" s="56" t="s">
        <v>9</v>
      </c>
    </row>
    <row r="1653" spans="1:20" x14ac:dyDescent="0.25">
      <c r="A1653" s="20">
        <v>42140</v>
      </c>
      <c r="B1653" s="183">
        <v>21227</v>
      </c>
      <c r="C1653" s="14" t="s">
        <v>18</v>
      </c>
      <c r="D1653" s="105">
        <v>41563.4</v>
      </c>
      <c r="E1653" s="23">
        <v>42140</v>
      </c>
      <c r="F1653" s="106">
        <v>4153.3999999999996</v>
      </c>
      <c r="G1653" s="48">
        <f t="shared" si="50"/>
        <v>37410</v>
      </c>
      <c r="H1653" s="39" t="s">
        <v>9</v>
      </c>
      <c r="I1653" s="3"/>
      <c r="J1653" s="42"/>
      <c r="K1653" s="3"/>
      <c r="M1653" s="20">
        <v>42142</v>
      </c>
      <c r="N1653" s="183">
        <v>21395</v>
      </c>
      <c r="O1653" s="14" t="s">
        <v>151</v>
      </c>
      <c r="P1653" s="105">
        <v>3730.4</v>
      </c>
      <c r="Q1653" s="23">
        <v>42143</v>
      </c>
      <c r="R1653" s="118">
        <v>3730.4</v>
      </c>
      <c r="S1653" s="31">
        <f t="shared" si="51"/>
        <v>0</v>
      </c>
      <c r="T1653" s="56" t="s">
        <v>9</v>
      </c>
    </row>
    <row r="1654" spans="1:20" x14ac:dyDescent="0.25">
      <c r="A1654" s="59">
        <v>42140</v>
      </c>
      <c r="B1654" s="183">
        <v>21228</v>
      </c>
      <c r="C1654" s="14" t="s">
        <v>20</v>
      </c>
      <c r="D1654" s="105">
        <v>11713.5</v>
      </c>
      <c r="E1654" s="23">
        <v>42140</v>
      </c>
      <c r="F1654" s="106">
        <v>11713.5</v>
      </c>
      <c r="G1654" s="48">
        <f t="shared" si="50"/>
        <v>0</v>
      </c>
      <c r="H1654" s="39" t="s">
        <v>94</v>
      </c>
      <c r="I1654" s="3"/>
      <c r="J1654" s="42"/>
      <c r="K1654" s="3"/>
      <c r="M1654" s="59">
        <v>42143</v>
      </c>
      <c r="N1654" s="183">
        <v>21554</v>
      </c>
      <c r="O1654" s="14" t="s">
        <v>151</v>
      </c>
      <c r="P1654" s="105">
        <v>2197.8000000000002</v>
      </c>
      <c r="Q1654" s="23">
        <v>42144</v>
      </c>
      <c r="R1654" s="118">
        <v>2197.8000000000002</v>
      </c>
      <c r="S1654" s="31">
        <f t="shared" si="51"/>
        <v>0</v>
      </c>
      <c r="T1654" s="56" t="s">
        <v>9</v>
      </c>
    </row>
    <row r="1655" spans="1:20" x14ac:dyDescent="0.25">
      <c r="A1655" s="20">
        <v>42140</v>
      </c>
      <c r="B1655" s="183">
        <v>21229</v>
      </c>
      <c r="C1655" s="14" t="s">
        <v>14</v>
      </c>
      <c r="D1655" s="105">
        <v>19726</v>
      </c>
      <c r="E1655" s="23">
        <v>42153</v>
      </c>
      <c r="F1655" s="106">
        <v>19726</v>
      </c>
      <c r="G1655" s="48">
        <f t="shared" si="50"/>
        <v>0</v>
      </c>
      <c r="H1655" s="39" t="s">
        <v>9</v>
      </c>
      <c r="I1655" s="3"/>
      <c r="J1655" s="42"/>
      <c r="K1655" s="3"/>
      <c r="M1655" s="20">
        <v>42144</v>
      </c>
      <c r="N1655" s="183">
        <v>21634</v>
      </c>
      <c r="O1655" s="14" t="s">
        <v>151</v>
      </c>
      <c r="P1655" s="105">
        <v>6864.5</v>
      </c>
      <c r="Q1655" s="23">
        <v>42145</v>
      </c>
      <c r="R1655" s="118">
        <v>6864.5</v>
      </c>
      <c r="S1655" s="31">
        <f t="shared" si="51"/>
        <v>0</v>
      </c>
      <c r="T1655" s="62" t="s">
        <v>9</v>
      </c>
    </row>
    <row r="1656" spans="1:20" x14ac:dyDescent="0.25">
      <c r="A1656" s="59">
        <v>42140</v>
      </c>
      <c r="B1656" s="183">
        <v>21230</v>
      </c>
      <c r="C1656" s="14" t="s">
        <v>1186</v>
      </c>
      <c r="D1656" s="105">
        <v>21365</v>
      </c>
      <c r="E1656" s="23">
        <v>42140</v>
      </c>
      <c r="F1656" s="106">
        <v>21365</v>
      </c>
      <c r="G1656" s="48">
        <f t="shared" si="50"/>
        <v>0</v>
      </c>
      <c r="H1656" s="39" t="s">
        <v>9</v>
      </c>
      <c r="I1656" s="3"/>
      <c r="J1656" s="42"/>
      <c r="K1656" s="3"/>
      <c r="M1656" s="59">
        <v>42145</v>
      </c>
      <c r="N1656" s="183">
        <v>21738</v>
      </c>
      <c r="O1656" s="15" t="s">
        <v>151</v>
      </c>
      <c r="P1656" s="122">
        <v>2775.6</v>
      </c>
      <c r="Q1656" s="23">
        <v>42146</v>
      </c>
      <c r="R1656" s="106">
        <v>2775.6</v>
      </c>
      <c r="S1656" s="31">
        <f t="shared" si="51"/>
        <v>0</v>
      </c>
      <c r="T1656" s="68" t="s">
        <v>9</v>
      </c>
    </row>
    <row r="1657" spans="1:20" x14ac:dyDescent="0.25">
      <c r="A1657" s="20">
        <v>42140</v>
      </c>
      <c r="B1657" s="183">
        <v>21231</v>
      </c>
      <c r="C1657" s="14" t="s">
        <v>1187</v>
      </c>
      <c r="D1657" s="105">
        <v>2299.5</v>
      </c>
      <c r="E1657" s="23">
        <v>42140</v>
      </c>
      <c r="F1657" s="106">
        <v>2299.5</v>
      </c>
      <c r="G1657" s="48">
        <f t="shared" si="50"/>
        <v>0</v>
      </c>
      <c r="H1657" s="39" t="s">
        <v>59</v>
      </c>
      <c r="I1657" s="3"/>
      <c r="J1657" s="42"/>
      <c r="K1657" s="3"/>
      <c r="M1657" s="20">
        <v>42146</v>
      </c>
      <c r="N1657" s="183">
        <v>21844</v>
      </c>
      <c r="O1657" s="15" t="s">
        <v>151</v>
      </c>
      <c r="P1657" s="122">
        <v>3488.8</v>
      </c>
      <c r="Q1657" s="23">
        <v>42147</v>
      </c>
      <c r="R1657" s="118">
        <v>3488.8</v>
      </c>
      <c r="S1657" s="31">
        <f t="shared" si="51"/>
        <v>0</v>
      </c>
      <c r="T1657" s="68" t="s">
        <v>9</v>
      </c>
    </row>
    <row r="1658" spans="1:20" x14ac:dyDescent="0.25">
      <c r="A1658" s="59">
        <v>42140</v>
      </c>
      <c r="B1658" s="183">
        <v>21232</v>
      </c>
      <c r="C1658" s="14" t="s">
        <v>20</v>
      </c>
      <c r="D1658" s="105">
        <v>621.6</v>
      </c>
      <c r="E1658" s="23">
        <v>42140</v>
      </c>
      <c r="F1658" s="106">
        <v>621.6</v>
      </c>
      <c r="G1658" s="48">
        <f t="shared" si="50"/>
        <v>0</v>
      </c>
      <c r="H1658" s="39" t="s">
        <v>94</v>
      </c>
      <c r="I1658" s="3"/>
      <c r="J1658" s="42"/>
      <c r="K1658" s="3"/>
      <c r="M1658" s="59">
        <v>42147</v>
      </c>
      <c r="N1658" s="183">
        <v>22022</v>
      </c>
      <c r="O1658" s="14" t="s">
        <v>151</v>
      </c>
      <c r="P1658" s="105">
        <v>2898</v>
      </c>
      <c r="Q1658" s="65">
        <v>42149</v>
      </c>
      <c r="R1658" s="106">
        <v>2898</v>
      </c>
      <c r="S1658" s="31">
        <f t="shared" si="51"/>
        <v>0</v>
      </c>
      <c r="T1658" s="39" t="s">
        <v>9</v>
      </c>
    </row>
    <row r="1659" spans="1:20" x14ac:dyDescent="0.25">
      <c r="A1659" s="20">
        <v>42140</v>
      </c>
      <c r="B1659" s="183">
        <v>21233</v>
      </c>
      <c r="C1659" s="14" t="s">
        <v>167</v>
      </c>
      <c r="D1659" s="105">
        <v>568.79999999999995</v>
      </c>
      <c r="E1659" s="23">
        <v>42140</v>
      </c>
      <c r="F1659" s="106">
        <v>568.79999999999995</v>
      </c>
      <c r="G1659" s="48">
        <f t="shared" si="50"/>
        <v>0</v>
      </c>
      <c r="H1659" s="39" t="s">
        <v>59</v>
      </c>
      <c r="I1659" s="3"/>
      <c r="J1659" s="42"/>
      <c r="K1659" s="3"/>
      <c r="M1659" s="20">
        <v>42150</v>
      </c>
      <c r="N1659" s="183">
        <v>22273</v>
      </c>
      <c r="O1659" s="14" t="s">
        <v>151</v>
      </c>
      <c r="P1659" s="105">
        <v>2440</v>
      </c>
      <c r="Q1659" s="65">
        <v>42151</v>
      </c>
      <c r="R1659" s="106">
        <v>2440</v>
      </c>
      <c r="S1659" s="31">
        <f t="shared" si="51"/>
        <v>0</v>
      </c>
      <c r="T1659" s="39" t="s">
        <v>9</v>
      </c>
    </row>
    <row r="1660" spans="1:20" x14ac:dyDescent="0.25">
      <c r="A1660" s="59">
        <v>42140</v>
      </c>
      <c r="B1660" s="183">
        <v>21234</v>
      </c>
      <c r="C1660" s="14" t="s">
        <v>81</v>
      </c>
      <c r="D1660" s="105">
        <v>2255.4</v>
      </c>
      <c r="E1660" s="23">
        <v>42140</v>
      </c>
      <c r="F1660" s="106">
        <v>2255.4</v>
      </c>
      <c r="G1660" s="48">
        <f t="shared" si="50"/>
        <v>0</v>
      </c>
      <c r="H1660" s="39" t="s">
        <v>59</v>
      </c>
      <c r="I1660" s="3"/>
      <c r="J1660" s="42"/>
      <c r="K1660" s="3"/>
      <c r="M1660" s="59">
        <v>42151</v>
      </c>
      <c r="N1660" s="183">
        <v>22366</v>
      </c>
      <c r="O1660" s="14" t="s">
        <v>151</v>
      </c>
      <c r="P1660" s="105">
        <v>1576.4</v>
      </c>
      <c r="Q1660" s="65">
        <v>42152</v>
      </c>
      <c r="R1660" s="106">
        <v>1576.4</v>
      </c>
      <c r="S1660" s="31">
        <f t="shared" si="51"/>
        <v>0</v>
      </c>
      <c r="T1660" s="39" t="s">
        <v>9</v>
      </c>
    </row>
    <row r="1661" spans="1:20" x14ac:dyDescent="0.25">
      <c r="A1661" s="20">
        <v>42140</v>
      </c>
      <c r="B1661" s="183">
        <v>21235</v>
      </c>
      <c r="C1661" s="14" t="s">
        <v>82</v>
      </c>
      <c r="D1661" s="105">
        <v>4250</v>
      </c>
      <c r="E1661" s="23">
        <v>42140</v>
      </c>
      <c r="F1661" s="106">
        <v>4250</v>
      </c>
      <c r="G1661" s="48">
        <f t="shared" si="50"/>
        <v>0</v>
      </c>
      <c r="H1661" s="39" t="s">
        <v>59</v>
      </c>
      <c r="I1661" s="3"/>
      <c r="J1661" s="42"/>
      <c r="K1661" s="3"/>
      <c r="M1661" s="20">
        <v>42152</v>
      </c>
      <c r="N1661" s="183">
        <v>22457</v>
      </c>
      <c r="O1661" s="14" t="s">
        <v>151</v>
      </c>
      <c r="P1661" s="105">
        <v>2472.4</v>
      </c>
      <c r="Q1661" s="23">
        <v>42154</v>
      </c>
      <c r="R1661" s="106">
        <v>2472.4</v>
      </c>
      <c r="S1661" s="31">
        <f t="shared" si="51"/>
        <v>0</v>
      </c>
      <c r="T1661" s="39" t="s">
        <v>9</v>
      </c>
    </row>
    <row r="1662" spans="1:20" x14ac:dyDescent="0.25">
      <c r="A1662" s="59">
        <v>42140</v>
      </c>
      <c r="B1662" s="183">
        <v>21236</v>
      </c>
      <c r="C1662" s="14" t="s">
        <v>881</v>
      </c>
      <c r="D1662" s="105">
        <v>4727.8</v>
      </c>
      <c r="E1662" s="23">
        <v>42140</v>
      </c>
      <c r="F1662" s="106">
        <v>4727.8</v>
      </c>
      <c r="G1662" s="48">
        <f t="shared" si="50"/>
        <v>0</v>
      </c>
      <c r="H1662" s="39" t="s">
        <v>9</v>
      </c>
      <c r="I1662" s="3"/>
      <c r="J1662" s="42"/>
      <c r="K1662" s="3"/>
      <c r="M1662" s="59">
        <v>42154</v>
      </c>
      <c r="N1662" s="183">
        <v>22689</v>
      </c>
      <c r="O1662" s="14" t="s">
        <v>151</v>
      </c>
      <c r="P1662" s="105">
        <v>5893.8</v>
      </c>
      <c r="Q1662" s="23"/>
      <c r="R1662" s="106"/>
      <c r="S1662" s="31">
        <f t="shared" si="51"/>
        <v>5893.8</v>
      </c>
      <c r="T1662" s="39" t="s">
        <v>9</v>
      </c>
    </row>
    <row r="1663" spans="1:20" x14ac:dyDescent="0.25">
      <c r="A1663" s="20">
        <v>42140</v>
      </c>
      <c r="B1663" s="183">
        <v>21237</v>
      </c>
      <c r="C1663" s="14" t="s">
        <v>126</v>
      </c>
      <c r="D1663" s="105">
        <v>1698</v>
      </c>
      <c r="E1663" s="23">
        <v>42140</v>
      </c>
      <c r="F1663" s="106">
        <v>1698</v>
      </c>
      <c r="G1663" s="48">
        <f t="shared" si="50"/>
        <v>0</v>
      </c>
      <c r="H1663" s="39" t="s">
        <v>59</v>
      </c>
      <c r="I1663" s="3"/>
      <c r="J1663" s="42"/>
      <c r="K1663" s="3"/>
      <c r="M1663" s="20">
        <v>42154</v>
      </c>
      <c r="N1663" s="183">
        <v>22733</v>
      </c>
      <c r="O1663" s="14" t="s">
        <v>151</v>
      </c>
      <c r="P1663" s="105">
        <v>96</v>
      </c>
      <c r="Q1663" s="23">
        <v>42154</v>
      </c>
      <c r="R1663" s="106">
        <v>96</v>
      </c>
      <c r="S1663" s="31">
        <f t="shared" si="51"/>
        <v>0</v>
      </c>
      <c r="T1663" s="39" t="s">
        <v>9</v>
      </c>
    </row>
    <row r="1664" spans="1:20" x14ac:dyDescent="0.25">
      <c r="A1664" s="59">
        <v>42140</v>
      </c>
      <c r="B1664" s="183">
        <v>21238</v>
      </c>
      <c r="C1664" s="14" t="s">
        <v>83</v>
      </c>
      <c r="D1664" s="105">
        <v>6727</v>
      </c>
      <c r="E1664" s="23">
        <v>42140</v>
      </c>
      <c r="F1664" s="106">
        <v>6727</v>
      </c>
      <c r="G1664" s="48">
        <f t="shared" si="50"/>
        <v>0</v>
      </c>
      <c r="H1664" s="39" t="s">
        <v>59</v>
      </c>
      <c r="I1664" s="3"/>
      <c r="J1664" s="42"/>
      <c r="K1664" s="3"/>
      <c r="M1664" s="59">
        <v>42128</v>
      </c>
      <c r="N1664" s="183">
        <v>19968</v>
      </c>
      <c r="O1664" s="14" t="s">
        <v>172</v>
      </c>
      <c r="P1664" s="105">
        <v>3708</v>
      </c>
      <c r="Q1664" s="23">
        <v>42129</v>
      </c>
      <c r="R1664" s="106">
        <v>3708</v>
      </c>
      <c r="S1664" s="31">
        <f t="shared" si="51"/>
        <v>0</v>
      </c>
      <c r="T1664" s="19" t="s">
        <v>62</v>
      </c>
    </row>
    <row r="1665" spans="1:20" x14ac:dyDescent="0.25">
      <c r="A1665" s="20">
        <v>42140</v>
      </c>
      <c r="B1665" s="183">
        <v>21239</v>
      </c>
      <c r="C1665" s="14" t="s">
        <v>169</v>
      </c>
      <c r="D1665" s="105">
        <v>1342.4</v>
      </c>
      <c r="E1665" s="23">
        <v>42140</v>
      </c>
      <c r="F1665" s="106">
        <v>1342.4</v>
      </c>
      <c r="G1665" s="48">
        <f t="shared" si="50"/>
        <v>0</v>
      </c>
      <c r="H1665" s="39" t="s">
        <v>59</v>
      </c>
      <c r="I1665" s="3"/>
      <c r="J1665" s="42"/>
      <c r="K1665" s="3"/>
      <c r="M1665" s="20">
        <v>42135</v>
      </c>
      <c r="N1665" s="183">
        <v>20717</v>
      </c>
      <c r="O1665" s="14" t="s">
        <v>172</v>
      </c>
      <c r="P1665" s="105">
        <v>7703.4</v>
      </c>
      <c r="Q1665" s="23">
        <v>42136</v>
      </c>
      <c r="R1665" s="106">
        <v>7703.4</v>
      </c>
      <c r="S1665" s="31">
        <f t="shared" si="51"/>
        <v>0</v>
      </c>
      <c r="T1665" s="19" t="s">
        <v>62</v>
      </c>
    </row>
    <row r="1666" spans="1:20" x14ac:dyDescent="0.25">
      <c r="A1666" s="59">
        <v>42140</v>
      </c>
      <c r="B1666" s="183">
        <v>21240</v>
      </c>
      <c r="C1666" s="14" t="s">
        <v>120</v>
      </c>
      <c r="D1666" s="105">
        <v>1288</v>
      </c>
      <c r="E1666" s="51">
        <v>42140</v>
      </c>
      <c r="F1666" s="106">
        <v>1288</v>
      </c>
      <c r="G1666" s="48">
        <f t="shared" si="50"/>
        <v>0</v>
      </c>
      <c r="H1666" s="39" t="s">
        <v>59</v>
      </c>
      <c r="K1666" s="3"/>
      <c r="M1666" s="59">
        <v>42142</v>
      </c>
      <c r="N1666" s="183">
        <v>21472</v>
      </c>
      <c r="O1666" s="14" t="s">
        <v>172</v>
      </c>
      <c r="P1666" s="105">
        <v>3744</v>
      </c>
      <c r="Q1666" s="65">
        <v>42144</v>
      </c>
      <c r="R1666" s="106">
        <v>3744</v>
      </c>
      <c r="S1666" s="31">
        <f t="shared" si="51"/>
        <v>0</v>
      </c>
      <c r="T1666" s="19" t="s">
        <v>62</v>
      </c>
    </row>
    <row r="1667" spans="1:20" x14ac:dyDescent="0.25">
      <c r="A1667" s="20">
        <v>42140</v>
      </c>
      <c r="B1667" s="183">
        <v>21241</v>
      </c>
      <c r="C1667" s="14" t="s">
        <v>114</v>
      </c>
      <c r="D1667" s="105">
        <v>4687.2</v>
      </c>
      <c r="E1667" s="23">
        <v>42140</v>
      </c>
      <c r="F1667" s="106">
        <v>4687.2</v>
      </c>
      <c r="G1667" s="48">
        <f t="shared" ref="G1667:G1730" si="52">D1667-F1667</f>
        <v>0</v>
      </c>
      <c r="H1667" s="39" t="s">
        <v>9</v>
      </c>
      <c r="K1667" s="3"/>
      <c r="M1667" s="20">
        <v>42149</v>
      </c>
      <c r="N1667" s="183">
        <v>22190</v>
      </c>
      <c r="O1667" s="14" t="s">
        <v>172</v>
      </c>
      <c r="P1667" s="105">
        <v>6883.8</v>
      </c>
      <c r="Q1667" s="65">
        <v>42150</v>
      </c>
      <c r="R1667" s="106">
        <v>6883.8</v>
      </c>
      <c r="S1667" s="31">
        <f t="shared" ref="S1667:S1730" si="53">P1667-R1667</f>
        <v>0</v>
      </c>
      <c r="T1667" s="39" t="s">
        <v>62</v>
      </c>
    </row>
    <row r="1668" spans="1:20" x14ac:dyDescent="0.25">
      <c r="A1668" s="59">
        <v>42140</v>
      </c>
      <c r="B1668" s="183">
        <v>21242</v>
      </c>
      <c r="C1668" s="14" t="s">
        <v>1262</v>
      </c>
      <c r="D1668" s="105">
        <v>24602.959999999999</v>
      </c>
      <c r="E1668" s="23" t="s">
        <v>1347</v>
      </c>
      <c r="F1668" s="106">
        <f>1614.5+22988.46</f>
        <v>24602.959999999999</v>
      </c>
      <c r="G1668" s="48">
        <f t="shared" si="52"/>
        <v>0</v>
      </c>
      <c r="H1668" s="39" t="s">
        <v>773</v>
      </c>
      <c r="K1668" s="3"/>
      <c r="M1668" s="59">
        <v>42125</v>
      </c>
      <c r="N1668" s="183">
        <v>19653</v>
      </c>
      <c r="O1668" s="14" t="s">
        <v>141</v>
      </c>
      <c r="P1668" s="105">
        <v>3917.4</v>
      </c>
      <c r="Q1668" s="23">
        <v>42125</v>
      </c>
      <c r="R1668" s="106">
        <v>3917.4</v>
      </c>
      <c r="S1668" s="25">
        <f t="shared" si="53"/>
        <v>0</v>
      </c>
      <c r="T1668" s="19" t="s">
        <v>41</v>
      </c>
    </row>
    <row r="1669" spans="1:20" x14ac:dyDescent="0.25">
      <c r="A1669" s="20">
        <v>42140</v>
      </c>
      <c r="B1669" s="183">
        <v>21243</v>
      </c>
      <c r="C1669" s="14" t="s">
        <v>854</v>
      </c>
      <c r="D1669" s="105">
        <v>7100.4</v>
      </c>
      <c r="E1669" s="23">
        <v>42142</v>
      </c>
      <c r="F1669" s="106">
        <v>7100.4</v>
      </c>
      <c r="G1669" s="48">
        <f t="shared" si="52"/>
        <v>0</v>
      </c>
      <c r="H1669" s="19" t="s">
        <v>9</v>
      </c>
      <c r="K1669" s="3"/>
      <c r="M1669" s="20">
        <v>42126</v>
      </c>
      <c r="N1669" s="183">
        <v>19702</v>
      </c>
      <c r="O1669" s="40" t="s">
        <v>141</v>
      </c>
      <c r="P1669" s="105">
        <v>2143</v>
      </c>
      <c r="Q1669" s="23">
        <v>42143</v>
      </c>
      <c r="R1669" s="106">
        <v>2143</v>
      </c>
      <c r="S1669" s="25">
        <f t="shared" si="53"/>
        <v>0</v>
      </c>
      <c r="T1669" s="41" t="s">
        <v>9</v>
      </c>
    </row>
    <row r="1670" spans="1:20" x14ac:dyDescent="0.25">
      <c r="A1670" s="59">
        <v>42140</v>
      </c>
      <c r="B1670" s="183">
        <v>21244</v>
      </c>
      <c r="C1670" s="14" t="s">
        <v>88</v>
      </c>
      <c r="D1670" s="105">
        <v>1064.2</v>
      </c>
      <c r="E1670" s="23">
        <v>42140</v>
      </c>
      <c r="F1670" s="106">
        <v>1064.2</v>
      </c>
      <c r="G1670" s="48">
        <f t="shared" si="52"/>
        <v>0</v>
      </c>
      <c r="H1670" s="19" t="s">
        <v>9</v>
      </c>
      <c r="K1670" s="3"/>
      <c r="M1670" s="59">
        <v>42126</v>
      </c>
      <c r="N1670" s="183">
        <v>19780</v>
      </c>
      <c r="O1670" s="40" t="s">
        <v>141</v>
      </c>
      <c r="P1670" s="105">
        <v>10114.299999999999</v>
      </c>
      <c r="Q1670" s="23">
        <v>42154</v>
      </c>
      <c r="R1670" s="106">
        <v>10114.299999999999</v>
      </c>
      <c r="S1670" s="31">
        <f t="shared" si="53"/>
        <v>0</v>
      </c>
      <c r="T1670" s="41" t="s">
        <v>41</v>
      </c>
    </row>
    <row r="1671" spans="1:20" x14ac:dyDescent="0.25">
      <c r="A1671" s="20">
        <v>42140</v>
      </c>
      <c r="B1671" s="183">
        <v>21245</v>
      </c>
      <c r="C1671" s="14" t="s">
        <v>88</v>
      </c>
      <c r="D1671" s="105">
        <v>723.1</v>
      </c>
      <c r="E1671" s="23">
        <v>42140</v>
      </c>
      <c r="F1671" s="106">
        <v>723.1</v>
      </c>
      <c r="G1671" s="48">
        <f t="shared" si="52"/>
        <v>0</v>
      </c>
      <c r="H1671" s="19" t="s">
        <v>9</v>
      </c>
      <c r="K1671" s="3"/>
      <c r="M1671" s="20">
        <v>42128</v>
      </c>
      <c r="N1671" s="183">
        <v>19961</v>
      </c>
      <c r="O1671" s="14" t="s">
        <v>141</v>
      </c>
      <c r="P1671" s="105">
        <v>4236</v>
      </c>
      <c r="Q1671" s="23">
        <v>42128</v>
      </c>
      <c r="R1671" s="106">
        <v>4236</v>
      </c>
      <c r="S1671" s="31">
        <f t="shared" si="53"/>
        <v>0</v>
      </c>
      <c r="T1671" s="19" t="s">
        <v>9</v>
      </c>
    </row>
    <row r="1672" spans="1:20" x14ac:dyDescent="0.25">
      <c r="A1672" s="59">
        <v>42140</v>
      </c>
      <c r="B1672" s="183">
        <v>21246</v>
      </c>
      <c r="C1672" s="14" t="s">
        <v>125</v>
      </c>
      <c r="D1672" s="105">
        <v>24295.599999999999</v>
      </c>
      <c r="E1672" s="23">
        <v>42145</v>
      </c>
      <c r="F1672" s="106">
        <v>24295.599999999999</v>
      </c>
      <c r="G1672" s="48">
        <f t="shared" si="52"/>
        <v>0</v>
      </c>
      <c r="H1672" s="19" t="s">
        <v>9</v>
      </c>
      <c r="J1672" s="107"/>
      <c r="K1672" s="3"/>
      <c r="M1672" s="59">
        <v>42131</v>
      </c>
      <c r="N1672" s="183">
        <v>20314</v>
      </c>
      <c r="O1672" s="14" t="s">
        <v>141</v>
      </c>
      <c r="P1672" s="105">
        <v>563.20000000000005</v>
      </c>
      <c r="Q1672" s="23">
        <v>42131</v>
      </c>
      <c r="R1672" s="106">
        <v>563.20000000000005</v>
      </c>
      <c r="S1672" s="31">
        <f t="shared" si="53"/>
        <v>0</v>
      </c>
      <c r="T1672" s="39" t="s">
        <v>9</v>
      </c>
    </row>
    <row r="1673" spans="1:20" x14ac:dyDescent="0.25">
      <c r="A1673" s="20">
        <v>42140</v>
      </c>
      <c r="B1673" s="183">
        <v>21247</v>
      </c>
      <c r="C1673" s="14" t="s">
        <v>155</v>
      </c>
      <c r="D1673" s="105">
        <v>1687.2</v>
      </c>
      <c r="E1673" s="23">
        <v>42142</v>
      </c>
      <c r="F1673" s="106">
        <v>1687.2</v>
      </c>
      <c r="G1673" s="48">
        <f t="shared" si="52"/>
        <v>0</v>
      </c>
      <c r="H1673" s="19" t="s">
        <v>9</v>
      </c>
      <c r="J1673" s="107"/>
      <c r="K1673" s="3"/>
      <c r="M1673" s="20">
        <v>42133</v>
      </c>
      <c r="N1673" s="183">
        <v>20539</v>
      </c>
      <c r="O1673" s="14" t="s">
        <v>141</v>
      </c>
      <c r="P1673" s="105">
        <v>5216.3999999999996</v>
      </c>
      <c r="Q1673" s="23">
        <v>42149</v>
      </c>
      <c r="R1673" s="106">
        <v>5216.3999999999996</v>
      </c>
      <c r="S1673" s="31">
        <f t="shared" si="53"/>
        <v>0</v>
      </c>
      <c r="T1673" s="19" t="s">
        <v>9</v>
      </c>
    </row>
    <row r="1674" spans="1:20" x14ac:dyDescent="0.25">
      <c r="A1674" s="59">
        <v>42140</v>
      </c>
      <c r="B1674" s="183">
        <v>21248</v>
      </c>
      <c r="C1674" s="14" t="s">
        <v>699</v>
      </c>
      <c r="D1674" s="105">
        <v>2333.6</v>
      </c>
      <c r="E1674" s="23">
        <v>42151</v>
      </c>
      <c r="F1674" s="106">
        <v>2333.6</v>
      </c>
      <c r="G1674" s="48">
        <f t="shared" si="52"/>
        <v>0</v>
      </c>
      <c r="H1674" s="19" t="s">
        <v>9</v>
      </c>
      <c r="K1674" s="3"/>
      <c r="M1674" s="59">
        <v>42134</v>
      </c>
      <c r="N1674" s="183">
        <v>20631</v>
      </c>
      <c r="O1674" s="14" t="s">
        <v>141</v>
      </c>
      <c r="P1674" s="105">
        <v>470.8</v>
      </c>
      <c r="Q1674" s="23">
        <v>42134</v>
      </c>
      <c r="R1674" s="118">
        <v>470.8</v>
      </c>
      <c r="S1674" s="31">
        <f t="shared" si="53"/>
        <v>0</v>
      </c>
      <c r="T1674" s="56" t="s">
        <v>9</v>
      </c>
    </row>
    <row r="1675" spans="1:20" x14ac:dyDescent="0.25">
      <c r="A1675" s="20">
        <v>42140</v>
      </c>
      <c r="B1675" s="183">
        <v>21249</v>
      </c>
      <c r="C1675" s="14" t="s">
        <v>118</v>
      </c>
      <c r="D1675" s="105">
        <v>11315.6</v>
      </c>
      <c r="E1675" s="30">
        <v>42157</v>
      </c>
      <c r="F1675" s="144">
        <v>11315.6</v>
      </c>
      <c r="G1675" s="48">
        <f t="shared" si="52"/>
        <v>0</v>
      </c>
      <c r="H1675" s="19" t="s">
        <v>59</v>
      </c>
      <c r="K1675" s="3"/>
      <c r="M1675" s="20">
        <v>42135</v>
      </c>
      <c r="N1675" s="183">
        <v>20735</v>
      </c>
      <c r="O1675" s="14" t="s">
        <v>141</v>
      </c>
      <c r="P1675" s="105">
        <v>837</v>
      </c>
      <c r="Q1675" s="23">
        <v>42141</v>
      </c>
      <c r="R1675" s="106">
        <v>837</v>
      </c>
      <c r="S1675" s="31">
        <f t="shared" si="53"/>
        <v>0</v>
      </c>
      <c r="T1675" s="19" t="s">
        <v>9</v>
      </c>
    </row>
    <row r="1676" spans="1:20" x14ac:dyDescent="0.25">
      <c r="A1676" s="59">
        <v>42140</v>
      </c>
      <c r="B1676" s="183">
        <v>21250</v>
      </c>
      <c r="C1676" s="110">
        <v>105</v>
      </c>
      <c r="D1676" s="105">
        <v>3960</v>
      </c>
      <c r="E1676" s="23">
        <v>42140</v>
      </c>
      <c r="F1676" s="106">
        <v>3960</v>
      </c>
      <c r="G1676" s="48">
        <f t="shared" si="52"/>
        <v>0</v>
      </c>
      <c r="H1676" s="19" t="s">
        <v>59</v>
      </c>
      <c r="K1676" s="3"/>
      <c r="M1676" s="59">
        <v>42135</v>
      </c>
      <c r="N1676" s="183">
        <v>20749</v>
      </c>
      <c r="O1676" s="14" t="s">
        <v>141</v>
      </c>
      <c r="P1676" s="105">
        <v>12252.9</v>
      </c>
      <c r="Q1676" s="23"/>
      <c r="R1676" s="106"/>
      <c r="S1676" s="31">
        <f t="shared" si="53"/>
        <v>12252.9</v>
      </c>
      <c r="T1676" s="19" t="s">
        <v>1273</v>
      </c>
    </row>
    <row r="1677" spans="1:20" x14ac:dyDescent="0.25">
      <c r="A1677" s="20">
        <v>42140</v>
      </c>
      <c r="B1677" s="183">
        <v>21251</v>
      </c>
      <c r="C1677" s="26" t="s">
        <v>218</v>
      </c>
      <c r="D1677" s="108">
        <v>0</v>
      </c>
      <c r="E1677" s="23"/>
      <c r="F1677" s="106"/>
      <c r="G1677" s="31">
        <f t="shared" si="52"/>
        <v>0</v>
      </c>
      <c r="H1677" s="19" t="s">
        <v>13</v>
      </c>
      <c r="K1677" s="3"/>
      <c r="M1677" s="20">
        <v>42138</v>
      </c>
      <c r="N1677" s="183">
        <v>21023</v>
      </c>
      <c r="O1677" s="14" t="s">
        <v>141</v>
      </c>
      <c r="P1677" s="105">
        <v>1636.9</v>
      </c>
      <c r="Q1677" s="23">
        <v>42138</v>
      </c>
      <c r="R1677" s="106">
        <v>1636.9</v>
      </c>
      <c r="S1677" s="48">
        <f t="shared" si="53"/>
        <v>0</v>
      </c>
      <c r="T1677" s="39" t="s">
        <v>9</v>
      </c>
    </row>
    <row r="1678" spans="1:20" x14ac:dyDescent="0.25">
      <c r="A1678" s="59">
        <v>42140</v>
      </c>
      <c r="B1678" s="183">
        <v>21252</v>
      </c>
      <c r="C1678" s="14" t="s">
        <v>57</v>
      </c>
      <c r="D1678" s="105">
        <v>1080</v>
      </c>
      <c r="E1678" s="23">
        <v>42140</v>
      </c>
      <c r="F1678" s="106">
        <v>1080</v>
      </c>
      <c r="G1678" s="31">
        <f t="shared" si="52"/>
        <v>0</v>
      </c>
      <c r="H1678" s="19" t="s">
        <v>59</v>
      </c>
      <c r="K1678" s="3"/>
      <c r="M1678" s="59">
        <v>42140</v>
      </c>
      <c r="N1678" s="183">
        <v>21301</v>
      </c>
      <c r="O1678" s="14" t="s">
        <v>141</v>
      </c>
      <c r="P1678" s="105">
        <v>2529.8000000000002</v>
      </c>
      <c r="Q1678" s="23">
        <v>42140</v>
      </c>
      <c r="R1678" s="118">
        <v>2529.8000000000002</v>
      </c>
      <c r="S1678" s="31">
        <f t="shared" si="53"/>
        <v>0</v>
      </c>
      <c r="T1678" s="62" t="s">
        <v>9</v>
      </c>
    </row>
    <row r="1679" spans="1:20" x14ac:dyDescent="0.25">
      <c r="A1679" s="20">
        <v>42140</v>
      </c>
      <c r="B1679" s="183">
        <v>21253</v>
      </c>
      <c r="C1679" s="14" t="s">
        <v>35</v>
      </c>
      <c r="D1679" s="105">
        <v>25984</v>
      </c>
      <c r="E1679" s="23">
        <v>42140</v>
      </c>
      <c r="F1679" s="106">
        <v>25984</v>
      </c>
      <c r="G1679" s="31">
        <f t="shared" si="52"/>
        <v>0</v>
      </c>
      <c r="H1679" s="19" t="s">
        <v>773</v>
      </c>
      <c r="K1679" s="3"/>
      <c r="M1679" s="20">
        <v>42140</v>
      </c>
      <c r="N1679" s="183">
        <v>21313</v>
      </c>
      <c r="O1679" s="14" t="s">
        <v>141</v>
      </c>
      <c r="P1679" s="105">
        <v>896</v>
      </c>
      <c r="Q1679" s="23">
        <v>42140</v>
      </c>
      <c r="R1679" s="118">
        <v>896</v>
      </c>
      <c r="S1679" s="31">
        <f t="shared" si="53"/>
        <v>0</v>
      </c>
      <c r="T1679" s="62" t="s">
        <v>9</v>
      </c>
    </row>
    <row r="1680" spans="1:20" x14ac:dyDescent="0.25">
      <c r="A1680" s="59">
        <v>42140</v>
      </c>
      <c r="B1680" s="183">
        <v>21254</v>
      </c>
      <c r="C1680" s="14" t="s">
        <v>56</v>
      </c>
      <c r="D1680" s="105">
        <v>7909.2</v>
      </c>
      <c r="E1680" s="23">
        <v>42140</v>
      </c>
      <c r="F1680" s="106">
        <v>7909.2</v>
      </c>
      <c r="G1680" s="31">
        <f t="shared" si="52"/>
        <v>0</v>
      </c>
      <c r="H1680" s="19" t="s">
        <v>773</v>
      </c>
      <c r="K1680" s="3"/>
      <c r="M1680" s="59">
        <v>42141</v>
      </c>
      <c r="N1680" s="183">
        <v>21372</v>
      </c>
      <c r="O1680" s="14" t="s">
        <v>141</v>
      </c>
      <c r="P1680" s="105">
        <v>4151</v>
      </c>
      <c r="Q1680" s="23">
        <v>42141</v>
      </c>
      <c r="R1680" s="118">
        <v>4151</v>
      </c>
      <c r="S1680" s="31">
        <f t="shared" si="53"/>
        <v>0</v>
      </c>
      <c r="T1680" s="56" t="s">
        <v>62</v>
      </c>
    </row>
    <row r="1681" spans="1:20" x14ac:dyDescent="0.25">
      <c r="A1681" s="20">
        <v>42140</v>
      </c>
      <c r="B1681" s="183">
        <v>21255</v>
      </c>
      <c r="C1681" s="14" t="s">
        <v>137</v>
      </c>
      <c r="D1681" s="105">
        <v>2395.4</v>
      </c>
      <c r="E1681" s="23">
        <v>42140</v>
      </c>
      <c r="F1681" s="106">
        <v>2395.4</v>
      </c>
      <c r="G1681" s="31">
        <f t="shared" si="52"/>
        <v>0</v>
      </c>
      <c r="H1681" s="19" t="s">
        <v>9</v>
      </c>
      <c r="K1681" s="3"/>
      <c r="M1681" s="20">
        <v>42142</v>
      </c>
      <c r="N1681" s="183">
        <v>21530</v>
      </c>
      <c r="O1681" s="14" t="s">
        <v>141</v>
      </c>
      <c r="P1681" s="105">
        <v>990.4</v>
      </c>
      <c r="Q1681" s="23">
        <v>42142</v>
      </c>
      <c r="R1681" s="118">
        <v>990.4</v>
      </c>
      <c r="S1681" s="31">
        <f t="shared" si="53"/>
        <v>0</v>
      </c>
      <c r="T1681" s="56" t="s">
        <v>9</v>
      </c>
    </row>
    <row r="1682" spans="1:20" x14ac:dyDescent="0.25">
      <c r="A1682" s="59">
        <v>42140</v>
      </c>
      <c r="B1682" s="183">
        <v>21256</v>
      </c>
      <c r="C1682" s="26" t="s">
        <v>218</v>
      </c>
      <c r="D1682" s="108">
        <v>0</v>
      </c>
      <c r="E1682" s="23"/>
      <c r="F1682" s="106"/>
      <c r="G1682" s="31">
        <f t="shared" si="52"/>
        <v>0</v>
      </c>
      <c r="H1682" s="19" t="s">
        <v>13</v>
      </c>
      <c r="K1682" s="3"/>
      <c r="M1682" s="59">
        <v>42147</v>
      </c>
      <c r="N1682" s="183">
        <v>22065</v>
      </c>
      <c r="O1682" s="14" t="s">
        <v>141</v>
      </c>
      <c r="P1682" s="105">
        <v>3468</v>
      </c>
      <c r="Q1682" s="65"/>
      <c r="R1682" s="106"/>
      <c r="S1682" s="31">
        <f t="shared" si="53"/>
        <v>3468</v>
      </c>
      <c r="T1682" s="39" t="s">
        <v>94</v>
      </c>
    </row>
    <row r="1683" spans="1:20" x14ac:dyDescent="0.25">
      <c r="A1683" s="20">
        <v>42140</v>
      </c>
      <c r="B1683" s="183">
        <v>21257</v>
      </c>
      <c r="C1683" s="14" t="s">
        <v>440</v>
      </c>
      <c r="D1683" s="105">
        <v>16350.6</v>
      </c>
      <c r="E1683" s="23">
        <v>42140</v>
      </c>
      <c r="F1683" s="106">
        <v>16350.6</v>
      </c>
      <c r="G1683" s="31">
        <f t="shared" si="52"/>
        <v>0</v>
      </c>
      <c r="H1683" s="62" t="s">
        <v>9</v>
      </c>
      <c r="J1683" s="107"/>
      <c r="K1683" s="3"/>
      <c r="M1683" s="20">
        <v>42148</v>
      </c>
      <c r="N1683" s="183">
        <v>22085</v>
      </c>
      <c r="O1683" s="14" t="s">
        <v>141</v>
      </c>
      <c r="P1683" s="105">
        <v>16193.6</v>
      </c>
      <c r="Q1683" s="65"/>
      <c r="R1683" s="106"/>
      <c r="S1683" s="31">
        <f t="shared" si="53"/>
        <v>16193.6</v>
      </c>
      <c r="T1683" s="39" t="s">
        <v>187</v>
      </c>
    </row>
    <row r="1684" spans="1:20" x14ac:dyDescent="0.25">
      <c r="A1684" s="59">
        <v>42140</v>
      </c>
      <c r="B1684" s="183">
        <v>21258</v>
      </c>
      <c r="C1684" s="14" t="s">
        <v>32</v>
      </c>
      <c r="D1684" s="105">
        <v>151386.20000000001</v>
      </c>
      <c r="E1684" s="30">
        <v>42171</v>
      </c>
      <c r="F1684" s="144">
        <v>151386.20000000001</v>
      </c>
      <c r="G1684" s="31">
        <f t="shared" si="52"/>
        <v>0</v>
      </c>
      <c r="H1684" s="62" t="s">
        <v>46</v>
      </c>
      <c r="J1684" s="107"/>
      <c r="K1684" s="3"/>
      <c r="M1684" s="59">
        <v>42155</v>
      </c>
      <c r="N1684" s="183">
        <v>22842</v>
      </c>
      <c r="O1684" s="14" t="s">
        <v>141</v>
      </c>
      <c r="P1684" s="105">
        <v>3618.6</v>
      </c>
      <c r="Q1684" s="23">
        <v>42155</v>
      </c>
      <c r="R1684" s="106">
        <v>3618.6</v>
      </c>
      <c r="S1684" s="31">
        <f t="shared" si="53"/>
        <v>0</v>
      </c>
      <c r="T1684" s="39" t="s">
        <v>9</v>
      </c>
    </row>
    <row r="1685" spans="1:20" x14ac:dyDescent="0.25">
      <c r="A1685" s="20">
        <v>42140</v>
      </c>
      <c r="B1685" s="183">
        <v>21259</v>
      </c>
      <c r="C1685" s="14" t="s">
        <v>140</v>
      </c>
      <c r="D1685" s="105">
        <v>6978.4</v>
      </c>
      <c r="E1685" s="23">
        <v>42140</v>
      </c>
      <c r="F1685" s="106">
        <v>6978.4</v>
      </c>
      <c r="G1685" s="31">
        <f t="shared" si="52"/>
        <v>0</v>
      </c>
      <c r="H1685" s="62" t="s">
        <v>94</v>
      </c>
      <c r="K1685" s="3"/>
      <c r="M1685" s="20">
        <v>42133</v>
      </c>
      <c r="N1685" s="183">
        <v>20563</v>
      </c>
      <c r="O1685" s="14" t="s">
        <v>852</v>
      </c>
      <c r="P1685" s="105">
        <v>3720.5</v>
      </c>
      <c r="Q1685" s="23">
        <v>42133</v>
      </c>
      <c r="R1685" s="106">
        <v>3720.5</v>
      </c>
      <c r="S1685" s="31">
        <f t="shared" si="53"/>
        <v>0</v>
      </c>
      <c r="T1685" s="19" t="s">
        <v>41</v>
      </c>
    </row>
    <row r="1686" spans="1:20" x14ac:dyDescent="0.25">
      <c r="A1686" s="59">
        <v>42140</v>
      </c>
      <c r="B1686" s="183">
        <v>21260</v>
      </c>
      <c r="C1686" s="14" t="s">
        <v>130</v>
      </c>
      <c r="D1686" s="105">
        <v>7741.2</v>
      </c>
      <c r="E1686" s="23">
        <v>42142</v>
      </c>
      <c r="F1686" s="106">
        <v>7741.2</v>
      </c>
      <c r="G1686" s="31">
        <f t="shared" si="52"/>
        <v>0</v>
      </c>
      <c r="H1686" s="62" t="s">
        <v>1257</v>
      </c>
      <c r="K1686" s="3"/>
      <c r="M1686" s="59">
        <v>42125</v>
      </c>
      <c r="N1686" s="183">
        <v>19660</v>
      </c>
      <c r="O1686" s="14" t="s">
        <v>75</v>
      </c>
      <c r="P1686" s="105">
        <v>16596.2</v>
      </c>
      <c r="Q1686" s="23">
        <v>42126</v>
      </c>
      <c r="R1686" s="106">
        <v>16596.2</v>
      </c>
      <c r="S1686" s="25">
        <f t="shared" si="53"/>
        <v>0</v>
      </c>
      <c r="T1686" s="39" t="s">
        <v>62</v>
      </c>
    </row>
    <row r="1687" spans="1:20" x14ac:dyDescent="0.25">
      <c r="A1687" s="20">
        <v>42140</v>
      </c>
      <c r="B1687" s="183">
        <v>21261</v>
      </c>
      <c r="C1687" s="14" t="s">
        <v>697</v>
      </c>
      <c r="D1687" s="105">
        <v>6121.8</v>
      </c>
      <c r="E1687" s="23">
        <v>42153</v>
      </c>
      <c r="F1687" s="106">
        <v>6121.8</v>
      </c>
      <c r="G1687" s="31">
        <f t="shared" si="52"/>
        <v>0</v>
      </c>
      <c r="H1687" s="62" t="s">
        <v>1257</v>
      </c>
      <c r="K1687" s="3"/>
      <c r="M1687" s="20">
        <v>42128</v>
      </c>
      <c r="N1687" s="183">
        <v>19957</v>
      </c>
      <c r="O1687" s="150" t="s">
        <v>75</v>
      </c>
      <c r="P1687" s="105">
        <v>15998.2</v>
      </c>
      <c r="Q1687" s="23">
        <v>42129</v>
      </c>
      <c r="R1687" s="106">
        <v>15998.2</v>
      </c>
      <c r="S1687" s="31">
        <f t="shared" si="53"/>
        <v>0</v>
      </c>
      <c r="T1687" s="19" t="s">
        <v>62</v>
      </c>
    </row>
    <row r="1688" spans="1:20" x14ac:dyDescent="0.25">
      <c r="A1688" s="59">
        <v>42140</v>
      </c>
      <c r="B1688" s="183">
        <v>21262</v>
      </c>
      <c r="C1688" s="14" t="s">
        <v>131</v>
      </c>
      <c r="D1688" s="105">
        <v>14525.3</v>
      </c>
      <c r="E1688" s="23">
        <v>42142</v>
      </c>
      <c r="F1688" s="106">
        <v>14525.3</v>
      </c>
      <c r="G1688" s="31">
        <f t="shared" si="52"/>
        <v>0</v>
      </c>
      <c r="H1688" s="62" t="s">
        <v>1257</v>
      </c>
      <c r="K1688" s="3"/>
      <c r="M1688" s="59">
        <v>42130</v>
      </c>
      <c r="N1688" s="183">
        <v>20144</v>
      </c>
      <c r="O1688" s="14" t="s">
        <v>75</v>
      </c>
      <c r="P1688" s="105">
        <v>20721.2</v>
      </c>
      <c r="Q1688" s="23">
        <v>42132</v>
      </c>
      <c r="R1688" s="106">
        <v>20721.2</v>
      </c>
      <c r="S1688" s="31">
        <f t="shared" si="53"/>
        <v>0</v>
      </c>
      <c r="T1688" s="39" t="s">
        <v>62</v>
      </c>
    </row>
    <row r="1689" spans="1:20" x14ac:dyDescent="0.25">
      <c r="A1689" s="20">
        <v>42140</v>
      </c>
      <c r="B1689" s="183">
        <v>21263</v>
      </c>
      <c r="C1689" s="14" t="s">
        <v>723</v>
      </c>
      <c r="D1689" s="105">
        <v>2354.1</v>
      </c>
      <c r="E1689" s="23">
        <v>42142</v>
      </c>
      <c r="F1689" s="106">
        <v>2354.1</v>
      </c>
      <c r="G1689" s="31">
        <f t="shared" si="52"/>
        <v>0</v>
      </c>
      <c r="H1689" s="62" t="s">
        <v>9</v>
      </c>
      <c r="K1689" s="3"/>
      <c r="M1689" s="20">
        <v>42132</v>
      </c>
      <c r="N1689" s="183">
        <v>20420</v>
      </c>
      <c r="O1689" s="14" t="s">
        <v>75</v>
      </c>
      <c r="P1689" s="105">
        <v>18255.400000000001</v>
      </c>
      <c r="Q1689" s="23">
        <v>42134</v>
      </c>
      <c r="R1689" s="106">
        <v>18255.400000000001</v>
      </c>
      <c r="S1689" s="31">
        <f t="shared" si="53"/>
        <v>0</v>
      </c>
      <c r="T1689" s="19" t="s">
        <v>62</v>
      </c>
    </row>
    <row r="1690" spans="1:20" x14ac:dyDescent="0.25">
      <c r="A1690" s="59">
        <v>42140</v>
      </c>
      <c r="B1690" s="183">
        <v>21264</v>
      </c>
      <c r="C1690" s="14" t="s">
        <v>50</v>
      </c>
      <c r="D1690" s="105">
        <v>2485.1999999999998</v>
      </c>
      <c r="E1690" s="23">
        <v>42140</v>
      </c>
      <c r="F1690" s="106">
        <v>2485.1999999999998</v>
      </c>
      <c r="G1690" s="31">
        <f t="shared" si="52"/>
        <v>0</v>
      </c>
      <c r="H1690" s="19" t="s">
        <v>94</v>
      </c>
      <c r="K1690" s="3"/>
      <c r="M1690" s="59">
        <v>42134</v>
      </c>
      <c r="N1690" s="183">
        <v>20655</v>
      </c>
      <c r="O1690" s="14" t="s">
        <v>75</v>
      </c>
      <c r="P1690" s="105">
        <v>17145.599999999999</v>
      </c>
      <c r="Q1690" s="23">
        <v>42135</v>
      </c>
      <c r="R1690" s="106">
        <v>17145.599999999999</v>
      </c>
      <c r="S1690" s="31">
        <f t="shared" si="53"/>
        <v>0</v>
      </c>
      <c r="T1690" s="39" t="s">
        <v>62</v>
      </c>
    </row>
    <row r="1691" spans="1:20" x14ac:dyDescent="0.25">
      <c r="A1691" s="20">
        <v>42140</v>
      </c>
      <c r="B1691" s="183">
        <v>21265</v>
      </c>
      <c r="C1691" s="14" t="s">
        <v>55</v>
      </c>
      <c r="D1691" s="105">
        <v>26238.799999999999</v>
      </c>
      <c r="E1691" s="23">
        <v>42140</v>
      </c>
      <c r="F1691" s="106">
        <v>26238.799999999999</v>
      </c>
      <c r="G1691" s="31">
        <f t="shared" si="52"/>
        <v>0</v>
      </c>
      <c r="H1691" s="62" t="s">
        <v>1273</v>
      </c>
      <c r="K1691" s="3"/>
      <c r="M1691" s="20">
        <v>42135</v>
      </c>
      <c r="N1691" s="183">
        <v>20730</v>
      </c>
      <c r="O1691" s="14" t="s">
        <v>75</v>
      </c>
      <c r="P1691" s="105">
        <v>5201.2</v>
      </c>
      <c r="Q1691" s="23">
        <v>42136</v>
      </c>
      <c r="R1691" s="106">
        <v>5201.2</v>
      </c>
      <c r="S1691" s="31">
        <f t="shared" si="53"/>
        <v>0</v>
      </c>
      <c r="T1691" s="19" t="s">
        <v>62</v>
      </c>
    </row>
    <row r="1692" spans="1:20" x14ac:dyDescent="0.25">
      <c r="A1692" s="59">
        <v>42140</v>
      </c>
      <c r="B1692" s="183">
        <v>21266</v>
      </c>
      <c r="C1692" s="14" t="s">
        <v>332</v>
      </c>
      <c r="D1692" s="105">
        <v>2229</v>
      </c>
      <c r="E1692" s="23">
        <v>42140</v>
      </c>
      <c r="F1692" s="106">
        <v>2229</v>
      </c>
      <c r="G1692" s="31">
        <f t="shared" si="52"/>
        <v>0</v>
      </c>
      <c r="H1692" s="62" t="s">
        <v>9</v>
      </c>
      <c r="K1692" s="3"/>
      <c r="M1692" s="59">
        <v>42137</v>
      </c>
      <c r="N1692" s="183">
        <v>20894</v>
      </c>
      <c r="O1692" s="14" t="s">
        <v>75</v>
      </c>
      <c r="P1692" s="105">
        <v>23841</v>
      </c>
      <c r="Q1692" s="23">
        <v>42138</v>
      </c>
      <c r="R1692" s="106">
        <v>23841</v>
      </c>
      <c r="S1692" s="31">
        <f t="shared" si="53"/>
        <v>0</v>
      </c>
      <c r="T1692" s="19" t="s">
        <v>62</v>
      </c>
    </row>
    <row r="1693" spans="1:20" x14ac:dyDescent="0.25">
      <c r="A1693" s="20">
        <v>42140</v>
      </c>
      <c r="B1693" s="183">
        <v>21267</v>
      </c>
      <c r="C1693" s="14" t="s">
        <v>1182</v>
      </c>
      <c r="D1693" s="105">
        <v>391</v>
      </c>
      <c r="E1693" s="23">
        <v>42140</v>
      </c>
      <c r="F1693" s="106">
        <v>391</v>
      </c>
      <c r="G1693" s="31">
        <f t="shared" si="52"/>
        <v>0</v>
      </c>
      <c r="H1693" s="62" t="s">
        <v>9</v>
      </c>
      <c r="K1693" s="3"/>
      <c r="M1693" s="20">
        <v>42139</v>
      </c>
      <c r="N1693" s="183">
        <v>21166</v>
      </c>
      <c r="O1693" s="14" t="s">
        <v>75</v>
      </c>
      <c r="P1693" s="105">
        <v>18319.2</v>
      </c>
      <c r="Q1693" s="23">
        <v>42140</v>
      </c>
      <c r="R1693" s="106">
        <v>18319.2</v>
      </c>
      <c r="S1693" s="48">
        <f t="shared" si="53"/>
        <v>0</v>
      </c>
      <c r="T1693" s="39" t="s">
        <v>9</v>
      </c>
    </row>
    <row r="1694" spans="1:20" x14ac:dyDescent="0.25">
      <c r="A1694" s="59">
        <v>42140</v>
      </c>
      <c r="B1694" s="183">
        <v>21268</v>
      </c>
      <c r="C1694" s="150" t="s">
        <v>256</v>
      </c>
      <c r="D1694" s="105">
        <v>8234.7999999999993</v>
      </c>
      <c r="E1694" s="23">
        <v>42140</v>
      </c>
      <c r="F1694" s="106">
        <v>8234.7999999999993</v>
      </c>
      <c r="G1694" s="31">
        <f t="shared" si="52"/>
        <v>0</v>
      </c>
      <c r="H1694" s="62" t="s">
        <v>1273</v>
      </c>
      <c r="K1694" s="3"/>
      <c r="M1694" s="59">
        <v>42142</v>
      </c>
      <c r="N1694" s="183">
        <v>21477</v>
      </c>
      <c r="O1694" s="14" t="s">
        <v>75</v>
      </c>
      <c r="P1694" s="105">
        <v>12050.2</v>
      </c>
      <c r="Q1694" s="65">
        <v>42144</v>
      </c>
      <c r="R1694" s="106">
        <v>12050.2</v>
      </c>
      <c r="S1694" s="31">
        <f t="shared" si="53"/>
        <v>0</v>
      </c>
      <c r="T1694" s="19" t="s">
        <v>62</v>
      </c>
    </row>
    <row r="1695" spans="1:20" x14ac:dyDescent="0.25">
      <c r="A1695" s="20">
        <v>42140</v>
      </c>
      <c r="B1695" s="183">
        <v>21269</v>
      </c>
      <c r="C1695" s="14" t="s">
        <v>32</v>
      </c>
      <c r="D1695" s="105">
        <v>10593</v>
      </c>
      <c r="E1695" s="30">
        <v>42171</v>
      </c>
      <c r="F1695" s="144">
        <v>10593</v>
      </c>
      <c r="G1695" s="31">
        <f t="shared" si="52"/>
        <v>0</v>
      </c>
      <c r="H1695" s="62" t="s">
        <v>1396</v>
      </c>
      <c r="K1695" s="3"/>
      <c r="M1695" s="20">
        <v>42144</v>
      </c>
      <c r="N1695" s="183">
        <v>21659</v>
      </c>
      <c r="O1695" s="14" t="s">
        <v>75</v>
      </c>
      <c r="P1695" s="105">
        <v>24554.02</v>
      </c>
      <c r="Q1695" s="23">
        <v>42145</v>
      </c>
      <c r="R1695" s="118">
        <v>24554.02</v>
      </c>
      <c r="S1695" s="31">
        <f t="shared" si="53"/>
        <v>0</v>
      </c>
      <c r="T1695" s="62" t="s">
        <v>62</v>
      </c>
    </row>
    <row r="1696" spans="1:20" x14ac:dyDescent="0.25">
      <c r="A1696" s="59">
        <v>42140</v>
      </c>
      <c r="B1696" s="183">
        <v>21270</v>
      </c>
      <c r="C1696" s="14" t="s">
        <v>256</v>
      </c>
      <c r="D1696" s="105">
        <v>272.8</v>
      </c>
      <c r="E1696" s="23">
        <v>42140</v>
      </c>
      <c r="F1696" s="106">
        <v>272.8</v>
      </c>
      <c r="G1696" s="31">
        <f t="shared" si="52"/>
        <v>0</v>
      </c>
      <c r="H1696" s="62" t="s">
        <v>1273</v>
      </c>
      <c r="K1696" s="3"/>
      <c r="M1696" s="59">
        <v>42144</v>
      </c>
      <c r="N1696" s="183">
        <v>21666</v>
      </c>
      <c r="O1696" s="14" t="s">
        <v>75</v>
      </c>
      <c r="P1696" s="105">
        <v>388.8</v>
      </c>
      <c r="Q1696" s="23">
        <v>42145</v>
      </c>
      <c r="R1696" s="118">
        <v>388.8</v>
      </c>
      <c r="S1696" s="31">
        <f t="shared" si="53"/>
        <v>0</v>
      </c>
      <c r="T1696" s="62" t="s">
        <v>62</v>
      </c>
    </row>
    <row r="1697" spans="1:20" x14ac:dyDescent="0.25">
      <c r="A1697" s="20">
        <v>42140</v>
      </c>
      <c r="B1697" s="183">
        <v>21271</v>
      </c>
      <c r="C1697" s="14" t="s">
        <v>375</v>
      </c>
      <c r="D1697" s="105">
        <v>4350</v>
      </c>
      <c r="E1697" s="23">
        <v>42140</v>
      </c>
      <c r="F1697" s="106">
        <v>4350</v>
      </c>
      <c r="G1697" s="31">
        <f t="shared" si="52"/>
        <v>0</v>
      </c>
      <c r="H1697" s="62" t="s">
        <v>9</v>
      </c>
      <c r="K1697" s="3"/>
      <c r="M1697" s="20">
        <v>42146</v>
      </c>
      <c r="N1697" s="183">
        <v>21902</v>
      </c>
      <c r="O1697" s="14" t="s">
        <v>75</v>
      </c>
      <c r="P1697" s="105">
        <v>19381.400000000001</v>
      </c>
      <c r="Q1697" s="23">
        <v>42148</v>
      </c>
      <c r="R1697" s="106">
        <v>19381.400000000001</v>
      </c>
      <c r="S1697" s="31">
        <f t="shared" si="53"/>
        <v>0</v>
      </c>
      <c r="T1697" s="39" t="s">
        <v>62</v>
      </c>
    </row>
    <row r="1698" spans="1:20" x14ac:dyDescent="0.25">
      <c r="A1698" s="59">
        <v>42140</v>
      </c>
      <c r="B1698" s="183">
        <v>21272</v>
      </c>
      <c r="C1698" s="14" t="s">
        <v>228</v>
      </c>
      <c r="D1698" s="105">
        <v>2218.5</v>
      </c>
      <c r="E1698" s="23">
        <v>42140</v>
      </c>
      <c r="F1698" s="118">
        <v>2218.5</v>
      </c>
      <c r="G1698" s="31">
        <f t="shared" si="52"/>
        <v>0</v>
      </c>
      <c r="H1698" s="62" t="s">
        <v>9</v>
      </c>
      <c r="K1698" s="3"/>
      <c r="M1698" s="59">
        <v>42146</v>
      </c>
      <c r="N1698" s="183">
        <v>21903</v>
      </c>
      <c r="O1698" s="150" t="s">
        <v>75</v>
      </c>
      <c r="P1698" s="105">
        <v>1079.7</v>
      </c>
      <c r="Q1698" s="23">
        <v>42148</v>
      </c>
      <c r="R1698" s="106">
        <v>1079.7</v>
      </c>
      <c r="S1698" s="31">
        <f t="shared" si="53"/>
        <v>0</v>
      </c>
      <c r="T1698" s="39" t="s">
        <v>62</v>
      </c>
    </row>
    <row r="1699" spans="1:20" x14ac:dyDescent="0.25">
      <c r="A1699" s="20">
        <v>42140</v>
      </c>
      <c r="B1699" s="183">
        <v>21273</v>
      </c>
      <c r="C1699" s="14" t="s">
        <v>239</v>
      </c>
      <c r="D1699" s="105">
        <v>612.65</v>
      </c>
      <c r="E1699" s="23">
        <v>42140</v>
      </c>
      <c r="F1699" s="118">
        <v>612.65</v>
      </c>
      <c r="G1699" s="31">
        <f t="shared" si="52"/>
        <v>0</v>
      </c>
      <c r="H1699" s="62" t="s">
        <v>9</v>
      </c>
      <c r="K1699" s="3"/>
      <c r="M1699" s="20">
        <v>42149</v>
      </c>
      <c r="N1699" s="183">
        <v>22184</v>
      </c>
      <c r="O1699" s="14" t="s">
        <v>75</v>
      </c>
      <c r="P1699" s="105">
        <v>18956.8</v>
      </c>
      <c r="Q1699" s="65">
        <v>42150</v>
      </c>
      <c r="R1699" s="106">
        <v>18956.8</v>
      </c>
      <c r="S1699" s="31">
        <f t="shared" si="53"/>
        <v>0</v>
      </c>
      <c r="T1699" s="39" t="s">
        <v>62</v>
      </c>
    </row>
    <row r="1700" spans="1:20" x14ac:dyDescent="0.25">
      <c r="A1700" s="59">
        <v>42140</v>
      </c>
      <c r="B1700" s="183">
        <v>21274</v>
      </c>
      <c r="C1700" s="14" t="s">
        <v>102</v>
      </c>
      <c r="D1700" s="105">
        <v>2422.6</v>
      </c>
      <c r="E1700" s="23">
        <v>42140</v>
      </c>
      <c r="F1700" s="118">
        <v>2422.6</v>
      </c>
      <c r="G1700" s="31">
        <f t="shared" si="52"/>
        <v>0</v>
      </c>
      <c r="H1700" s="62" t="s">
        <v>9</v>
      </c>
      <c r="K1700" s="3"/>
      <c r="M1700" s="59">
        <v>42151</v>
      </c>
      <c r="N1700" s="183">
        <v>22392</v>
      </c>
      <c r="O1700" s="14" t="s">
        <v>75</v>
      </c>
      <c r="P1700" s="105">
        <v>16650.400000000001</v>
      </c>
      <c r="Q1700" s="23">
        <v>42152</v>
      </c>
      <c r="R1700" s="106">
        <v>16650.400000000001</v>
      </c>
      <c r="S1700" s="31">
        <f t="shared" si="53"/>
        <v>0</v>
      </c>
      <c r="T1700" s="39" t="s">
        <v>62</v>
      </c>
    </row>
    <row r="1701" spans="1:20" x14ac:dyDescent="0.25">
      <c r="A1701" s="20">
        <v>42140</v>
      </c>
      <c r="B1701" s="183">
        <v>21275</v>
      </c>
      <c r="C1701" s="14" t="s">
        <v>66</v>
      </c>
      <c r="D1701" s="105">
        <v>162.80000000000001</v>
      </c>
      <c r="E1701" s="23">
        <v>42140</v>
      </c>
      <c r="F1701" s="118">
        <v>162.80000000000001</v>
      </c>
      <c r="G1701" s="31">
        <f t="shared" si="52"/>
        <v>0</v>
      </c>
      <c r="H1701" s="62" t="s">
        <v>9</v>
      </c>
      <c r="K1701" s="3"/>
      <c r="M1701" s="20">
        <v>42153</v>
      </c>
      <c r="N1701" s="183">
        <v>22624</v>
      </c>
      <c r="O1701" s="14" t="s">
        <v>75</v>
      </c>
      <c r="P1701" s="105">
        <v>20360.400000000001</v>
      </c>
      <c r="Q1701" s="23">
        <v>42155</v>
      </c>
      <c r="R1701" s="106">
        <v>20360.400000000001</v>
      </c>
      <c r="S1701" s="31">
        <f t="shared" si="53"/>
        <v>0</v>
      </c>
      <c r="T1701" s="39" t="s">
        <v>62</v>
      </c>
    </row>
    <row r="1702" spans="1:20" x14ac:dyDescent="0.25">
      <c r="A1702" s="59">
        <v>42140</v>
      </c>
      <c r="B1702" s="183">
        <v>21276</v>
      </c>
      <c r="C1702" s="14" t="s">
        <v>100</v>
      </c>
      <c r="D1702" s="105">
        <v>2274.1999999999998</v>
      </c>
      <c r="E1702" s="23">
        <v>42140</v>
      </c>
      <c r="F1702" s="118">
        <v>2274.1999999999998</v>
      </c>
      <c r="G1702" s="31">
        <f t="shared" si="52"/>
        <v>0</v>
      </c>
      <c r="H1702" s="62" t="s">
        <v>9</v>
      </c>
      <c r="K1702" s="3"/>
      <c r="M1702" s="59">
        <v>42153</v>
      </c>
      <c r="N1702" s="183">
        <v>22625</v>
      </c>
      <c r="O1702" s="14" t="s">
        <v>75</v>
      </c>
      <c r="P1702" s="105">
        <v>316.8</v>
      </c>
      <c r="Q1702" s="23">
        <v>42155</v>
      </c>
      <c r="R1702" s="106">
        <v>316.8</v>
      </c>
      <c r="S1702" s="31">
        <f t="shared" si="53"/>
        <v>0</v>
      </c>
      <c r="T1702" s="39" t="s">
        <v>62</v>
      </c>
    </row>
    <row r="1703" spans="1:20" x14ac:dyDescent="0.25">
      <c r="A1703" s="20">
        <v>42140</v>
      </c>
      <c r="B1703" s="183">
        <v>21277</v>
      </c>
      <c r="C1703" s="14" t="s">
        <v>89</v>
      </c>
      <c r="D1703" s="105">
        <v>3340.6</v>
      </c>
      <c r="E1703" s="23">
        <v>42140</v>
      </c>
      <c r="F1703" s="118">
        <v>3340.6</v>
      </c>
      <c r="G1703" s="31">
        <f t="shared" si="52"/>
        <v>0</v>
      </c>
      <c r="H1703" s="62" t="s">
        <v>9</v>
      </c>
      <c r="K1703" s="3"/>
      <c r="M1703" s="20">
        <v>42153</v>
      </c>
      <c r="N1703" s="183">
        <v>22626</v>
      </c>
      <c r="O1703" s="14" t="s">
        <v>75</v>
      </c>
      <c r="P1703" s="105">
        <v>440</v>
      </c>
      <c r="Q1703" s="23">
        <v>42155</v>
      </c>
      <c r="R1703" s="106">
        <v>440</v>
      </c>
      <c r="S1703" s="31">
        <f t="shared" si="53"/>
        <v>0</v>
      </c>
      <c r="T1703" s="39" t="s">
        <v>62</v>
      </c>
    </row>
    <row r="1704" spans="1:20" x14ac:dyDescent="0.25">
      <c r="A1704" s="59">
        <v>42140</v>
      </c>
      <c r="B1704" s="183">
        <v>21278</v>
      </c>
      <c r="C1704" s="14" t="s">
        <v>155</v>
      </c>
      <c r="D1704" s="105">
        <v>10890</v>
      </c>
      <c r="E1704" s="23">
        <v>42140</v>
      </c>
      <c r="F1704" s="118">
        <v>10890</v>
      </c>
      <c r="G1704" s="31">
        <f t="shared" si="52"/>
        <v>0</v>
      </c>
      <c r="H1704" s="62" t="s">
        <v>9</v>
      </c>
      <c r="J1704" s="107"/>
      <c r="K1704" s="3"/>
      <c r="M1704" s="59">
        <v>42130</v>
      </c>
      <c r="N1704" s="183">
        <v>20167</v>
      </c>
      <c r="O1704" s="14" t="s">
        <v>87</v>
      </c>
      <c r="P1704" s="105">
        <v>2101.1999999999998</v>
      </c>
      <c r="Q1704" s="23">
        <v>42131</v>
      </c>
      <c r="R1704" s="106">
        <v>2101.1999999999998</v>
      </c>
      <c r="S1704" s="31">
        <f t="shared" si="53"/>
        <v>0</v>
      </c>
      <c r="T1704" s="39" t="s">
        <v>312</v>
      </c>
    </row>
    <row r="1705" spans="1:20" x14ac:dyDescent="0.25">
      <c r="A1705" s="20">
        <v>42140</v>
      </c>
      <c r="B1705" s="183">
        <v>21279</v>
      </c>
      <c r="C1705" s="14" t="s">
        <v>320</v>
      </c>
      <c r="D1705" s="105">
        <v>23215.4</v>
      </c>
      <c r="E1705" s="23">
        <v>42140</v>
      </c>
      <c r="F1705" s="118">
        <v>23215.4</v>
      </c>
      <c r="G1705" s="31">
        <f t="shared" si="52"/>
        <v>0</v>
      </c>
      <c r="H1705" s="62" t="s">
        <v>587</v>
      </c>
      <c r="K1705" s="3"/>
      <c r="M1705" s="20">
        <v>42142</v>
      </c>
      <c r="N1705" s="183">
        <v>21442</v>
      </c>
      <c r="O1705" s="14" t="s">
        <v>87</v>
      </c>
      <c r="P1705" s="105">
        <v>1909.2</v>
      </c>
      <c r="Q1705" s="65">
        <v>42142</v>
      </c>
      <c r="R1705" s="106">
        <v>1909.2</v>
      </c>
      <c r="S1705" s="31">
        <f t="shared" si="53"/>
        <v>0</v>
      </c>
      <c r="T1705" s="39" t="s">
        <v>94</v>
      </c>
    </row>
    <row r="1706" spans="1:20" x14ac:dyDescent="0.25">
      <c r="A1706" s="59">
        <v>42140</v>
      </c>
      <c r="B1706" s="183">
        <v>21280</v>
      </c>
      <c r="C1706" s="14" t="s">
        <v>1290</v>
      </c>
      <c r="D1706" s="105">
        <v>534.6</v>
      </c>
      <c r="E1706" s="23">
        <v>42140</v>
      </c>
      <c r="F1706" s="118">
        <v>534.6</v>
      </c>
      <c r="G1706" s="31">
        <f t="shared" si="52"/>
        <v>0</v>
      </c>
      <c r="H1706" s="62" t="s">
        <v>587</v>
      </c>
      <c r="K1706" s="3"/>
      <c r="M1706" s="59">
        <v>42126</v>
      </c>
      <c r="N1706" s="183">
        <v>19718</v>
      </c>
      <c r="O1706" s="40" t="s">
        <v>1281</v>
      </c>
      <c r="P1706" s="105">
        <v>9610.7999999999993</v>
      </c>
      <c r="Q1706" s="23">
        <v>42126</v>
      </c>
      <c r="R1706" s="106">
        <v>9610.7999999999993</v>
      </c>
      <c r="S1706" s="25">
        <f t="shared" si="53"/>
        <v>0</v>
      </c>
      <c r="T1706" s="41" t="s">
        <v>9</v>
      </c>
    </row>
    <row r="1707" spans="1:20" x14ac:dyDescent="0.25">
      <c r="A1707" s="20">
        <v>42140</v>
      </c>
      <c r="B1707" s="183">
        <v>21281</v>
      </c>
      <c r="C1707" s="14" t="s">
        <v>1193</v>
      </c>
      <c r="D1707" s="105">
        <v>2217.3000000000002</v>
      </c>
      <c r="E1707" s="23">
        <v>42140</v>
      </c>
      <c r="F1707" s="118">
        <v>2217.3000000000002</v>
      </c>
      <c r="G1707" s="31">
        <f t="shared" si="52"/>
        <v>0</v>
      </c>
      <c r="H1707" s="62" t="s">
        <v>587</v>
      </c>
      <c r="K1707" s="3"/>
      <c r="M1707" s="20">
        <v>42146</v>
      </c>
      <c r="N1707" s="183">
        <v>21892</v>
      </c>
      <c r="O1707" s="14" t="s">
        <v>435</v>
      </c>
      <c r="P1707" s="105">
        <v>640.32000000000005</v>
      </c>
      <c r="Q1707" s="23">
        <v>42146</v>
      </c>
      <c r="R1707" s="106">
        <v>640.32000000000005</v>
      </c>
      <c r="S1707" s="31">
        <f t="shared" si="53"/>
        <v>0</v>
      </c>
      <c r="T1707" s="39" t="s">
        <v>9</v>
      </c>
    </row>
    <row r="1708" spans="1:20" x14ac:dyDescent="0.25">
      <c r="A1708" s="59">
        <v>42140</v>
      </c>
      <c r="B1708" s="183">
        <v>21282</v>
      </c>
      <c r="C1708" s="14" t="s">
        <v>1142</v>
      </c>
      <c r="D1708" s="105">
        <v>2308.4</v>
      </c>
      <c r="E1708" s="23">
        <v>42140</v>
      </c>
      <c r="F1708" s="118">
        <v>2308.4</v>
      </c>
      <c r="G1708" s="31">
        <f t="shared" si="52"/>
        <v>0</v>
      </c>
      <c r="H1708" s="62" t="s">
        <v>9</v>
      </c>
      <c r="K1708" s="3"/>
      <c r="M1708" s="59">
        <v>42125</v>
      </c>
      <c r="N1708" s="183">
        <v>19583</v>
      </c>
      <c r="O1708" s="14" t="s">
        <v>55</v>
      </c>
      <c r="P1708" s="105">
        <v>29286.7</v>
      </c>
      <c r="Q1708" s="23">
        <v>42126</v>
      </c>
      <c r="R1708" s="106">
        <v>29286.7</v>
      </c>
      <c r="S1708" s="25">
        <f t="shared" si="53"/>
        <v>0</v>
      </c>
      <c r="T1708" s="19" t="s">
        <v>773</v>
      </c>
    </row>
    <row r="1709" spans="1:20" x14ac:dyDescent="0.25">
      <c r="A1709" s="20">
        <v>42140</v>
      </c>
      <c r="B1709" s="183">
        <v>21283</v>
      </c>
      <c r="C1709" s="150" t="s">
        <v>47</v>
      </c>
      <c r="D1709" s="105">
        <v>16508.8</v>
      </c>
      <c r="E1709" s="23">
        <v>42141</v>
      </c>
      <c r="F1709" s="118">
        <v>16508.8</v>
      </c>
      <c r="G1709" s="31">
        <f t="shared" si="52"/>
        <v>0</v>
      </c>
      <c r="H1709" s="62" t="s">
        <v>9</v>
      </c>
      <c r="K1709" s="3"/>
      <c r="M1709" s="20">
        <v>42125</v>
      </c>
      <c r="N1709" s="183">
        <v>19690</v>
      </c>
      <c r="O1709" s="14" t="s">
        <v>55</v>
      </c>
      <c r="P1709" s="105">
        <v>2745.4</v>
      </c>
      <c r="Q1709" s="23">
        <v>42126</v>
      </c>
      <c r="R1709" s="106">
        <v>2745.4</v>
      </c>
      <c r="S1709" s="25">
        <f t="shared" si="53"/>
        <v>0</v>
      </c>
      <c r="T1709" s="39" t="s">
        <v>773</v>
      </c>
    </row>
    <row r="1710" spans="1:20" x14ac:dyDescent="0.25">
      <c r="A1710" s="59">
        <v>42140</v>
      </c>
      <c r="B1710" s="183">
        <v>21284</v>
      </c>
      <c r="C1710" s="14" t="s">
        <v>233</v>
      </c>
      <c r="D1710" s="105">
        <v>15448</v>
      </c>
      <c r="E1710" s="23">
        <v>42141</v>
      </c>
      <c r="F1710" s="118">
        <v>15448</v>
      </c>
      <c r="G1710" s="31">
        <f t="shared" si="52"/>
        <v>0</v>
      </c>
      <c r="H1710" s="62" t="s">
        <v>773</v>
      </c>
      <c r="K1710" s="3"/>
      <c r="M1710" s="59">
        <v>42128</v>
      </c>
      <c r="N1710" s="183">
        <v>19915</v>
      </c>
      <c r="O1710" s="14" t="s">
        <v>55</v>
      </c>
      <c r="P1710" s="105">
        <v>24592</v>
      </c>
      <c r="Q1710" s="23">
        <v>42128</v>
      </c>
      <c r="R1710" s="106">
        <v>24592</v>
      </c>
      <c r="S1710" s="31">
        <f t="shared" si="53"/>
        <v>0</v>
      </c>
      <c r="T1710" s="19" t="s">
        <v>773</v>
      </c>
    </row>
    <row r="1711" spans="1:20" x14ac:dyDescent="0.25">
      <c r="A1711" s="20">
        <v>42140</v>
      </c>
      <c r="B1711" s="183">
        <v>21285</v>
      </c>
      <c r="C1711" s="150" t="s">
        <v>154</v>
      </c>
      <c r="D1711" s="105">
        <v>16998.400000000001</v>
      </c>
      <c r="E1711" s="23">
        <v>42141</v>
      </c>
      <c r="F1711" s="118">
        <v>16998.400000000001</v>
      </c>
      <c r="G1711" s="31">
        <f t="shared" si="52"/>
        <v>0</v>
      </c>
      <c r="H1711" s="62" t="s">
        <v>773</v>
      </c>
      <c r="K1711" s="3"/>
      <c r="M1711" s="20">
        <v>42131</v>
      </c>
      <c r="N1711" s="183">
        <v>20261</v>
      </c>
      <c r="O1711" s="14" t="s">
        <v>55</v>
      </c>
      <c r="P1711" s="105">
        <v>23014.720000000001</v>
      </c>
      <c r="Q1711" s="23">
        <v>42132</v>
      </c>
      <c r="R1711" s="106">
        <v>23014.720000000001</v>
      </c>
      <c r="S1711" s="31">
        <f t="shared" si="53"/>
        <v>0</v>
      </c>
      <c r="T1711" s="19" t="s">
        <v>773</v>
      </c>
    </row>
    <row r="1712" spans="1:20" x14ac:dyDescent="0.25">
      <c r="A1712" s="59">
        <v>42140</v>
      </c>
      <c r="B1712" s="183">
        <v>21286</v>
      </c>
      <c r="C1712" s="14" t="s">
        <v>24</v>
      </c>
      <c r="D1712" s="105">
        <v>7219.2</v>
      </c>
      <c r="E1712" s="23">
        <v>42153</v>
      </c>
      <c r="F1712" s="118">
        <v>7219.2</v>
      </c>
      <c r="G1712" s="31">
        <f t="shared" si="52"/>
        <v>0</v>
      </c>
      <c r="H1712" s="62" t="s">
        <v>773</v>
      </c>
      <c r="K1712" s="3"/>
      <c r="M1712" s="59">
        <v>42132</v>
      </c>
      <c r="N1712" s="183">
        <v>20401</v>
      </c>
      <c r="O1712" s="14" t="s">
        <v>55</v>
      </c>
      <c r="P1712" s="105">
        <v>1526.04</v>
      </c>
      <c r="Q1712" s="23">
        <v>42133</v>
      </c>
      <c r="R1712" s="106">
        <v>1526.04</v>
      </c>
      <c r="S1712" s="31">
        <f t="shared" si="53"/>
        <v>0</v>
      </c>
      <c r="T1712" s="19" t="s">
        <v>773</v>
      </c>
    </row>
    <row r="1713" spans="1:20" x14ac:dyDescent="0.25">
      <c r="A1713" s="20">
        <v>42140</v>
      </c>
      <c r="B1713" s="183">
        <v>21287</v>
      </c>
      <c r="C1713" s="14" t="s">
        <v>571</v>
      </c>
      <c r="D1713" s="105">
        <v>59583</v>
      </c>
      <c r="E1713" s="30" t="s">
        <v>1461</v>
      </c>
      <c r="F1713" s="145">
        <f>32000+27583</f>
        <v>59583</v>
      </c>
      <c r="G1713" s="31">
        <f t="shared" si="52"/>
        <v>0</v>
      </c>
      <c r="H1713" s="62" t="s">
        <v>1257</v>
      </c>
      <c r="K1713" s="3"/>
      <c r="M1713" s="20">
        <v>42133</v>
      </c>
      <c r="N1713" s="183">
        <v>20556</v>
      </c>
      <c r="O1713" s="14" t="s">
        <v>55</v>
      </c>
      <c r="P1713" s="105">
        <v>24785.45</v>
      </c>
      <c r="Q1713" s="23">
        <v>42133</v>
      </c>
      <c r="R1713" s="106">
        <v>24785.45</v>
      </c>
      <c r="S1713" s="31">
        <f t="shared" si="53"/>
        <v>0</v>
      </c>
      <c r="T1713" s="19" t="s">
        <v>46</v>
      </c>
    </row>
    <row r="1714" spans="1:20" x14ac:dyDescent="0.25">
      <c r="A1714" s="59">
        <v>42140</v>
      </c>
      <c r="B1714" s="183">
        <v>21288</v>
      </c>
      <c r="C1714" s="14" t="s">
        <v>482</v>
      </c>
      <c r="D1714" s="105">
        <v>1734</v>
      </c>
      <c r="E1714" s="23" t="s">
        <v>1470</v>
      </c>
      <c r="F1714" s="118">
        <f>1650+84</f>
        <v>1734</v>
      </c>
      <c r="G1714" s="31">
        <f t="shared" si="52"/>
        <v>0</v>
      </c>
      <c r="H1714" s="62" t="s">
        <v>9</v>
      </c>
      <c r="I1714" s="3"/>
      <c r="J1714" s="42"/>
      <c r="K1714" s="3"/>
      <c r="M1714" s="59">
        <v>42134</v>
      </c>
      <c r="N1714" s="183">
        <v>20642</v>
      </c>
      <c r="O1714" s="14" t="s">
        <v>55</v>
      </c>
      <c r="P1714" s="105">
        <v>24972.75</v>
      </c>
      <c r="Q1714" s="23">
        <v>42134</v>
      </c>
      <c r="R1714" s="106">
        <v>24972.75</v>
      </c>
      <c r="S1714" s="31">
        <f t="shared" si="53"/>
        <v>0</v>
      </c>
      <c r="T1714" s="39" t="s">
        <v>9</v>
      </c>
    </row>
    <row r="1715" spans="1:20" x14ac:dyDescent="0.25">
      <c r="A1715" s="20">
        <v>42140</v>
      </c>
      <c r="B1715" s="183">
        <v>21289</v>
      </c>
      <c r="C1715" s="14" t="s">
        <v>232</v>
      </c>
      <c r="D1715" s="105">
        <v>9028.7999999999993</v>
      </c>
      <c r="E1715" s="23">
        <v>42140</v>
      </c>
      <c r="F1715" s="118">
        <v>9028.7999999999993</v>
      </c>
      <c r="G1715" s="31">
        <f t="shared" si="52"/>
        <v>0</v>
      </c>
      <c r="H1715" s="62" t="s">
        <v>94</v>
      </c>
      <c r="I1715" s="3"/>
      <c r="J1715" s="42"/>
      <c r="K1715" s="3"/>
      <c r="M1715" s="20">
        <v>42136</v>
      </c>
      <c r="N1715" s="183">
        <v>20862</v>
      </c>
      <c r="O1715" s="14" t="s">
        <v>55</v>
      </c>
      <c r="P1715" s="105">
        <v>23234.75</v>
      </c>
      <c r="Q1715" s="23">
        <v>42137</v>
      </c>
      <c r="R1715" s="106">
        <v>23234.75</v>
      </c>
      <c r="S1715" s="31">
        <f t="shared" si="53"/>
        <v>0</v>
      </c>
      <c r="T1715" s="39" t="s">
        <v>94</v>
      </c>
    </row>
    <row r="1716" spans="1:20" x14ac:dyDescent="0.25">
      <c r="A1716" s="59">
        <v>42140</v>
      </c>
      <c r="B1716" s="183">
        <v>21290</v>
      </c>
      <c r="C1716" s="14" t="s">
        <v>484</v>
      </c>
      <c r="D1716" s="105">
        <v>12952.4</v>
      </c>
      <c r="E1716" s="23">
        <v>42147</v>
      </c>
      <c r="F1716" s="118">
        <v>12952.4</v>
      </c>
      <c r="G1716" s="31">
        <f t="shared" si="52"/>
        <v>0</v>
      </c>
      <c r="H1716" s="62" t="s">
        <v>9</v>
      </c>
      <c r="I1716" s="3"/>
      <c r="J1716" s="42"/>
      <c r="K1716" s="3"/>
      <c r="M1716" s="59">
        <v>42139</v>
      </c>
      <c r="N1716" s="183">
        <v>21087</v>
      </c>
      <c r="O1716" s="14" t="s">
        <v>55</v>
      </c>
      <c r="P1716" s="105">
        <v>26874.799999999999</v>
      </c>
      <c r="Q1716" s="23">
        <v>42140</v>
      </c>
      <c r="R1716" s="106">
        <v>26874.799999999999</v>
      </c>
      <c r="S1716" s="48">
        <f t="shared" si="53"/>
        <v>0</v>
      </c>
      <c r="T1716" s="39" t="s">
        <v>773</v>
      </c>
    </row>
    <row r="1717" spans="1:20" x14ac:dyDescent="0.25">
      <c r="A1717" s="20">
        <v>42140</v>
      </c>
      <c r="B1717" s="183">
        <v>21291</v>
      </c>
      <c r="C1717" s="14" t="s">
        <v>720</v>
      </c>
      <c r="D1717" s="105">
        <v>4468.8</v>
      </c>
      <c r="E1717" s="23">
        <v>42140</v>
      </c>
      <c r="F1717" s="118">
        <v>4468.8</v>
      </c>
      <c r="G1717" s="31">
        <f t="shared" si="52"/>
        <v>0</v>
      </c>
      <c r="H1717" s="62" t="s">
        <v>94</v>
      </c>
      <c r="I1717" s="3"/>
      <c r="J1717" s="42"/>
      <c r="K1717" s="3"/>
      <c r="M1717" s="20">
        <v>42140</v>
      </c>
      <c r="N1717" s="183">
        <v>21265</v>
      </c>
      <c r="O1717" s="14" t="s">
        <v>55</v>
      </c>
      <c r="P1717" s="105">
        <v>26238.799999999999</v>
      </c>
      <c r="Q1717" s="23">
        <v>42140</v>
      </c>
      <c r="R1717" s="106">
        <v>26238.799999999999</v>
      </c>
      <c r="S1717" s="31">
        <f t="shared" si="53"/>
        <v>0</v>
      </c>
      <c r="T1717" s="62" t="s">
        <v>1273</v>
      </c>
    </row>
    <row r="1718" spans="1:20" x14ac:dyDescent="0.25">
      <c r="A1718" s="59">
        <v>42140</v>
      </c>
      <c r="B1718" s="183">
        <v>21292</v>
      </c>
      <c r="C1718" s="14" t="s">
        <v>93</v>
      </c>
      <c r="D1718" s="105">
        <v>2947</v>
      </c>
      <c r="E1718" s="23">
        <v>42142</v>
      </c>
      <c r="F1718" s="118">
        <v>2947</v>
      </c>
      <c r="G1718" s="31">
        <f t="shared" si="52"/>
        <v>0</v>
      </c>
      <c r="H1718" s="62" t="s">
        <v>1273</v>
      </c>
      <c r="I1718" s="3"/>
      <c r="J1718" s="42"/>
      <c r="K1718" s="3"/>
      <c r="M1718" s="59">
        <v>42141</v>
      </c>
      <c r="N1718" s="183">
        <v>21341</v>
      </c>
      <c r="O1718" s="14" t="s">
        <v>55</v>
      </c>
      <c r="P1718" s="105">
        <v>25552.799999999999</v>
      </c>
      <c r="Q1718" s="23">
        <v>42142</v>
      </c>
      <c r="R1718" s="118">
        <v>25552.799999999999</v>
      </c>
      <c r="S1718" s="31">
        <f t="shared" si="53"/>
        <v>0</v>
      </c>
      <c r="T1718" s="62" t="s">
        <v>773</v>
      </c>
    </row>
    <row r="1719" spans="1:20" x14ac:dyDescent="0.25">
      <c r="A1719" s="20">
        <v>42140</v>
      </c>
      <c r="B1719" s="183">
        <v>21293</v>
      </c>
      <c r="C1719" s="14" t="s">
        <v>95</v>
      </c>
      <c r="D1719" s="105">
        <v>5383</v>
      </c>
      <c r="E1719" s="23">
        <v>42142</v>
      </c>
      <c r="F1719" s="118">
        <v>5383</v>
      </c>
      <c r="G1719" s="31">
        <f t="shared" si="52"/>
        <v>0</v>
      </c>
      <c r="H1719" s="62" t="s">
        <v>1273</v>
      </c>
      <c r="I1719" s="3"/>
      <c r="J1719" s="42"/>
      <c r="K1719" s="3"/>
      <c r="M1719" s="20">
        <v>42145</v>
      </c>
      <c r="N1719" s="183">
        <v>21759</v>
      </c>
      <c r="O1719" s="15" t="s">
        <v>55</v>
      </c>
      <c r="P1719" s="122">
        <v>24402.84</v>
      </c>
      <c r="Q1719" s="23">
        <v>42146</v>
      </c>
      <c r="R1719" s="118">
        <v>24402.84</v>
      </c>
      <c r="S1719" s="31">
        <f t="shared" si="53"/>
        <v>0</v>
      </c>
      <c r="T1719" s="68" t="s">
        <v>773</v>
      </c>
    </row>
    <row r="1720" spans="1:20" x14ac:dyDescent="0.25">
      <c r="A1720" s="59">
        <v>42140</v>
      </c>
      <c r="B1720" s="183">
        <v>21294</v>
      </c>
      <c r="C1720" s="14" t="s">
        <v>689</v>
      </c>
      <c r="D1720" s="105">
        <v>4872</v>
      </c>
      <c r="E1720" s="23">
        <v>42142</v>
      </c>
      <c r="F1720" s="118">
        <v>4872</v>
      </c>
      <c r="G1720" s="31">
        <f t="shared" si="52"/>
        <v>0</v>
      </c>
      <c r="H1720" s="62" t="s">
        <v>1273</v>
      </c>
      <c r="I1720" s="3"/>
      <c r="J1720" s="42"/>
      <c r="K1720" s="3"/>
      <c r="M1720" s="59">
        <v>42147</v>
      </c>
      <c r="N1720" s="183">
        <v>21984</v>
      </c>
      <c r="O1720" s="150" t="s">
        <v>55</v>
      </c>
      <c r="P1720" s="105">
        <v>26413.200000000001</v>
      </c>
      <c r="Q1720" s="65">
        <v>42147</v>
      </c>
      <c r="R1720" s="106">
        <v>26413.200000000001</v>
      </c>
      <c r="S1720" s="31">
        <f t="shared" si="53"/>
        <v>0</v>
      </c>
      <c r="T1720" s="39" t="s">
        <v>773</v>
      </c>
    </row>
    <row r="1721" spans="1:20" x14ac:dyDescent="0.25">
      <c r="A1721" s="20">
        <v>42140</v>
      </c>
      <c r="B1721" s="183">
        <v>21295</v>
      </c>
      <c r="C1721" s="14" t="s">
        <v>98</v>
      </c>
      <c r="D1721" s="105">
        <v>875.4</v>
      </c>
      <c r="E1721" s="23">
        <v>42142</v>
      </c>
      <c r="F1721" s="118">
        <v>875.4</v>
      </c>
      <c r="G1721" s="31">
        <f t="shared" si="52"/>
        <v>0</v>
      </c>
      <c r="H1721" s="62" t="s">
        <v>1273</v>
      </c>
      <c r="I1721" s="3"/>
      <c r="J1721" s="42"/>
      <c r="K1721" s="3"/>
      <c r="M1721" s="20">
        <v>42148</v>
      </c>
      <c r="N1721" s="183">
        <v>22107</v>
      </c>
      <c r="O1721" s="14" t="s">
        <v>55</v>
      </c>
      <c r="P1721" s="105">
        <v>27833.25</v>
      </c>
      <c r="Q1721" s="65">
        <v>42148</v>
      </c>
      <c r="R1721" s="106">
        <v>27833.25</v>
      </c>
      <c r="S1721" s="31">
        <f t="shared" si="53"/>
        <v>0</v>
      </c>
      <c r="T1721" s="39" t="s">
        <v>773</v>
      </c>
    </row>
    <row r="1722" spans="1:20" x14ac:dyDescent="0.25">
      <c r="A1722" s="59">
        <v>42140</v>
      </c>
      <c r="B1722" s="183">
        <v>21296</v>
      </c>
      <c r="C1722" s="14" t="s">
        <v>1267</v>
      </c>
      <c r="D1722" s="105">
        <v>1000</v>
      </c>
      <c r="E1722" s="23">
        <v>42142</v>
      </c>
      <c r="F1722" s="118">
        <v>1000</v>
      </c>
      <c r="G1722" s="31">
        <f t="shared" si="52"/>
        <v>0</v>
      </c>
      <c r="H1722" s="62" t="s">
        <v>1273</v>
      </c>
      <c r="I1722" s="3"/>
      <c r="J1722" s="42"/>
      <c r="K1722" s="3"/>
      <c r="M1722" s="59">
        <v>42150</v>
      </c>
      <c r="N1722" s="183">
        <v>22306</v>
      </c>
      <c r="O1722" s="14" t="s">
        <v>55</v>
      </c>
      <c r="P1722" s="105">
        <v>25379</v>
      </c>
      <c r="Q1722" s="65">
        <v>42150</v>
      </c>
      <c r="R1722" s="106">
        <v>25379</v>
      </c>
      <c r="S1722" s="31">
        <f t="shared" si="53"/>
        <v>0</v>
      </c>
      <c r="T1722" s="39" t="s">
        <v>9</v>
      </c>
    </row>
    <row r="1723" spans="1:20" x14ac:dyDescent="0.25">
      <c r="A1723" s="20">
        <v>42140</v>
      </c>
      <c r="B1723" s="183">
        <v>21297</v>
      </c>
      <c r="C1723" s="14" t="s">
        <v>411</v>
      </c>
      <c r="D1723" s="105">
        <v>1516.2</v>
      </c>
      <c r="E1723" s="23">
        <v>42140</v>
      </c>
      <c r="F1723" s="118">
        <v>1516.2</v>
      </c>
      <c r="G1723" s="31">
        <f t="shared" si="52"/>
        <v>0</v>
      </c>
      <c r="H1723" s="62" t="s">
        <v>9</v>
      </c>
      <c r="I1723" s="3"/>
      <c r="J1723" s="42"/>
      <c r="K1723" s="3"/>
      <c r="M1723" s="20">
        <v>42153</v>
      </c>
      <c r="N1723" s="183">
        <v>22585</v>
      </c>
      <c r="O1723" s="14" t="s">
        <v>55</v>
      </c>
      <c r="P1723" s="105">
        <v>23728.26</v>
      </c>
      <c r="Q1723" s="23">
        <v>42153</v>
      </c>
      <c r="R1723" s="106">
        <v>23728.26</v>
      </c>
      <c r="S1723" s="31">
        <f t="shared" si="53"/>
        <v>0</v>
      </c>
      <c r="T1723" s="39" t="s">
        <v>773</v>
      </c>
    </row>
    <row r="1724" spans="1:20" x14ac:dyDescent="0.25">
      <c r="A1724" s="59">
        <v>42140</v>
      </c>
      <c r="B1724" s="183">
        <v>21298</v>
      </c>
      <c r="C1724" s="14" t="s">
        <v>128</v>
      </c>
      <c r="D1724" s="105">
        <v>6363.8</v>
      </c>
      <c r="E1724" s="23">
        <v>42142</v>
      </c>
      <c r="F1724" s="118">
        <v>6363.8</v>
      </c>
      <c r="G1724" s="31">
        <f t="shared" si="52"/>
        <v>0</v>
      </c>
      <c r="H1724" s="62" t="s">
        <v>1257</v>
      </c>
      <c r="I1724" s="3"/>
      <c r="J1724" s="42"/>
      <c r="K1724" s="3"/>
      <c r="M1724" s="59">
        <v>42154</v>
      </c>
      <c r="N1724" s="183">
        <v>22680</v>
      </c>
      <c r="O1724" s="14" t="s">
        <v>55</v>
      </c>
      <c r="P1724" s="105">
        <v>28249.200000000001</v>
      </c>
      <c r="Q1724" s="23">
        <v>42154</v>
      </c>
      <c r="R1724" s="106">
        <v>28249.200000000001</v>
      </c>
      <c r="S1724" s="31">
        <f t="shared" si="53"/>
        <v>0</v>
      </c>
      <c r="T1724" s="39" t="s">
        <v>773</v>
      </c>
    </row>
    <row r="1725" spans="1:20" x14ac:dyDescent="0.25">
      <c r="A1725" s="20">
        <v>42140</v>
      </c>
      <c r="B1725" s="183">
        <v>21299</v>
      </c>
      <c r="C1725" s="14" t="s">
        <v>375</v>
      </c>
      <c r="D1725" s="105">
        <v>2220</v>
      </c>
      <c r="E1725" s="23" t="s">
        <v>1405</v>
      </c>
      <c r="F1725" s="118">
        <f>1150+1070</f>
        <v>2220</v>
      </c>
      <c r="G1725" s="31">
        <f t="shared" si="52"/>
        <v>0</v>
      </c>
      <c r="H1725" s="62" t="s">
        <v>9</v>
      </c>
      <c r="I1725" s="3"/>
      <c r="J1725" s="42"/>
      <c r="K1725" s="3"/>
      <c r="M1725" s="20">
        <v>42155</v>
      </c>
      <c r="N1725" s="183">
        <v>22806</v>
      </c>
      <c r="O1725" s="14" t="s">
        <v>55</v>
      </c>
      <c r="P1725" s="105">
        <v>740</v>
      </c>
      <c r="Q1725" s="23">
        <v>42155</v>
      </c>
      <c r="R1725" s="106">
        <v>740</v>
      </c>
      <c r="S1725" s="31">
        <f t="shared" si="53"/>
        <v>0</v>
      </c>
      <c r="T1725" s="39" t="s">
        <v>773</v>
      </c>
    </row>
    <row r="1726" spans="1:20" x14ac:dyDescent="0.25">
      <c r="A1726" s="59">
        <v>42140</v>
      </c>
      <c r="B1726" s="183">
        <v>21300</v>
      </c>
      <c r="C1726" s="14" t="s">
        <v>38</v>
      </c>
      <c r="D1726" s="105">
        <v>17731</v>
      </c>
      <c r="E1726" s="30">
        <v>42178</v>
      </c>
      <c r="F1726" s="145">
        <v>17731</v>
      </c>
      <c r="G1726" s="31">
        <f t="shared" si="52"/>
        <v>0</v>
      </c>
      <c r="H1726" s="62" t="s">
        <v>1257</v>
      </c>
      <c r="I1726" s="3"/>
      <c r="J1726" s="42"/>
      <c r="K1726" s="3"/>
      <c r="M1726" s="59">
        <v>42131</v>
      </c>
      <c r="N1726" s="183">
        <v>20277</v>
      </c>
      <c r="O1726" s="150" t="s">
        <v>239</v>
      </c>
      <c r="P1726" s="105">
        <v>7120.2</v>
      </c>
      <c r="Q1726" s="23">
        <v>42131</v>
      </c>
      <c r="R1726" s="106">
        <v>7120.2</v>
      </c>
      <c r="S1726" s="31">
        <f t="shared" si="53"/>
        <v>0</v>
      </c>
      <c r="T1726" s="19" t="s">
        <v>9</v>
      </c>
    </row>
    <row r="1727" spans="1:20" x14ac:dyDescent="0.25">
      <c r="A1727" s="20">
        <v>42140</v>
      </c>
      <c r="B1727" s="183">
        <v>21301</v>
      </c>
      <c r="C1727" s="14" t="s">
        <v>141</v>
      </c>
      <c r="D1727" s="105">
        <v>2529.8000000000002</v>
      </c>
      <c r="E1727" s="23">
        <v>42140</v>
      </c>
      <c r="F1727" s="118">
        <v>2529.8000000000002</v>
      </c>
      <c r="G1727" s="31">
        <f t="shared" si="52"/>
        <v>0</v>
      </c>
      <c r="H1727" s="62" t="s">
        <v>9</v>
      </c>
      <c r="I1727" s="3"/>
      <c r="J1727" s="42"/>
      <c r="K1727" s="3"/>
      <c r="M1727" s="20">
        <v>42136</v>
      </c>
      <c r="N1727" s="183">
        <v>20833</v>
      </c>
      <c r="O1727" s="14" t="s">
        <v>239</v>
      </c>
      <c r="P1727" s="105">
        <v>3006.8</v>
      </c>
      <c r="Q1727" s="23"/>
      <c r="R1727" s="106"/>
      <c r="S1727" s="31">
        <f t="shared" si="53"/>
        <v>3006.8</v>
      </c>
      <c r="T1727" s="39" t="s">
        <v>9</v>
      </c>
    </row>
    <row r="1728" spans="1:20" x14ac:dyDescent="0.25">
      <c r="A1728" s="59">
        <v>42140</v>
      </c>
      <c r="B1728" s="183">
        <v>21302</v>
      </c>
      <c r="C1728" s="26" t="s">
        <v>218</v>
      </c>
      <c r="D1728" s="108">
        <v>0</v>
      </c>
      <c r="E1728" s="23"/>
      <c r="F1728" s="118"/>
      <c r="G1728" s="31">
        <f t="shared" si="52"/>
        <v>0</v>
      </c>
      <c r="H1728" s="62" t="s">
        <v>13</v>
      </c>
      <c r="I1728" s="3"/>
      <c r="J1728" s="42"/>
      <c r="K1728" s="3"/>
      <c r="M1728" s="59">
        <v>42140</v>
      </c>
      <c r="N1728" s="183">
        <v>21273</v>
      </c>
      <c r="O1728" s="14" t="s">
        <v>239</v>
      </c>
      <c r="P1728" s="105">
        <v>612.65</v>
      </c>
      <c r="Q1728" s="23">
        <v>42140</v>
      </c>
      <c r="R1728" s="118">
        <v>612.65</v>
      </c>
      <c r="S1728" s="31">
        <f t="shared" si="53"/>
        <v>0</v>
      </c>
      <c r="T1728" s="62" t="s">
        <v>9</v>
      </c>
    </row>
    <row r="1729" spans="1:20" x14ac:dyDescent="0.25">
      <c r="A1729" s="20">
        <v>42140</v>
      </c>
      <c r="B1729" s="183">
        <v>21303</v>
      </c>
      <c r="C1729" s="14" t="s">
        <v>108</v>
      </c>
      <c r="D1729" s="105">
        <v>18841.2</v>
      </c>
      <c r="E1729" s="23" t="s">
        <v>1315</v>
      </c>
      <c r="F1729" s="118">
        <f>915.6+17925.6</f>
        <v>18841.199999999997</v>
      </c>
      <c r="G1729" s="31">
        <f t="shared" si="52"/>
        <v>0</v>
      </c>
      <c r="H1729" s="62" t="s">
        <v>1257</v>
      </c>
      <c r="I1729" s="3"/>
      <c r="J1729" s="42"/>
      <c r="K1729" s="3"/>
      <c r="M1729" s="20">
        <v>42142</v>
      </c>
      <c r="N1729" s="183">
        <v>21410</v>
      </c>
      <c r="O1729" s="14" t="s">
        <v>239</v>
      </c>
      <c r="P1729" s="105">
        <v>688.8</v>
      </c>
      <c r="Q1729" s="23">
        <v>42142</v>
      </c>
      <c r="R1729" s="118">
        <v>688.8</v>
      </c>
      <c r="S1729" s="31">
        <f t="shared" si="53"/>
        <v>0</v>
      </c>
      <c r="T1729" s="56" t="s">
        <v>9</v>
      </c>
    </row>
    <row r="1730" spans="1:20" x14ac:dyDescent="0.25">
      <c r="A1730" s="59">
        <v>42140</v>
      </c>
      <c r="B1730" s="183">
        <v>21304</v>
      </c>
      <c r="C1730" s="14" t="s">
        <v>1368</v>
      </c>
      <c r="D1730" s="105">
        <v>21880.799999999999</v>
      </c>
      <c r="E1730" s="23">
        <v>42142</v>
      </c>
      <c r="F1730" s="118">
        <v>21880.799999999999</v>
      </c>
      <c r="G1730" s="31">
        <f t="shared" si="52"/>
        <v>0</v>
      </c>
      <c r="H1730" s="62" t="s">
        <v>1273</v>
      </c>
      <c r="K1730" s="3"/>
      <c r="M1730" s="59">
        <v>42143</v>
      </c>
      <c r="N1730" s="183">
        <v>21581</v>
      </c>
      <c r="O1730" s="14" t="s">
        <v>239</v>
      </c>
      <c r="P1730" s="105">
        <v>3145.5</v>
      </c>
      <c r="Q1730" s="23">
        <v>42143</v>
      </c>
      <c r="R1730" s="106">
        <v>3145.5</v>
      </c>
      <c r="S1730" s="31">
        <f t="shared" si="53"/>
        <v>0</v>
      </c>
      <c r="T1730" s="56" t="s">
        <v>9</v>
      </c>
    </row>
    <row r="1731" spans="1:20" x14ac:dyDescent="0.25">
      <c r="A1731" s="20">
        <v>42140</v>
      </c>
      <c r="B1731" s="183">
        <v>21305</v>
      </c>
      <c r="C1731" s="14" t="s">
        <v>53</v>
      </c>
      <c r="D1731" s="105">
        <v>2880</v>
      </c>
      <c r="E1731" s="23">
        <v>42140</v>
      </c>
      <c r="F1731" s="118">
        <v>2880</v>
      </c>
      <c r="G1731" s="31">
        <f t="shared" ref="G1731:G1794" si="54">D1731-F1731</f>
        <v>0</v>
      </c>
      <c r="H1731" s="62" t="s">
        <v>59</v>
      </c>
      <c r="K1731" s="3"/>
      <c r="M1731" s="20">
        <v>42149</v>
      </c>
      <c r="N1731" s="183">
        <v>22153</v>
      </c>
      <c r="O1731" s="14" t="s">
        <v>239</v>
      </c>
      <c r="P1731" s="105">
        <v>4666.2</v>
      </c>
      <c r="Q1731" s="65">
        <v>42149</v>
      </c>
      <c r="R1731" s="106">
        <v>4666.2</v>
      </c>
      <c r="S1731" s="31">
        <f t="shared" ref="S1731:S1794" si="55">P1731-R1731</f>
        <v>0</v>
      </c>
      <c r="T1731" s="39" t="s">
        <v>9</v>
      </c>
    </row>
    <row r="1732" spans="1:20" x14ac:dyDescent="0.25">
      <c r="A1732" s="59">
        <v>42140</v>
      </c>
      <c r="B1732" s="183">
        <v>21306</v>
      </c>
      <c r="C1732" s="14" t="s">
        <v>14</v>
      </c>
      <c r="D1732" s="105">
        <v>246506.31</v>
      </c>
      <c r="E1732" s="23">
        <v>42153</v>
      </c>
      <c r="F1732" s="118">
        <v>246506.31</v>
      </c>
      <c r="G1732" s="31">
        <f t="shared" si="54"/>
        <v>0</v>
      </c>
      <c r="H1732" s="62" t="s">
        <v>1013</v>
      </c>
      <c r="K1732" s="3"/>
      <c r="M1732" s="59">
        <v>42149</v>
      </c>
      <c r="N1732" s="183">
        <v>22218</v>
      </c>
      <c r="O1732" s="14" t="s">
        <v>239</v>
      </c>
      <c r="P1732" s="105">
        <v>619.04999999999995</v>
      </c>
      <c r="Q1732" s="65">
        <v>42149</v>
      </c>
      <c r="R1732" s="106">
        <v>619.04999999999995</v>
      </c>
      <c r="S1732" s="31">
        <f t="shared" si="55"/>
        <v>0</v>
      </c>
      <c r="T1732" s="39" t="s">
        <v>9</v>
      </c>
    </row>
    <row r="1733" spans="1:20" x14ac:dyDescent="0.25">
      <c r="A1733" s="20">
        <v>42140</v>
      </c>
      <c r="B1733" s="183">
        <v>21307</v>
      </c>
      <c r="C1733" s="14" t="s">
        <v>1262</v>
      </c>
      <c r="D1733" s="105">
        <v>26448</v>
      </c>
      <c r="E1733" s="23">
        <v>42147</v>
      </c>
      <c r="F1733" s="118">
        <v>26448</v>
      </c>
      <c r="G1733" s="31">
        <f t="shared" si="54"/>
        <v>0</v>
      </c>
      <c r="H1733" s="62" t="s">
        <v>587</v>
      </c>
      <c r="K1733" s="3"/>
      <c r="M1733" s="20">
        <v>42153</v>
      </c>
      <c r="N1733" s="183">
        <v>22592</v>
      </c>
      <c r="O1733" s="14" t="s">
        <v>239</v>
      </c>
      <c r="P1733" s="105">
        <v>940.95</v>
      </c>
      <c r="Q1733" s="23">
        <v>42153</v>
      </c>
      <c r="R1733" s="106">
        <v>940.95</v>
      </c>
      <c r="S1733" s="31">
        <f t="shared" si="55"/>
        <v>0</v>
      </c>
      <c r="T1733" s="39" t="s">
        <v>9</v>
      </c>
    </row>
    <row r="1734" spans="1:20" x14ac:dyDescent="0.25">
      <c r="A1734" s="59">
        <v>42140</v>
      </c>
      <c r="B1734" s="183">
        <v>21308</v>
      </c>
      <c r="C1734" s="14" t="s">
        <v>694</v>
      </c>
      <c r="D1734" s="105">
        <v>1134.5999999999999</v>
      </c>
      <c r="E1734" s="23">
        <v>42140</v>
      </c>
      <c r="F1734" s="118">
        <v>1134.5999999999999</v>
      </c>
      <c r="G1734" s="31">
        <f t="shared" si="54"/>
        <v>0</v>
      </c>
      <c r="H1734" s="62" t="s">
        <v>9</v>
      </c>
      <c r="K1734" s="3"/>
      <c r="M1734" s="59">
        <v>42138</v>
      </c>
      <c r="N1734" s="183">
        <v>20984</v>
      </c>
      <c r="O1734" s="14" t="s">
        <v>115</v>
      </c>
      <c r="P1734" s="105">
        <v>791.7</v>
      </c>
      <c r="Q1734" s="23">
        <v>42138</v>
      </c>
      <c r="R1734" s="106">
        <v>791.7</v>
      </c>
      <c r="S1734" s="31">
        <f t="shared" si="55"/>
        <v>0</v>
      </c>
      <c r="T1734" s="19" t="s">
        <v>9</v>
      </c>
    </row>
    <row r="1735" spans="1:20" x14ac:dyDescent="0.25">
      <c r="A1735" s="20">
        <v>42140</v>
      </c>
      <c r="B1735" s="183">
        <v>21309</v>
      </c>
      <c r="C1735" s="14" t="s">
        <v>1336</v>
      </c>
      <c r="D1735" s="105">
        <v>3627.6</v>
      </c>
      <c r="E1735" s="23">
        <v>42142</v>
      </c>
      <c r="F1735" s="118">
        <v>3627.6</v>
      </c>
      <c r="G1735" s="31">
        <f t="shared" si="54"/>
        <v>0</v>
      </c>
      <c r="H1735" s="62" t="s">
        <v>59</v>
      </c>
      <c r="K1735" s="3"/>
      <c r="M1735" s="20">
        <v>42143</v>
      </c>
      <c r="N1735" s="183">
        <v>21564</v>
      </c>
      <c r="O1735" s="14" t="s">
        <v>115</v>
      </c>
      <c r="P1735" s="105">
        <v>736.85</v>
      </c>
      <c r="Q1735" s="23">
        <v>42143</v>
      </c>
      <c r="R1735" s="118">
        <v>736.85</v>
      </c>
      <c r="S1735" s="31">
        <f t="shared" si="55"/>
        <v>0</v>
      </c>
      <c r="T1735" s="56" t="s">
        <v>9</v>
      </c>
    </row>
    <row r="1736" spans="1:20" x14ac:dyDescent="0.25">
      <c r="A1736" s="59">
        <v>42140</v>
      </c>
      <c r="B1736" s="183">
        <v>21310</v>
      </c>
      <c r="C1736" s="14" t="s">
        <v>1338</v>
      </c>
      <c r="D1736" s="105">
        <v>32291.4</v>
      </c>
      <c r="E1736" s="23">
        <v>42153</v>
      </c>
      <c r="F1736" s="118">
        <v>32291.4</v>
      </c>
      <c r="G1736" s="31">
        <f t="shared" si="54"/>
        <v>0</v>
      </c>
      <c r="H1736" s="62" t="s">
        <v>59</v>
      </c>
      <c r="K1736" s="3"/>
      <c r="M1736" s="59">
        <v>42147</v>
      </c>
      <c r="N1736" s="183">
        <v>22018</v>
      </c>
      <c r="O1736" s="14" t="s">
        <v>115</v>
      </c>
      <c r="P1736" s="105">
        <v>654.6</v>
      </c>
      <c r="Q1736" s="65">
        <v>42147</v>
      </c>
      <c r="R1736" s="106">
        <v>654.6</v>
      </c>
      <c r="S1736" s="31">
        <f t="shared" si="55"/>
        <v>0</v>
      </c>
      <c r="T1736" s="39" t="s">
        <v>9</v>
      </c>
    </row>
    <row r="1737" spans="1:20" x14ac:dyDescent="0.25">
      <c r="A1737" s="20">
        <v>42140</v>
      </c>
      <c r="B1737" s="183">
        <v>21311</v>
      </c>
      <c r="C1737" s="14" t="s">
        <v>1262</v>
      </c>
      <c r="D1737" s="105">
        <v>25584.45</v>
      </c>
      <c r="E1737" s="23">
        <v>42147</v>
      </c>
      <c r="F1737" s="118">
        <v>25584.45</v>
      </c>
      <c r="G1737" s="31">
        <f t="shared" si="54"/>
        <v>0</v>
      </c>
      <c r="H1737" s="62" t="s">
        <v>9</v>
      </c>
      <c r="K1737" s="3"/>
      <c r="M1737" s="20">
        <v>42148</v>
      </c>
      <c r="N1737" s="183">
        <v>22114</v>
      </c>
      <c r="O1737" s="14" t="s">
        <v>115</v>
      </c>
      <c r="P1737" s="105">
        <v>734.9</v>
      </c>
      <c r="Q1737" s="65">
        <v>42148</v>
      </c>
      <c r="R1737" s="106">
        <v>734.9</v>
      </c>
      <c r="S1737" s="31">
        <f t="shared" si="55"/>
        <v>0</v>
      </c>
      <c r="T1737" s="39" t="s">
        <v>9</v>
      </c>
    </row>
    <row r="1738" spans="1:20" x14ac:dyDescent="0.25">
      <c r="A1738" s="59">
        <v>42140</v>
      </c>
      <c r="B1738" s="183">
        <v>21312</v>
      </c>
      <c r="C1738" s="14" t="s">
        <v>145</v>
      </c>
      <c r="D1738" s="105">
        <v>3172</v>
      </c>
      <c r="E1738" s="23">
        <v>42140</v>
      </c>
      <c r="F1738" s="118">
        <v>3172</v>
      </c>
      <c r="G1738" s="31">
        <f t="shared" si="54"/>
        <v>0</v>
      </c>
      <c r="H1738" s="62" t="s">
        <v>9</v>
      </c>
      <c r="K1738" s="3"/>
      <c r="M1738" s="59">
        <v>42149</v>
      </c>
      <c r="N1738" s="183">
        <v>22152</v>
      </c>
      <c r="O1738" s="14" t="s">
        <v>115</v>
      </c>
      <c r="P1738" s="105">
        <v>7233.6</v>
      </c>
      <c r="Q1738" s="65">
        <v>42149</v>
      </c>
      <c r="R1738" s="106">
        <v>7233.6</v>
      </c>
      <c r="S1738" s="31">
        <f t="shared" si="55"/>
        <v>0</v>
      </c>
      <c r="T1738" s="39" t="s">
        <v>9</v>
      </c>
    </row>
    <row r="1739" spans="1:20" x14ac:dyDescent="0.25">
      <c r="A1739" s="20">
        <v>42140</v>
      </c>
      <c r="B1739" s="183">
        <v>21313</v>
      </c>
      <c r="C1739" s="14" t="s">
        <v>141</v>
      </c>
      <c r="D1739" s="105">
        <v>896</v>
      </c>
      <c r="E1739" s="23">
        <v>42140</v>
      </c>
      <c r="F1739" s="118">
        <v>896</v>
      </c>
      <c r="G1739" s="31">
        <f t="shared" si="54"/>
        <v>0</v>
      </c>
      <c r="H1739" s="62" t="s">
        <v>9</v>
      </c>
      <c r="K1739" s="3"/>
      <c r="M1739" s="20">
        <v>42152</v>
      </c>
      <c r="N1739" s="183">
        <v>22471</v>
      </c>
      <c r="O1739" s="14" t="s">
        <v>1184</v>
      </c>
      <c r="P1739" s="105">
        <v>393.45</v>
      </c>
      <c r="Q1739" s="23">
        <v>42152</v>
      </c>
      <c r="R1739" s="106">
        <v>393.45</v>
      </c>
      <c r="S1739" s="31">
        <f t="shared" si="55"/>
        <v>0</v>
      </c>
      <c r="T1739" s="39" t="s">
        <v>9</v>
      </c>
    </row>
    <row r="1740" spans="1:20" x14ac:dyDescent="0.25">
      <c r="A1740" s="59">
        <v>42140</v>
      </c>
      <c r="B1740" s="183">
        <v>21314</v>
      </c>
      <c r="C1740" s="14" t="s">
        <v>74</v>
      </c>
      <c r="D1740" s="105">
        <v>699.2</v>
      </c>
      <c r="E1740" s="23">
        <v>42140</v>
      </c>
      <c r="F1740" s="118">
        <v>699.2</v>
      </c>
      <c r="G1740" s="31">
        <f t="shared" si="54"/>
        <v>0</v>
      </c>
      <c r="H1740" s="62" t="s">
        <v>9</v>
      </c>
      <c r="K1740" s="3"/>
      <c r="M1740" s="59">
        <v>42125</v>
      </c>
      <c r="N1740" s="183">
        <v>19672</v>
      </c>
      <c r="O1740" s="14" t="s">
        <v>77</v>
      </c>
      <c r="P1740" s="105">
        <v>10322.4</v>
      </c>
      <c r="Q1740" s="23">
        <v>42126</v>
      </c>
      <c r="R1740" s="106">
        <v>10322.4</v>
      </c>
      <c r="S1740" s="25">
        <f t="shared" si="55"/>
        <v>0</v>
      </c>
      <c r="T1740" s="39" t="s">
        <v>62</v>
      </c>
    </row>
    <row r="1741" spans="1:20" x14ac:dyDescent="0.25">
      <c r="A1741" s="20">
        <v>42140</v>
      </c>
      <c r="B1741" s="183">
        <v>21315</v>
      </c>
      <c r="C1741" s="14" t="s">
        <v>1020</v>
      </c>
      <c r="D1741" s="105">
        <v>4384</v>
      </c>
      <c r="E1741" s="23">
        <v>42140</v>
      </c>
      <c r="F1741" s="118">
        <v>4384</v>
      </c>
      <c r="G1741" s="31">
        <f t="shared" si="54"/>
        <v>0</v>
      </c>
      <c r="H1741" s="62" t="s">
        <v>9</v>
      </c>
      <c r="K1741" s="3"/>
      <c r="M1741" s="20">
        <v>42128</v>
      </c>
      <c r="N1741" s="183">
        <v>19947</v>
      </c>
      <c r="O1741" s="14" t="s">
        <v>77</v>
      </c>
      <c r="P1741" s="105">
        <v>11186</v>
      </c>
      <c r="Q1741" s="23">
        <v>42129</v>
      </c>
      <c r="R1741" s="106">
        <v>11186</v>
      </c>
      <c r="S1741" s="31">
        <f t="shared" si="55"/>
        <v>0</v>
      </c>
      <c r="T1741" s="19" t="s">
        <v>62</v>
      </c>
    </row>
    <row r="1742" spans="1:20" x14ac:dyDescent="0.25">
      <c r="A1742" s="59">
        <v>42140</v>
      </c>
      <c r="B1742" s="183">
        <v>21316</v>
      </c>
      <c r="C1742" s="14" t="s">
        <v>24</v>
      </c>
      <c r="D1742" s="105">
        <v>378670.7</v>
      </c>
      <c r="E1742" s="212" t="s">
        <v>1462</v>
      </c>
      <c r="F1742" s="145">
        <f>350165.82+28504.88</f>
        <v>378670.7</v>
      </c>
      <c r="G1742" s="31">
        <f t="shared" si="54"/>
        <v>0</v>
      </c>
      <c r="H1742" s="62" t="s">
        <v>46</v>
      </c>
      <c r="K1742" s="3"/>
      <c r="M1742" s="59">
        <v>42132</v>
      </c>
      <c r="N1742" s="183">
        <v>20386</v>
      </c>
      <c r="O1742" s="14" t="s">
        <v>77</v>
      </c>
      <c r="P1742" s="105">
        <v>21922.6</v>
      </c>
      <c r="Q1742" s="23">
        <v>42134</v>
      </c>
      <c r="R1742" s="106">
        <v>21922.6</v>
      </c>
      <c r="S1742" s="31">
        <f t="shared" si="55"/>
        <v>0</v>
      </c>
      <c r="T1742" s="19" t="s">
        <v>62</v>
      </c>
    </row>
    <row r="1743" spans="1:20" x14ac:dyDescent="0.25">
      <c r="A1743" s="20">
        <v>42140</v>
      </c>
      <c r="B1743" s="183">
        <v>21317</v>
      </c>
      <c r="C1743" s="14" t="s">
        <v>102</v>
      </c>
      <c r="D1743" s="105">
        <v>1843.6</v>
      </c>
      <c r="E1743" s="23">
        <v>42140</v>
      </c>
      <c r="F1743" s="118">
        <v>1843.6</v>
      </c>
      <c r="G1743" s="31">
        <f t="shared" si="54"/>
        <v>0</v>
      </c>
      <c r="H1743" s="62" t="s">
        <v>9</v>
      </c>
      <c r="K1743" s="3"/>
      <c r="M1743" s="20">
        <v>42137</v>
      </c>
      <c r="N1743" s="183">
        <v>20915</v>
      </c>
      <c r="O1743" s="14" t="s">
        <v>77</v>
      </c>
      <c r="P1743" s="105">
        <v>11417.8</v>
      </c>
      <c r="Q1743" s="23">
        <v>42138</v>
      </c>
      <c r="R1743" s="106">
        <v>11417.8</v>
      </c>
      <c r="S1743" s="31">
        <f t="shared" si="55"/>
        <v>0</v>
      </c>
      <c r="T1743" s="19" t="s">
        <v>62</v>
      </c>
    </row>
    <row r="1744" spans="1:20" x14ac:dyDescent="0.25">
      <c r="A1744" s="59">
        <v>42140</v>
      </c>
      <c r="B1744" s="183">
        <v>21318</v>
      </c>
      <c r="C1744" s="14" t="s">
        <v>24</v>
      </c>
      <c r="D1744" s="105">
        <v>13923.4</v>
      </c>
      <c r="E1744" s="30">
        <v>42165</v>
      </c>
      <c r="F1744" s="145">
        <v>13923.4</v>
      </c>
      <c r="G1744" s="31">
        <f t="shared" si="54"/>
        <v>0</v>
      </c>
      <c r="H1744" s="62" t="s">
        <v>46</v>
      </c>
      <c r="K1744" s="3"/>
      <c r="M1744" s="59">
        <v>42137</v>
      </c>
      <c r="N1744" s="183">
        <v>20916</v>
      </c>
      <c r="O1744" s="14" t="s">
        <v>77</v>
      </c>
      <c r="P1744" s="105">
        <v>7210</v>
      </c>
      <c r="Q1744" s="23">
        <v>42138</v>
      </c>
      <c r="R1744" s="106">
        <v>7210</v>
      </c>
      <c r="S1744" s="31">
        <f t="shared" si="55"/>
        <v>0</v>
      </c>
      <c r="T1744" s="19" t="s">
        <v>62</v>
      </c>
    </row>
    <row r="1745" spans="1:20" x14ac:dyDescent="0.25">
      <c r="A1745" s="20">
        <v>42140</v>
      </c>
      <c r="B1745" s="183">
        <v>21319</v>
      </c>
      <c r="C1745" s="14" t="s">
        <v>462</v>
      </c>
      <c r="D1745" s="105">
        <v>35.200000000000003</v>
      </c>
      <c r="E1745" s="23">
        <v>42140</v>
      </c>
      <c r="F1745" s="118">
        <v>35.200000000000003</v>
      </c>
      <c r="G1745" s="31">
        <f t="shared" si="54"/>
        <v>0</v>
      </c>
      <c r="H1745" s="62" t="s">
        <v>9</v>
      </c>
      <c r="J1745" s="107"/>
      <c r="K1745" s="3"/>
      <c r="M1745" s="20">
        <v>42139</v>
      </c>
      <c r="N1745" s="183">
        <v>21188</v>
      </c>
      <c r="O1745" s="14" t="s">
        <v>1402</v>
      </c>
      <c r="P1745" s="105">
        <v>897</v>
      </c>
      <c r="Q1745" s="23">
        <v>42140</v>
      </c>
      <c r="R1745" s="106">
        <v>897</v>
      </c>
      <c r="S1745" s="48">
        <f t="shared" si="55"/>
        <v>0</v>
      </c>
      <c r="T1745" s="39" t="s">
        <v>62</v>
      </c>
    </row>
    <row r="1746" spans="1:20" x14ac:dyDescent="0.25">
      <c r="A1746" s="20">
        <v>42140</v>
      </c>
      <c r="B1746" s="183">
        <v>21320</v>
      </c>
      <c r="C1746" s="14" t="s">
        <v>829</v>
      </c>
      <c r="D1746" s="105">
        <v>4581.2</v>
      </c>
      <c r="E1746" s="23">
        <v>42140</v>
      </c>
      <c r="F1746" s="118">
        <v>4581.2</v>
      </c>
      <c r="G1746" s="31">
        <f t="shared" si="54"/>
        <v>0</v>
      </c>
      <c r="H1746" s="62" t="s">
        <v>9</v>
      </c>
      <c r="J1746" s="107"/>
      <c r="K1746" s="3"/>
      <c r="M1746" s="20">
        <v>42142</v>
      </c>
      <c r="N1746" s="183">
        <v>21463</v>
      </c>
      <c r="O1746" s="14" t="s">
        <v>1402</v>
      </c>
      <c r="P1746" s="105">
        <v>8865</v>
      </c>
      <c r="Q1746" s="65">
        <v>42144</v>
      </c>
      <c r="R1746" s="106">
        <v>8865</v>
      </c>
      <c r="S1746" s="31">
        <f t="shared" si="55"/>
        <v>0</v>
      </c>
      <c r="T1746" s="19" t="s">
        <v>62</v>
      </c>
    </row>
    <row r="1747" spans="1:20" x14ac:dyDescent="0.25">
      <c r="A1747" s="20">
        <v>42141</v>
      </c>
      <c r="B1747" s="183">
        <v>21321</v>
      </c>
      <c r="C1747" s="150" t="s">
        <v>464</v>
      </c>
      <c r="D1747" s="105">
        <v>1321.6</v>
      </c>
      <c r="E1747" s="23">
        <v>42141</v>
      </c>
      <c r="F1747" s="118">
        <v>1321.6</v>
      </c>
      <c r="G1747" s="31">
        <f t="shared" si="54"/>
        <v>0</v>
      </c>
      <c r="H1747" s="62" t="s">
        <v>9</v>
      </c>
      <c r="K1747" s="3"/>
      <c r="M1747" s="20">
        <v>42142</v>
      </c>
      <c r="N1747" s="183">
        <v>21478</v>
      </c>
      <c r="O1747" s="14" t="s">
        <v>1402</v>
      </c>
      <c r="P1747" s="105">
        <v>7531.2</v>
      </c>
      <c r="Q1747" s="65">
        <v>42144</v>
      </c>
      <c r="R1747" s="106">
        <v>7531.2</v>
      </c>
      <c r="S1747" s="31">
        <f t="shared" si="55"/>
        <v>0</v>
      </c>
      <c r="T1747" s="19" t="s">
        <v>62</v>
      </c>
    </row>
    <row r="1748" spans="1:20" x14ac:dyDescent="0.25">
      <c r="A1748" s="20">
        <v>42141</v>
      </c>
      <c r="B1748" s="183">
        <v>21322</v>
      </c>
      <c r="C1748" s="14" t="s">
        <v>1406</v>
      </c>
      <c r="D1748" s="105">
        <v>1801.4</v>
      </c>
      <c r="E1748" s="23">
        <v>42141</v>
      </c>
      <c r="F1748" s="118">
        <v>1801.4</v>
      </c>
      <c r="G1748" s="31">
        <f t="shared" si="54"/>
        <v>0</v>
      </c>
      <c r="H1748" s="62" t="s">
        <v>9</v>
      </c>
      <c r="K1748" s="3"/>
      <c r="M1748" s="20">
        <v>42144</v>
      </c>
      <c r="N1748" s="183">
        <v>21655</v>
      </c>
      <c r="O1748" s="14" t="s">
        <v>1402</v>
      </c>
      <c r="P1748" s="105">
        <v>8088.2</v>
      </c>
      <c r="Q1748" s="23">
        <v>42145</v>
      </c>
      <c r="R1748" s="118">
        <v>8088.2</v>
      </c>
      <c r="S1748" s="31">
        <f t="shared" si="55"/>
        <v>0</v>
      </c>
      <c r="T1748" s="62" t="s">
        <v>62</v>
      </c>
    </row>
    <row r="1749" spans="1:20" x14ac:dyDescent="0.25">
      <c r="A1749" s="20">
        <v>42141</v>
      </c>
      <c r="B1749" s="183">
        <v>21323</v>
      </c>
      <c r="C1749" s="14" t="s">
        <v>1265</v>
      </c>
      <c r="D1749" s="105">
        <v>7574.2</v>
      </c>
      <c r="E1749" s="23">
        <v>42141</v>
      </c>
      <c r="F1749" s="118">
        <v>7574.2</v>
      </c>
      <c r="G1749" s="31">
        <f t="shared" si="54"/>
        <v>0</v>
      </c>
      <c r="H1749" s="62" t="s">
        <v>9</v>
      </c>
      <c r="K1749" s="3"/>
      <c r="M1749" s="20">
        <v>42144</v>
      </c>
      <c r="N1749" s="183">
        <v>21657</v>
      </c>
      <c r="O1749" s="14" t="s">
        <v>1402</v>
      </c>
      <c r="P1749" s="105">
        <v>11792.4</v>
      </c>
      <c r="Q1749" s="23">
        <v>42145</v>
      </c>
      <c r="R1749" s="118">
        <v>11792.4</v>
      </c>
      <c r="S1749" s="31">
        <f t="shared" si="55"/>
        <v>0</v>
      </c>
      <c r="T1749" s="62" t="s">
        <v>62</v>
      </c>
    </row>
    <row r="1750" spans="1:20" x14ac:dyDescent="0.25">
      <c r="A1750" s="20">
        <v>42141</v>
      </c>
      <c r="B1750" s="183">
        <v>21324</v>
      </c>
      <c r="C1750" s="14" t="s">
        <v>881</v>
      </c>
      <c r="D1750" s="105">
        <v>1378.55</v>
      </c>
      <c r="E1750" s="23">
        <v>42141</v>
      </c>
      <c r="F1750" s="118">
        <v>1378.55</v>
      </c>
      <c r="G1750" s="31">
        <f t="shared" si="54"/>
        <v>0</v>
      </c>
      <c r="H1750" s="62" t="s">
        <v>9</v>
      </c>
      <c r="K1750" s="3"/>
      <c r="M1750" s="20">
        <v>42151</v>
      </c>
      <c r="N1750" s="183">
        <v>22393</v>
      </c>
      <c r="O1750" s="14" t="s">
        <v>1402</v>
      </c>
      <c r="P1750" s="105">
        <v>8800</v>
      </c>
      <c r="Q1750" s="23">
        <v>42152</v>
      </c>
      <c r="R1750" s="106">
        <v>8800</v>
      </c>
      <c r="S1750" s="31">
        <f t="shared" si="55"/>
        <v>0</v>
      </c>
      <c r="T1750" s="39" t="s">
        <v>62</v>
      </c>
    </row>
    <row r="1751" spans="1:20" x14ac:dyDescent="0.25">
      <c r="A1751" s="20">
        <v>42141</v>
      </c>
      <c r="B1751" s="183">
        <v>21325</v>
      </c>
      <c r="C1751" s="14" t="s">
        <v>720</v>
      </c>
      <c r="D1751" s="105">
        <v>8130.2</v>
      </c>
      <c r="E1751" s="23">
        <v>42141</v>
      </c>
      <c r="F1751" s="118">
        <v>8130.2</v>
      </c>
      <c r="G1751" s="31">
        <f t="shared" si="54"/>
        <v>0</v>
      </c>
      <c r="H1751" s="62" t="s">
        <v>9</v>
      </c>
      <c r="K1751" s="3"/>
      <c r="M1751" s="20">
        <v>42151</v>
      </c>
      <c r="N1751" s="183">
        <v>22403</v>
      </c>
      <c r="O1751" s="14" t="s">
        <v>1402</v>
      </c>
      <c r="P1751" s="105">
        <v>5974.8</v>
      </c>
      <c r="Q1751" s="23">
        <v>42152</v>
      </c>
      <c r="R1751" s="106">
        <v>5974.8</v>
      </c>
      <c r="S1751" s="31">
        <f t="shared" si="55"/>
        <v>0</v>
      </c>
      <c r="T1751" s="39" t="s">
        <v>62</v>
      </c>
    </row>
    <row r="1752" spans="1:20" x14ac:dyDescent="0.25">
      <c r="A1752" s="20">
        <v>42141</v>
      </c>
      <c r="B1752" s="183">
        <v>21326</v>
      </c>
      <c r="C1752" s="14" t="s">
        <v>1256</v>
      </c>
      <c r="D1752" s="105">
        <v>11090.8</v>
      </c>
      <c r="E1752" s="51">
        <v>42142</v>
      </c>
      <c r="F1752" s="118">
        <v>11090.8</v>
      </c>
      <c r="G1752" s="31">
        <f t="shared" si="54"/>
        <v>0</v>
      </c>
      <c r="H1752" s="62" t="s">
        <v>1257</v>
      </c>
      <c r="K1752" s="3"/>
      <c r="M1752" s="20">
        <v>42125</v>
      </c>
      <c r="N1752" s="183">
        <v>19673</v>
      </c>
      <c r="O1752" s="14" t="s">
        <v>268</v>
      </c>
      <c r="P1752" s="105">
        <v>24035.25</v>
      </c>
      <c r="Q1752" s="23">
        <v>42126</v>
      </c>
      <c r="R1752" s="106">
        <v>24035.25</v>
      </c>
      <c r="S1752" s="25">
        <f t="shared" si="55"/>
        <v>0</v>
      </c>
      <c r="T1752" s="39" t="s">
        <v>62</v>
      </c>
    </row>
    <row r="1753" spans="1:20" x14ac:dyDescent="0.25">
      <c r="A1753" s="20">
        <v>42141</v>
      </c>
      <c r="B1753" s="183">
        <v>21327</v>
      </c>
      <c r="C1753" s="14" t="s">
        <v>1171</v>
      </c>
      <c r="D1753" s="105">
        <v>5144.6000000000004</v>
      </c>
      <c r="E1753" s="23">
        <v>42141</v>
      </c>
      <c r="F1753" s="118">
        <v>5144.6000000000004</v>
      </c>
      <c r="G1753" s="31">
        <f t="shared" si="54"/>
        <v>0</v>
      </c>
      <c r="H1753" s="62" t="s">
        <v>9</v>
      </c>
      <c r="K1753" s="3"/>
      <c r="M1753" s="20">
        <v>42128</v>
      </c>
      <c r="N1753" s="183">
        <v>19948</v>
      </c>
      <c r="O1753" s="14" t="s">
        <v>268</v>
      </c>
      <c r="P1753" s="105">
        <v>16908.8</v>
      </c>
      <c r="Q1753" s="23">
        <v>42129</v>
      </c>
      <c r="R1753" s="106">
        <v>16908.8</v>
      </c>
      <c r="S1753" s="31">
        <f t="shared" si="55"/>
        <v>0</v>
      </c>
      <c r="T1753" s="19" t="s">
        <v>62</v>
      </c>
    </row>
    <row r="1754" spans="1:20" x14ac:dyDescent="0.25">
      <c r="A1754" s="20">
        <v>42141</v>
      </c>
      <c r="B1754" s="183">
        <v>21328</v>
      </c>
      <c r="C1754" s="14" t="s">
        <v>114</v>
      </c>
      <c r="D1754" s="105">
        <v>3589.2</v>
      </c>
      <c r="E1754" s="23">
        <v>42141</v>
      </c>
      <c r="F1754" s="118">
        <v>3589.2</v>
      </c>
      <c r="G1754" s="31">
        <f t="shared" si="54"/>
        <v>0</v>
      </c>
      <c r="H1754" s="62" t="s">
        <v>9</v>
      </c>
      <c r="K1754" s="3"/>
      <c r="M1754" s="20">
        <v>42146</v>
      </c>
      <c r="N1754" s="183">
        <v>21917</v>
      </c>
      <c r="O1754" s="14" t="s">
        <v>268</v>
      </c>
      <c r="P1754" s="105">
        <v>17853.2</v>
      </c>
      <c r="Q1754" s="23">
        <v>42148</v>
      </c>
      <c r="R1754" s="106">
        <v>17853.2</v>
      </c>
      <c r="S1754" s="31">
        <f t="shared" si="55"/>
        <v>0</v>
      </c>
      <c r="T1754" s="39" t="s">
        <v>62</v>
      </c>
    </row>
    <row r="1755" spans="1:20" x14ac:dyDescent="0.25">
      <c r="A1755" s="20">
        <v>42141</v>
      </c>
      <c r="B1755" s="183">
        <v>21329</v>
      </c>
      <c r="C1755" s="14" t="s">
        <v>854</v>
      </c>
      <c r="D1755" s="105">
        <v>897</v>
      </c>
      <c r="E1755" s="23">
        <v>42141</v>
      </c>
      <c r="F1755" s="118">
        <v>897</v>
      </c>
      <c r="G1755" s="31">
        <f t="shared" si="54"/>
        <v>0</v>
      </c>
      <c r="H1755" s="62" t="s">
        <v>9</v>
      </c>
      <c r="K1755" s="3"/>
      <c r="M1755" s="20">
        <v>42153</v>
      </c>
      <c r="N1755" s="183">
        <v>22623</v>
      </c>
      <c r="O1755" s="14" t="s">
        <v>268</v>
      </c>
      <c r="P1755" s="105">
        <v>9152.6</v>
      </c>
      <c r="Q1755" s="23">
        <v>42155</v>
      </c>
      <c r="R1755" s="106">
        <v>9152.6</v>
      </c>
      <c r="S1755" s="31">
        <f t="shared" si="55"/>
        <v>0</v>
      </c>
      <c r="T1755" s="39" t="s">
        <v>62</v>
      </c>
    </row>
    <row r="1756" spans="1:20" x14ac:dyDescent="0.25">
      <c r="A1756" s="20">
        <v>42141</v>
      </c>
      <c r="B1756" s="183">
        <v>21330</v>
      </c>
      <c r="C1756" s="14" t="s">
        <v>863</v>
      </c>
      <c r="D1756" s="105">
        <v>3561.2</v>
      </c>
      <c r="E1756" s="23">
        <v>42141</v>
      </c>
      <c r="F1756" s="118">
        <v>3561.2</v>
      </c>
      <c r="G1756" s="31">
        <f t="shared" si="54"/>
        <v>0</v>
      </c>
      <c r="H1756" s="62" t="s">
        <v>9</v>
      </c>
      <c r="K1756" s="3"/>
      <c r="M1756" s="20">
        <v>42139</v>
      </c>
      <c r="N1756" s="183">
        <v>21167</v>
      </c>
      <c r="O1756" s="14" t="s">
        <v>1400</v>
      </c>
      <c r="P1756" s="105">
        <v>21655.95</v>
      </c>
      <c r="Q1756" s="23">
        <v>42140</v>
      </c>
      <c r="R1756" s="106">
        <v>21655.95</v>
      </c>
      <c r="S1756" s="48">
        <f t="shared" si="55"/>
        <v>0</v>
      </c>
      <c r="T1756" s="39" t="s">
        <v>62</v>
      </c>
    </row>
    <row r="1757" spans="1:20" x14ac:dyDescent="0.25">
      <c r="A1757" s="20">
        <v>42141</v>
      </c>
      <c r="B1757" s="183">
        <v>21331</v>
      </c>
      <c r="C1757" s="14" t="s">
        <v>1297</v>
      </c>
      <c r="D1757" s="105">
        <v>5064</v>
      </c>
      <c r="E1757" s="51">
        <v>42141</v>
      </c>
      <c r="F1757" s="118">
        <v>5064</v>
      </c>
      <c r="G1757" s="31">
        <f t="shared" si="54"/>
        <v>0</v>
      </c>
      <c r="H1757" s="62" t="s">
        <v>9</v>
      </c>
      <c r="K1757" s="3"/>
      <c r="M1757" s="20">
        <v>42152</v>
      </c>
      <c r="N1757" s="183">
        <v>22450</v>
      </c>
      <c r="O1757" s="14" t="s">
        <v>1407</v>
      </c>
      <c r="P1757" s="105">
        <v>2961.4</v>
      </c>
      <c r="Q1757" s="23">
        <v>42152</v>
      </c>
      <c r="R1757" s="106">
        <v>2961.4</v>
      </c>
      <c r="S1757" s="31">
        <f t="shared" si="55"/>
        <v>0</v>
      </c>
      <c r="T1757" s="39" t="s">
        <v>9</v>
      </c>
    </row>
    <row r="1758" spans="1:20" x14ac:dyDescent="0.25">
      <c r="A1758" s="20">
        <v>42141</v>
      </c>
      <c r="B1758" s="183">
        <v>21332</v>
      </c>
      <c r="C1758" s="14" t="s">
        <v>120</v>
      </c>
      <c r="D1758" s="105">
        <v>3824</v>
      </c>
      <c r="E1758" s="23">
        <v>42141</v>
      </c>
      <c r="F1758" s="118">
        <v>3824</v>
      </c>
      <c r="G1758" s="31">
        <f t="shared" si="54"/>
        <v>0</v>
      </c>
      <c r="H1758" s="62" t="s">
        <v>59</v>
      </c>
      <c r="K1758" s="3"/>
      <c r="M1758" s="20">
        <v>42125</v>
      </c>
      <c r="N1758" s="183">
        <v>19610</v>
      </c>
      <c r="O1758" s="14" t="s">
        <v>375</v>
      </c>
      <c r="P1758" s="105">
        <v>4748.8</v>
      </c>
      <c r="Q1758" s="23">
        <v>42125</v>
      </c>
      <c r="R1758" s="106">
        <v>4748.8</v>
      </c>
      <c r="S1758" s="25">
        <f t="shared" si="55"/>
        <v>0</v>
      </c>
      <c r="T1758" s="19" t="s">
        <v>9</v>
      </c>
    </row>
    <row r="1759" spans="1:20" x14ac:dyDescent="0.25">
      <c r="A1759" s="20">
        <v>42141</v>
      </c>
      <c r="B1759" s="183">
        <v>21333</v>
      </c>
      <c r="C1759" s="14" t="s">
        <v>238</v>
      </c>
      <c r="D1759" s="105">
        <v>390</v>
      </c>
      <c r="E1759" s="23">
        <v>42142</v>
      </c>
      <c r="F1759" s="118">
        <v>390</v>
      </c>
      <c r="G1759" s="31">
        <f t="shared" si="54"/>
        <v>0</v>
      </c>
      <c r="H1759" s="62" t="s">
        <v>59</v>
      </c>
      <c r="K1759" s="3"/>
      <c r="M1759" s="20">
        <v>42126</v>
      </c>
      <c r="N1759" s="183">
        <v>19727</v>
      </c>
      <c r="O1759" s="40" t="s">
        <v>375</v>
      </c>
      <c r="P1759" s="105">
        <v>2514.4</v>
      </c>
      <c r="Q1759" s="23">
        <v>42126</v>
      </c>
      <c r="R1759" s="106">
        <v>2514.4</v>
      </c>
      <c r="S1759" s="25">
        <f t="shared" si="55"/>
        <v>0</v>
      </c>
      <c r="T1759" s="41" t="s">
        <v>9</v>
      </c>
    </row>
    <row r="1760" spans="1:20" x14ac:dyDescent="0.25">
      <c r="A1760" s="20">
        <v>42141</v>
      </c>
      <c r="B1760" s="183">
        <v>21334</v>
      </c>
      <c r="C1760" s="14" t="s">
        <v>152</v>
      </c>
      <c r="D1760" s="105">
        <v>9708.6</v>
      </c>
      <c r="E1760" s="23">
        <v>42142</v>
      </c>
      <c r="F1760" s="118">
        <v>9708.6</v>
      </c>
      <c r="G1760" s="31">
        <f t="shared" si="54"/>
        <v>0</v>
      </c>
      <c r="H1760" s="62" t="s">
        <v>59</v>
      </c>
      <c r="K1760" s="3"/>
      <c r="M1760" s="20">
        <v>42126</v>
      </c>
      <c r="N1760" s="183">
        <v>19772</v>
      </c>
      <c r="O1760" s="40" t="s">
        <v>375</v>
      </c>
      <c r="P1760" s="105">
        <v>994</v>
      </c>
      <c r="Q1760" s="23">
        <v>42126</v>
      </c>
      <c r="R1760" s="106">
        <v>994</v>
      </c>
      <c r="S1760" s="25">
        <f t="shared" si="55"/>
        <v>0</v>
      </c>
      <c r="T1760" s="41" t="s">
        <v>9</v>
      </c>
    </row>
    <row r="1761" spans="1:20" x14ac:dyDescent="0.25">
      <c r="A1761" s="20">
        <v>42141</v>
      </c>
      <c r="B1761" s="183">
        <v>21335</v>
      </c>
      <c r="C1761" s="14" t="s">
        <v>126</v>
      </c>
      <c r="D1761" s="105">
        <v>3095.8</v>
      </c>
      <c r="E1761" s="23">
        <v>42142</v>
      </c>
      <c r="F1761" s="118">
        <v>3095.8</v>
      </c>
      <c r="G1761" s="31">
        <f t="shared" si="54"/>
        <v>0</v>
      </c>
      <c r="H1761" s="62" t="s">
        <v>59</v>
      </c>
      <c r="K1761" s="3"/>
      <c r="M1761" s="20">
        <v>42127</v>
      </c>
      <c r="N1761" s="183">
        <v>19858</v>
      </c>
      <c r="O1761" s="40" t="s">
        <v>375</v>
      </c>
      <c r="P1761" s="105">
        <v>2033.2</v>
      </c>
      <c r="Q1761" s="23">
        <v>42127</v>
      </c>
      <c r="R1761" s="106">
        <v>2033.2</v>
      </c>
      <c r="S1761" s="31">
        <f t="shared" si="55"/>
        <v>0</v>
      </c>
      <c r="T1761" s="41" t="s">
        <v>9</v>
      </c>
    </row>
    <row r="1762" spans="1:20" x14ac:dyDescent="0.25">
      <c r="A1762" s="20">
        <v>42141</v>
      </c>
      <c r="B1762" s="183">
        <v>21336</v>
      </c>
      <c r="C1762" s="14" t="s">
        <v>53</v>
      </c>
      <c r="D1762" s="105">
        <v>2160</v>
      </c>
      <c r="E1762" s="23">
        <v>42143</v>
      </c>
      <c r="F1762" s="118">
        <v>2160</v>
      </c>
      <c r="G1762" s="31">
        <f t="shared" si="54"/>
        <v>0</v>
      </c>
      <c r="H1762" s="62" t="s">
        <v>59</v>
      </c>
      <c r="I1762" s="3"/>
      <c r="J1762" s="42"/>
      <c r="K1762" s="3"/>
      <c r="M1762" s="20">
        <v>42127</v>
      </c>
      <c r="N1762" s="183">
        <v>19880</v>
      </c>
      <c r="O1762" s="14" t="s">
        <v>375</v>
      </c>
      <c r="P1762" s="105">
        <v>1498</v>
      </c>
      <c r="Q1762" s="23">
        <v>42127</v>
      </c>
      <c r="R1762" s="106">
        <v>1498</v>
      </c>
      <c r="S1762" s="31">
        <f t="shared" si="55"/>
        <v>0</v>
      </c>
      <c r="T1762" s="19" t="s">
        <v>187</v>
      </c>
    </row>
    <row r="1763" spans="1:20" x14ac:dyDescent="0.25">
      <c r="A1763" s="20">
        <v>42141</v>
      </c>
      <c r="B1763" s="183">
        <v>21337</v>
      </c>
      <c r="C1763" s="110">
        <v>105</v>
      </c>
      <c r="D1763" s="105">
        <v>3348</v>
      </c>
      <c r="E1763" s="23">
        <v>42142</v>
      </c>
      <c r="F1763" s="118">
        <v>3348</v>
      </c>
      <c r="G1763" s="31">
        <f t="shared" si="54"/>
        <v>0</v>
      </c>
      <c r="H1763" s="62" t="s">
        <v>59</v>
      </c>
      <c r="I1763" s="3"/>
      <c r="J1763" s="42"/>
      <c r="K1763" s="3"/>
      <c r="M1763" s="20">
        <v>42128</v>
      </c>
      <c r="N1763" s="183">
        <v>19912</v>
      </c>
      <c r="O1763" s="14" t="s">
        <v>375</v>
      </c>
      <c r="P1763" s="105">
        <v>3898.8</v>
      </c>
      <c r="Q1763" s="23">
        <v>42128</v>
      </c>
      <c r="R1763" s="106">
        <v>3898.8</v>
      </c>
      <c r="S1763" s="31">
        <f t="shared" si="55"/>
        <v>0</v>
      </c>
      <c r="T1763" s="19" t="s">
        <v>9</v>
      </c>
    </row>
    <row r="1764" spans="1:20" x14ac:dyDescent="0.25">
      <c r="A1764" s="20">
        <v>42141</v>
      </c>
      <c r="B1764" s="183">
        <v>21338</v>
      </c>
      <c r="C1764" s="14" t="s">
        <v>57</v>
      </c>
      <c r="D1764" s="105">
        <v>1080</v>
      </c>
      <c r="E1764" s="23">
        <v>42142</v>
      </c>
      <c r="F1764" s="118">
        <v>1080</v>
      </c>
      <c r="G1764" s="31">
        <f t="shared" si="54"/>
        <v>0</v>
      </c>
      <c r="H1764" s="62" t="s">
        <v>59</v>
      </c>
      <c r="I1764" s="3"/>
      <c r="J1764" s="42"/>
      <c r="K1764" s="3"/>
      <c r="M1764" s="20">
        <v>42128</v>
      </c>
      <c r="N1764" s="183">
        <v>19913</v>
      </c>
      <c r="O1764" s="14" t="s">
        <v>375</v>
      </c>
      <c r="P1764" s="105">
        <v>1846.8</v>
      </c>
      <c r="Q1764" s="23" t="s">
        <v>1298</v>
      </c>
      <c r="R1764" s="106">
        <f>1500+346.8</f>
        <v>1846.8</v>
      </c>
      <c r="S1764" s="31">
        <f t="shared" si="55"/>
        <v>0</v>
      </c>
      <c r="T1764" s="19" t="s">
        <v>9</v>
      </c>
    </row>
    <row r="1765" spans="1:20" x14ac:dyDescent="0.25">
      <c r="A1765" s="20">
        <v>42141</v>
      </c>
      <c r="B1765" s="183">
        <v>21339</v>
      </c>
      <c r="C1765" s="14" t="s">
        <v>213</v>
      </c>
      <c r="D1765" s="105">
        <v>4446</v>
      </c>
      <c r="E1765" s="23">
        <v>42141</v>
      </c>
      <c r="F1765" s="118">
        <v>4446</v>
      </c>
      <c r="G1765" s="31">
        <f t="shared" si="54"/>
        <v>0</v>
      </c>
      <c r="H1765" s="62" t="s">
        <v>62</v>
      </c>
      <c r="I1765" s="3"/>
      <c r="J1765" s="42"/>
      <c r="K1765" s="3"/>
      <c r="M1765" s="20">
        <v>42129</v>
      </c>
      <c r="N1765" s="183">
        <v>20064</v>
      </c>
      <c r="O1765" s="14" t="s">
        <v>375</v>
      </c>
      <c r="P1765" s="105">
        <v>3598</v>
      </c>
      <c r="Q1765" s="23">
        <v>42130</v>
      </c>
      <c r="R1765" s="106">
        <v>3598</v>
      </c>
      <c r="S1765" s="31">
        <f t="shared" si="55"/>
        <v>0</v>
      </c>
      <c r="T1765" s="39" t="s">
        <v>9</v>
      </c>
    </row>
    <row r="1766" spans="1:20" x14ac:dyDescent="0.25">
      <c r="A1766" s="20">
        <v>42141</v>
      </c>
      <c r="B1766" s="183">
        <v>21340</v>
      </c>
      <c r="C1766" s="14" t="s">
        <v>1338</v>
      </c>
      <c r="D1766" s="105">
        <v>52123.65</v>
      </c>
      <c r="E1766" s="23">
        <v>42153</v>
      </c>
      <c r="F1766" s="118">
        <v>52123.65</v>
      </c>
      <c r="G1766" s="31">
        <f t="shared" si="54"/>
        <v>0</v>
      </c>
      <c r="H1766" s="62" t="s">
        <v>59</v>
      </c>
      <c r="I1766" s="3"/>
      <c r="J1766" s="42"/>
      <c r="K1766" s="3"/>
      <c r="M1766" s="20">
        <v>42130</v>
      </c>
      <c r="N1766" s="183">
        <v>20147</v>
      </c>
      <c r="O1766" s="14" t="s">
        <v>375</v>
      </c>
      <c r="P1766" s="105">
        <v>2775.9</v>
      </c>
      <c r="Q1766" s="23" t="s">
        <v>1322</v>
      </c>
      <c r="R1766" s="106">
        <f>1000+1775.9</f>
        <v>2775.9</v>
      </c>
      <c r="S1766" s="31">
        <f t="shared" si="55"/>
        <v>0</v>
      </c>
      <c r="T1766" s="39" t="s">
        <v>9</v>
      </c>
    </row>
    <row r="1767" spans="1:20" x14ac:dyDescent="0.25">
      <c r="A1767" s="20">
        <v>42141</v>
      </c>
      <c r="B1767" s="183">
        <v>21341</v>
      </c>
      <c r="C1767" s="14" t="s">
        <v>55</v>
      </c>
      <c r="D1767" s="105">
        <v>25552.799999999999</v>
      </c>
      <c r="E1767" s="23">
        <v>42142</v>
      </c>
      <c r="F1767" s="118">
        <v>25552.799999999999</v>
      </c>
      <c r="G1767" s="31">
        <f t="shared" si="54"/>
        <v>0</v>
      </c>
      <c r="H1767" s="62" t="s">
        <v>773</v>
      </c>
      <c r="I1767" s="3"/>
      <c r="J1767" s="42"/>
      <c r="K1767" s="3"/>
      <c r="M1767" s="20">
        <v>42132</v>
      </c>
      <c r="N1767" s="183">
        <v>20358</v>
      </c>
      <c r="O1767" s="14" t="s">
        <v>375</v>
      </c>
      <c r="P1767" s="105">
        <v>4092.6</v>
      </c>
      <c r="Q1767" s="23" t="s">
        <v>1343</v>
      </c>
      <c r="R1767" s="106">
        <f>2690+1402.6</f>
        <v>4092.6</v>
      </c>
      <c r="S1767" s="31">
        <f t="shared" si="55"/>
        <v>0</v>
      </c>
      <c r="T1767" s="19" t="s">
        <v>9</v>
      </c>
    </row>
    <row r="1768" spans="1:20" x14ac:dyDescent="0.25">
      <c r="A1768" s="20">
        <v>42141</v>
      </c>
      <c r="B1768" s="183">
        <v>21342</v>
      </c>
      <c r="C1768" s="14" t="s">
        <v>120</v>
      </c>
      <c r="D1768" s="105">
        <v>1180</v>
      </c>
      <c r="E1768" s="23">
        <v>42142</v>
      </c>
      <c r="F1768" s="118">
        <v>1180</v>
      </c>
      <c r="G1768" s="31">
        <f t="shared" si="54"/>
        <v>0</v>
      </c>
      <c r="H1768" s="62" t="s">
        <v>59</v>
      </c>
      <c r="I1768" s="3"/>
      <c r="J1768" s="42"/>
      <c r="K1768" s="3"/>
      <c r="M1768" s="20">
        <v>42133</v>
      </c>
      <c r="N1768" s="183">
        <v>20530</v>
      </c>
      <c r="O1768" s="14" t="s">
        <v>375</v>
      </c>
      <c r="P1768" s="105">
        <v>6339.4</v>
      </c>
      <c r="Q1768" s="23">
        <v>42133</v>
      </c>
      <c r="R1768" s="106">
        <v>6339.4</v>
      </c>
      <c r="S1768" s="31">
        <f t="shared" si="55"/>
        <v>0</v>
      </c>
      <c r="T1768" s="19" t="s">
        <v>9</v>
      </c>
    </row>
    <row r="1769" spans="1:20" x14ac:dyDescent="0.25">
      <c r="A1769" s="20">
        <v>42141</v>
      </c>
      <c r="B1769" s="183">
        <v>21343</v>
      </c>
      <c r="C1769" s="14" t="s">
        <v>256</v>
      </c>
      <c r="D1769" s="105">
        <v>6672.8</v>
      </c>
      <c r="E1769" s="23">
        <v>42142</v>
      </c>
      <c r="F1769" s="118">
        <v>6672.8</v>
      </c>
      <c r="G1769" s="31">
        <f t="shared" si="54"/>
        <v>0</v>
      </c>
      <c r="H1769" s="62" t="s">
        <v>773</v>
      </c>
      <c r="I1769" s="3"/>
      <c r="J1769" s="42"/>
      <c r="K1769" s="3"/>
      <c r="M1769" s="20">
        <v>42135</v>
      </c>
      <c r="N1769" s="183">
        <v>20722</v>
      </c>
      <c r="O1769" s="14" t="s">
        <v>375</v>
      </c>
      <c r="P1769" s="105">
        <v>1017.6</v>
      </c>
      <c r="Q1769" s="23">
        <v>42135</v>
      </c>
      <c r="R1769" s="106">
        <v>1017.6</v>
      </c>
      <c r="S1769" s="48">
        <f t="shared" si="55"/>
        <v>0</v>
      </c>
      <c r="T1769" s="19" t="s">
        <v>9</v>
      </c>
    </row>
    <row r="1770" spans="1:20" x14ac:dyDescent="0.25">
      <c r="A1770" s="20">
        <v>42141</v>
      </c>
      <c r="B1770" s="183">
        <v>21344</v>
      </c>
      <c r="C1770" s="14" t="s">
        <v>56</v>
      </c>
      <c r="D1770" s="105">
        <v>9124.6</v>
      </c>
      <c r="E1770" s="23">
        <v>42142</v>
      </c>
      <c r="F1770" s="118">
        <v>9124.6</v>
      </c>
      <c r="G1770" s="31">
        <f t="shared" si="54"/>
        <v>0</v>
      </c>
      <c r="H1770" s="62" t="s">
        <v>773</v>
      </c>
      <c r="I1770" s="3"/>
      <c r="J1770" s="42"/>
      <c r="K1770" s="3"/>
      <c r="M1770" s="20">
        <v>42136</v>
      </c>
      <c r="N1770" s="183">
        <v>20826</v>
      </c>
      <c r="O1770" s="14" t="s">
        <v>375</v>
      </c>
      <c r="P1770" s="105">
        <v>2310</v>
      </c>
      <c r="Q1770" s="23">
        <v>42136</v>
      </c>
      <c r="R1770" s="106">
        <v>2310</v>
      </c>
      <c r="S1770" s="31">
        <f t="shared" si="55"/>
        <v>0</v>
      </c>
      <c r="T1770" s="39" t="s">
        <v>9</v>
      </c>
    </row>
    <row r="1771" spans="1:20" x14ac:dyDescent="0.25">
      <c r="A1771" s="20">
        <v>42141</v>
      </c>
      <c r="B1771" s="183">
        <v>21345</v>
      </c>
      <c r="C1771" s="14" t="s">
        <v>294</v>
      </c>
      <c r="D1771" s="105">
        <v>6623.3</v>
      </c>
      <c r="E1771" s="23">
        <v>42141</v>
      </c>
      <c r="F1771" s="118">
        <v>6623.3</v>
      </c>
      <c r="G1771" s="31">
        <f t="shared" si="54"/>
        <v>0</v>
      </c>
      <c r="H1771" s="62" t="s">
        <v>9</v>
      </c>
      <c r="I1771" s="3"/>
      <c r="J1771" s="42"/>
      <c r="K1771" s="3"/>
      <c r="M1771" s="20">
        <v>42138</v>
      </c>
      <c r="N1771" s="183">
        <v>20974</v>
      </c>
      <c r="O1771" s="14" t="s">
        <v>375</v>
      </c>
      <c r="P1771" s="105">
        <v>5066.7</v>
      </c>
      <c r="Q1771" s="23">
        <v>42138</v>
      </c>
      <c r="R1771" s="106">
        <v>5066.7</v>
      </c>
      <c r="S1771" s="31">
        <f t="shared" si="55"/>
        <v>0</v>
      </c>
      <c r="T1771" s="19" t="s">
        <v>9</v>
      </c>
    </row>
    <row r="1772" spans="1:20" x14ac:dyDescent="0.25">
      <c r="A1772" s="20">
        <v>42141</v>
      </c>
      <c r="B1772" s="183">
        <v>21346</v>
      </c>
      <c r="C1772" s="14" t="s">
        <v>915</v>
      </c>
      <c r="D1772" s="105">
        <v>445.4</v>
      </c>
      <c r="E1772" s="23">
        <v>42142</v>
      </c>
      <c r="F1772" s="118">
        <v>445.4</v>
      </c>
      <c r="G1772" s="31">
        <f t="shared" si="54"/>
        <v>0</v>
      </c>
      <c r="H1772" s="62" t="s">
        <v>59</v>
      </c>
      <c r="I1772" s="3"/>
      <c r="J1772" s="42"/>
      <c r="K1772" s="3"/>
      <c r="M1772" s="20">
        <v>42139</v>
      </c>
      <c r="N1772" s="183">
        <v>21132</v>
      </c>
      <c r="O1772" s="14" t="s">
        <v>375</v>
      </c>
      <c r="P1772" s="105">
        <v>2548.4</v>
      </c>
      <c r="Q1772" s="23">
        <v>42139</v>
      </c>
      <c r="R1772" s="106">
        <v>2548.4</v>
      </c>
      <c r="S1772" s="48">
        <f t="shared" si="55"/>
        <v>0</v>
      </c>
      <c r="T1772" s="39" t="s">
        <v>9</v>
      </c>
    </row>
    <row r="1773" spans="1:20" x14ac:dyDescent="0.25">
      <c r="A1773" s="20">
        <v>42141</v>
      </c>
      <c r="B1773" s="183">
        <v>21347</v>
      </c>
      <c r="C1773" s="14" t="s">
        <v>35</v>
      </c>
      <c r="D1773" s="105">
        <v>25782.400000000001</v>
      </c>
      <c r="E1773" s="23">
        <v>42142</v>
      </c>
      <c r="F1773" s="118">
        <v>25782.400000000001</v>
      </c>
      <c r="G1773" s="31">
        <f t="shared" si="54"/>
        <v>0</v>
      </c>
      <c r="H1773" s="62" t="s">
        <v>773</v>
      </c>
      <c r="I1773" s="3"/>
      <c r="J1773" s="42"/>
      <c r="K1773" s="3"/>
      <c r="M1773" s="20">
        <v>42140</v>
      </c>
      <c r="N1773" s="183">
        <v>21271</v>
      </c>
      <c r="O1773" s="14" t="s">
        <v>375</v>
      </c>
      <c r="P1773" s="105">
        <v>4350</v>
      </c>
      <c r="Q1773" s="23">
        <v>42140</v>
      </c>
      <c r="R1773" s="106">
        <v>4350</v>
      </c>
      <c r="S1773" s="31">
        <f t="shared" si="55"/>
        <v>0</v>
      </c>
      <c r="T1773" s="62" t="s">
        <v>9</v>
      </c>
    </row>
    <row r="1774" spans="1:20" x14ac:dyDescent="0.25">
      <c r="A1774" s="20">
        <v>42141</v>
      </c>
      <c r="B1774" s="183">
        <v>21348</v>
      </c>
      <c r="C1774" s="14" t="s">
        <v>63</v>
      </c>
      <c r="D1774" s="105">
        <v>2684.5</v>
      </c>
      <c r="E1774" s="23">
        <v>42142</v>
      </c>
      <c r="F1774" s="118">
        <v>2684.5</v>
      </c>
      <c r="G1774" s="31">
        <f t="shared" si="54"/>
        <v>0</v>
      </c>
      <c r="H1774" s="62" t="s">
        <v>773</v>
      </c>
      <c r="I1774" s="3"/>
      <c r="J1774" s="42"/>
      <c r="K1774" s="3"/>
      <c r="M1774" s="20">
        <v>42140</v>
      </c>
      <c r="N1774" s="183">
        <v>21299</v>
      </c>
      <c r="O1774" s="14" t="s">
        <v>375</v>
      </c>
      <c r="P1774" s="105">
        <v>2220</v>
      </c>
      <c r="Q1774" s="23" t="s">
        <v>1405</v>
      </c>
      <c r="R1774" s="118">
        <f>1150+1070</f>
        <v>2220</v>
      </c>
      <c r="S1774" s="31">
        <f t="shared" si="55"/>
        <v>0</v>
      </c>
      <c r="T1774" s="62" t="s">
        <v>9</v>
      </c>
    </row>
    <row r="1775" spans="1:20" x14ac:dyDescent="0.25">
      <c r="A1775" s="20">
        <v>42141</v>
      </c>
      <c r="B1775" s="183">
        <v>21349</v>
      </c>
      <c r="C1775" s="14" t="s">
        <v>14</v>
      </c>
      <c r="D1775" s="105">
        <v>14612.7</v>
      </c>
      <c r="E1775" s="23">
        <v>42153</v>
      </c>
      <c r="F1775" s="118">
        <v>14612.7</v>
      </c>
      <c r="G1775" s="31">
        <f t="shared" si="54"/>
        <v>0</v>
      </c>
      <c r="H1775" s="62" t="s">
        <v>9</v>
      </c>
      <c r="I1775" s="3"/>
      <c r="J1775" s="42"/>
      <c r="K1775" s="3"/>
      <c r="M1775" s="20">
        <v>42141</v>
      </c>
      <c r="N1775" s="183">
        <v>21360</v>
      </c>
      <c r="O1775" s="14" t="s">
        <v>375</v>
      </c>
      <c r="P1775" s="105">
        <v>4327.6000000000004</v>
      </c>
      <c r="Q1775" s="23" t="s">
        <v>1408</v>
      </c>
      <c r="R1775" s="118">
        <f>3000+1227.6+100</f>
        <v>4327.6000000000004</v>
      </c>
      <c r="S1775" s="31">
        <f t="shared" si="55"/>
        <v>0</v>
      </c>
      <c r="T1775" s="56" t="s">
        <v>9</v>
      </c>
    </row>
    <row r="1776" spans="1:20" x14ac:dyDescent="0.25">
      <c r="A1776" s="20">
        <v>42141</v>
      </c>
      <c r="B1776" s="183">
        <v>21350</v>
      </c>
      <c r="C1776" s="14" t="s">
        <v>125</v>
      </c>
      <c r="D1776" s="105">
        <v>9593.1</v>
      </c>
      <c r="E1776" s="23">
        <v>42142</v>
      </c>
      <c r="F1776" s="118">
        <v>9593.1</v>
      </c>
      <c r="G1776" s="31">
        <f t="shared" si="54"/>
        <v>0</v>
      </c>
      <c r="H1776" s="62" t="s">
        <v>1257</v>
      </c>
      <c r="I1776" s="3"/>
      <c r="J1776" s="42"/>
      <c r="K1776" s="3"/>
      <c r="M1776" s="20">
        <v>42142</v>
      </c>
      <c r="N1776" s="183">
        <v>21421</v>
      </c>
      <c r="O1776" s="14" t="s">
        <v>375</v>
      </c>
      <c r="P1776" s="105">
        <v>4160.2</v>
      </c>
      <c r="Q1776" s="23">
        <v>42143</v>
      </c>
      <c r="R1776" s="118">
        <v>4160.2</v>
      </c>
      <c r="S1776" s="31">
        <f t="shared" si="55"/>
        <v>0</v>
      </c>
      <c r="T1776" s="56" t="s">
        <v>9</v>
      </c>
    </row>
    <row r="1777" spans="1:20" x14ac:dyDescent="0.25">
      <c r="A1777" s="20">
        <v>42141</v>
      </c>
      <c r="B1777" s="183">
        <v>21351</v>
      </c>
      <c r="C1777" s="14" t="s">
        <v>50</v>
      </c>
      <c r="D1777" s="105">
        <v>1368</v>
      </c>
      <c r="E1777" s="23">
        <v>42142</v>
      </c>
      <c r="F1777" s="118">
        <v>1368</v>
      </c>
      <c r="G1777" s="31">
        <f t="shared" si="54"/>
        <v>0</v>
      </c>
      <c r="H1777" s="62" t="s">
        <v>1257</v>
      </c>
      <c r="I1777" s="3"/>
      <c r="J1777" s="42"/>
      <c r="K1777" s="3"/>
      <c r="M1777" s="20">
        <v>42143</v>
      </c>
      <c r="N1777" s="183">
        <v>21578</v>
      </c>
      <c r="O1777" s="14" t="s">
        <v>375</v>
      </c>
      <c r="P1777" s="105">
        <v>1926.6</v>
      </c>
      <c r="Q1777" s="23">
        <v>42143</v>
      </c>
      <c r="R1777" s="106">
        <v>1926.6</v>
      </c>
      <c r="S1777" s="31">
        <f t="shared" si="55"/>
        <v>0</v>
      </c>
      <c r="T1777" s="56" t="s">
        <v>9</v>
      </c>
    </row>
    <row r="1778" spans="1:20" x14ac:dyDescent="0.25">
      <c r="A1778" s="20">
        <v>42141</v>
      </c>
      <c r="B1778" s="183">
        <v>21352</v>
      </c>
      <c r="C1778" s="26" t="s">
        <v>218</v>
      </c>
      <c r="D1778" s="108">
        <v>0</v>
      </c>
      <c r="E1778" s="23"/>
      <c r="F1778" s="118"/>
      <c r="G1778" s="31">
        <f t="shared" si="54"/>
        <v>0</v>
      </c>
      <c r="H1778" s="62" t="s">
        <v>13</v>
      </c>
      <c r="K1778" s="3"/>
      <c r="M1778" s="20">
        <v>42144</v>
      </c>
      <c r="N1778" s="183">
        <v>21645</v>
      </c>
      <c r="O1778" s="14" t="s">
        <v>375</v>
      </c>
      <c r="P1778" s="105">
        <v>4172</v>
      </c>
      <c r="Q1778" s="23">
        <v>42144</v>
      </c>
      <c r="R1778" s="118">
        <v>4172</v>
      </c>
      <c r="S1778" s="31">
        <f t="shared" si="55"/>
        <v>0</v>
      </c>
      <c r="T1778" s="62" t="s">
        <v>9</v>
      </c>
    </row>
    <row r="1779" spans="1:20" x14ac:dyDescent="0.25">
      <c r="A1779" s="20">
        <v>42141</v>
      </c>
      <c r="B1779" s="183">
        <v>21353</v>
      </c>
      <c r="C1779" s="14" t="s">
        <v>215</v>
      </c>
      <c r="D1779" s="105">
        <v>27024</v>
      </c>
      <c r="E1779" s="23">
        <v>42141</v>
      </c>
      <c r="F1779" s="118">
        <v>27024</v>
      </c>
      <c r="G1779" s="31">
        <f t="shared" si="54"/>
        <v>0</v>
      </c>
      <c r="H1779" s="62" t="s">
        <v>62</v>
      </c>
      <c r="K1779" s="3"/>
      <c r="M1779" s="20">
        <v>42145</v>
      </c>
      <c r="N1779" s="183">
        <v>21760</v>
      </c>
      <c r="O1779" s="15" t="s">
        <v>375</v>
      </c>
      <c r="P1779" s="122">
        <v>4116.3999999999996</v>
      </c>
      <c r="Q1779" s="23">
        <v>42145</v>
      </c>
      <c r="R1779" s="118">
        <v>4116.3999999999996</v>
      </c>
      <c r="S1779" s="31">
        <f t="shared" si="55"/>
        <v>0</v>
      </c>
      <c r="T1779" s="68" t="s">
        <v>9</v>
      </c>
    </row>
    <row r="1780" spans="1:20" x14ac:dyDescent="0.25">
      <c r="A1780" s="20">
        <v>42141</v>
      </c>
      <c r="B1780" s="183">
        <v>21354</v>
      </c>
      <c r="C1780" s="14" t="s">
        <v>225</v>
      </c>
      <c r="D1780" s="105">
        <v>2318.4</v>
      </c>
      <c r="E1780" s="23">
        <v>42141</v>
      </c>
      <c r="F1780" s="118">
        <v>2318.4</v>
      </c>
      <c r="G1780" s="31">
        <f t="shared" si="54"/>
        <v>0</v>
      </c>
      <c r="H1780" s="62" t="s">
        <v>9</v>
      </c>
      <c r="K1780" s="3"/>
      <c r="M1780" s="20">
        <v>42146</v>
      </c>
      <c r="N1780" s="183">
        <v>21880</v>
      </c>
      <c r="O1780" s="14" t="s">
        <v>375</v>
      </c>
      <c r="P1780" s="105">
        <v>5570.7</v>
      </c>
      <c r="Q1780" s="23">
        <v>42147</v>
      </c>
      <c r="R1780" s="106">
        <v>5570.7</v>
      </c>
      <c r="S1780" s="31">
        <f t="shared" si="55"/>
        <v>0</v>
      </c>
      <c r="T1780" s="39" t="s">
        <v>9</v>
      </c>
    </row>
    <row r="1781" spans="1:20" x14ac:dyDescent="0.25">
      <c r="A1781" s="20">
        <v>42141</v>
      </c>
      <c r="B1781" s="183">
        <v>21355</v>
      </c>
      <c r="C1781" s="14" t="s">
        <v>130</v>
      </c>
      <c r="D1781" s="105">
        <v>4640.8</v>
      </c>
      <c r="E1781" s="23">
        <v>42142</v>
      </c>
      <c r="F1781" s="118">
        <v>4640.8</v>
      </c>
      <c r="G1781" s="31">
        <f t="shared" si="54"/>
        <v>0</v>
      </c>
      <c r="H1781" s="62" t="s">
        <v>9</v>
      </c>
      <c r="K1781" s="3"/>
      <c r="M1781" s="20">
        <v>42146</v>
      </c>
      <c r="N1781" s="183">
        <v>21881</v>
      </c>
      <c r="O1781" s="14" t="s">
        <v>375</v>
      </c>
      <c r="P1781" s="105">
        <v>2204</v>
      </c>
      <c r="Q1781" s="23">
        <v>42146</v>
      </c>
      <c r="R1781" s="106">
        <v>2204</v>
      </c>
      <c r="S1781" s="31">
        <f t="shared" si="55"/>
        <v>0</v>
      </c>
      <c r="T1781" s="39" t="s">
        <v>9</v>
      </c>
    </row>
    <row r="1782" spans="1:20" x14ac:dyDescent="0.25">
      <c r="A1782" s="20">
        <v>42141</v>
      </c>
      <c r="B1782" s="183">
        <v>21356</v>
      </c>
      <c r="C1782" s="14" t="s">
        <v>131</v>
      </c>
      <c r="D1782" s="105">
        <v>20805.599999999999</v>
      </c>
      <c r="E1782" s="23">
        <v>42143</v>
      </c>
      <c r="F1782" s="118">
        <v>20805.599999999999</v>
      </c>
      <c r="G1782" s="31">
        <f t="shared" si="54"/>
        <v>0</v>
      </c>
      <c r="H1782" s="62" t="s">
        <v>59</v>
      </c>
      <c r="K1782" s="3"/>
      <c r="M1782" s="20">
        <v>42146</v>
      </c>
      <c r="N1782" s="183">
        <v>21966</v>
      </c>
      <c r="O1782" s="14" t="s">
        <v>375</v>
      </c>
      <c r="P1782" s="105">
        <v>22191.8</v>
      </c>
      <c r="Q1782" s="65" t="s">
        <v>1409</v>
      </c>
      <c r="R1782" s="106">
        <f>13000+5000+4191.8</f>
        <v>22191.8</v>
      </c>
      <c r="S1782" s="31">
        <f t="shared" si="55"/>
        <v>0</v>
      </c>
      <c r="T1782" s="39" t="s">
        <v>9</v>
      </c>
    </row>
    <row r="1783" spans="1:20" x14ac:dyDescent="0.25">
      <c r="A1783" s="20">
        <v>42141</v>
      </c>
      <c r="B1783" s="183">
        <v>21357</v>
      </c>
      <c r="C1783" s="14" t="s">
        <v>165</v>
      </c>
      <c r="D1783" s="105">
        <v>2271.5</v>
      </c>
      <c r="E1783" s="23">
        <v>42142</v>
      </c>
      <c r="F1783" s="118">
        <v>2271.5</v>
      </c>
      <c r="G1783" s="31">
        <f t="shared" si="54"/>
        <v>0</v>
      </c>
      <c r="H1783" s="62" t="s">
        <v>1257</v>
      </c>
      <c r="K1783" s="3"/>
      <c r="M1783" s="20">
        <v>42148</v>
      </c>
      <c r="N1783" s="183">
        <v>22123</v>
      </c>
      <c r="O1783" s="14" t="s">
        <v>375</v>
      </c>
      <c r="P1783" s="105">
        <v>2815.7</v>
      </c>
      <c r="Q1783" s="65">
        <v>42148</v>
      </c>
      <c r="R1783" s="106">
        <v>2815.7</v>
      </c>
      <c r="S1783" s="31">
        <f t="shared" si="55"/>
        <v>0</v>
      </c>
      <c r="T1783" s="39" t="s">
        <v>9</v>
      </c>
    </row>
    <row r="1784" spans="1:20" x14ac:dyDescent="0.25">
      <c r="A1784" s="20">
        <v>42141</v>
      </c>
      <c r="B1784" s="183">
        <v>21358</v>
      </c>
      <c r="C1784" s="14" t="s">
        <v>151</v>
      </c>
      <c r="D1784" s="122">
        <v>1687.2</v>
      </c>
      <c r="E1784" s="23">
        <v>42142</v>
      </c>
      <c r="F1784" s="118">
        <v>1687.2</v>
      </c>
      <c r="G1784" s="31">
        <f t="shared" si="54"/>
        <v>0</v>
      </c>
      <c r="H1784" s="56" t="s">
        <v>9</v>
      </c>
      <c r="K1784" s="3"/>
      <c r="M1784" s="20">
        <v>42126</v>
      </c>
      <c r="N1784" s="183">
        <v>19741</v>
      </c>
      <c r="O1784" s="40" t="s">
        <v>591</v>
      </c>
      <c r="P1784" s="105">
        <v>8823.6</v>
      </c>
      <c r="Q1784" s="23">
        <v>42126</v>
      </c>
      <c r="R1784" s="106">
        <v>8823.6</v>
      </c>
      <c r="S1784" s="25">
        <f t="shared" si="55"/>
        <v>0</v>
      </c>
      <c r="T1784" s="41" t="s">
        <v>773</v>
      </c>
    </row>
    <row r="1785" spans="1:20" x14ac:dyDescent="0.25">
      <c r="A1785" s="20">
        <v>42141</v>
      </c>
      <c r="B1785" s="183">
        <v>21359</v>
      </c>
      <c r="C1785" s="14" t="s">
        <v>66</v>
      </c>
      <c r="D1785" s="105">
        <v>1145.9000000000001</v>
      </c>
      <c r="E1785" s="23">
        <v>42141</v>
      </c>
      <c r="F1785" s="118">
        <v>1145.9000000000001</v>
      </c>
      <c r="G1785" s="31">
        <f t="shared" si="54"/>
        <v>0</v>
      </c>
      <c r="H1785" s="56" t="s">
        <v>9</v>
      </c>
      <c r="K1785" s="3"/>
      <c r="M1785" s="20">
        <v>42131</v>
      </c>
      <c r="N1785" s="183">
        <v>20253</v>
      </c>
      <c r="O1785" s="14" t="s">
        <v>591</v>
      </c>
      <c r="P1785" s="105">
        <v>8515.7999999999993</v>
      </c>
      <c r="Q1785" s="23">
        <v>42132</v>
      </c>
      <c r="R1785" s="106">
        <v>8515.7999999999993</v>
      </c>
      <c r="S1785" s="31">
        <f t="shared" si="55"/>
        <v>0</v>
      </c>
      <c r="T1785" s="19" t="s">
        <v>59</v>
      </c>
    </row>
    <row r="1786" spans="1:20" x14ac:dyDescent="0.25">
      <c r="A1786" s="20">
        <v>42141</v>
      </c>
      <c r="B1786" s="183">
        <v>21360</v>
      </c>
      <c r="C1786" s="14" t="s">
        <v>375</v>
      </c>
      <c r="D1786" s="105">
        <v>4327.6000000000004</v>
      </c>
      <c r="E1786" s="23" t="s">
        <v>1408</v>
      </c>
      <c r="F1786" s="118">
        <f>3000+1227.6+100</f>
        <v>4327.6000000000004</v>
      </c>
      <c r="G1786" s="31">
        <f t="shared" si="54"/>
        <v>0</v>
      </c>
      <c r="H1786" s="56" t="s">
        <v>9</v>
      </c>
      <c r="J1786" s="107"/>
      <c r="K1786" s="3"/>
      <c r="M1786" s="20">
        <v>42132</v>
      </c>
      <c r="N1786" s="183">
        <v>20404</v>
      </c>
      <c r="O1786" s="14" t="s">
        <v>591</v>
      </c>
      <c r="P1786" s="105">
        <v>4254.2</v>
      </c>
      <c r="Q1786" s="23">
        <v>42133</v>
      </c>
      <c r="R1786" s="106">
        <v>4254.2</v>
      </c>
      <c r="S1786" s="31">
        <f t="shared" si="55"/>
        <v>0</v>
      </c>
      <c r="T1786" s="19" t="s">
        <v>773</v>
      </c>
    </row>
    <row r="1787" spans="1:20" x14ac:dyDescent="0.25">
      <c r="A1787" s="20">
        <v>42141</v>
      </c>
      <c r="B1787" s="183">
        <v>21361</v>
      </c>
      <c r="C1787" s="14" t="s">
        <v>1406</v>
      </c>
      <c r="D1787" s="105">
        <v>4296.5</v>
      </c>
      <c r="E1787" s="23">
        <v>42141</v>
      </c>
      <c r="F1787" s="118">
        <v>4296.5</v>
      </c>
      <c r="G1787" s="31">
        <f t="shared" si="54"/>
        <v>0</v>
      </c>
      <c r="H1787" s="56" t="s">
        <v>9</v>
      </c>
      <c r="K1787" s="3"/>
      <c r="M1787" s="20">
        <v>42136</v>
      </c>
      <c r="N1787" s="183">
        <v>20803</v>
      </c>
      <c r="O1787" s="14" t="s">
        <v>591</v>
      </c>
      <c r="P1787" s="105">
        <v>6475.7</v>
      </c>
      <c r="Q1787" s="23">
        <v>42136</v>
      </c>
      <c r="R1787" s="106">
        <v>6475.7</v>
      </c>
      <c r="S1787" s="31">
        <f t="shared" si="55"/>
        <v>0</v>
      </c>
      <c r="T1787" s="39" t="s">
        <v>9</v>
      </c>
    </row>
    <row r="1788" spans="1:20" x14ac:dyDescent="0.25">
      <c r="A1788" s="20">
        <v>42141</v>
      </c>
      <c r="B1788" s="183">
        <v>21362</v>
      </c>
      <c r="C1788" s="14" t="s">
        <v>43</v>
      </c>
      <c r="D1788" s="105">
        <v>4530.6000000000004</v>
      </c>
      <c r="E1788" s="23">
        <v>42141</v>
      </c>
      <c r="F1788" s="118">
        <v>4530.6000000000004</v>
      </c>
      <c r="G1788" s="31">
        <f t="shared" si="54"/>
        <v>0</v>
      </c>
      <c r="H1788" s="56" t="s">
        <v>9</v>
      </c>
      <c r="K1788" s="3"/>
      <c r="M1788" s="20">
        <v>42144</v>
      </c>
      <c r="N1788" s="183">
        <v>21633</v>
      </c>
      <c r="O1788" s="14" t="s">
        <v>591</v>
      </c>
      <c r="P1788" s="105">
        <v>13257.54</v>
      </c>
      <c r="Q1788" s="23">
        <v>42145</v>
      </c>
      <c r="R1788" s="118">
        <v>13257.54</v>
      </c>
      <c r="S1788" s="31">
        <f t="shared" si="55"/>
        <v>0</v>
      </c>
      <c r="T1788" s="62" t="s">
        <v>773</v>
      </c>
    </row>
    <row r="1789" spans="1:20" x14ac:dyDescent="0.25">
      <c r="A1789" s="20">
        <v>42141</v>
      </c>
      <c r="B1789" s="183">
        <v>21363</v>
      </c>
      <c r="C1789" s="14" t="s">
        <v>265</v>
      </c>
      <c r="D1789" s="105">
        <v>976.45</v>
      </c>
      <c r="E1789" s="23">
        <v>42141</v>
      </c>
      <c r="F1789" s="118">
        <v>976.45</v>
      </c>
      <c r="G1789" s="31">
        <f t="shared" si="54"/>
        <v>0</v>
      </c>
      <c r="H1789" s="56" t="s">
        <v>9</v>
      </c>
      <c r="K1789" s="3"/>
      <c r="M1789" s="20">
        <v>42151</v>
      </c>
      <c r="N1789" s="183">
        <v>22390</v>
      </c>
      <c r="O1789" s="14" t="s">
        <v>591</v>
      </c>
      <c r="P1789" s="105">
        <v>12995.2</v>
      </c>
      <c r="Q1789" s="23">
        <v>42152</v>
      </c>
      <c r="R1789" s="106">
        <v>12995.2</v>
      </c>
      <c r="S1789" s="31">
        <f t="shared" si="55"/>
        <v>0</v>
      </c>
      <c r="T1789" s="39" t="s">
        <v>773</v>
      </c>
    </row>
    <row r="1790" spans="1:20" x14ac:dyDescent="0.25">
      <c r="A1790" s="20">
        <v>42141</v>
      </c>
      <c r="B1790" s="183">
        <v>21364</v>
      </c>
      <c r="C1790" s="14" t="s">
        <v>135</v>
      </c>
      <c r="D1790" s="105">
        <v>6023</v>
      </c>
      <c r="E1790" s="23">
        <v>42141</v>
      </c>
      <c r="F1790" s="118">
        <v>6023</v>
      </c>
      <c r="G1790" s="31">
        <f t="shared" si="54"/>
        <v>0</v>
      </c>
      <c r="H1790" s="56" t="s">
        <v>9</v>
      </c>
      <c r="K1790" s="3"/>
      <c r="M1790" s="20">
        <v>42125</v>
      </c>
      <c r="N1790" s="183">
        <v>19617</v>
      </c>
      <c r="O1790" s="14" t="s">
        <v>81</v>
      </c>
      <c r="P1790" s="105">
        <v>2492.1999999999998</v>
      </c>
      <c r="Q1790" s="23">
        <v>42125</v>
      </c>
      <c r="R1790" s="106">
        <v>2492.1999999999998</v>
      </c>
      <c r="S1790" s="25">
        <f t="shared" si="55"/>
        <v>0</v>
      </c>
      <c r="T1790" s="19" t="s">
        <v>59</v>
      </c>
    </row>
    <row r="1791" spans="1:20" x14ac:dyDescent="0.25">
      <c r="A1791" s="20">
        <v>42141</v>
      </c>
      <c r="B1791" s="183">
        <v>21365</v>
      </c>
      <c r="C1791" s="14" t="s">
        <v>112</v>
      </c>
      <c r="D1791" s="105">
        <v>9491.2999999999993</v>
      </c>
      <c r="E1791" s="23" t="s">
        <v>1403</v>
      </c>
      <c r="F1791" s="118">
        <f>5800+3691.3</f>
        <v>9491.2999999999993</v>
      </c>
      <c r="G1791" s="31">
        <f t="shared" si="54"/>
        <v>0</v>
      </c>
      <c r="H1791" s="56" t="s">
        <v>9</v>
      </c>
      <c r="K1791" s="3"/>
      <c r="M1791" s="20">
        <v>42126</v>
      </c>
      <c r="N1791" s="183">
        <v>19762</v>
      </c>
      <c r="O1791" s="40" t="s">
        <v>81</v>
      </c>
      <c r="P1791" s="105">
        <v>2653.2</v>
      </c>
      <c r="Q1791" s="23">
        <v>42127</v>
      </c>
      <c r="R1791" s="106">
        <v>2653.2</v>
      </c>
      <c r="S1791" s="25">
        <f t="shared" si="55"/>
        <v>0</v>
      </c>
      <c r="T1791" s="41" t="s">
        <v>59</v>
      </c>
    </row>
    <row r="1792" spans="1:20" x14ac:dyDescent="0.25">
      <c r="A1792" s="20">
        <v>42141</v>
      </c>
      <c r="B1792" s="183">
        <v>21366</v>
      </c>
      <c r="C1792" s="14" t="s">
        <v>89</v>
      </c>
      <c r="D1792" s="105">
        <v>1015.2</v>
      </c>
      <c r="E1792" s="23">
        <v>42141</v>
      </c>
      <c r="F1792" s="118">
        <v>1015.2</v>
      </c>
      <c r="G1792" s="31">
        <f t="shared" si="54"/>
        <v>0</v>
      </c>
      <c r="H1792" s="56" t="s">
        <v>9</v>
      </c>
      <c r="K1792" s="3"/>
      <c r="M1792" s="20">
        <v>42128</v>
      </c>
      <c r="N1792" s="183">
        <v>19931</v>
      </c>
      <c r="O1792" s="14" t="s">
        <v>81</v>
      </c>
      <c r="P1792" s="105">
        <v>1691.2</v>
      </c>
      <c r="Q1792" s="23">
        <v>42128</v>
      </c>
      <c r="R1792" s="106">
        <v>1691.2</v>
      </c>
      <c r="S1792" s="31">
        <f t="shared" si="55"/>
        <v>0</v>
      </c>
      <c r="T1792" s="19" t="s">
        <v>59</v>
      </c>
    </row>
    <row r="1793" spans="1:20" x14ac:dyDescent="0.25">
      <c r="A1793" s="20">
        <v>42141</v>
      </c>
      <c r="B1793" s="183">
        <v>21367</v>
      </c>
      <c r="C1793" s="14" t="s">
        <v>305</v>
      </c>
      <c r="D1793" s="105">
        <v>1955.2</v>
      </c>
      <c r="E1793" s="23">
        <v>42141</v>
      </c>
      <c r="F1793" s="118">
        <v>1955.2</v>
      </c>
      <c r="G1793" s="31">
        <f t="shared" si="54"/>
        <v>0</v>
      </c>
      <c r="H1793" s="56" t="s">
        <v>9</v>
      </c>
      <c r="K1793" s="3"/>
      <c r="M1793" s="20">
        <v>42129</v>
      </c>
      <c r="N1793" s="183">
        <v>20061</v>
      </c>
      <c r="O1793" s="14" t="s">
        <v>81</v>
      </c>
      <c r="P1793" s="105">
        <v>1966.2</v>
      </c>
      <c r="Q1793" s="23">
        <v>42129</v>
      </c>
      <c r="R1793" s="106">
        <v>1966.2</v>
      </c>
      <c r="S1793" s="31">
        <f t="shared" si="55"/>
        <v>0</v>
      </c>
      <c r="T1793" s="39" t="s">
        <v>59</v>
      </c>
    </row>
    <row r="1794" spans="1:20" x14ac:dyDescent="0.25">
      <c r="A1794" s="20">
        <v>42141</v>
      </c>
      <c r="B1794" s="183">
        <v>21368</v>
      </c>
      <c r="C1794" s="14" t="s">
        <v>71</v>
      </c>
      <c r="D1794" s="105">
        <v>6208.38</v>
      </c>
      <c r="E1794" s="23">
        <v>42141</v>
      </c>
      <c r="F1794" s="118">
        <v>6208.38</v>
      </c>
      <c r="G1794" s="31">
        <f t="shared" si="54"/>
        <v>0</v>
      </c>
      <c r="H1794" s="56" t="s">
        <v>9</v>
      </c>
      <c r="J1794" s="107"/>
      <c r="K1794" s="3"/>
      <c r="M1794" s="20">
        <v>42130</v>
      </c>
      <c r="N1794" s="183">
        <v>20149</v>
      </c>
      <c r="O1794" s="14" t="s">
        <v>81</v>
      </c>
      <c r="P1794" s="105">
        <v>1530.6</v>
      </c>
      <c r="Q1794" s="23">
        <v>42131</v>
      </c>
      <c r="R1794" s="106">
        <v>1530.6</v>
      </c>
      <c r="S1794" s="31">
        <f t="shared" si="55"/>
        <v>0</v>
      </c>
      <c r="T1794" s="39" t="s">
        <v>1013</v>
      </c>
    </row>
    <row r="1795" spans="1:20" x14ac:dyDescent="0.25">
      <c r="A1795" s="20">
        <v>42141</v>
      </c>
      <c r="B1795" s="183">
        <v>21369</v>
      </c>
      <c r="C1795" s="14" t="s">
        <v>159</v>
      </c>
      <c r="D1795" s="105">
        <v>7418</v>
      </c>
      <c r="E1795" s="23">
        <v>42141</v>
      </c>
      <c r="F1795" s="118">
        <v>7418</v>
      </c>
      <c r="G1795" s="31">
        <f t="shared" ref="G1795:G1858" si="56">D1795-F1795</f>
        <v>0</v>
      </c>
      <c r="H1795" s="56" t="s">
        <v>9</v>
      </c>
      <c r="J1795" s="123"/>
      <c r="K1795" s="3"/>
      <c r="M1795" s="20">
        <v>42131</v>
      </c>
      <c r="N1795" s="183">
        <v>20251</v>
      </c>
      <c r="O1795" s="14" t="s">
        <v>81</v>
      </c>
      <c r="P1795" s="105">
        <v>1570.8</v>
      </c>
      <c r="Q1795" s="23">
        <v>42131</v>
      </c>
      <c r="R1795" s="106">
        <v>1570.8</v>
      </c>
      <c r="S1795" s="31">
        <f t="shared" ref="S1795:S1858" si="57">P1795-R1795</f>
        <v>0</v>
      </c>
      <c r="T1795" s="19" t="s">
        <v>59</v>
      </c>
    </row>
    <row r="1796" spans="1:20" x14ac:dyDescent="0.25">
      <c r="A1796" s="20">
        <v>42141</v>
      </c>
      <c r="B1796" s="183">
        <v>21370</v>
      </c>
      <c r="C1796" s="14" t="s">
        <v>25</v>
      </c>
      <c r="D1796" s="105">
        <v>1118.8</v>
      </c>
      <c r="E1796" s="23">
        <v>42141</v>
      </c>
      <c r="F1796" s="118">
        <v>1118.8</v>
      </c>
      <c r="G1796" s="31">
        <f t="shared" si="56"/>
        <v>0</v>
      </c>
      <c r="H1796" s="56" t="s">
        <v>9</v>
      </c>
      <c r="J1796" s="123"/>
      <c r="K1796" s="3"/>
      <c r="M1796" s="20">
        <v>42132</v>
      </c>
      <c r="N1796" s="183">
        <v>20376</v>
      </c>
      <c r="O1796" s="14" t="s">
        <v>81</v>
      </c>
      <c r="P1796" s="105">
        <v>2468.8000000000002</v>
      </c>
      <c r="Q1796" s="23">
        <v>42133</v>
      </c>
      <c r="R1796" s="106">
        <v>2468.8000000000002</v>
      </c>
      <c r="S1796" s="31">
        <f t="shared" si="57"/>
        <v>0</v>
      </c>
      <c r="T1796" s="19" t="s">
        <v>59</v>
      </c>
    </row>
    <row r="1797" spans="1:20" x14ac:dyDescent="0.25">
      <c r="A1797" s="20">
        <v>42141</v>
      </c>
      <c r="B1797" s="183">
        <v>21371</v>
      </c>
      <c r="C1797" s="14" t="s">
        <v>720</v>
      </c>
      <c r="D1797" s="105">
        <v>9902</v>
      </c>
      <c r="E1797" s="23">
        <v>42141</v>
      </c>
      <c r="F1797" s="118">
        <v>9902</v>
      </c>
      <c r="G1797" s="31">
        <f t="shared" si="56"/>
        <v>0</v>
      </c>
      <c r="H1797" s="56" t="s">
        <v>9</v>
      </c>
      <c r="J1797" s="123"/>
      <c r="K1797" s="3"/>
      <c r="M1797" s="20">
        <v>42133</v>
      </c>
      <c r="N1797" s="183">
        <v>20511</v>
      </c>
      <c r="O1797" s="14" t="s">
        <v>81</v>
      </c>
      <c r="P1797" s="105">
        <v>1740.6</v>
      </c>
      <c r="Q1797" s="23">
        <v>42134</v>
      </c>
      <c r="R1797" s="106">
        <v>1740.6</v>
      </c>
      <c r="S1797" s="31">
        <f t="shared" si="57"/>
        <v>0</v>
      </c>
      <c r="T1797" s="19" t="s">
        <v>59</v>
      </c>
    </row>
    <row r="1798" spans="1:20" x14ac:dyDescent="0.25">
      <c r="A1798" s="20">
        <v>42141</v>
      </c>
      <c r="B1798" s="183">
        <v>21372</v>
      </c>
      <c r="C1798" s="14" t="s">
        <v>141</v>
      </c>
      <c r="D1798" s="105">
        <v>4151</v>
      </c>
      <c r="E1798" s="23">
        <v>42141</v>
      </c>
      <c r="F1798" s="118">
        <v>4151</v>
      </c>
      <c r="G1798" s="31">
        <f t="shared" si="56"/>
        <v>0</v>
      </c>
      <c r="H1798" s="56" t="s">
        <v>62</v>
      </c>
      <c r="J1798" s="123"/>
      <c r="K1798" s="3"/>
      <c r="M1798" s="20">
        <v>42135</v>
      </c>
      <c r="N1798" s="183">
        <v>20701</v>
      </c>
      <c r="O1798" s="14" t="s">
        <v>81</v>
      </c>
      <c r="P1798" s="105">
        <v>1740.6</v>
      </c>
      <c r="Q1798" s="23">
        <v>42135</v>
      </c>
      <c r="R1798" s="106">
        <v>1740.6</v>
      </c>
      <c r="S1798" s="31">
        <f t="shared" si="57"/>
        <v>0</v>
      </c>
      <c r="T1798" s="39" t="s">
        <v>59</v>
      </c>
    </row>
    <row r="1799" spans="1:20" x14ac:dyDescent="0.25">
      <c r="A1799" s="20">
        <v>42141</v>
      </c>
      <c r="B1799" s="183">
        <v>21373</v>
      </c>
      <c r="C1799" s="14" t="s">
        <v>136</v>
      </c>
      <c r="D1799" s="105">
        <v>36705.599999999999</v>
      </c>
      <c r="E1799" s="23" t="s">
        <v>1410</v>
      </c>
      <c r="F1799" s="118">
        <f>7500+7750+21455.6</f>
        <v>36705.599999999999</v>
      </c>
      <c r="G1799" s="31">
        <f t="shared" si="56"/>
        <v>0</v>
      </c>
      <c r="H1799" s="56" t="s">
        <v>9</v>
      </c>
      <c r="J1799" s="123"/>
      <c r="K1799" s="3"/>
      <c r="M1799" s="20">
        <v>42136</v>
      </c>
      <c r="N1799" s="183">
        <v>20817</v>
      </c>
      <c r="O1799" s="14" t="s">
        <v>81</v>
      </c>
      <c r="P1799" s="105">
        <v>1415.6</v>
      </c>
      <c r="Q1799" s="23">
        <v>42136</v>
      </c>
      <c r="R1799" s="106">
        <v>1415.6</v>
      </c>
      <c r="S1799" s="31">
        <f t="shared" si="57"/>
        <v>0</v>
      </c>
      <c r="T1799" s="39" t="s">
        <v>27</v>
      </c>
    </row>
    <row r="1800" spans="1:20" x14ac:dyDescent="0.25">
      <c r="A1800" s="20">
        <v>42141</v>
      </c>
      <c r="B1800" s="183">
        <v>21374</v>
      </c>
      <c r="C1800" s="14" t="s">
        <v>111</v>
      </c>
      <c r="D1800" s="105">
        <v>298980</v>
      </c>
      <c r="E1800" s="23">
        <v>42143</v>
      </c>
      <c r="F1800" s="118">
        <v>298980</v>
      </c>
      <c r="G1800" s="31">
        <f t="shared" si="56"/>
        <v>0</v>
      </c>
      <c r="H1800" s="56" t="s">
        <v>9</v>
      </c>
      <c r="J1800" s="123"/>
      <c r="K1800" s="3"/>
      <c r="M1800" s="20">
        <v>42137</v>
      </c>
      <c r="N1800" s="183">
        <v>20897</v>
      </c>
      <c r="O1800" s="14" t="s">
        <v>81</v>
      </c>
      <c r="P1800" s="105">
        <v>1519</v>
      </c>
      <c r="Q1800" s="23">
        <v>42137</v>
      </c>
      <c r="R1800" s="106">
        <v>1519</v>
      </c>
      <c r="S1800" s="31">
        <f t="shared" si="57"/>
        <v>0</v>
      </c>
      <c r="T1800" s="19" t="s">
        <v>1257</v>
      </c>
    </row>
    <row r="1801" spans="1:20" x14ac:dyDescent="0.25">
      <c r="A1801" s="20">
        <v>42141</v>
      </c>
      <c r="B1801" s="183">
        <v>21375</v>
      </c>
      <c r="C1801" s="14" t="s">
        <v>102</v>
      </c>
      <c r="D1801" s="105">
        <v>2044.8</v>
      </c>
      <c r="E1801" s="23">
        <v>42141</v>
      </c>
      <c r="F1801" s="118">
        <v>2044.8</v>
      </c>
      <c r="G1801" s="31">
        <f t="shared" si="56"/>
        <v>0</v>
      </c>
      <c r="H1801" s="56" t="s">
        <v>9</v>
      </c>
      <c r="J1801" s="123"/>
      <c r="K1801" s="3"/>
      <c r="M1801" s="20">
        <v>42138</v>
      </c>
      <c r="N1801" s="183">
        <v>20990</v>
      </c>
      <c r="O1801" s="14" t="s">
        <v>81</v>
      </c>
      <c r="P1801" s="105">
        <v>1807</v>
      </c>
      <c r="Q1801" s="23">
        <v>42138</v>
      </c>
      <c r="R1801" s="106">
        <v>1807</v>
      </c>
      <c r="S1801" s="31">
        <f t="shared" si="57"/>
        <v>0</v>
      </c>
      <c r="T1801" s="19" t="s">
        <v>59</v>
      </c>
    </row>
    <row r="1802" spans="1:20" x14ac:dyDescent="0.25">
      <c r="A1802" s="20">
        <v>42141</v>
      </c>
      <c r="B1802" s="183">
        <v>21376</v>
      </c>
      <c r="C1802" s="14" t="s">
        <v>1267</v>
      </c>
      <c r="D1802" s="105">
        <v>1000</v>
      </c>
      <c r="E1802" s="23">
        <v>42142</v>
      </c>
      <c r="F1802" s="118">
        <v>1000</v>
      </c>
      <c r="G1802" s="31">
        <f t="shared" si="56"/>
        <v>0</v>
      </c>
      <c r="H1802" s="56" t="s">
        <v>1257</v>
      </c>
      <c r="J1802" s="123"/>
      <c r="K1802" s="3"/>
      <c r="M1802" s="20">
        <v>42139</v>
      </c>
      <c r="N1802" s="183">
        <v>21117</v>
      </c>
      <c r="O1802" s="14" t="s">
        <v>81</v>
      </c>
      <c r="P1802" s="105">
        <v>3142.6</v>
      </c>
      <c r="Q1802" s="23">
        <v>42139</v>
      </c>
      <c r="R1802" s="106">
        <v>3142.6</v>
      </c>
      <c r="S1802" s="48">
        <f t="shared" si="57"/>
        <v>0</v>
      </c>
      <c r="T1802" s="39" t="s">
        <v>59</v>
      </c>
    </row>
    <row r="1803" spans="1:20" x14ac:dyDescent="0.25">
      <c r="A1803" s="20">
        <v>42141</v>
      </c>
      <c r="B1803" s="183">
        <v>21377</v>
      </c>
      <c r="C1803" s="14" t="s">
        <v>235</v>
      </c>
      <c r="D1803" s="105">
        <v>2080</v>
      </c>
      <c r="E1803" s="23">
        <v>42142</v>
      </c>
      <c r="F1803" s="118">
        <v>2080</v>
      </c>
      <c r="G1803" s="31">
        <f t="shared" si="56"/>
        <v>0</v>
      </c>
      <c r="H1803" s="56" t="s">
        <v>1257</v>
      </c>
      <c r="J1803" s="123"/>
      <c r="K1803" s="3"/>
      <c r="M1803" s="20">
        <v>42140</v>
      </c>
      <c r="N1803" s="183">
        <v>21234</v>
      </c>
      <c r="O1803" s="14" t="s">
        <v>81</v>
      </c>
      <c r="P1803" s="105">
        <v>2255.4</v>
      </c>
      <c r="Q1803" s="23">
        <v>42140</v>
      </c>
      <c r="R1803" s="106">
        <v>2255.4</v>
      </c>
      <c r="S1803" s="48">
        <f t="shared" si="57"/>
        <v>0</v>
      </c>
      <c r="T1803" s="39" t="s">
        <v>59</v>
      </c>
    </row>
    <row r="1804" spans="1:20" x14ac:dyDescent="0.25">
      <c r="A1804" s="20">
        <v>42141</v>
      </c>
      <c r="B1804" s="183">
        <v>21378</v>
      </c>
      <c r="C1804" s="14" t="s">
        <v>86</v>
      </c>
      <c r="D1804" s="105">
        <v>321.55</v>
      </c>
      <c r="E1804" s="23">
        <v>42141</v>
      </c>
      <c r="F1804" s="118">
        <v>321.55</v>
      </c>
      <c r="G1804" s="31">
        <f t="shared" si="56"/>
        <v>0</v>
      </c>
      <c r="H1804" s="56" t="s">
        <v>9</v>
      </c>
      <c r="J1804" s="123"/>
      <c r="K1804" s="3"/>
      <c r="M1804" s="20">
        <v>42142</v>
      </c>
      <c r="N1804" s="183">
        <v>21438</v>
      </c>
      <c r="O1804" s="14" t="s">
        <v>81</v>
      </c>
      <c r="P1804" s="105">
        <v>1461.6</v>
      </c>
      <c r="Q1804" s="23">
        <v>42142</v>
      </c>
      <c r="R1804" s="106">
        <v>1461.6</v>
      </c>
      <c r="S1804" s="31">
        <f t="shared" si="57"/>
        <v>0</v>
      </c>
      <c r="T1804" s="39" t="s">
        <v>59</v>
      </c>
    </row>
    <row r="1805" spans="1:20" x14ac:dyDescent="0.25">
      <c r="A1805" s="20">
        <v>42141</v>
      </c>
      <c r="B1805" s="183">
        <v>21379</v>
      </c>
      <c r="C1805" s="14" t="s">
        <v>80</v>
      </c>
      <c r="D1805" s="105">
        <v>6827.2</v>
      </c>
      <c r="E1805" s="23">
        <v>42141</v>
      </c>
      <c r="F1805" s="118">
        <v>6827.2</v>
      </c>
      <c r="G1805" s="31">
        <f t="shared" si="56"/>
        <v>0</v>
      </c>
      <c r="H1805" s="56" t="s">
        <v>9</v>
      </c>
      <c r="J1805" s="123"/>
      <c r="K1805" s="3"/>
      <c r="M1805" s="20">
        <v>42144</v>
      </c>
      <c r="N1805" s="183">
        <v>21662</v>
      </c>
      <c r="O1805" s="14" t="s">
        <v>81</v>
      </c>
      <c r="P1805" s="105">
        <v>1867.8</v>
      </c>
      <c r="Q1805" s="23">
        <v>42145</v>
      </c>
      <c r="R1805" s="118">
        <v>1867.8</v>
      </c>
      <c r="S1805" s="31">
        <f t="shared" si="57"/>
        <v>0</v>
      </c>
      <c r="T1805" s="62" t="s">
        <v>1257</v>
      </c>
    </row>
    <row r="1806" spans="1:20" x14ac:dyDescent="0.25">
      <c r="A1806" s="20">
        <v>42141</v>
      </c>
      <c r="B1806" s="183">
        <v>21380</v>
      </c>
      <c r="C1806" s="14" t="s">
        <v>440</v>
      </c>
      <c r="D1806" s="105">
        <v>1026</v>
      </c>
      <c r="E1806" s="23">
        <v>42141</v>
      </c>
      <c r="F1806" s="118">
        <v>1026</v>
      </c>
      <c r="G1806" s="31">
        <f t="shared" si="56"/>
        <v>0</v>
      </c>
      <c r="H1806" s="56" t="s">
        <v>9</v>
      </c>
      <c r="J1806" s="123"/>
      <c r="K1806" s="3"/>
      <c r="M1806" s="20">
        <v>42145</v>
      </c>
      <c r="N1806" s="183">
        <v>21749</v>
      </c>
      <c r="O1806" s="15" t="s">
        <v>81</v>
      </c>
      <c r="P1806" s="122">
        <v>1794</v>
      </c>
      <c r="Q1806" s="23">
        <v>42145</v>
      </c>
      <c r="R1806" s="106">
        <v>1794</v>
      </c>
      <c r="S1806" s="31">
        <f t="shared" si="57"/>
        <v>0</v>
      </c>
      <c r="T1806" s="68" t="s">
        <v>59</v>
      </c>
    </row>
    <row r="1807" spans="1:20" x14ac:dyDescent="0.25">
      <c r="A1807" s="20">
        <v>42141</v>
      </c>
      <c r="B1807" s="183">
        <v>21381</v>
      </c>
      <c r="C1807" s="14" t="s">
        <v>1262</v>
      </c>
      <c r="D1807" s="105">
        <v>26114.55</v>
      </c>
      <c r="E1807" s="23">
        <v>42147</v>
      </c>
      <c r="F1807" s="118">
        <v>26114.55</v>
      </c>
      <c r="G1807" s="31">
        <f t="shared" si="56"/>
        <v>0</v>
      </c>
      <c r="H1807" s="56" t="s">
        <v>62</v>
      </c>
      <c r="J1807" s="123"/>
      <c r="K1807" s="3"/>
      <c r="M1807" s="20">
        <v>42146</v>
      </c>
      <c r="N1807" s="183">
        <v>21870</v>
      </c>
      <c r="O1807" s="14" t="s">
        <v>81</v>
      </c>
      <c r="P1807" s="105">
        <v>3309</v>
      </c>
      <c r="Q1807" s="23">
        <v>42146</v>
      </c>
      <c r="R1807" s="106">
        <v>3309</v>
      </c>
      <c r="S1807" s="31">
        <f t="shared" si="57"/>
        <v>0</v>
      </c>
      <c r="T1807" s="39" t="s">
        <v>59</v>
      </c>
    </row>
    <row r="1808" spans="1:20" x14ac:dyDescent="0.25">
      <c r="A1808" s="20">
        <v>42141</v>
      </c>
      <c r="B1808" s="183">
        <v>21382</v>
      </c>
      <c r="C1808" s="14" t="s">
        <v>265</v>
      </c>
      <c r="D1808" s="105">
        <v>991.2</v>
      </c>
      <c r="E1808" s="23">
        <v>42141</v>
      </c>
      <c r="F1808" s="118">
        <v>991.2</v>
      </c>
      <c r="G1808" s="31">
        <f t="shared" si="56"/>
        <v>0</v>
      </c>
      <c r="H1808" s="56" t="s">
        <v>9</v>
      </c>
      <c r="J1808" s="123"/>
      <c r="K1808" s="3"/>
      <c r="M1808" s="20">
        <v>42147</v>
      </c>
      <c r="N1808" s="183">
        <v>22009</v>
      </c>
      <c r="O1808" s="14" t="s">
        <v>81</v>
      </c>
      <c r="P1808" s="105">
        <v>3709</v>
      </c>
      <c r="Q1808" s="65">
        <v>42147</v>
      </c>
      <c r="R1808" s="106">
        <v>3709</v>
      </c>
      <c r="S1808" s="31">
        <f t="shared" si="57"/>
        <v>0</v>
      </c>
      <c r="T1808" s="39" t="s">
        <v>59</v>
      </c>
    </row>
    <row r="1809" spans="1:20" x14ac:dyDescent="0.25">
      <c r="A1809" s="20">
        <v>42141</v>
      </c>
      <c r="B1809" s="183">
        <v>21383</v>
      </c>
      <c r="C1809" s="14" t="s">
        <v>24</v>
      </c>
      <c r="D1809" s="105">
        <v>25724.400000000001</v>
      </c>
      <c r="E1809" s="30">
        <v>42165</v>
      </c>
      <c r="F1809" s="145">
        <v>25724.400000000001</v>
      </c>
      <c r="G1809" s="31">
        <f t="shared" si="56"/>
        <v>0</v>
      </c>
      <c r="H1809" s="56" t="s">
        <v>9</v>
      </c>
      <c r="J1809" s="123"/>
      <c r="K1809" s="3"/>
      <c r="M1809" s="20">
        <v>42149</v>
      </c>
      <c r="N1809" s="183">
        <v>22149</v>
      </c>
      <c r="O1809" s="14" t="s">
        <v>81</v>
      </c>
      <c r="P1809" s="105">
        <v>1795</v>
      </c>
      <c r="Q1809" s="65">
        <v>42149</v>
      </c>
      <c r="R1809" s="106">
        <v>1795</v>
      </c>
      <c r="S1809" s="31">
        <f t="shared" si="57"/>
        <v>0</v>
      </c>
      <c r="T1809" s="39" t="s">
        <v>59</v>
      </c>
    </row>
    <row r="1810" spans="1:20" x14ac:dyDescent="0.25">
      <c r="A1810" s="20">
        <v>42141</v>
      </c>
      <c r="B1810" s="183">
        <v>21384</v>
      </c>
      <c r="C1810" s="14" t="s">
        <v>328</v>
      </c>
      <c r="D1810" s="105">
        <v>52.2</v>
      </c>
      <c r="E1810" s="23">
        <v>42142</v>
      </c>
      <c r="F1810" s="118">
        <v>52.2</v>
      </c>
      <c r="G1810" s="31">
        <f t="shared" si="56"/>
        <v>0</v>
      </c>
      <c r="H1810" s="56" t="s">
        <v>9</v>
      </c>
      <c r="J1810" s="123"/>
      <c r="K1810" s="3"/>
      <c r="M1810" s="20">
        <v>42150</v>
      </c>
      <c r="N1810" s="183">
        <v>22276</v>
      </c>
      <c r="O1810" s="14" t="s">
        <v>81</v>
      </c>
      <c r="P1810" s="105">
        <v>1517.3</v>
      </c>
      <c r="Q1810" s="65">
        <v>42150</v>
      </c>
      <c r="R1810" s="106">
        <v>1517.3</v>
      </c>
      <c r="S1810" s="31">
        <f t="shared" si="57"/>
        <v>0</v>
      </c>
      <c r="T1810" s="39" t="s">
        <v>59</v>
      </c>
    </row>
    <row r="1811" spans="1:20" x14ac:dyDescent="0.25">
      <c r="A1811" s="20">
        <v>42142</v>
      </c>
      <c r="B1811" s="183">
        <v>21385</v>
      </c>
      <c r="C1811" s="14" t="s">
        <v>1256</v>
      </c>
      <c r="D1811" s="105">
        <v>3678.8</v>
      </c>
      <c r="E1811" s="23">
        <v>42142</v>
      </c>
      <c r="F1811" s="118">
        <v>3678.8</v>
      </c>
      <c r="G1811" s="31">
        <f t="shared" si="56"/>
        <v>0</v>
      </c>
      <c r="H1811" s="56" t="s">
        <v>1273</v>
      </c>
      <c r="J1811" s="123"/>
      <c r="K1811" s="3"/>
      <c r="M1811" s="20">
        <v>42152</v>
      </c>
      <c r="N1811" s="183">
        <v>22475</v>
      </c>
      <c r="O1811" s="14" t="s">
        <v>81</v>
      </c>
      <c r="P1811" s="105">
        <v>1422.7</v>
      </c>
      <c r="Q1811" s="23">
        <v>42152</v>
      </c>
      <c r="R1811" s="106">
        <v>1422.7</v>
      </c>
      <c r="S1811" s="31">
        <f t="shared" si="57"/>
        <v>0</v>
      </c>
      <c r="T1811" s="39" t="s">
        <v>59</v>
      </c>
    </row>
    <row r="1812" spans="1:20" x14ac:dyDescent="0.25">
      <c r="A1812" s="20">
        <v>42142</v>
      </c>
      <c r="B1812" s="183">
        <v>21386</v>
      </c>
      <c r="C1812" s="14" t="s">
        <v>18</v>
      </c>
      <c r="D1812" s="105">
        <v>2782.2</v>
      </c>
      <c r="E1812" s="23">
        <v>42143</v>
      </c>
      <c r="F1812" s="118">
        <v>2782.2</v>
      </c>
      <c r="G1812" s="48">
        <f t="shared" si="56"/>
        <v>0</v>
      </c>
      <c r="H1812" s="56" t="s">
        <v>9</v>
      </c>
      <c r="J1812" s="123"/>
      <c r="K1812" s="3"/>
      <c r="M1812" s="20">
        <v>42153</v>
      </c>
      <c r="N1812" s="183">
        <v>22561</v>
      </c>
      <c r="O1812" s="14" t="s">
        <v>81</v>
      </c>
      <c r="P1812" s="105">
        <v>2662.1</v>
      </c>
      <c r="Q1812" s="23">
        <v>42153</v>
      </c>
      <c r="R1812" s="106">
        <v>2662.1</v>
      </c>
      <c r="S1812" s="31">
        <f t="shared" si="57"/>
        <v>0</v>
      </c>
      <c r="T1812" s="39" t="s">
        <v>59</v>
      </c>
    </row>
    <row r="1813" spans="1:20" x14ac:dyDescent="0.25">
      <c r="A1813" s="20">
        <v>42142</v>
      </c>
      <c r="B1813" s="183">
        <v>21387</v>
      </c>
      <c r="C1813" s="14" t="s">
        <v>161</v>
      </c>
      <c r="D1813" s="105">
        <v>28766.2</v>
      </c>
      <c r="E1813" s="23">
        <v>42142</v>
      </c>
      <c r="F1813" s="118">
        <v>28766.2</v>
      </c>
      <c r="G1813" s="31">
        <f t="shared" si="56"/>
        <v>0</v>
      </c>
      <c r="H1813" s="56" t="s">
        <v>94</v>
      </c>
      <c r="J1813" s="123"/>
      <c r="K1813" s="3"/>
      <c r="M1813" s="20">
        <v>42154</v>
      </c>
      <c r="N1813" s="183">
        <v>22720</v>
      </c>
      <c r="O1813" s="14" t="s">
        <v>81</v>
      </c>
      <c r="P1813" s="105">
        <v>2896.2</v>
      </c>
      <c r="Q1813" s="23">
        <v>42154</v>
      </c>
      <c r="R1813" s="106">
        <v>2896.2</v>
      </c>
      <c r="S1813" s="31">
        <f t="shared" si="57"/>
        <v>0</v>
      </c>
      <c r="T1813" s="39" t="s">
        <v>59</v>
      </c>
    </row>
    <row r="1814" spans="1:20" x14ac:dyDescent="0.25">
      <c r="A1814" s="20">
        <v>42142</v>
      </c>
      <c r="B1814" s="183">
        <v>21388</v>
      </c>
      <c r="C1814" s="14" t="s">
        <v>14</v>
      </c>
      <c r="D1814" s="105">
        <v>14554.3</v>
      </c>
      <c r="E1814" s="23">
        <v>42153</v>
      </c>
      <c r="F1814" s="118">
        <v>14554.3</v>
      </c>
      <c r="G1814" s="31">
        <f t="shared" si="56"/>
        <v>0</v>
      </c>
      <c r="H1814" s="56" t="s">
        <v>15</v>
      </c>
      <c r="J1814" s="123"/>
      <c r="K1814" s="3"/>
      <c r="M1814" s="20">
        <v>42125</v>
      </c>
      <c r="N1814" s="183">
        <v>19692</v>
      </c>
      <c r="O1814" s="150" t="s">
        <v>80</v>
      </c>
      <c r="P1814" s="105">
        <v>7116.2</v>
      </c>
      <c r="Q1814" s="23">
        <v>42125</v>
      </c>
      <c r="R1814" s="106">
        <v>7116.2</v>
      </c>
      <c r="S1814" s="25">
        <f t="shared" si="57"/>
        <v>0</v>
      </c>
      <c r="T1814" s="39" t="s">
        <v>9</v>
      </c>
    </row>
    <row r="1815" spans="1:20" x14ac:dyDescent="0.25">
      <c r="A1815" s="20">
        <v>42142</v>
      </c>
      <c r="B1815" s="183">
        <v>21389</v>
      </c>
      <c r="C1815" s="14" t="s">
        <v>720</v>
      </c>
      <c r="D1815" s="105">
        <v>11159.7</v>
      </c>
      <c r="E1815" s="23">
        <v>42142</v>
      </c>
      <c r="F1815" s="118">
        <v>11159.7</v>
      </c>
      <c r="G1815" s="31">
        <f t="shared" si="56"/>
        <v>0</v>
      </c>
      <c r="H1815" s="56" t="s">
        <v>9</v>
      </c>
      <c r="J1815" s="123"/>
      <c r="K1815" s="3"/>
      <c r="M1815" s="20">
        <v>42127</v>
      </c>
      <c r="N1815" s="183">
        <v>19882</v>
      </c>
      <c r="O1815" s="150" t="s">
        <v>80</v>
      </c>
      <c r="P1815" s="105">
        <v>7901.6</v>
      </c>
      <c r="Q1815" s="23">
        <v>42127</v>
      </c>
      <c r="R1815" s="106">
        <v>7901.6</v>
      </c>
      <c r="S1815" s="31">
        <f t="shared" si="57"/>
        <v>0</v>
      </c>
      <c r="T1815" s="19" t="s">
        <v>9</v>
      </c>
    </row>
    <row r="1816" spans="1:20" x14ac:dyDescent="0.25">
      <c r="A1816" s="20">
        <v>42142</v>
      </c>
      <c r="B1816" s="183">
        <v>21390</v>
      </c>
      <c r="C1816" s="14" t="s">
        <v>1265</v>
      </c>
      <c r="D1816" s="105">
        <v>3978.1</v>
      </c>
      <c r="E1816" s="23">
        <v>42142</v>
      </c>
      <c r="F1816" s="118">
        <v>3978.1</v>
      </c>
      <c r="G1816" s="48">
        <f t="shared" si="56"/>
        <v>0</v>
      </c>
      <c r="H1816" s="56" t="s">
        <v>9</v>
      </c>
      <c r="J1816" s="123"/>
      <c r="K1816" s="3"/>
      <c r="M1816" s="20">
        <v>42128</v>
      </c>
      <c r="N1816" s="183">
        <v>19997</v>
      </c>
      <c r="O1816" s="14" t="s">
        <v>80</v>
      </c>
      <c r="P1816" s="105">
        <v>6813.6</v>
      </c>
      <c r="Q1816" s="23"/>
      <c r="R1816" s="106"/>
      <c r="S1816" s="31">
        <f t="shared" si="57"/>
        <v>6813.6</v>
      </c>
      <c r="T1816" s="19" t="s">
        <v>9</v>
      </c>
    </row>
    <row r="1817" spans="1:20" x14ac:dyDescent="0.25">
      <c r="A1817" s="20">
        <v>42142</v>
      </c>
      <c r="B1817" s="183">
        <v>21391</v>
      </c>
      <c r="C1817" s="14" t="s">
        <v>122</v>
      </c>
      <c r="D1817" s="105">
        <v>4417.6000000000004</v>
      </c>
      <c r="E1817" s="23">
        <v>42142</v>
      </c>
      <c r="F1817" s="118">
        <v>4417.6000000000004</v>
      </c>
      <c r="G1817" s="31">
        <f t="shared" si="56"/>
        <v>0</v>
      </c>
      <c r="H1817" s="56" t="s">
        <v>9</v>
      </c>
      <c r="J1817" s="123"/>
      <c r="K1817" s="3"/>
      <c r="M1817" s="20">
        <v>42129</v>
      </c>
      <c r="N1817" s="183">
        <v>20105</v>
      </c>
      <c r="O1817" s="14" t="s">
        <v>80</v>
      </c>
      <c r="P1817" s="105">
        <v>6786.4</v>
      </c>
      <c r="Q1817" s="23">
        <v>42129</v>
      </c>
      <c r="R1817" s="106">
        <v>6786.4</v>
      </c>
      <c r="S1817" s="31">
        <f t="shared" si="57"/>
        <v>0</v>
      </c>
      <c r="T1817" s="39" t="s">
        <v>9</v>
      </c>
    </row>
    <row r="1818" spans="1:20" x14ac:dyDescent="0.25">
      <c r="A1818" s="20">
        <v>42142</v>
      </c>
      <c r="B1818" s="183">
        <v>21392</v>
      </c>
      <c r="C1818" s="14" t="s">
        <v>100</v>
      </c>
      <c r="D1818" s="105">
        <v>2427.8000000000002</v>
      </c>
      <c r="E1818" s="23">
        <v>42142</v>
      </c>
      <c r="F1818" s="118">
        <v>2427.8000000000002</v>
      </c>
      <c r="G1818" s="31">
        <f t="shared" si="56"/>
        <v>0</v>
      </c>
      <c r="H1818" s="56" t="s">
        <v>9</v>
      </c>
      <c r="J1818" s="123"/>
      <c r="K1818" s="3"/>
      <c r="M1818" s="20">
        <v>42130</v>
      </c>
      <c r="N1818" s="183">
        <v>20202</v>
      </c>
      <c r="O1818" s="14" t="s">
        <v>80</v>
      </c>
      <c r="P1818" s="105">
        <v>6670.8</v>
      </c>
      <c r="Q1818" s="23">
        <v>42130</v>
      </c>
      <c r="R1818" s="106">
        <v>6670.8</v>
      </c>
      <c r="S1818" s="31">
        <f t="shared" si="57"/>
        <v>0</v>
      </c>
      <c r="T1818" s="39" t="s">
        <v>312</v>
      </c>
    </row>
    <row r="1819" spans="1:20" x14ac:dyDescent="0.25">
      <c r="A1819" s="20">
        <v>42142</v>
      </c>
      <c r="B1819" s="183">
        <v>21393</v>
      </c>
      <c r="C1819" s="26" t="s">
        <v>218</v>
      </c>
      <c r="D1819" s="108">
        <v>0</v>
      </c>
      <c r="E1819" s="23"/>
      <c r="F1819" s="118"/>
      <c r="G1819" s="31">
        <f t="shared" si="56"/>
        <v>0</v>
      </c>
      <c r="H1819" s="56" t="s">
        <v>13</v>
      </c>
      <c r="J1819" s="123"/>
      <c r="K1819" s="3"/>
      <c r="M1819" s="20">
        <v>42131</v>
      </c>
      <c r="N1819" s="183">
        <v>20313</v>
      </c>
      <c r="O1819" s="14" t="s">
        <v>80</v>
      </c>
      <c r="P1819" s="105">
        <v>6864.6</v>
      </c>
      <c r="Q1819" s="23">
        <v>42131</v>
      </c>
      <c r="R1819" s="106">
        <v>6864.6</v>
      </c>
      <c r="S1819" s="31">
        <f t="shared" si="57"/>
        <v>0</v>
      </c>
      <c r="T1819" s="39" t="s">
        <v>9</v>
      </c>
    </row>
    <row r="1820" spans="1:20" x14ac:dyDescent="0.25">
      <c r="A1820" s="20">
        <v>42142</v>
      </c>
      <c r="B1820" s="183">
        <v>21394</v>
      </c>
      <c r="C1820" s="14" t="s">
        <v>24</v>
      </c>
      <c r="D1820" s="105">
        <v>35079.65</v>
      </c>
      <c r="E1820" s="30">
        <v>42165</v>
      </c>
      <c r="F1820" s="145">
        <v>35079.65</v>
      </c>
      <c r="G1820" s="31">
        <f t="shared" si="56"/>
        <v>0</v>
      </c>
      <c r="H1820" s="56" t="s">
        <v>1257</v>
      </c>
      <c r="J1820" s="123"/>
      <c r="K1820" s="3"/>
      <c r="M1820" s="20">
        <v>42132</v>
      </c>
      <c r="N1820" s="183">
        <v>20453</v>
      </c>
      <c r="O1820" s="14" t="s">
        <v>80</v>
      </c>
      <c r="P1820" s="105">
        <v>6888.4</v>
      </c>
      <c r="Q1820" s="23">
        <v>42132</v>
      </c>
      <c r="R1820" s="106">
        <v>6888.4</v>
      </c>
      <c r="S1820" s="31">
        <f t="shared" si="57"/>
        <v>0</v>
      </c>
      <c r="T1820" s="19" t="s">
        <v>9</v>
      </c>
    </row>
    <row r="1821" spans="1:20" x14ac:dyDescent="0.25">
      <c r="A1821" s="20">
        <v>42142</v>
      </c>
      <c r="B1821" s="183">
        <v>21395</v>
      </c>
      <c r="C1821" s="14" t="s">
        <v>151</v>
      </c>
      <c r="D1821" s="105">
        <v>3730.4</v>
      </c>
      <c r="E1821" s="23">
        <v>42143</v>
      </c>
      <c r="F1821" s="118">
        <v>3730.4</v>
      </c>
      <c r="G1821" s="31">
        <f t="shared" si="56"/>
        <v>0</v>
      </c>
      <c r="H1821" s="56" t="s">
        <v>9</v>
      </c>
      <c r="J1821" s="123"/>
      <c r="K1821" s="3"/>
      <c r="M1821" s="20">
        <v>42134</v>
      </c>
      <c r="N1821" s="183">
        <v>20661</v>
      </c>
      <c r="O1821" s="14" t="s">
        <v>80</v>
      </c>
      <c r="P1821" s="105">
        <v>5443.4</v>
      </c>
      <c r="Q1821" s="23">
        <v>42134</v>
      </c>
      <c r="R1821" s="106">
        <v>5443.4</v>
      </c>
      <c r="S1821" s="31">
        <f t="shared" si="57"/>
        <v>0</v>
      </c>
      <c r="T1821" s="39" t="s">
        <v>9</v>
      </c>
    </row>
    <row r="1822" spans="1:20" x14ac:dyDescent="0.25">
      <c r="A1822" s="20">
        <v>42142</v>
      </c>
      <c r="B1822" s="183">
        <v>21396</v>
      </c>
      <c r="C1822" s="150" t="s">
        <v>114</v>
      </c>
      <c r="D1822" s="105">
        <v>2749.4</v>
      </c>
      <c r="E1822" s="23">
        <v>42142</v>
      </c>
      <c r="F1822" s="118">
        <v>2749.4</v>
      </c>
      <c r="G1822" s="31">
        <f t="shared" si="56"/>
        <v>0</v>
      </c>
      <c r="H1822" s="56" t="s">
        <v>9</v>
      </c>
      <c r="J1822" s="123"/>
      <c r="K1822" s="3"/>
      <c r="M1822" s="20">
        <v>42135</v>
      </c>
      <c r="N1822" s="183">
        <v>20768</v>
      </c>
      <c r="O1822" s="150" t="s">
        <v>80</v>
      </c>
      <c r="P1822" s="105">
        <v>4661.3999999999996</v>
      </c>
      <c r="Q1822" s="23">
        <v>42135</v>
      </c>
      <c r="R1822" s="106">
        <v>4661.3999999999996</v>
      </c>
      <c r="S1822" s="31">
        <f t="shared" si="57"/>
        <v>0</v>
      </c>
      <c r="T1822" s="19" t="s">
        <v>9</v>
      </c>
    </row>
    <row r="1823" spans="1:20" x14ac:dyDescent="0.25">
      <c r="A1823" s="20">
        <v>42142</v>
      </c>
      <c r="B1823" s="183">
        <v>21397</v>
      </c>
      <c r="C1823" s="14" t="s">
        <v>431</v>
      </c>
      <c r="D1823" s="105">
        <v>4390.8</v>
      </c>
      <c r="E1823" s="23">
        <v>42142</v>
      </c>
      <c r="F1823" s="118">
        <v>4390.8</v>
      </c>
      <c r="G1823" s="31">
        <f t="shared" si="56"/>
        <v>0</v>
      </c>
      <c r="H1823" s="56" t="s">
        <v>9</v>
      </c>
      <c r="J1823" s="123"/>
      <c r="K1823" s="3"/>
      <c r="M1823" s="20">
        <v>42136</v>
      </c>
      <c r="N1823" s="183">
        <v>20863</v>
      </c>
      <c r="O1823" s="14" t="s">
        <v>80</v>
      </c>
      <c r="P1823" s="105">
        <v>6796.6</v>
      </c>
      <c r="Q1823" s="23">
        <v>42136</v>
      </c>
      <c r="R1823" s="106">
        <v>6796.6</v>
      </c>
      <c r="S1823" s="31">
        <f t="shared" si="57"/>
        <v>0</v>
      </c>
      <c r="T1823" s="39" t="s">
        <v>9</v>
      </c>
    </row>
    <row r="1824" spans="1:20" x14ac:dyDescent="0.25">
      <c r="A1824" s="20">
        <v>42142</v>
      </c>
      <c r="B1824" s="183">
        <v>21398</v>
      </c>
      <c r="C1824" s="14" t="s">
        <v>1297</v>
      </c>
      <c r="D1824" s="105">
        <v>5050.8</v>
      </c>
      <c r="E1824" s="23">
        <v>42142</v>
      </c>
      <c r="F1824" s="118">
        <v>5050.8</v>
      </c>
      <c r="G1824" s="31">
        <f t="shared" si="56"/>
        <v>0</v>
      </c>
      <c r="H1824" s="56" t="s">
        <v>9</v>
      </c>
      <c r="J1824" s="123"/>
      <c r="K1824" s="3"/>
      <c r="M1824" s="20">
        <v>42137</v>
      </c>
      <c r="N1824" s="183">
        <v>20952</v>
      </c>
      <c r="O1824" s="14" t="s">
        <v>80</v>
      </c>
      <c r="P1824" s="105">
        <v>6789.8</v>
      </c>
      <c r="Q1824" s="23">
        <v>42137</v>
      </c>
      <c r="R1824" s="106">
        <v>6789.8</v>
      </c>
      <c r="S1824" s="31">
        <f t="shared" si="57"/>
        <v>0</v>
      </c>
      <c r="T1824" s="19" t="s">
        <v>9</v>
      </c>
    </row>
    <row r="1825" spans="1:20" x14ac:dyDescent="0.25">
      <c r="A1825" s="20">
        <v>42142</v>
      </c>
      <c r="B1825" s="183">
        <v>21399</v>
      </c>
      <c r="C1825" s="14" t="s">
        <v>854</v>
      </c>
      <c r="D1825" s="105">
        <v>5417.6</v>
      </c>
      <c r="E1825" s="23">
        <v>42143</v>
      </c>
      <c r="F1825" s="118">
        <v>5417.6</v>
      </c>
      <c r="G1825" s="31">
        <f t="shared" si="56"/>
        <v>0</v>
      </c>
      <c r="H1825" s="56" t="s">
        <v>9</v>
      </c>
      <c r="J1825" s="123"/>
      <c r="K1825" s="3"/>
      <c r="M1825" s="20">
        <v>42138</v>
      </c>
      <c r="N1825" s="183">
        <v>21067</v>
      </c>
      <c r="O1825" s="14" t="s">
        <v>80</v>
      </c>
      <c r="P1825" s="105">
        <v>6772.8</v>
      </c>
      <c r="Q1825" s="23">
        <v>42138</v>
      </c>
      <c r="R1825" s="106">
        <v>6772.8</v>
      </c>
      <c r="S1825" s="48">
        <f t="shared" si="57"/>
        <v>0</v>
      </c>
      <c r="T1825" s="39" t="s">
        <v>9</v>
      </c>
    </row>
    <row r="1826" spans="1:20" x14ac:dyDescent="0.25">
      <c r="A1826" s="20">
        <v>42142</v>
      </c>
      <c r="B1826" s="183">
        <v>21400</v>
      </c>
      <c r="C1826" s="14" t="s">
        <v>121</v>
      </c>
      <c r="D1826" s="105">
        <v>2745</v>
      </c>
      <c r="E1826" s="23">
        <v>42142</v>
      </c>
      <c r="F1826" s="118">
        <v>2745</v>
      </c>
      <c r="G1826" s="31">
        <f t="shared" si="56"/>
        <v>0</v>
      </c>
      <c r="H1826" s="56" t="s">
        <v>9</v>
      </c>
      <c r="J1826" s="123"/>
      <c r="K1826" s="3"/>
      <c r="M1826" s="20">
        <v>42139</v>
      </c>
      <c r="N1826" s="183">
        <v>21198</v>
      </c>
      <c r="O1826" s="14" t="s">
        <v>80</v>
      </c>
      <c r="P1826" s="105">
        <v>6915.6</v>
      </c>
      <c r="Q1826" s="23">
        <v>42139</v>
      </c>
      <c r="R1826" s="106">
        <v>6915.6</v>
      </c>
      <c r="S1826" s="48">
        <f t="shared" si="57"/>
        <v>0</v>
      </c>
      <c r="T1826" s="39" t="s">
        <v>9</v>
      </c>
    </row>
    <row r="1827" spans="1:20" x14ac:dyDescent="0.25">
      <c r="A1827" s="20">
        <v>42142</v>
      </c>
      <c r="B1827" s="183">
        <v>21401</v>
      </c>
      <c r="C1827" s="14" t="s">
        <v>121</v>
      </c>
      <c r="D1827" s="105">
        <v>108</v>
      </c>
      <c r="E1827" s="23">
        <v>42142</v>
      </c>
      <c r="F1827" s="118">
        <v>108</v>
      </c>
      <c r="G1827" s="31">
        <f t="shared" si="56"/>
        <v>0</v>
      </c>
      <c r="H1827" s="56" t="s">
        <v>9</v>
      </c>
      <c r="J1827" s="123"/>
      <c r="K1827" s="3"/>
      <c r="M1827" s="20">
        <v>42141</v>
      </c>
      <c r="N1827" s="183">
        <v>21379</v>
      </c>
      <c r="O1827" s="14" t="s">
        <v>80</v>
      </c>
      <c r="P1827" s="105">
        <v>6827.2</v>
      </c>
      <c r="Q1827" s="23">
        <v>42141</v>
      </c>
      <c r="R1827" s="118">
        <v>6827.2</v>
      </c>
      <c r="S1827" s="31">
        <f t="shared" si="57"/>
        <v>0</v>
      </c>
      <c r="T1827" s="56" t="s">
        <v>9</v>
      </c>
    </row>
    <row r="1828" spans="1:20" x14ac:dyDescent="0.25">
      <c r="A1828" s="20">
        <v>42142</v>
      </c>
      <c r="B1828" s="183">
        <v>21402</v>
      </c>
      <c r="C1828" s="14" t="s">
        <v>136</v>
      </c>
      <c r="D1828" s="105">
        <v>4788</v>
      </c>
      <c r="E1828" s="23">
        <v>42142</v>
      </c>
      <c r="F1828" s="118">
        <v>4788</v>
      </c>
      <c r="G1828" s="31">
        <f t="shared" si="56"/>
        <v>0</v>
      </c>
      <c r="H1828" s="56" t="s">
        <v>9</v>
      </c>
      <c r="J1828" s="123"/>
      <c r="K1828" s="3"/>
      <c r="M1828" s="20">
        <v>42142</v>
      </c>
      <c r="N1828" s="183">
        <v>21520</v>
      </c>
      <c r="O1828" s="14" t="s">
        <v>80</v>
      </c>
      <c r="P1828" s="105">
        <v>6355.2</v>
      </c>
      <c r="Q1828" s="23">
        <v>42142</v>
      </c>
      <c r="R1828" s="118">
        <v>6355.2</v>
      </c>
      <c r="S1828" s="31">
        <f t="shared" si="57"/>
        <v>0</v>
      </c>
      <c r="T1828" s="56" t="s">
        <v>9</v>
      </c>
    </row>
    <row r="1829" spans="1:20" x14ac:dyDescent="0.25">
      <c r="A1829" s="20">
        <v>42142</v>
      </c>
      <c r="B1829" s="183">
        <v>21403</v>
      </c>
      <c r="C1829" s="14" t="s">
        <v>940</v>
      </c>
      <c r="D1829" s="105">
        <v>3434.8</v>
      </c>
      <c r="E1829" s="23">
        <v>42142</v>
      </c>
      <c r="F1829" s="118">
        <v>3434.8</v>
      </c>
      <c r="G1829" s="31">
        <f t="shared" si="56"/>
        <v>0</v>
      </c>
      <c r="H1829" s="56" t="s">
        <v>587</v>
      </c>
      <c r="J1829" s="123"/>
      <c r="K1829" s="3"/>
      <c r="M1829" s="20">
        <v>42143</v>
      </c>
      <c r="N1829" s="183">
        <v>21608</v>
      </c>
      <c r="O1829" s="14" t="s">
        <v>80</v>
      </c>
      <c r="P1829" s="105">
        <v>6592</v>
      </c>
      <c r="Q1829" s="23">
        <v>42143</v>
      </c>
      <c r="R1829" s="118">
        <v>6592</v>
      </c>
      <c r="S1829" s="31">
        <f t="shared" si="57"/>
        <v>0</v>
      </c>
      <c r="T1829" s="56" t="s">
        <v>9</v>
      </c>
    </row>
    <row r="1830" spans="1:20" x14ac:dyDescent="0.25">
      <c r="A1830" s="20">
        <v>42142</v>
      </c>
      <c r="B1830" s="183">
        <v>21404</v>
      </c>
      <c r="C1830" s="14" t="s">
        <v>1411</v>
      </c>
      <c r="D1830" s="105">
        <v>24026.5</v>
      </c>
      <c r="E1830" s="23">
        <v>42142</v>
      </c>
      <c r="F1830" s="118">
        <v>24026.5</v>
      </c>
      <c r="G1830" s="31">
        <f t="shared" si="56"/>
        <v>0</v>
      </c>
      <c r="H1830" s="56" t="s">
        <v>587</v>
      </c>
      <c r="J1830" s="123"/>
      <c r="K1830" s="3"/>
      <c r="M1830" s="20">
        <v>42148</v>
      </c>
      <c r="N1830" s="183">
        <v>22126</v>
      </c>
      <c r="O1830" s="150" t="s">
        <v>80</v>
      </c>
      <c r="P1830" s="105">
        <v>6971.2</v>
      </c>
      <c r="Q1830" s="65">
        <v>42148</v>
      </c>
      <c r="R1830" s="106">
        <v>6971.2</v>
      </c>
      <c r="S1830" s="31">
        <f t="shared" si="57"/>
        <v>0</v>
      </c>
      <c r="T1830" s="39" t="s">
        <v>9</v>
      </c>
    </row>
    <row r="1831" spans="1:20" x14ac:dyDescent="0.25">
      <c r="A1831" s="20">
        <v>42142</v>
      </c>
      <c r="B1831" s="183">
        <v>21405</v>
      </c>
      <c r="C1831" s="14" t="s">
        <v>1193</v>
      </c>
      <c r="D1831" s="105">
        <v>4764.7</v>
      </c>
      <c r="E1831" s="23">
        <v>42142</v>
      </c>
      <c r="F1831" s="118">
        <v>4764.7</v>
      </c>
      <c r="G1831" s="31">
        <f t="shared" si="56"/>
        <v>0</v>
      </c>
      <c r="H1831" s="56" t="s">
        <v>587</v>
      </c>
      <c r="J1831" s="123"/>
      <c r="K1831" s="3"/>
      <c r="M1831" s="20">
        <v>42152</v>
      </c>
      <c r="N1831" s="183">
        <v>22535</v>
      </c>
      <c r="O1831" s="14" t="s">
        <v>80</v>
      </c>
      <c r="P1831" s="105">
        <v>6752</v>
      </c>
      <c r="Q1831" s="23">
        <v>42152</v>
      </c>
      <c r="R1831" s="106">
        <v>6752</v>
      </c>
      <c r="S1831" s="31">
        <f t="shared" si="57"/>
        <v>0</v>
      </c>
      <c r="T1831" s="39" t="s">
        <v>9</v>
      </c>
    </row>
    <row r="1832" spans="1:20" x14ac:dyDescent="0.25">
      <c r="A1832" s="20">
        <v>42142</v>
      </c>
      <c r="B1832" s="183">
        <v>21406</v>
      </c>
      <c r="C1832" s="14" t="s">
        <v>1261</v>
      </c>
      <c r="D1832" s="105">
        <v>18449.8</v>
      </c>
      <c r="E1832" s="23">
        <v>42142</v>
      </c>
      <c r="F1832" s="118">
        <v>18449.8</v>
      </c>
      <c r="G1832" s="31">
        <f t="shared" si="56"/>
        <v>0</v>
      </c>
      <c r="H1832" s="56" t="s">
        <v>587</v>
      </c>
      <c r="J1832" s="123"/>
      <c r="K1832" s="3"/>
      <c r="M1832" s="20">
        <v>42153</v>
      </c>
      <c r="N1832" s="183">
        <v>22657</v>
      </c>
      <c r="O1832" s="14" t="s">
        <v>80</v>
      </c>
      <c r="P1832" s="105">
        <v>6972.8</v>
      </c>
      <c r="Q1832" s="23">
        <v>42153</v>
      </c>
      <c r="R1832" s="106">
        <v>6972.8</v>
      </c>
      <c r="S1832" s="31">
        <f t="shared" si="57"/>
        <v>0</v>
      </c>
      <c r="T1832" s="39" t="s">
        <v>9</v>
      </c>
    </row>
    <row r="1833" spans="1:20" x14ac:dyDescent="0.25">
      <c r="A1833" s="20">
        <v>42142</v>
      </c>
      <c r="B1833" s="183">
        <v>21407</v>
      </c>
      <c r="C1833" s="14" t="s">
        <v>125</v>
      </c>
      <c r="D1833" s="105">
        <v>14378.2</v>
      </c>
      <c r="E1833" s="23">
        <v>42142</v>
      </c>
      <c r="F1833" s="118">
        <v>14378.2</v>
      </c>
      <c r="G1833" s="31">
        <f t="shared" si="56"/>
        <v>0</v>
      </c>
      <c r="H1833" s="56" t="s">
        <v>9</v>
      </c>
      <c r="J1833" s="123"/>
      <c r="K1833" s="3"/>
      <c r="M1833" s="20">
        <v>42153</v>
      </c>
      <c r="N1833" s="183">
        <v>22659</v>
      </c>
      <c r="O1833" s="14" t="s">
        <v>80</v>
      </c>
      <c r="P1833" s="105">
        <v>120</v>
      </c>
      <c r="Q1833" s="23">
        <v>42153</v>
      </c>
      <c r="R1833" s="106">
        <v>120</v>
      </c>
      <c r="S1833" s="31">
        <f t="shared" si="57"/>
        <v>0</v>
      </c>
      <c r="T1833" s="39" t="s">
        <v>9</v>
      </c>
    </row>
    <row r="1834" spans="1:20" x14ac:dyDescent="0.25">
      <c r="A1834" s="20">
        <v>42142</v>
      </c>
      <c r="B1834" s="183">
        <v>21408</v>
      </c>
      <c r="C1834" s="26" t="s">
        <v>218</v>
      </c>
      <c r="D1834" s="108">
        <v>0</v>
      </c>
      <c r="E1834" s="23"/>
      <c r="F1834" s="118"/>
      <c r="G1834" s="31">
        <f t="shared" si="56"/>
        <v>0</v>
      </c>
      <c r="H1834" s="56" t="s">
        <v>13</v>
      </c>
      <c r="J1834" s="123"/>
      <c r="K1834" s="3"/>
      <c r="M1834" s="20">
        <v>42155</v>
      </c>
      <c r="N1834" s="183">
        <v>22844</v>
      </c>
      <c r="O1834" s="14" t="s">
        <v>80</v>
      </c>
      <c r="P1834" s="105">
        <v>6627.2</v>
      </c>
      <c r="Q1834" s="23">
        <v>42155</v>
      </c>
      <c r="R1834" s="106">
        <v>6627.2</v>
      </c>
      <c r="S1834" s="31">
        <f t="shared" si="57"/>
        <v>0</v>
      </c>
      <c r="T1834" s="39" t="s">
        <v>1013</v>
      </c>
    </row>
    <row r="1835" spans="1:20" x14ac:dyDescent="0.25">
      <c r="A1835" s="20">
        <v>42142</v>
      </c>
      <c r="B1835" s="183">
        <v>21409</v>
      </c>
      <c r="C1835" s="14" t="s">
        <v>1172</v>
      </c>
      <c r="D1835" s="105">
        <v>8172.3</v>
      </c>
      <c r="E1835" s="23">
        <v>42142</v>
      </c>
      <c r="F1835" s="118">
        <v>8172.3</v>
      </c>
      <c r="G1835" s="31">
        <f t="shared" si="56"/>
        <v>0</v>
      </c>
      <c r="H1835" s="56" t="s">
        <v>587</v>
      </c>
      <c r="J1835" s="123"/>
      <c r="K1835" s="3"/>
      <c r="M1835" s="20">
        <v>42125</v>
      </c>
      <c r="N1835" s="183">
        <v>19599</v>
      </c>
      <c r="O1835" s="14" t="s">
        <v>604</v>
      </c>
      <c r="P1835" s="105">
        <v>4311.2</v>
      </c>
      <c r="Q1835" s="23">
        <v>42125</v>
      </c>
      <c r="R1835" s="106">
        <v>4311.2</v>
      </c>
      <c r="S1835" s="25">
        <f t="shared" si="57"/>
        <v>0</v>
      </c>
      <c r="T1835" s="19" t="s">
        <v>9</v>
      </c>
    </row>
    <row r="1836" spans="1:20" x14ac:dyDescent="0.25">
      <c r="A1836" s="20">
        <v>42142</v>
      </c>
      <c r="B1836" s="183">
        <v>21410</v>
      </c>
      <c r="C1836" s="14" t="s">
        <v>239</v>
      </c>
      <c r="D1836" s="105">
        <v>688.8</v>
      </c>
      <c r="E1836" s="23">
        <v>42142</v>
      </c>
      <c r="F1836" s="118">
        <v>688.8</v>
      </c>
      <c r="G1836" s="31">
        <f t="shared" si="56"/>
        <v>0</v>
      </c>
      <c r="H1836" s="56" t="s">
        <v>9</v>
      </c>
      <c r="J1836" s="123"/>
      <c r="K1836" s="3"/>
      <c r="M1836" s="20">
        <v>42129</v>
      </c>
      <c r="N1836" s="183">
        <v>20055</v>
      </c>
      <c r="O1836" s="14" t="s">
        <v>604</v>
      </c>
      <c r="P1836" s="105">
        <v>2304.5</v>
      </c>
      <c r="Q1836" s="23">
        <v>42129</v>
      </c>
      <c r="R1836" s="106">
        <v>2304.5</v>
      </c>
      <c r="S1836" s="31">
        <f t="shared" si="57"/>
        <v>0</v>
      </c>
      <c r="T1836" s="39" t="s">
        <v>9</v>
      </c>
    </row>
    <row r="1837" spans="1:20" x14ac:dyDescent="0.25">
      <c r="A1837" s="20">
        <v>42142</v>
      </c>
      <c r="B1837" s="183">
        <v>21411</v>
      </c>
      <c r="C1837" s="14" t="s">
        <v>112</v>
      </c>
      <c r="D1837" s="105">
        <v>7189.6</v>
      </c>
      <c r="E1837" s="23">
        <v>42142</v>
      </c>
      <c r="F1837" s="118">
        <v>7189.6</v>
      </c>
      <c r="G1837" s="31">
        <f t="shared" si="56"/>
        <v>0</v>
      </c>
      <c r="H1837" s="56" t="s">
        <v>9</v>
      </c>
      <c r="J1837" s="123"/>
      <c r="K1837" s="3"/>
      <c r="M1837" s="20">
        <v>42133</v>
      </c>
      <c r="N1837" s="183">
        <v>20496</v>
      </c>
      <c r="O1837" s="14" t="s">
        <v>604</v>
      </c>
      <c r="P1837" s="105">
        <v>2486.4</v>
      </c>
      <c r="Q1837" s="23">
        <v>42133</v>
      </c>
      <c r="R1837" s="106">
        <v>2486.4</v>
      </c>
      <c r="S1837" s="31">
        <f t="shared" si="57"/>
        <v>0</v>
      </c>
      <c r="T1837" s="19" t="s">
        <v>9</v>
      </c>
    </row>
    <row r="1838" spans="1:20" x14ac:dyDescent="0.25">
      <c r="A1838" s="20">
        <v>42142</v>
      </c>
      <c r="B1838" s="183">
        <v>21412</v>
      </c>
      <c r="C1838" s="14" t="s">
        <v>24</v>
      </c>
      <c r="D1838" s="105">
        <v>23361.8</v>
      </c>
      <c r="E1838" s="30">
        <v>42165</v>
      </c>
      <c r="F1838" s="145">
        <v>23361.8</v>
      </c>
      <c r="G1838" s="31">
        <f t="shared" si="56"/>
        <v>0</v>
      </c>
      <c r="H1838" s="56" t="s">
        <v>773</v>
      </c>
      <c r="J1838" s="123"/>
      <c r="K1838" s="3"/>
      <c r="M1838" s="20">
        <v>42139</v>
      </c>
      <c r="N1838" s="183">
        <v>21120</v>
      </c>
      <c r="O1838" s="14" t="s">
        <v>604</v>
      </c>
      <c r="P1838" s="105">
        <v>7039.8</v>
      </c>
      <c r="Q1838" s="23">
        <v>42139</v>
      </c>
      <c r="R1838" s="106">
        <v>7039.8</v>
      </c>
      <c r="S1838" s="48">
        <f t="shared" si="57"/>
        <v>0</v>
      </c>
      <c r="T1838" s="39" t="s">
        <v>9</v>
      </c>
    </row>
    <row r="1839" spans="1:20" x14ac:dyDescent="0.25">
      <c r="A1839" s="20">
        <v>42142</v>
      </c>
      <c r="B1839" s="183">
        <v>21413</v>
      </c>
      <c r="C1839" s="14" t="s">
        <v>14</v>
      </c>
      <c r="D1839" s="105">
        <v>73857.75</v>
      </c>
      <c r="E1839" s="23">
        <v>42153</v>
      </c>
      <c r="F1839" s="118">
        <v>73857.75</v>
      </c>
      <c r="G1839" s="31">
        <f t="shared" si="56"/>
        <v>0</v>
      </c>
      <c r="H1839" s="56" t="s">
        <v>9</v>
      </c>
      <c r="J1839" s="123"/>
      <c r="K1839" s="3"/>
      <c r="M1839" s="20">
        <v>42142</v>
      </c>
      <c r="N1839" s="183">
        <v>21417</v>
      </c>
      <c r="O1839" s="14" t="s">
        <v>604</v>
      </c>
      <c r="P1839" s="105">
        <v>2507.5</v>
      </c>
      <c r="Q1839" s="23">
        <v>42142</v>
      </c>
      <c r="R1839" s="118">
        <v>2507.5</v>
      </c>
      <c r="S1839" s="31">
        <f t="shared" si="57"/>
        <v>0</v>
      </c>
      <c r="T1839" s="56" t="s">
        <v>9</v>
      </c>
    </row>
    <row r="1840" spans="1:20" x14ac:dyDescent="0.25">
      <c r="A1840" s="20">
        <v>42142</v>
      </c>
      <c r="B1840" s="183">
        <v>21414</v>
      </c>
      <c r="C1840" s="14" t="s">
        <v>135</v>
      </c>
      <c r="D1840" s="105">
        <v>18030</v>
      </c>
      <c r="E1840" s="23">
        <v>42142</v>
      </c>
      <c r="F1840" s="118">
        <v>18030</v>
      </c>
      <c r="G1840" s="31">
        <f t="shared" si="56"/>
        <v>0</v>
      </c>
      <c r="H1840" s="56" t="s">
        <v>9</v>
      </c>
      <c r="J1840" s="123"/>
      <c r="K1840" s="3"/>
      <c r="M1840" s="20">
        <v>42145</v>
      </c>
      <c r="N1840" s="183">
        <v>21745</v>
      </c>
      <c r="O1840" s="15" t="s">
        <v>604</v>
      </c>
      <c r="P1840" s="122">
        <v>2715</v>
      </c>
      <c r="Q1840" s="23">
        <v>42145</v>
      </c>
      <c r="R1840" s="106">
        <v>2715</v>
      </c>
      <c r="S1840" s="31">
        <f t="shared" si="57"/>
        <v>0</v>
      </c>
      <c r="T1840" s="68" t="s">
        <v>9</v>
      </c>
    </row>
    <row r="1841" spans="1:20" x14ac:dyDescent="0.25">
      <c r="A1841" s="20">
        <v>42142</v>
      </c>
      <c r="B1841" s="183">
        <v>21415</v>
      </c>
      <c r="C1841" s="14" t="s">
        <v>1172</v>
      </c>
      <c r="D1841" s="105">
        <v>4809</v>
      </c>
      <c r="E1841" s="23">
        <v>42142</v>
      </c>
      <c r="F1841" s="118">
        <v>4809</v>
      </c>
      <c r="G1841" s="31">
        <f t="shared" si="56"/>
        <v>0</v>
      </c>
      <c r="H1841" s="56" t="s">
        <v>587</v>
      </c>
      <c r="J1841" s="123"/>
      <c r="K1841" s="3"/>
      <c r="M1841" s="20">
        <v>42148</v>
      </c>
      <c r="N1841" s="183">
        <v>22077</v>
      </c>
      <c r="O1841" s="14" t="s">
        <v>604</v>
      </c>
      <c r="P1841" s="105">
        <v>2641.2</v>
      </c>
      <c r="Q1841" s="65">
        <v>42148</v>
      </c>
      <c r="R1841" s="106">
        <v>2641.2</v>
      </c>
      <c r="S1841" s="31">
        <f t="shared" si="57"/>
        <v>0</v>
      </c>
      <c r="T1841" s="39" t="s">
        <v>9</v>
      </c>
    </row>
    <row r="1842" spans="1:20" x14ac:dyDescent="0.25">
      <c r="A1842" s="20">
        <v>42142</v>
      </c>
      <c r="B1842" s="183">
        <v>21416</v>
      </c>
      <c r="C1842" s="14" t="s">
        <v>1261</v>
      </c>
      <c r="D1842" s="105">
        <v>6489</v>
      </c>
      <c r="E1842" s="23">
        <v>42142</v>
      </c>
      <c r="F1842" s="118">
        <v>6489</v>
      </c>
      <c r="G1842" s="31">
        <f t="shared" si="56"/>
        <v>0</v>
      </c>
      <c r="H1842" s="56" t="s">
        <v>587</v>
      </c>
      <c r="J1842" s="123"/>
      <c r="K1842" s="3"/>
      <c r="M1842" s="20">
        <v>42153</v>
      </c>
      <c r="N1842" s="183">
        <v>22583</v>
      </c>
      <c r="O1842" s="14" t="s">
        <v>604</v>
      </c>
      <c r="P1842" s="105">
        <v>4481.3999999999996</v>
      </c>
      <c r="Q1842" s="23">
        <v>42153</v>
      </c>
      <c r="R1842" s="106">
        <v>4481.3999999999996</v>
      </c>
      <c r="S1842" s="31">
        <f t="shared" si="57"/>
        <v>0</v>
      </c>
      <c r="T1842" s="39" t="s">
        <v>9</v>
      </c>
    </row>
    <row r="1843" spans="1:20" x14ac:dyDescent="0.25">
      <c r="A1843" s="20">
        <v>42142</v>
      </c>
      <c r="B1843" s="183">
        <v>21417</v>
      </c>
      <c r="C1843" s="14" t="s">
        <v>604</v>
      </c>
      <c r="D1843" s="105">
        <v>2507.5</v>
      </c>
      <c r="E1843" s="23">
        <v>42142</v>
      </c>
      <c r="F1843" s="118">
        <v>2507.5</v>
      </c>
      <c r="G1843" s="31">
        <f t="shared" si="56"/>
        <v>0</v>
      </c>
      <c r="H1843" s="56" t="s">
        <v>9</v>
      </c>
      <c r="J1843" s="123"/>
      <c r="K1843" s="3"/>
      <c r="M1843" s="20">
        <v>42154</v>
      </c>
      <c r="N1843" s="183">
        <v>22709</v>
      </c>
      <c r="O1843" s="14" t="s">
        <v>604</v>
      </c>
      <c r="P1843" s="105">
        <v>2590.8000000000002</v>
      </c>
      <c r="Q1843" s="23">
        <v>42154</v>
      </c>
      <c r="R1843" s="106">
        <v>2590.8000000000002</v>
      </c>
      <c r="S1843" s="31">
        <f t="shared" si="57"/>
        <v>0</v>
      </c>
      <c r="T1843" s="39" t="s">
        <v>9</v>
      </c>
    </row>
    <row r="1844" spans="1:20" x14ac:dyDescent="0.25">
      <c r="A1844" s="20">
        <v>42142</v>
      </c>
      <c r="B1844" s="183">
        <v>21418</v>
      </c>
      <c r="C1844" s="14" t="s">
        <v>158</v>
      </c>
      <c r="D1844" s="105">
        <v>2633.2</v>
      </c>
      <c r="E1844" s="23">
        <v>42142</v>
      </c>
      <c r="F1844" s="118">
        <v>2633.2</v>
      </c>
      <c r="G1844" s="31">
        <f t="shared" si="56"/>
        <v>0</v>
      </c>
      <c r="H1844" s="56" t="s">
        <v>9</v>
      </c>
      <c r="J1844" s="123"/>
      <c r="K1844" s="3"/>
      <c r="M1844" s="20">
        <v>42131</v>
      </c>
      <c r="N1844" s="183">
        <v>20289</v>
      </c>
      <c r="O1844" s="14" t="s">
        <v>107</v>
      </c>
      <c r="P1844" s="105">
        <v>2191.1999999999998</v>
      </c>
      <c r="Q1844" s="23">
        <v>42131</v>
      </c>
      <c r="R1844" s="106">
        <v>2191.1999999999998</v>
      </c>
      <c r="S1844" s="31">
        <f t="shared" si="57"/>
        <v>0</v>
      </c>
      <c r="T1844" s="19" t="s">
        <v>9</v>
      </c>
    </row>
    <row r="1845" spans="1:20" x14ac:dyDescent="0.25">
      <c r="A1845" s="20">
        <v>42142</v>
      </c>
      <c r="B1845" s="183">
        <v>21419</v>
      </c>
      <c r="C1845" s="14" t="s">
        <v>130</v>
      </c>
      <c r="D1845" s="105">
        <v>6849.8</v>
      </c>
      <c r="E1845" s="23">
        <v>42145</v>
      </c>
      <c r="F1845" s="118">
        <v>6849.8</v>
      </c>
      <c r="G1845" s="31">
        <f t="shared" si="56"/>
        <v>0</v>
      </c>
      <c r="H1845" s="56" t="s">
        <v>1257</v>
      </c>
      <c r="J1845" s="123"/>
      <c r="K1845" s="3"/>
      <c r="M1845" s="20">
        <v>42138</v>
      </c>
      <c r="N1845" s="183">
        <v>21036</v>
      </c>
      <c r="O1845" s="14" t="s">
        <v>107</v>
      </c>
      <c r="P1845" s="105">
        <v>3070.2</v>
      </c>
      <c r="Q1845" s="23">
        <v>42138</v>
      </c>
      <c r="R1845" s="106">
        <v>3070.2</v>
      </c>
      <c r="S1845" s="48">
        <f t="shared" si="57"/>
        <v>0</v>
      </c>
      <c r="T1845" s="39" t="s">
        <v>9</v>
      </c>
    </row>
    <row r="1846" spans="1:20" x14ac:dyDescent="0.25">
      <c r="A1846" s="20">
        <v>42142</v>
      </c>
      <c r="B1846" s="183">
        <v>21420</v>
      </c>
      <c r="C1846" s="26" t="s">
        <v>218</v>
      </c>
      <c r="D1846" s="108">
        <v>0</v>
      </c>
      <c r="E1846" s="23"/>
      <c r="F1846" s="118"/>
      <c r="G1846" s="31">
        <f t="shared" si="56"/>
        <v>0</v>
      </c>
      <c r="H1846" s="56" t="s">
        <v>13</v>
      </c>
      <c r="J1846" s="123"/>
      <c r="K1846" s="3"/>
      <c r="M1846" s="20">
        <v>42145</v>
      </c>
      <c r="N1846" s="183">
        <v>21794</v>
      </c>
      <c r="O1846" s="15" t="s">
        <v>107</v>
      </c>
      <c r="P1846" s="122">
        <v>3733.8</v>
      </c>
      <c r="Q1846" s="23">
        <v>42145</v>
      </c>
      <c r="R1846" s="118">
        <v>3733.8</v>
      </c>
      <c r="S1846" s="31">
        <f t="shared" si="57"/>
        <v>0</v>
      </c>
      <c r="T1846" s="68" t="s">
        <v>9</v>
      </c>
    </row>
    <row r="1847" spans="1:20" x14ac:dyDescent="0.25">
      <c r="A1847" s="20">
        <v>42142</v>
      </c>
      <c r="B1847" s="183">
        <v>21421</v>
      </c>
      <c r="C1847" s="14" t="s">
        <v>375</v>
      </c>
      <c r="D1847" s="105">
        <v>4160.2</v>
      </c>
      <c r="E1847" s="23">
        <v>42143</v>
      </c>
      <c r="F1847" s="118">
        <v>4160.2</v>
      </c>
      <c r="G1847" s="31">
        <f t="shared" si="56"/>
        <v>0</v>
      </c>
      <c r="H1847" s="56" t="s">
        <v>9</v>
      </c>
      <c r="J1847" s="123"/>
      <c r="K1847" s="3"/>
      <c r="M1847" s="20">
        <v>42152</v>
      </c>
      <c r="N1847" s="183">
        <v>22506</v>
      </c>
      <c r="O1847" s="14" t="s">
        <v>107</v>
      </c>
      <c r="P1847" s="105">
        <v>3112</v>
      </c>
      <c r="Q1847" s="23">
        <v>42152</v>
      </c>
      <c r="R1847" s="106">
        <v>3112</v>
      </c>
      <c r="S1847" s="31">
        <f t="shared" si="57"/>
        <v>0</v>
      </c>
      <c r="T1847" s="39" t="s">
        <v>9</v>
      </c>
    </row>
    <row r="1848" spans="1:20" x14ac:dyDescent="0.25">
      <c r="A1848" s="20">
        <v>42142</v>
      </c>
      <c r="B1848" s="183">
        <v>21422</v>
      </c>
      <c r="C1848" s="14" t="s">
        <v>131</v>
      </c>
      <c r="D1848" s="105">
        <v>12021.2</v>
      </c>
      <c r="E1848" s="23">
        <v>42142</v>
      </c>
      <c r="F1848" s="118">
        <v>12021.2</v>
      </c>
      <c r="G1848" s="31">
        <f t="shared" si="56"/>
        <v>0</v>
      </c>
      <c r="H1848" s="56" t="s">
        <v>1257</v>
      </c>
      <c r="J1848" s="123"/>
      <c r="K1848" s="3"/>
      <c r="M1848" s="20">
        <v>42152</v>
      </c>
      <c r="N1848" s="183">
        <v>22507</v>
      </c>
      <c r="O1848" s="14" t="s">
        <v>107</v>
      </c>
      <c r="P1848" s="105">
        <v>272</v>
      </c>
      <c r="Q1848" s="23">
        <v>42152</v>
      </c>
      <c r="R1848" s="106">
        <v>272</v>
      </c>
      <c r="S1848" s="31">
        <f t="shared" si="57"/>
        <v>0</v>
      </c>
      <c r="T1848" s="39" t="s">
        <v>9</v>
      </c>
    </row>
    <row r="1849" spans="1:20" x14ac:dyDescent="0.25">
      <c r="A1849" s="20">
        <v>42142</v>
      </c>
      <c r="B1849" s="183">
        <v>21423</v>
      </c>
      <c r="C1849" s="14" t="s">
        <v>128</v>
      </c>
      <c r="D1849" s="105">
        <v>6956</v>
      </c>
      <c r="E1849" s="23">
        <v>42142</v>
      </c>
      <c r="F1849" s="118">
        <v>6956</v>
      </c>
      <c r="G1849" s="31">
        <f t="shared" si="56"/>
        <v>0</v>
      </c>
      <c r="H1849" s="56" t="s">
        <v>1257</v>
      </c>
      <c r="J1849" s="123"/>
      <c r="K1849" s="3"/>
      <c r="M1849" s="20">
        <v>42127</v>
      </c>
      <c r="N1849" s="183">
        <v>19849</v>
      </c>
      <c r="O1849" s="40" t="s">
        <v>137</v>
      </c>
      <c r="P1849" s="105">
        <v>518.4</v>
      </c>
      <c r="Q1849" s="23">
        <v>42127</v>
      </c>
      <c r="R1849" s="106">
        <v>518.4</v>
      </c>
      <c r="S1849" s="31">
        <f t="shared" si="57"/>
        <v>0</v>
      </c>
      <c r="T1849" s="41" t="s">
        <v>9</v>
      </c>
    </row>
    <row r="1850" spans="1:20" x14ac:dyDescent="0.25">
      <c r="A1850" s="20">
        <v>42142</v>
      </c>
      <c r="B1850" s="183">
        <v>21424</v>
      </c>
      <c r="C1850" s="14" t="s">
        <v>165</v>
      </c>
      <c r="D1850" s="105">
        <v>25514</v>
      </c>
      <c r="E1850" s="23">
        <v>42142</v>
      </c>
      <c r="F1850" s="118">
        <v>2514</v>
      </c>
      <c r="G1850" s="31">
        <f t="shared" si="56"/>
        <v>23000</v>
      </c>
      <c r="H1850" s="56" t="s">
        <v>1257</v>
      </c>
      <c r="J1850" s="123"/>
      <c r="K1850" s="3"/>
      <c r="M1850" s="20">
        <v>42128</v>
      </c>
      <c r="N1850" s="183">
        <v>19908</v>
      </c>
      <c r="O1850" s="14" t="s">
        <v>137</v>
      </c>
      <c r="P1850" s="105">
        <v>2387</v>
      </c>
      <c r="Q1850" s="23">
        <v>42128</v>
      </c>
      <c r="R1850" s="106">
        <v>2387</v>
      </c>
      <c r="S1850" s="31">
        <f t="shared" si="57"/>
        <v>0</v>
      </c>
      <c r="T1850" s="19" t="s">
        <v>9</v>
      </c>
    </row>
    <row r="1851" spans="1:20" x14ac:dyDescent="0.25">
      <c r="A1851" s="20">
        <v>42142</v>
      </c>
      <c r="B1851" s="183">
        <v>21425</v>
      </c>
      <c r="C1851" s="14" t="s">
        <v>454</v>
      </c>
      <c r="D1851" s="105">
        <v>3732.6</v>
      </c>
      <c r="E1851" s="23">
        <v>42143</v>
      </c>
      <c r="F1851" s="118">
        <v>3732.6</v>
      </c>
      <c r="G1851" s="31">
        <f t="shared" si="56"/>
        <v>0</v>
      </c>
      <c r="H1851" s="56" t="s">
        <v>94</v>
      </c>
      <c r="J1851" s="123"/>
      <c r="K1851" s="3"/>
      <c r="M1851" s="20">
        <v>42131</v>
      </c>
      <c r="N1851" s="183">
        <v>20242</v>
      </c>
      <c r="O1851" s="14" t="s">
        <v>137</v>
      </c>
      <c r="P1851" s="105">
        <v>272.8</v>
      </c>
      <c r="Q1851" s="23">
        <v>42131</v>
      </c>
      <c r="R1851" s="106">
        <v>272.8</v>
      </c>
      <c r="S1851" s="31">
        <f t="shared" si="57"/>
        <v>0</v>
      </c>
      <c r="T1851" s="19" t="s">
        <v>9</v>
      </c>
    </row>
    <row r="1852" spans="1:20" x14ac:dyDescent="0.25">
      <c r="A1852" s="20">
        <v>42142</v>
      </c>
      <c r="B1852" s="183">
        <v>21426</v>
      </c>
      <c r="C1852" s="14" t="s">
        <v>1262</v>
      </c>
      <c r="D1852" s="105">
        <v>31767.93</v>
      </c>
      <c r="E1852" s="23">
        <v>42147</v>
      </c>
      <c r="F1852" s="118">
        <v>31767.93</v>
      </c>
      <c r="G1852" s="31">
        <f t="shared" si="56"/>
        <v>0</v>
      </c>
      <c r="H1852" s="56" t="s">
        <v>773</v>
      </c>
      <c r="J1852" s="123"/>
      <c r="K1852" s="3"/>
      <c r="M1852" s="20">
        <v>42132</v>
      </c>
      <c r="N1852" s="183">
        <v>20340</v>
      </c>
      <c r="O1852" s="14" t="s">
        <v>137</v>
      </c>
      <c r="P1852" s="105">
        <v>2755.5</v>
      </c>
      <c r="Q1852" s="23">
        <v>42132</v>
      </c>
      <c r="R1852" s="106">
        <v>2755.5</v>
      </c>
      <c r="S1852" s="31">
        <f t="shared" si="57"/>
        <v>0</v>
      </c>
      <c r="T1852" s="19" t="s">
        <v>9</v>
      </c>
    </row>
    <row r="1853" spans="1:20" x14ac:dyDescent="0.25">
      <c r="A1853" s="20">
        <v>42142</v>
      </c>
      <c r="B1853" s="183">
        <v>21427</v>
      </c>
      <c r="C1853" s="14" t="s">
        <v>50</v>
      </c>
      <c r="D1853" s="105">
        <v>704.6</v>
      </c>
      <c r="E1853" s="23">
        <v>42142</v>
      </c>
      <c r="F1853" s="118">
        <v>704.6</v>
      </c>
      <c r="G1853" s="31">
        <f t="shared" si="56"/>
        <v>0</v>
      </c>
      <c r="H1853" s="56" t="s">
        <v>94</v>
      </c>
      <c r="J1853" s="123"/>
      <c r="K1853" s="3"/>
      <c r="M1853" s="20">
        <v>42134</v>
      </c>
      <c r="N1853" s="183">
        <v>20600</v>
      </c>
      <c r="O1853" s="14" t="s">
        <v>137</v>
      </c>
      <c r="P1853" s="105">
        <v>1219.2</v>
      </c>
      <c r="Q1853" s="23">
        <v>42134</v>
      </c>
      <c r="R1853" s="106">
        <v>1219.2</v>
      </c>
      <c r="S1853" s="31">
        <f t="shared" si="57"/>
        <v>0</v>
      </c>
      <c r="T1853" s="56" t="s">
        <v>9</v>
      </c>
    </row>
    <row r="1854" spans="1:20" x14ac:dyDescent="0.25">
      <c r="A1854" s="20">
        <v>42142</v>
      </c>
      <c r="B1854" s="183">
        <v>21428</v>
      </c>
      <c r="C1854" s="14" t="s">
        <v>164</v>
      </c>
      <c r="D1854" s="105">
        <v>2468</v>
      </c>
      <c r="E1854" s="23">
        <v>42142</v>
      </c>
      <c r="F1854" s="118">
        <v>2468</v>
      </c>
      <c r="G1854" s="31">
        <f t="shared" si="56"/>
        <v>0</v>
      </c>
      <c r="H1854" s="56" t="s">
        <v>9</v>
      </c>
      <c r="J1854" s="123"/>
      <c r="K1854" s="3"/>
      <c r="M1854" s="20">
        <v>42136</v>
      </c>
      <c r="N1854" s="183">
        <v>20818</v>
      </c>
      <c r="O1854" s="14" t="s">
        <v>137</v>
      </c>
      <c r="P1854" s="105">
        <v>2917.4</v>
      </c>
      <c r="Q1854" s="23">
        <v>42136</v>
      </c>
      <c r="R1854" s="106">
        <v>2917.4</v>
      </c>
      <c r="S1854" s="31">
        <f t="shared" si="57"/>
        <v>0</v>
      </c>
      <c r="T1854" s="39" t="s">
        <v>9</v>
      </c>
    </row>
    <row r="1855" spans="1:20" x14ac:dyDescent="0.25">
      <c r="A1855" s="20">
        <v>42142</v>
      </c>
      <c r="B1855" s="183">
        <v>21429</v>
      </c>
      <c r="C1855" s="14" t="s">
        <v>126</v>
      </c>
      <c r="D1855" s="105">
        <v>2563.1999999999998</v>
      </c>
      <c r="E1855" s="23">
        <v>42142</v>
      </c>
      <c r="F1855" s="118">
        <v>2563.1999999999998</v>
      </c>
      <c r="G1855" s="31">
        <f t="shared" si="56"/>
        <v>0</v>
      </c>
      <c r="H1855" s="56" t="s">
        <v>59</v>
      </c>
      <c r="J1855" s="123"/>
      <c r="K1855" s="3"/>
      <c r="M1855" s="20">
        <v>42139</v>
      </c>
      <c r="N1855" s="183">
        <v>21144</v>
      </c>
      <c r="O1855" s="14" t="s">
        <v>137</v>
      </c>
      <c r="P1855" s="105">
        <v>2440.8000000000002</v>
      </c>
      <c r="Q1855" s="23">
        <v>42139</v>
      </c>
      <c r="R1855" s="106">
        <v>2440.8000000000002</v>
      </c>
      <c r="S1855" s="48">
        <f t="shared" si="57"/>
        <v>0</v>
      </c>
      <c r="T1855" s="39" t="s">
        <v>9</v>
      </c>
    </row>
    <row r="1856" spans="1:20" x14ac:dyDescent="0.25">
      <c r="A1856" s="20">
        <v>42142</v>
      </c>
      <c r="B1856" s="183">
        <v>21430</v>
      </c>
      <c r="C1856" s="14" t="s">
        <v>1338</v>
      </c>
      <c r="D1856" s="105">
        <v>2734.8</v>
      </c>
      <c r="E1856" s="23">
        <v>42153</v>
      </c>
      <c r="F1856" s="118">
        <v>2734.8</v>
      </c>
      <c r="G1856" s="31">
        <f t="shared" si="56"/>
        <v>0</v>
      </c>
      <c r="H1856" s="56" t="s">
        <v>59</v>
      </c>
      <c r="J1856" s="123"/>
      <c r="K1856" s="3"/>
      <c r="M1856" s="20">
        <v>42139</v>
      </c>
      <c r="N1856" s="183">
        <v>21145</v>
      </c>
      <c r="O1856" s="14" t="s">
        <v>137</v>
      </c>
      <c r="P1856" s="105">
        <v>345</v>
      </c>
      <c r="Q1856" s="23">
        <v>42139</v>
      </c>
      <c r="R1856" s="106">
        <v>345</v>
      </c>
      <c r="S1856" s="48">
        <f t="shared" si="57"/>
        <v>0</v>
      </c>
      <c r="T1856" s="39" t="s">
        <v>9</v>
      </c>
    </row>
    <row r="1857" spans="1:20" x14ac:dyDescent="0.25">
      <c r="A1857" s="20">
        <v>42142</v>
      </c>
      <c r="B1857" s="183">
        <v>21431</v>
      </c>
      <c r="C1857" s="14" t="s">
        <v>20</v>
      </c>
      <c r="D1857" s="105">
        <v>1386.2</v>
      </c>
      <c r="E1857" s="23">
        <v>42145</v>
      </c>
      <c r="F1857" s="118">
        <v>1386.2</v>
      </c>
      <c r="G1857" s="31">
        <f t="shared" si="56"/>
        <v>0</v>
      </c>
      <c r="H1857" s="56" t="s">
        <v>94</v>
      </c>
      <c r="J1857" s="123"/>
      <c r="K1857" s="3"/>
      <c r="M1857" s="20">
        <v>42140</v>
      </c>
      <c r="N1857" s="183">
        <v>21255</v>
      </c>
      <c r="O1857" s="14" t="s">
        <v>137</v>
      </c>
      <c r="P1857" s="105">
        <v>2395.4</v>
      </c>
      <c r="Q1857" s="23">
        <v>42140</v>
      </c>
      <c r="R1857" s="106">
        <v>2395.4</v>
      </c>
      <c r="S1857" s="31">
        <f t="shared" si="57"/>
        <v>0</v>
      </c>
      <c r="T1857" s="19" t="s">
        <v>9</v>
      </c>
    </row>
    <row r="1858" spans="1:20" x14ac:dyDescent="0.25">
      <c r="A1858" s="20">
        <v>42142</v>
      </c>
      <c r="B1858" s="183">
        <v>21432</v>
      </c>
      <c r="C1858" s="14" t="s">
        <v>99</v>
      </c>
      <c r="D1858" s="105">
        <v>2366</v>
      </c>
      <c r="E1858" s="23">
        <v>42142</v>
      </c>
      <c r="F1858" s="118">
        <v>2366</v>
      </c>
      <c r="G1858" s="31">
        <f t="shared" si="56"/>
        <v>0</v>
      </c>
      <c r="H1858" s="56" t="s">
        <v>94</v>
      </c>
      <c r="J1858" s="123"/>
      <c r="K1858" s="3"/>
      <c r="M1858" s="20">
        <v>42143</v>
      </c>
      <c r="N1858" s="183">
        <v>21553</v>
      </c>
      <c r="O1858" s="14" t="s">
        <v>137</v>
      </c>
      <c r="P1858" s="105">
        <v>2934</v>
      </c>
      <c r="Q1858" s="23">
        <v>42143</v>
      </c>
      <c r="R1858" s="118">
        <v>2934</v>
      </c>
      <c r="S1858" s="31">
        <f t="shared" si="57"/>
        <v>0</v>
      </c>
      <c r="T1858" s="56" t="s">
        <v>9</v>
      </c>
    </row>
    <row r="1859" spans="1:20" x14ac:dyDescent="0.25">
      <c r="A1859" s="20">
        <v>42142</v>
      </c>
      <c r="B1859" s="183">
        <v>21433</v>
      </c>
      <c r="C1859" s="14" t="s">
        <v>169</v>
      </c>
      <c r="D1859" s="105">
        <v>2520</v>
      </c>
      <c r="E1859" s="23">
        <v>42143</v>
      </c>
      <c r="F1859" s="118">
        <v>2520</v>
      </c>
      <c r="G1859" s="31">
        <f t="shared" ref="G1859:G1922" si="58">D1859-F1859</f>
        <v>0</v>
      </c>
      <c r="H1859" s="56" t="s">
        <v>59</v>
      </c>
      <c r="J1859" s="123"/>
      <c r="K1859" s="3"/>
      <c r="M1859" s="20">
        <v>42146</v>
      </c>
      <c r="N1859" s="183">
        <v>21842</v>
      </c>
      <c r="O1859" s="15" t="s">
        <v>137</v>
      </c>
      <c r="P1859" s="122">
        <v>500.4</v>
      </c>
      <c r="Q1859" s="23">
        <v>42146</v>
      </c>
      <c r="R1859" s="118">
        <v>500.4</v>
      </c>
      <c r="S1859" s="31">
        <f t="shared" ref="S1859:S1922" si="59">P1859-R1859</f>
        <v>0</v>
      </c>
      <c r="T1859" s="68" t="s">
        <v>9</v>
      </c>
    </row>
    <row r="1860" spans="1:20" x14ac:dyDescent="0.25">
      <c r="A1860" s="20">
        <v>42142</v>
      </c>
      <c r="B1860" s="183">
        <v>21434</v>
      </c>
      <c r="C1860" s="14" t="s">
        <v>1142</v>
      </c>
      <c r="D1860" s="105">
        <v>2602.8000000000002</v>
      </c>
      <c r="E1860" s="23">
        <v>42142</v>
      </c>
      <c r="F1860" s="106">
        <v>2602.8000000000002</v>
      </c>
      <c r="G1860" s="31">
        <f t="shared" si="58"/>
        <v>0</v>
      </c>
      <c r="H1860" s="39" t="s">
        <v>9</v>
      </c>
      <c r="J1860" s="123"/>
      <c r="K1860" s="3"/>
      <c r="M1860" s="20">
        <v>42147</v>
      </c>
      <c r="N1860" s="183">
        <v>21981</v>
      </c>
      <c r="O1860" s="14" t="s">
        <v>137</v>
      </c>
      <c r="P1860" s="105">
        <v>2598.8000000000002</v>
      </c>
      <c r="Q1860" s="65">
        <v>42147</v>
      </c>
      <c r="R1860" s="106">
        <v>2598.8000000000002</v>
      </c>
      <c r="S1860" s="31">
        <f t="shared" si="59"/>
        <v>0</v>
      </c>
      <c r="T1860" s="39" t="s">
        <v>9</v>
      </c>
    </row>
    <row r="1861" spans="1:20" x14ac:dyDescent="0.25">
      <c r="A1861" s="20">
        <v>42142</v>
      </c>
      <c r="B1861" s="183">
        <v>21435</v>
      </c>
      <c r="C1861" s="14" t="s">
        <v>167</v>
      </c>
      <c r="D1861" s="105">
        <v>512.6</v>
      </c>
      <c r="E1861" s="23">
        <v>42142</v>
      </c>
      <c r="F1861" s="106">
        <v>512.6</v>
      </c>
      <c r="G1861" s="31">
        <f t="shared" si="58"/>
        <v>0</v>
      </c>
      <c r="H1861" s="39" t="s">
        <v>59</v>
      </c>
      <c r="J1861" s="123"/>
      <c r="K1861" s="3"/>
      <c r="M1861" s="20">
        <v>42148</v>
      </c>
      <c r="N1861" s="183">
        <v>22106</v>
      </c>
      <c r="O1861" s="14" t="s">
        <v>137</v>
      </c>
      <c r="P1861" s="105">
        <v>128.80000000000001</v>
      </c>
      <c r="Q1861" s="65">
        <v>42148</v>
      </c>
      <c r="R1861" s="106">
        <v>128.80000000000001</v>
      </c>
      <c r="S1861" s="31">
        <f t="shared" si="59"/>
        <v>0</v>
      </c>
      <c r="T1861" s="39" t="s">
        <v>9</v>
      </c>
    </row>
    <row r="1862" spans="1:20" x14ac:dyDescent="0.25">
      <c r="A1862" s="20">
        <v>42142</v>
      </c>
      <c r="B1862" s="183">
        <v>21436</v>
      </c>
      <c r="C1862" s="14" t="s">
        <v>320</v>
      </c>
      <c r="D1862" s="105">
        <v>2818.2</v>
      </c>
      <c r="E1862" s="23">
        <v>42142</v>
      </c>
      <c r="F1862" s="106">
        <v>2818.2</v>
      </c>
      <c r="G1862" s="31">
        <f t="shared" si="58"/>
        <v>0</v>
      </c>
      <c r="H1862" s="39" t="s">
        <v>1257</v>
      </c>
      <c r="J1862" s="123"/>
      <c r="K1862" s="3"/>
      <c r="M1862" s="20">
        <v>42150</v>
      </c>
      <c r="N1862" s="183">
        <v>22285</v>
      </c>
      <c r="O1862" s="14" t="s">
        <v>137</v>
      </c>
      <c r="P1862" s="105">
        <v>3131.7</v>
      </c>
      <c r="Q1862" s="65">
        <v>42150</v>
      </c>
      <c r="R1862" s="106">
        <v>3131.7</v>
      </c>
      <c r="S1862" s="31">
        <f t="shared" si="59"/>
        <v>0</v>
      </c>
      <c r="T1862" s="39" t="s">
        <v>9</v>
      </c>
    </row>
    <row r="1863" spans="1:20" x14ac:dyDescent="0.25">
      <c r="A1863" s="20">
        <v>42142</v>
      </c>
      <c r="B1863" s="183">
        <v>21437</v>
      </c>
      <c r="C1863" s="14" t="s">
        <v>53</v>
      </c>
      <c r="D1863" s="105">
        <v>1227.5999999999999</v>
      </c>
      <c r="E1863" s="23">
        <v>42142</v>
      </c>
      <c r="F1863" s="106">
        <v>1227.5999999999999</v>
      </c>
      <c r="G1863" s="31">
        <f t="shared" si="58"/>
        <v>0</v>
      </c>
      <c r="H1863" s="39" t="s">
        <v>59</v>
      </c>
      <c r="J1863" s="123"/>
      <c r="K1863" s="3"/>
      <c r="M1863" s="20">
        <v>42150</v>
      </c>
      <c r="N1863" s="183">
        <v>22288</v>
      </c>
      <c r="O1863" s="14" t="s">
        <v>137</v>
      </c>
      <c r="P1863" s="105">
        <v>80</v>
      </c>
      <c r="Q1863" s="65">
        <v>42150</v>
      </c>
      <c r="R1863" s="106">
        <v>80</v>
      </c>
      <c r="S1863" s="31">
        <f t="shared" si="59"/>
        <v>0</v>
      </c>
      <c r="T1863" s="39" t="s">
        <v>9</v>
      </c>
    </row>
    <row r="1864" spans="1:20" x14ac:dyDescent="0.25">
      <c r="A1864" s="20">
        <v>42142</v>
      </c>
      <c r="B1864" s="183">
        <v>21438</v>
      </c>
      <c r="C1864" s="14" t="s">
        <v>81</v>
      </c>
      <c r="D1864" s="105">
        <v>1461.6</v>
      </c>
      <c r="E1864" s="23">
        <v>42142</v>
      </c>
      <c r="F1864" s="106">
        <v>1461.6</v>
      </c>
      <c r="G1864" s="31">
        <f t="shared" si="58"/>
        <v>0</v>
      </c>
      <c r="H1864" s="39" t="s">
        <v>59</v>
      </c>
      <c r="J1864" s="123"/>
      <c r="K1864" s="3"/>
      <c r="M1864" s="20">
        <v>42152</v>
      </c>
      <c r="N1864" s="183">
        <v>22486</v>
      </c>
      <c r="O1864" s="14" t="s">
        <v>137</v>
      </c>
      <c r="P1864" s="105">
        <v>393.45</v>
      </c>
      <c r="Q1864" s="23">
        <v>42152</v>
      </c>
      <c r="R1864" s="106">
        <v>393.45</v>
      </c>
      <c r="S1864" s="31">
        <f t="shared" si="59"/>
        <v>0</v>
      </c>
      <c r="T1864" s="39" t="s">
        <v>9</v>
      </c>
    </row>
    <row r="1865" spans="1:20" x14ac:dyDescent="0.25">
      <c r="A1865" s="20">
        <v>42142</v>
      </c>
      <c r="B1865" s="183">
        <v>21439</v>
      </c>
      <c r="C1865" s="14" t="s">
        <v>872</v>
      </c>
      <c r="D1865" s="105">
        <v>636</v>
      </c>
      <c r="E1865" s="23">
        <v>42142</v>
      </c>
      <c r="F1865" s="106">
        <v>636</v>
      </c>
      <c r="G1865" s="31">
        <f t="shared" si="58"/>
        <v>0</v>
      </c>
      <c r="H1865" s="39" t="s">
        <v>59</v>
      </c>
      <c r="J1865" s="123"/>
      <c r="K1865" s="3"/>
      <c r="M1865" s="20">
        <v>42153</v>
      </c>
      <c r="N1865" s="183">
        <v>22601</v>
      </c>
      <c r="O1865" s="14" t="s">
        <v>137</v>
      </c>
      <c r="P1865" s="105">
        <v>1630.95</v>
      </c>
      <c r="Q1865" s="23">
        <v>42153</v>
      </c>
      <c r="R1865" s="106">
        <v>1630.95</v>
      </c>
      <c r="S1865" s="31">
        <f t="shared" si="59"/>
        <v>0</v>
      </c>
      <c r="T1865" s="39" t="s">
        <v>9</v>
      </c>
    </row>
    <row r="1866" spans="1:20" x14ac:dyDescent="0.25">
      <c r="A1866" s="20">
        <v>42142</v>
      </c>
      <c r="B1866" s="183">
        <v>21440</v>
      </c>
      <c r="C1866" s="14" t="s">
        <v>285</v>
      </c>
      <c r="D1866" s="105">
        <v>1121.0999999999999</v>
      </c>
      <c r="E1866" s="65">
        <v>42142</v>
      </c>
      <c r="F1866" s="106">
        <v>1121.0999999999999</v>
      </c>
      <c r="G1866" s="31">
        <f t="shared" si="58"/>
        <v>0</v>
      </c>
      <c r="H1866" s="39" t="s">
        <v>94</v>
      </c>
      <c r="J1866" s="123"/>
      <c r="K1866" s="3"/>
      <c r="M1866" s="20">
        <v>42154</v>
      </c>
      <c r="N1866" s="183">
        <v>22736</v>
      </c>
      <c r="O1866" s="14" t="s">
        <v>137</v>
      </c>
      <c r="P1866" s="105">
        <v>469.85</v>
      </c>
      <c r="Q1866" s="23">
        <v>42154</v>
      </c>
      <c r="R1866" s="106">
        <v>469.85</v>
      </c>
      <c r="S1866" s="31">
        <f t="shared" si="59"/>
        <v>0</v>
      </c>
      <c r="T1866" s="39" t="s">
        <v>9</v>
      </c>
    </row>
    <row r="1867" spans="1:20" x14ac:dyDescent="0.25">
      <c r="A1867" s="20">
        <v>42142</v>
      </c>
      <c r="B1867" s="183">
        <v>21441</v>
      </c>
      <c r="C1867" s="14" t="s">
        <v>44</v>
      </c>
      <c r="D1867" s="105">
        <v>1387.2</v>
      </c>
      <c r="E1867" s="65">
        <v>42142</v>
      </c>
      <c r="F1867" s="106">
        <v>1387.2</v>
      </c>
      <c r="G1867" s="31">
        <f t="shared" si="58"/>
        <v>0</v>
      </c>
      <c r="H1867" s="39" t="s">
        <v>9</v>
      </c>
      <c r="J1867" s="123"/>
      <c r="K1867" s="3"/>
      <c r="M1867" s="20">
        <v>42155</v>
      </c>
      <c r="N1867" s="183">
        <v>22827</v>
      </c>
      <c r="O1867" s="14" t="s">
        <v>137</v>
      </c>
      <c r="P1867" s="105">
        <v>1174.55</v>
      </c>
      <c r="Q1867" s="23">
        <v>42155</v>
      </c>
      <c r="R1867" s="106">
        <v>1174.55</v>
      </c>
      <c r="S1867" s="31">
        <f t="shared" si="59"/>
        <v>0</v>
      </c>
      <c r="T1867" s="39" t="s">
        <v>9</v>
      </c>
    </row>
    <row r="1868" spans="1:20" x14ac:dyDescent="0.25">
      <c r="A1868" s="20">
        <v>42142</v>
      </c>
      <c r="B1868" s="183">
        <v>21442</v>
      </c>
      <c r="C1868" s="14" t="s">
        <v>87</v>
      </c>
      <c r="D1868" s="105">
        <v>1909.2</v>
      </c>
      <c r="E1868" s="65">
        <v>42142</v>
      </c>
      <c r="F1868" s="106">
        <v>1909.2</v>
      </c>
      <c r="G1868" s="31">
        <f t="shared" si="58"/>
        <v>0</v>
      </c>
      <c r="H1868" s="39" t="s">
        <v>94</v>
      </c>
      <c r="J1868" s="123"/>
      <c r="K1868" s="3"/>
      <c r="M1868" s="20">
        <v>42133</v>
      </c>
      <c r="N1868" s="183">
        <v>20582</v>
      </c>
      <c r="O1868" s="14" t="s">
        <v>1363</v>
      </c>
      <c r="P1868" s="105">
        <v>15903.63</v>
      </c>
      <c r="Q1868" s="23">
        <v>42133</v>
      </c>
      <c r="R1868" s="106">
        <v>15903.63</v>
      </c>
      <c r="S1868" s="31">
        <f t="shared" si="59"/>
        <v>0</v>
      </c>
      <c r="T1868" s="39" t="s">
        <v>9</v>
      </c>
    </row>
    <row r="1869" spans="1:20" x14ac:dyDescent="0.25">
      <c r="A1869" s="20">
        <v>42142</v>
      </c>
      <c r="B1869" s="183">
        <v>21443</v>
      </c>
      <c r="C1869" s="14" t="s">
        <v>125</v>
      </c>
      <c r="D1869" s="105">
        <v>26242.799999999999</v>
      </c>
      <c r="E1869" s="65" t="s">
        <v>1412</v>
      </c>
      <c r="F1869" s="106">
        <f>8242.8+18000</f>
        <v>26242.799999999999</v>
      </c>
      <c r="G1869" s="31">
        <f t="shared" si="58"/>
        <v>0</v>
      </c>
      <c r="H1869" s="39" t="s">
        <v>94</v>
      </c>
      <c r="J1869" s="123"/>
      <c r="K1869" s="3"/>
      <c r="M1869" s="20">
        <v>42125</v>
      </c>
      <c r="N1869" s="183">
        <v>19640</v>
      </c>
      <c r="O1869" s="14" t="s">
        <v>170</v>
      </c>
      <c r="P1869" s="105">
        <v>5775</v>
      </c>
      <c r="Q1869" s="23">
        <v>42126</v>
      </c>
      <c r="R1869" s="106">
        <v>5775</v>
      </c>
      <c r="S1869" s="25">
        <f t="shared" si="59"/>
        <v>0</v>
      </c>
      <c r="T1869" s="19" t="s">
        <v>62</v>
      </c>
    </row>
    <row r="1870" spans="1:20" x14ac:dyDescent="0.25">
      <c r="A1870" s="20">
        <v>42142</v>
      </c>
      <c r="B1870" s="183">
        <v>21444</v>
      </c>
      <c r="C1870" s="14" t="s">
        <v>906</v>
      </c>
      <c r="D1870" s="105">
        <v>1022</v>
      </c>
      <c r="E1870" s="65">
        <v>42142</v>
      </c>
      <c r="F1870" s="106">
        <v>1022</v>
      </c>
      <c r="G1870" s="31">
        <f t="shared" si="58"/>
        <v>0</v>
      </c>
      <c r="H1870" s="19" t="s">
        <v>94</v>
      </c>
      <c r="J1870" s="123"/>
      <c r="K1870" s="3"/>
      <c r="M1870" s="20">
        <v>42125</v>
      </c>
      <c r="N1870" s="183">
        <v>19661</v>
      </c>
      <c r="O1870" s="14" t="s">
        <v>170</v>
      </c>
      <c r="P1870" s="105">
        <v>974.4</v>
      </c>
      <c r="Q1870" s="23">
        <v>42126</v>
      </c>
      <c r="R1870" s="106">
        <v>974.4</v>
      </c>
      <c r="S1870" s="25">
        <f t="shared" si="59"/>
        <v>0</v>
      </c>
      <c r="T1870" s="39" t="s">
        <v>62</v>
      </c>
    </row>
    <row r="1871" spans="1:20" x14ac:dyDescent="0.25">
      <c r="A1871" s="20">
        <v>42142</v>
      </c>
      <c r="B1871" s="183">
        <v>21445</v>
      </c>
      <c r="C1871" s="14" t="s">
        <v>32</v>
      </c>
      <c r="D1871" s="105">
        <v>95383.2</v>
      </c>
      <c r="E1871" s="74">
        <v>42171</v>
      </c>
      <c r="F1871" s="144">
        <v>95383.2</v>
      </c>
      <c r="G1871" s="31">
        <f t="shared" si="58"/>
        <v>0</v>
      </c>
      <c r="H1871" s="19" t="s">
        <v>1273</v>
      </c>
      <c r="J1871" s="123"/>
      <c r="K1871" s="3"/>
      <c r="M1871" s="20">
        <v>42128</v>
      </c>
      <c r="N1871" s="183">
        <v>19955</v>
      </c>
      <c r="O1871" s="14" t="s">
        <v>170</v>
      </c>
      <c r="P1871" s="105">
        <v>4456.2</v>
      </c>
      <c r="Q1871" s="23">
        <v>42129</v>
      </c>
      <c r="R1871" s="106">
        <v>4456.2</v>
      </c>
      <c r="S1871" s="31">
        <f t="shared" si="59"/>
        <v>0</v>
      </c>
      <c r="T1871" s="19" t="s">
        <v>62</v>
      </c>
    </row>
    <row r="1872" spans="1:20" x14ac:dyDescent="0.25">
      <c r="A1872" s="20">
        <v>42142</v>
      </c>
      <c r="B1872" s="183">
        <v>21446</v>
      </c>
      <c r="C1872" s="14" t="s">
        <v>1058</v>
      </c>
      <c r="D1872" s="105">
        <v>3103.2</v>
      </c>
      <c r="E1872" s="65">
        <v>42142</v>
      </c>
      <c r="F1872" s="106">
        <v>3103.2</v>
      </c>
      <c r="G1872" s="31">
        <f t="shared" si="58"/>
        <v>0</v>
      </c>
      <c r="H1872" s="19" t="s">
        <v>9</v>
      </c>
      <c r="J1872" s="123"/>
      <c r="K1872" s="3"/>
      <c r="M1872" s="20">
        <v>42130</v>
      </c>
      <c r="N1872" s="183">
        <v>20138</v>
      </c>
      <c r="O1872" s="14" t="s">
        <v>170</v>
      </c>
      <c r="P1872" s="105">
        <v>3647</v>
      </c>
      <c r="Q1872" s="23">
        <v>42132</v>
      </c>
      <c r="R1872" s="106">
        <v>3647</v>
      </c>
      <c r="S1872" s="31">
        <f t="shared" si="59"/>
        <v>0</v>
      </c>
      <c r="T1872" s="39" t="s">
        <v>62</v>
      </c>
    </row>
    <row r="1873" spans="1:20" x14ac:dyDescent="0.25">
      <c r="A1873" s="20">
        <v>42142</v>
      </c>
      <c r="B1873" s="183">
        <v>21447</v>
      </c>
      <c r="C1873" s="26" t="s">
        <v>218</v>
      </c>
      <c r="D1873" s="108">
        <v>0</v>
      </c>
      <c r="E1873" s="65"/>
      <c r="F1873" s="106"/>
      <c r="G1873" s="31">
        <f t="shared" si="58"/>
        <v>0</v>
      </c>
      <c r="H1873" s="19" t="s">
        <v>13</v>
      </c>
      <c r="J1873" s="123"/>
      <c r="K1873" s="3"/>
      <c r="M1873" s="20">
        <v>42130</v>
      </c>
      <c r="N1873" s="183">
        <v>20154</v>
      </c>
      <c r="O1873" s="14" t="s">
        <v>170</v>
      </c>
      <c r="P1873" s="105">
        <v>1020.8</v>
      </c>
      <c r="Q1873" s="23">
        <v>42132</v>
      </c>
      <c r="R1873" s="106">
        <v>1020.8</v>
      </c>
      <c r="S1873" s="31">
        <f t="shared" si="59"/>
        <v>0</v>
      </c>
      <c r="T1873" s="39" t="s">
        <v>62</v>
      </c>
    </row>
    <row r="1874" spans="1:20" x14ac:dyDescent="0.25">
      <c r="A1874" s="20">
        <v>42142</v>
      </c>
      <c r="B1874" s="183">
        <v>21448</v>
      </c>
      <c r="C1874" s="14" t="s">
        <v>422</v>
      </c>
      <c r="D1874" s="105">
        <v>378</v>
      </c>
      <c r="E1874" s="65">
        <v>42142</v>
      </c>
      <c r="F1874" s="106">
        <v>378</v>
      </c>
      <c r="G1874" s="31">
        <f t="shared" si="58"/>
        <v>0</v>
      </c>
      <c r="H1874" s="19" t="s">
        <v>9</v>
      </c>
      <c r="J1874" s="123"/>
      <c r="K1874" s="3"/>
      <c r="M1874" s="20">
        <v>42132</v>
      </c>
      <c r="N1874" s="183">
        <v>20363</v>
      </c>
      <c r="O1874" s="14" t="s">
        <v>170</v>
      </c>
      <c r="P1874" s="105">
        <v>6463</v>
      </c>
      <c r="Q1874" s="23">
        <v>42134</v>
      </c>
      <c r="R1874" s="106">
        <v>6463</v>
      </c>
      <c r="S1874" s="31">
        <f t="shared" si="59"/>
        <v>0</v>
      </c>
      <c r="T1874" s="19" t="s">
        <v>62</v>
      </c>
    </row>
    <row r="1875" spans="1:20" x14ac:dyDescent="0.25">
      <c r="A1875" s="20">
        <v>42142</v>
      </c>
      <c r="B1875" s="183">
        <v>21449</v>
      </c>
      <c r="C1875" s="26" t="s">
        <v>218</v>
      </c>
      <c r="D1875" s="108">
        <v>0</v>
      </c>
      <c r="E1875" s="65"/>
      <c r="F1875" s="106"/>
      <c r="G1875" s="31">
        <f t="shared" si="58"/>
        <v>0</v>
      </c>
      <c r="H1875" s="19" t="s">
        <v>13</v>
      </c>
      <c r="J1875" s="123"/>
      <c r="K1875" s="3"/>
      <c r="M1875" s="20">
        <v>42132</v>
      </c>
      <c r="N1875" s="183">
        <v>20424</v>
      </c>
      <c r="O1875" s="14" t="s">
        <v>170</v>
      </c>
      <c r="P1875" s="105">
        <v>1799</v>
      </c>
      <c r="Q1875" s="23">
        <v>42134</v>
      </c>
      <c r="R1875" s="106">
        <v>1799</v>
      </c>
      <c r="S1875" s="31">
        <f t="shared" si="59"/>
        <v>0</v>
      </c>
      <c r="T1875" s="19" t="s">
        <v>62</v>
      </c>
    </row>
    <row r="1876" spans="1:20" x14ac:dyDescent="0.25">
      <c r="A1876" s="20">
        <v>42142</v>
      </c>
      <c r="B1876" s="183">
        <v>21450</v>
      </c>
      <c r="C1876" s="14" t="s">
        <v>170</v>
      </c>
      <c r="D1876" s="105">
        <v>5281.6</v>
      </c>
      <c r="E1876" s="65">
        <v>42144</v>
      </c>
      <c r="F1876" s="106">
        <v>5281.6</v>
      </c>
      <c r="G1876" s="31">
        <f t="shared" si="58"/>
        <v>0</v>
      </c>
      <c r="H1876" s="19" t="s">
        <v>62</v>
      </c>
      <c r="J1876" s="123"/>
      <c r="K1876" s="3"/>
      <c r="M1876" s="20">
        <v>42134</v>
      </c>
      <c r="N1876" s="183">
        <v>20653</v>
      </c>
      <c r="O1876" s="14" t="s">
        <v>170</v>
      </c>
      <c r="P1876" s="105">
        <v>5551.2</v>
      </c>
      <c r="Q1876" s="23">
        <v>42135</v>
      </c>
      <c r="R1876" s="106">
        <v>5551.2</v>
      </c>
      <c r="S1876" s="31">
        <f t="shared" si="59"/>
        <v>0</v>
      </c>
      <c r="T1876" s="39" t="s">
        <v>62</v>
      </c>
    </row>
    <row r="1877" spans="1:20" x14ac:dyDescent="0.25">
      <c r="A1877" s="20">
        <v>42142</v>
      </c>
      <c r="B1877" s="183">
        <v>21451</v>
      </c>
      <c r="C1877" s="14" t="s">
        <v>78</v>
      </c>
      <c r="D1877" s="105">
        <v>9711.6</v>
      </c>
      <c r="E1877" s="65">
        <v>42144</v>
      </c>
      <c r="F1877" s="106">
        <v>9711.6</v>
      </c>
      <c r="G1877" s="31">
        <f t="shared" si="58"/>
        <v>0</v>
      </c>
      <c r="H1877" s="19" t="s">
        <v>62</v>
      </c>
      <c r="J1877" s="123"/>
      <c r="K1877" s="3"/>
      <c r="M1877" s="20">
        <v>42135</v>
      </c>
      <c r="N1877" s="183">
        <v>20715</v>
      </c>
      <c r="O1877" s="14" t="s">
        <v>170</v>
      </c>
      <c r="P1877" s="105">
        <v>3592.8</v>
      </c>
      <c r="Q1877" s="23">
        <v>42136</v>
      </c>
      <c r="R1877" s="106">
        <v>3592.8</v>
      </c>
      <c r="S1877" s="31">
        <f t="shared" si="59"/>
        <v>0</v>
      </c>
      <c r="T1877" s="19" t="s">
        <v>62</v>
      </c>
    </row>
    <row r="1878" spans="1:20" x14ac:dyDescent="0.25">
      <c r="A1878" s="20">
        <v>42142</v>
      </c>
      <c r="B1878" s="183">
        <v>21452</v>
      </c>
      <c r="C1878" s="14" t="s">
        <v>65</v>
      </c>
      <c r="D1878" s="105">
        <v>30223</v>
      </c>
      <c r="E1878" s="65">
        <v>42144</v>
      </c>
      <c r="F1878" s="106">
        <v>30223</v>
      </c>
      <c r="G1878" s="31">
        <f t="shared" si="58"/>
        <v>0</v>
      </c>
      <c r="H1878" s="19" t="s">
        <v>62</v>
      </c>
      <c r="J1878" s="123"/>
      <c r="K1878" s="3"/>
      <c r="M1878" s="20">
        <v>42137</v>
      </c>
      <c r="N1878" s="183">
        <v>20911</v>
      </c>
      <c r="O1878" s="14" t="s">
        <v>170</v>
      </c>
      <c r="P1878" s="105">
        <v>5211</v>
      </c>
      <c r="Q1878" s="23">
        <v>42138</v>
      </c>
      <c r="R1878" s="106">
        <v>5211</v>
      </c>
      <c r="S1878" s="31">
        <f t="shared" si="59"/>
        <v>0</v>
      </c>
      <c r="T1878" s="19" t="s">
        <v>62</v>
      </c>
    </row>
    <row r="1879" spans="1:20" x14ac:dyDescent="0.25">
      <c r="A1879" s="20">
        <v>42142</v>
      </c>
      <c r="B1879" s="183">
        <v>21453</v>
      </c>
      <c r="C1879" s="14" t="s">
        <v>173</v>
      </c>
      <c r="D1879" s="105">
        <v>20554.55</v>
      </c>
      <c r="E1879" s="74">
        <v>42160</v>
      </c>
      <c r="F1879" s="144">
        <v>20554.55</v>
      </c>
      <c r="G1879" s="31">
        <f t="shared" si="58"/>
        <v>0</v>
      </c>
      <c r="H1879" s="19" t="s">
        <v>62</v>
      </c>
      <c r="J1879" s="123"/>
      <c r="K1879" s="3"/>
      <c r="M1879" s="20">
        <v>42139</v>
      </c>
      <c r="N1879" s="183">
        <v>21157</v>
      </c>
      <c r="O1879" s="14" t="s">
        <v>170</v>
      </c>
      <c r="P1879" s="105">
        <v>6911.2</v>
      </c>
      <c r="Q1879" s="23">
        <v>42140</v>
      </c>
      <c r="R1879" s="106">
        <v>6911.2</v>
      </c>
      <c r="S1879" s="48">
        <f t="shared" si="59"/>
        <v>0</v>
      </c>
      <c r="T1879" s="39" t="s">
        <v>62</v>
      </c>
    </row>
    <row r="1880" spans="1:20" x14ac:dyDescent="0.25">
      <c r="A1880" s="20">
        <v>42142</v>
      </c>
      <c r="B1880" s="183">
        <v>21454</v>
      </c>
      <c r="C1880" s="14" t="s">
        <v>100</v>
      </c>
      <c r="D1880" s="105">
        <v>2488.8000000000002</v>
      </c>
      <c r="E1880" s="65">
        <v>42142</v>
      </c>
      <c r="F1880" s="106">
        <v>2488.8000000000002</v>
      </c>
      <c r="G1880" s="31">
        <f t="shared" si="58"/>
        <v>0</v>
      </c>
      <c r="H1880" s="19" t="s">
        <v>9</v>
      </c>
      <c r="K1880" s="3"/>
      <c r="M1880" s="20">
        <v>42142</v>
      </c>
      <c r="N1880" s="183">
        <v>21450</v>
      </c>
      <c r="O1880" s="14" t="s">
        <v>170</v>
      </c>
      <c r="P1880" s="105">
        <v>5281.6</v>
      </c>
      <c r="Q1880" s="65">
        <v>42144</v>
      </c>
      <c r="R1880" s="106">
        <v>5281.6</v>
      </c>
      <c r="S1880" s="31">
        <f t="shared" si="59"/>
        <v>0</v>
      </c>
      <c r="T1880" s="19" t="s">
        <v>62</v>
      </c>
    </row>
    <row r="1881" spans="1:20" x14ac:dyDescent="0.25">
      <c r="A1881" s="20">
        <v>42142</v>
      </c>
      <c r="B1881" s="183">
        <v>21455</v>
      </c>
      <c r="C1881" s="14" t="s">
        <v>243</v>
      </c>
      <c r="D1881" s="105">
        <v>1253.04</v>
      </c>
      <c r="E1881" s="65">
        <v>42144</v>
      </c>
      <c r="F1881" s="106">
        <v>1253.04</v>
      </c>
      <c r="G1881" s="31">
        <f t="shared" si="58"/>
        <v>0</v>
      </c>
      <c r="H1881" s="19" t="s">
        <v>62</v>
      </c>
      <c r="K1881" s="3"/>
      <c r="M1881" s="20">
        <v>42144</v>
      </c>
      <c r="N1881" s="183">
        <v>21650</v>
      </c>
      <c r="O1881" s="14" t="s">
        <v>170</v>
      </c>
      <c r="P1881" s="105">
        <v>5040</v>
      </c>
      <c r="Q1881" s="23">
        <v>42145</v>
      </c>
      <c r="R1881" s="118">
        <v>5040</v>
      </c>
      <c r="S1881" s="31">
        <f t="shared" si="59"/>
        <v>0</v>
      </c>
      <c r="T1881" s="62" t="s">
        <v>62</v>
      </c>
    </row>
    <row r="1882" spans="1:20" x14ac:dyDescent="0.25">
      <c r="A1882" s="20">
        <v>42142</v>
      </c>
      <c r="B1882" s="183">
        <v>21456</v>
      </c>
      <c r="C1882" s="14" t="s">
        <v>84</v>
      </c>
      <c r="D1882" s="105">
        <v>49318.7</v>
      </c>
      <c r="E1882" s="74" t="s">
        <v>1413</v>
      </c>
      <c r="F1882" s="106">
        <v>49318.7</v>
      </c>
      <c r="G1882" s="31">
        <f t="shared" si="58"/>
        <v>0</v>
      </c>
      <c r="H1882" s="19" t="s">
        <v>62</v>
      </c>
      <c r="K1882" s="3"/>
      <c r="M1882" s="20">
        <v>42146</v>
      </c>
      <c r="N1882" s="183">
        <v>21888</v>
      </c>
      <c r="O1882" s="14" t="s">
        <v>170</v>
      </c>
      <c r="P1882" s="105">
        <v>6167.6</v>
      </c>
      <c r="Q1882" s="23">
        <v>42148</v>
      </c>
      <c r="R1882" s="106">
        <v>6167.6</v>
      </c>
      <c r="S1882" s="31">
        <f t="shared" si="59"/>
        <v>0</v>
      </c>
      <c r="T1882" s="39" t="s">
        <v>62</v>
      </c>
    </row>
    <row r="1883" spans="1:20" x14ac:dyDescent="0.25">
      <c r="A1883" s="20">
        <v>42142</v>
      </c>
      <c r="B1883" s="183">
        <v>21457</v>
      </c>
      <c r="C1883" s="14" t="s">
        <v>176</v>
      </c>
      <c r="D1883" s="105">
        <v>15488.24</v>
      </c>
      <c r="E1883" s="74" t="s">
        <v>1414</v>
      </c>
      <c r="F1883" s="106">
        <v>15488.24</v>
      </c>
      <c r="G1883" s="31">
        <f t="shared" si="58"/>
        <v>0</v>
      </c>
      <c r="H1883" s="19" t="s">
        <v>62</v>
      </c>
      <c r="K1883" s="3"/>
      <c r="M1883" s="20">
        <v>42149</v>
      </c>
      <c r="N1883" s="183">
        <v>22196</v>
      </c>
      <c r="O1883" s="14" t="s">
        <v>170</v>
      </c>
      <c r="P1883" s="105">
        <v>7203.2</v>
      </c>
      <c r="Q1883" s="65">
        <v>42150</v>
      </c>
      <c r="R1883" s="106">
        <v>7203.2</v>
      </c>
      <c r="S1883" s="31">
        <f t="shared" si="59"/>
        <v>0</v>
      </c>
      <c r="T1883" s="39" t="s">
        <v>62</v>
      </c>
    </row>
    <row r="1884" spans="1:20" x14ac:dyDescent="0.25">
      <c r="A1884" s="20">
        <v>42142</v>
      </c>
      <c r="B1884" s="183">
        <v>21458</v>
      </c>
      <c r="C1884" s="14" t="s">
        <v>72</v>
      </c>
      <c r="D1884" s="105">
        <v>17952.400000000001</v>
      </c>
      <c r="E1884" s="74">
        <v>42160</v>
      </c>
      <c r="F1884" s="144">
        <v>17952.400000000001</v>
      </c>
      <c r="G1884" s="31">
        <f t="shared" si="58"/>
        <v>0</v>
      </c>
      <c r="H1884" s="19" t="s">
        <v>62</v>
      </c>
      <c r="K1884" s="3"/>
      <c r="M1884" s="20">
        <v>42151</v>
      </c>
      <c r="N1884" s="183">
        <v>22389</v>
      </c>
      <c r="O1884" s="14" t="s">
        <v>170</v>
      </c>
      <c r="P1884" s="105">
        <v>4742.3999999999996</v>
      </c>
      <c r="Q1884" s="23">
        <v>42152</v>
      </c>
      <c r="R1884" s="106">
        <v>4742.3999999999996</v>
      </c>
      <c r="S1884" s="31">
        <f t="shared" si="59"/>
        <v>0</v>
      </c>
      <c r="T1884" s="39" t="s">
        <v>62</v>
      </c>
    </row>
    <row r="1885" spans="1:20" x14ac:dyDescent="0.25">
      <c r="A1885" s="20">
        <v>42142</v>
      </c>
      <c r="B1885" s="183">
        <v>21459</v>
      </c>
      <c r="C1885" s="14" t="s">
        <v>1302</v>
      </c>
      <c r="D1885" s="105">
        <v>15272.6</v>
      </c>
      <c r="E1885" s="65">
        <v>42144</v>
      </c>
      <c r="F1885" s="106">
        <v>15272.6</v>
      </c>
      <c r="G1885" s="31">
        <f t="shared" si="58"/>
        <v>0</v>
      </c>
      <c r="H1885" s="19" t="s">
        <v>62</v>
      </c>
      <c r="K1885" s="3"/>
      <c r="M1885" s="20">
        <v>42153</v>
      </c>
      <c r="N1885" s="183">
        <v>22617</v>
      </c>
      <c r="O1885" s="14" t="s">
        <v>170</v>
      </c>
      <c r="P1885" s="105">
        <v>2098.1999999999998</v>
      </c>
      <c r="Q1885" s="23">
        <v>42155</v>
      </c>
      <c r="R1885" s="106">
        <v>2098.1999999999998</v>
      </c>
      <c r="S1885" s="31">
        <f t="shared" si="59"/>
        <v>0</v>
      </c>
      <c r="T1885" s="39" t="s">
        <v>62</v>
      </c>
    </row>
    <row r="1886" spans="1:20" x14ac:dyDescent="0.25">
      <c r="A1886" s="20">
        <v>42142</v>
      </c>
      <c r="B1886" s="183">
        <v>21460</v>
      </c>
      <c r="C1886" s="14" t="s">
        <v>185</v>
      </c>
      <c r="D1886" s="105">
        <v>61267.199999999997</v>
      </c>
      <c r="E1886" s="65">
        <v>42142</v>
      </c>
      <c r="F1886" s="106">
        <v>61267.199999999997</v>
      </c>
      <c r="G1886" s="31">
        <f t="shared" si="58"/>
        <v>0</v>
      </c>
      <c r="H1886" s="19" t="s">
        <v>46</v>
      </c>
      <c r="K1886" s="3"/>
      <c r="M1886" s="20">
        <v>42153</v>
      </c>
      <c r="N1886" s="183">
        <v>22627</v>
      </c>
      <c r="O1886" s="14" t="s">
        <v>170</v>
      </c>
      <c r="P1886" s="105">
        <v>1219.2</v>
      </c>
      <c r="Q1886" s="23">
        <v>42155</v>
      </c>
      <c r="R1886" s="106">
        <v>1219.2</v>
      </c>
      <c r="S1886" s="31">
        <f t="shared" si="59"/>
        <v>0</v>
      </c>
      <c r="T1886" s="39" t="s">
        <v>62</v>
      </c>
    </row>
    <row r="1887" spans="1:20" x14ac:dyDescent="0.25">
      <c r="A1887" s="20">
        <v>42142</v>
      </c>
      <c r="B1887" s="183">
        <v>21461</v>
      </c>
      <c r="C1887" s="26" t="s">
        <v>218</v>
      </c>
      <c r="D1887" s="108">
        <v>0</v>
      </c>
      <c r="E1887" s="65"/>
      <c r="F1887" s="106"/>
      <c r="G1887" s="31">
        <f t="shared" si="58"/>
        <v>0</v>
      </c>
      <c r="H1887" s="19" t="s">
        <v>13</v>
      </c>
      <c r="K1887" s="3"/>
      <c r="M1887" s="20">
        <v>42126</v>
      </c>
      <c r="N1887" s="183">
        <v>19789</v>
      </c>
      <c r="O1887" s="40" t="s">
        <v>291</v>
      </c>
      <c r="P1887" s="105">
        <v>9805.1</v>
      </c>
      <c r="Q1887" s="23">
        <v>42126</v>
      </c>
      <c r="R1887" s="106">
        <v>9805.1</v>
      </c>
      <c r="S1887" s="31">
        <f t="shared" si="59"/>
        <v>0</v>
      </c>
      <c r="T1887" s="41" t="s">
        <v>9</v>
      </c>
    </row>
    <row r="1888" spans="1:20" x14ac:dyDescent="0.25">
      <c r="A1888" s="20">
        <v>42142</v>
      </c>
      <c r="B1888" s="183">
        <v>21462</v>
      </c>
      <c r="C1888" s="14" t="s">
        <v>1182</v>
      </c>
      <c r="D1888" s="105">
        <v>780</v>
      </c>
      <c r="E1888" s="65">
        <v>42142</v>
      </c>
      <c r="F1888" s="106">
        <v>780</v>
      </c>
      <c r="G1888" s="31">
        <f t="shared" si="58"/>
        <v>0</v>
      </c>
      <c r="H1888" s="19" t="s">
        <v>9</v>
      </c>
      <c r="K1888" s="3"/>
      <c r="M1888" s="20">
        <v>42138</v>
      </c>
      <c r="N1888" s="183">
        <v>20995</v>
      </c>
      <c r="O1888" s="14" t="s">
        <v>44</v>
      </c>
      <c r="P1888" s="105">
        <v>3075.6</v>
      </c>
      <c r="Q1888" s="23">
        <v>42138</v>
      </c>
      <c r="R1888" s="106">
        <v>3075.6</v>
      </c>
      <c r="S1888" s="31">
        <f t="shared" si="59"/>
        <v>0</v>
      </c>
      <c r="T1888" s="19" t="s">
        <v>9</v>
      </c>
    </row>
    <row r="1889" spans="1:20" x14ac:dyDescent="0.25">
      <c r="A1889" s="20">
        <v>42142</v>
      </c>
      <c r="B1889" s="183">
        <v>21463</v>
      </c>
      <c r="C1889" s="14" t="s">
        <v>1402</v>
      </c>
      <c r="D1889" s="105">
        <v>8865</v>
      </c>
      <c r="E1889" s="65">
        <v>42144</v>
      </c>
      <c r="F1889" s="106">
        <v>8865</v>
      </c>
      <c r="G1889" s="31">
        <f t="shared" si="58"/>
        <v>0</v>
      </c>
      <c r="H1889" s="19" t="s">
        <v>62</v>
      </c>
      <c r="K1889" s="3"/>
      <c r="M1889" s="20">
        <v>42142</v>
      </c>
      <c r="N1889" s="183">
        <v>21441</v>
      </c>
      <c r="O1889" s="14" t="s">
        <v>44</v>
      </c>
      <c r="P1889" s="105">
        <v>1387.2</v>
      </c>
      <c r="Q1889" s="65">
        <v>42142</v>
      </c>
      <c r="R1889" s="106">
        <v>1387.2</v>
      </c>
      <c r="S1889" s="31">
        <f t="shared" si="59"/>
        <v>0</v>
      </c>
      <c r="T1889" s="39" t="s">
        <v>9</v>
      </c>
    </row>
    <row r="1890" spans="1:20" x14ac:dyDescent="0.25">
      <c r="A1890" s="20">
        <v>42142</v>
      </c>
      <c r="B1890" s="183">
        <v>21464</v>
      </c>
      <c r="C1890" s="26" t="s">
        <v>218</v>
      </c>
      <c r="D1890" s="108">
        <v>0</v>
      </c>
      <c r="E1890" s="65"/>
      <c r="F1890" s="106"/>
      <c r="G1890" s="31">
        <f t="shared" si="58"/>
        <v>0</v>
      </c>
      <c r="H1890" s="19" t="s">
        <v>13</v>
      </c>
      <c r="I1890" s="3"/>
      <c r="J1890" s="42"/>
      <c r="K1890" s="3"/>
      <c r="M1890" s="20">
        <v>42144</v>
      </c>
      <c r="N1890" s="183">
        <v>21681</v>
      </c>
      <c r="O1890" s="14" t="s">
        <v>44</v>
      </c>
      <c r="P1890" s="105">
        <v>1224</v>
      </c>
      <c r="Q1890" s="23">
        <v>42144</v>
      </c>
      <c r="R1890" s="118">
        <v>1224</v>
      </c>
      <c r="S1890" s="31">
        <f t="shared" si="59"/>
        <v>0</v>
      </c>
      <c r="T1890" s="56" t="s">
        <v>9</v>
      </c>
    </row>
    <row r="1891" spans="1:20" x14ac:dyDescent="0.25">
      <c r="A1891" s="20">
        <v>42142</v>
      </c>
      <c r="B1891" s="183">
        <v>21465</v>
      </c>
      <c r="C1891" s="14" t="s">
        <v>143</v>
      </c>
      <c r="D1891" s="105">
        <v>7851.2</v>
      </c>
      <c r="E1891" s="65">
        <v>42142</v>
      </c>
      <c r="F1891" s="106">
        <v>7851.2</v>
      </c>
      <c r="G1891" s="31">
        <f t="shared" si="58"/>
        <v>0</v>
      </c>
      <c r="H1891" s="19" t="s">
        <v>41</v>
      </c>
      <c r="I1891" s="3"/>
      <c r="J1891" s="42"/>
      <c r="K1891" s="3"/>
      <c r="M1891" s="20">
        <v>42149</v>
      </c>
      <c r="N1891" s="183">
        <v>22200</v>
      </c>
      <c r="O1891" s="14" t="s">
        <v>44</v>
      </c>
      <c r="P1891" s="105">
        <v>1003.2</v>
      </c>
      <c r="Q1891" s="65">
        <v>42149</v>
      </c>
      <c r="R1891" s="106">
        <v>1003.2</v>
      </c>
      <c r="S1891" s="31">
        <f t="shared" si="59"/>
        <v>0</v>
      </c>
      <c r="T1891" s="39" t="s">
        <v>9</v>
      </c>
    </row>
    <row r="1892" spans="1:20" x14ac:dyDescent="0.25">
      <c r="A1892" s="20">
        <v>42142</v>
      </c>
      <c r="B1892" s="183">
        <v>21466</v>
      </c>
      <c r="C1892" s="14" t="s">
        <v>335</v>
      </c>
      <c r="D1892" s="105">
        <v>529.25</v>
      </c>
      <c r="E1892" s="65">
        <v>42142</v>
      </c>
      <c r="F1892" s="106">
        <v>529.25</v>
      </c>
      <c r="G1892" s="31">
        <f t="shared" si="58"/>
        <v>0</v>
      </c>
      <c r="H1892" s="19" t="s">
        <v>9</v>
      </c>
      <c r="I1892" s="3"/>
      <c r="J1892" s="42"/>
      <c r="K1892" s="3"/>
      <c r="M1892" s="20">
        <v>42153</v>
      </c>
      <c r="N1892" s="183">
        <v>22619</v>
      </c>
      <c r="O1892" s="14" t="s">
        <v>44</v>
      </c>
      <c r="P1892" s="105">
        <v>1428</v>
      </c>
      <c r="Q1892" s="23">
        <v>42153</v>
      </c>
      <c r="R1892" s="106">
        <v>1428</v>
      </c>
      <c r="S1892" s="31">
        <f t="shared" si="59"/>
        <v>0</v>
      </c>
      <c r="T1892" s="39" t="s">
        <v>9</v>
      </c>
    </row>
    <row r="1893" spans="1:20" x14ac:dyDescent="0.25">
      <c r="A1893" s="20">
        <v>42142</v>
      </c>
      <c r="B1893" s="183">
        <v>21467</v>
      </c>
      <c r="C1893" s="26" t="s">
        <v>218</v>
      </c>
      <c r="D1893" s="108">
        <v>0</v>
      </c>
      <c r="E1893" s="65"/>
      <c r="F1893" s="106"/>
      <c r="G1893" s="48">
        <f t="shared" si="58"/>
        <v>0</v>
      </c>
      <c r="H1893" s="19" t="s">
        <v>13</v>
      </c>
      <c r="I1893" s="3"/>
      <c r="J1893" s="42"/>
      <c r="K1893" s="3"/>
      <c r="M1893" s="20">
        <v>42137</v>
      </c>
      <c r="N1893" s="183">
        <v>20928</v>
      </c>
      <c r="O1893" s="150" t="s">
        <v>241</v>
      </c>
      <c r="P1893" s="105">
        <v>1234.2</v>
      </c>
      <c r="Q1893" s="23">
        <v>42137</v>
      </c>
      <c r="R1893" s="106">
        <v>1234.2</v>
      </c>
      <c r="S1893" s="31">
        <f t="shared" si="59"/>
        <v>0</v>
      </c>
      <c r="T1893" s="19" t="s">
        <v>9</v>
      </c>
    </row>
    <row r="1894" spans="1:20" x14ac:dyDescent="0.25">
      <c r="A1894" s="20">
        <v>42142</v>
      </c>
      <c r="B1894" s="183">
        <v>21468</v>
      </c>
      <c r="C1894" s="14" t="s">
        <v>180</v>
      </c>
      <c r="D1894" s="105">
        <v>5748.8</v>
      </c>
      <c r="E1894" s="65">
        <v>42142</v>
      </c>
      <c r="F1894" s="106">
        <v>5748.8</v>
      </c>
      <c r="G1894" s="31">
        <f t="shared" si="58"/>
        <v>0</v>
      </c>
      <c r="H1894" s="19" t="s">
        <v>9</v>
      </c>
      <c r="I1894" s="3"/>
      <c r="J1894" s="42"/>
      <c r="K1894" s="3"/>
      <c r="M1894" s="20">
        <v>42128</v>
      </c>
      <c r="N1894" s="183">
        <v>19963</v>
      </c>
      <c r="O1894" s="14" t="s">
        <v>335</v>
      </c>
      <c r="P1894" s="105">
        <v>399</v>
      </c>
      <c r="Q1894" s="23">
        <v>42128</v>
      </c>
      <c r="R1894" s="106">
        <v>399</v>
      </c>
      <c r="S1894" s="31">
        <f t="shared" si="59"/>
        <v>0</v>
      </c>
      <c r="T1894" s="19" t="s">
        <v>9</v>
      </c>
    </row>
    <row r="1895" spans="1:20" x14ac:dyDescent="0.25">
      <c r="A1895" s="20">
        <v>42142</v>
      </c>
      <c r="B1895" s="183">
        <v>21469</v>
      </c>
      <c r="C1895" s="14" t="s">
        <v>1415</v>
      </c>
      <c r="D1895" s="105">
        <v>939.4</v>
      </c>
      <c r="E1895" s="65">
        <v>42142</v>
      </c>
      <c r="F1895" s="106">
        <v>939.4</v>
      </c>
      <c r="G1895" s="31">
        <f t="shared" si="58"/>
        <v>0</v>
      </c>
      <c r="H1895" s="19" t="s">
        <v>9</v>
      </c>
      <c r="I1895" s="3"/>
      <c r="J1895" s="42"/>
      <c r="K1895" s="3"/>
      <c r="M1895" s="20">
        <v>42129</v>
      </c>
      <c r="N1895" s="183">
        <v>20088</v>
      </c>
      <c r="O1895" s="14" t="s">
        <v>335</v>
      </c>
      <c r="P1895" s="105">
        <v>338.8</v>
      </c>
      <c r="Q1895" s="23">
        <v>42129</v>
      </c>
      <c r="R1895" s="106">
        <v>338.8</v>
      </c>
      <c r="S1895" s="31">
        <f t="shared" si="59"/>
        <v>0</v>
      </c>
      <c r="T1895" s="39" t="s">
        <v>9</v>
      </c>
    </row>
    <row r="1896" spans="1:20" x14ac:dyDescent="0.25">
      <c r="A1896" s="20">
        <v>42142</v>
      </c>
      <c r="B1896" s="183">
        <v>21470</v>
      </c>
      <c r="C1896" s="14" t="s">
        <v>61</v>
      </c>
      <c r="D1896" s="105">
        <v>2835.8</v>
      </c>
      <c r="E1896" s="65">
        <v>42144</v>
      </c>
      <c r="F1896" s="106">
        <v>2835.8</v>
      </c>
      <c r="G1896" s="31">
        <f t="shared" si="58"/>
        <v>0</v>
      </c>
      <c r="H1896" s="19" t="s">
        <v>9</v>
      </c>
      <c r="I1896" s="3"/>
      <c r="J1896" s="42"/>
      <c r="K1896" s="3"/>
      <c r="M1896" s="20">
        <v>42130</v>
      </c>
      <c r="N1896" s="183">
        <v>20171</v>
      </c>
      <c r="O1896" s="14" t="s">
        <v>335</v>
      </c>
      <c r="P1896" s="105">
        <v>576.6</v>
      </c>
      <c r="Q1896" s="23">
        <v>42130</v>
      </c>
      <c r="R1896" s="106">
        <v>576.6</v>
      </c>
      <c r="S1896" s="31">
        <f t="shared" si="59"/>
        <v>0</v>
      </c>
      <c r="T1896" s="39" t="s">
        <v>9</v>
      </c>
    </row>
    <row r="1897" spans="1:20" x14ac:dyDescent="0.25">
      <c r="A1897" s="20">
        <v>42142</v>
      </c>
      <c r="B1897" s="183">
        <v>21471</v>
      </c>
      <c r="C1897" s="14" t="s">
        <v>284</v>
      </c>
      <c r="D1897" s="105">
        <v>558.79999999999995</v>
      </c>
      <c r="E1897" s="65">
        <v>42142</v>
      </c>
      <c r="F1897" s="106">
        <v>558.79999999999995</v>
      </c>
      <c r="G1897" s="31">
        <f t="shared" si="58"/>
        <v>0</v>
      </c>
      <c r="H1897" s="19" t="s">
        <v>9</v>
      </c>
      <c r="I1897" s="3"/>
      <c r="J1897" s="42"/>
      <c r="K1897" s="3"/>
      <c r="M1897" s="20">
        <v>42131</v>
      </c>
      <c r="N1897" s="183">
        <v>20284</v>
      </c>
      <c r="O1897" s="14" t="s">
        <v>335</v>
      </c>
      <c r="P1897" s="105">
        <v>290.39999999999998</v>
      </c>
      <c r="Q1897" s="23">
        <v>42131</v>
      </c>
      <c r="R1897" s="106">
        <v>290.39999999999998</v>
      </c>
      <c r="S1897" s="31">
        <f t="shared" si="59"/>
        <v>0</v>
      </c>
      <c r="T1897" s="19" t="s">
        <v>9</v>
      </c>
    </row>
    <row r="1898" spans="1:20" x14ac:dyDescent="0.25">
      <c r="A1898" s="20">
        <v>42142</v>
      </c>
      <c r="B1898" s="183">
        <v>21472</v>
      </c>
      <c r="C1898" s="14" t="s">
        <v>172</v>
      </c>
      <c r="D1898" s="105">
        <v>3744</v>
      </c>
      <c r="E1898" s="65">
        <v>42144</v>
      </c>
      <c r="F1898" s="106">
        <v>3744</v>
      </c>
      <c r="G1898" s="31">
        <f t="shared" si="58"/>
        <v>0</v>
      </c>
      <c r="H1898" s="19" t="s">
        <v>62</v>
      </c>
      <c r="I1898" s="3"/>
      <c r="J1898" s="42"/>
      <c r="K1898" s="3"/>
      <c r="M1898" s="20">
        <v>42132</v>
      </c>
      <c r="N1898" s="183">
        <v>20423</v>
      </c>
      <c r="O1898" s="14" t="s">
        <v>335</v>
      </c>
      <c r="P1898" s="105">
        <v>466.4</v>
      </c>
      <c r="Q1898" s="23">
        <v>42132</v>
      </c>
      <c r="R1898" s="106">
        <v>466.4</v>
      </c>
      <c r="S1898" s="31">
        <f t="shared" si="59"/>
        <v>0</v>
      </c>
      <c r="T1898" s="19" t="s">
        <v>9</v>
      </c>
    </row>
    <row r="1899" spans="1:20" x14ac:dyDescent="0.25">
      <c r="A1899" s="20">
        <v>42142</v>
      </c>
      <c r="B1899" s="183">
        <v>21473</v>
      </c>
      <c r="C1899" s="14" t="s">
        <v>108</v>
      </c>
      <c r="D1899" s="105">
        <v>19622.400000000001</v>
      </c>
      <c r="E1899" s="65" t="s">
        <v>1315</v>
      </c>
      <c r="F1899" s="106">
        <f>2856+16766.4</f>
        <v>19622.400000000001</v>
      </c>
      <c r="G1899" s="31">
        <f t="shared" si="58"/>
        <v>0</v>
      </c>
      <c r="H1899" s="19" t="s">
        <v>773</v>
      </c>
      <c r="I1899" s="3"/>
      <c r="J1899" s="42"/>
      <c r="K1899" s="3"/>
      <c r="M1899" s="20">
        <v>42135</v>
      </c>
      <c r="N1899" s="183">
        <v>20727</v>
      </c>
      <c r="O1899" s="14" t="s">
        <v>335</v>
      </c>
      <c r="P1899" s="105">
        <v>220.5</v>
      </c>
      <c r="Q1899" s="23">
        <v>42135</v>
      </c>
      <c r="R1899" s="106">
        <v>220.5</v>
      </c>
      <c r="S1899" s="31">
        <f t="shared" si="59"/>
        <v>0</v>
      </c>
      <c r="T1899" s="19" t="s">
        <v>9</v>
      </c>
    </row>
    <row r="1900" spans="1:20" x14ac:dyDescent="0.25">
      <c r="A1900" s="20">
        <v>42142</v>
      </c>
      <c r="B1900" s="183">
        <v>21474</v>
      </c>
      <c r="C1900" s="14" t="s">
        <v>89</v>
      </c>
      <c r="D1900" s="105">
        <v>4063.2</v>
      </c>
      <c r="E1900" s="65">
        <v>42142</v>
      </c>
      <c r="F1900" s="106">
        <v>4063.2</v>
      </c>
      <c r="G1900" s="31">
        <f t="shared" si="58"/>
        <v>0</v>
      </c>
      <c r="H1900" s="19" t="s">
        <v>9</v>
      </c>
      <c r="I1900" s="3"/>
      <c r="J1900" s="42"/>
      <c r="K1900" s="3"/>
      <c r="M1900" s="20">
        <v>42142</v>
      </c>
      <c r="N1900" s="183">
        <v>21466</v>
      </c>
      <c r="O1900" s="14" t="s">
        <v>335</v>
      </c>
      <c r="P1900" s="105">
        <v>529.25</v>
      </c>
      <c r="Q1900" s="65">
        <v>42142</v>
      </c>
      <c r="R1900" s="106">
        <v>529.25</v>
      </c>
      <c r="S1900" s="31">
        <f t="shared" si="59"/>
        <v>0</v>
      </c>
      <c r="T1900" s="19" t="s">
        <v>9</v>
      </c>
    </row>
    <row r="1901" spans="1:20" x14ac:dyDescent="0.25">
      <c r="A1901" s="20">
        <v>42142</v>
      </c>
      <c r="B1901" s="183">
        <v>21475</v>
      </c>
      <c r="C1901" s="14" t="s">
        <v>143</v>
      </c>
      <c r="D1901" s="105">
        <v>13153.5</v>
      </c>
      <c r="E1901" s="65">
        <v>42142</v>
      </c>
      <c r="F1901" s="106">
        <v>13153.5</v>
      </c>
      <c r="G1901" s="31">
        <f t="shared" si="58"/>
        <v>0</v>
      </c>
      <c r="H1901" s="19" t="s">
        <v>9</v>
      </c>
      <c r="I1901" s="3"/>
      <c r="J1901" s="42"/>
      <c r="K1901" s="3"/>
      <c r="M1901" s="20">
        <v>42144</v>
      </c>
      <c r="N1901" s="183">
        <v>21692</v>
      </c>
      <c r="O1901" s="14" t="s">
        <v>335</v>
      </c>
      <c r="P1901" s="105">
        <v>825.6</v>
      </c>
      <c r="Q1901" s="23">
        <v>42144</v>
      </c>
      <c r="R1901" s="106">
        <v>825.6</v>
      </c>
      <c r="S1901" s="31">
        <f t="shared" si="59"/>
        <v>0</v>
      </c>
      <c r="T1901" s="39" t="s">
        <v>9</v>
      </c>
    </row>
    <row r="1902" spans="1:20" x14ac:dyDescent="0.25">
      <c r="A1902" s="20">
        <v>42142</v>
      </c>
      <c r="B1902" s="183">
        <v>21476</v>
      </c>
      <c r="C1902" s="14" t="s">
        <v>67</v>
      </c>
      <c r="D1902" s="105">
        <v>2796</v>
      </c>
      <c r="E1902" s="65">
        <v>42144</v>
      </c>
      <c r="F1902" s="106">
        <v>2796</v>
      </c>
      <c r="G1902" s="31">
        <f t="shared" si="58"/>
        <v>0</v>
      </c>
      <c r="H1902" s="19" t="s">
        <v>62</v>
      </c>
      <c r="I1902" s="3"/>
      <c r="J1902" s="42"/>
      <c r="K1902" s="3"/>
      <c r="M1902" s="20">
        <v>42146</v>
      </c>
      <c r="N1902" s="183">
        <v>21914</v>
      </c>
      <c r="O1902" s="14" t="s">
        <v>335</v>
      </c>
      <c r="P1902" s="105">
        <v>502.2</v>
      </c>
      <c r="Q1902" s="23">
        <v>42146</v>
      </c>
      <c r="R1902" s="106">
        <v>502.2</v>
      </c>
      <c r="S1902" s="31">
        <f t="shared" si="59"/>
        <v>0</v>
      </c>
      <c r="T1902" s="39" t="s">
        <v>9</v>
      </c>
    </row>
    <row r="1903" spans="1:20" x14ac:dyDescent="0.25">
      <c r="A1903" s="20">
        <v>42142</v>
      </c>
      <c r="B1903" s="183">
        <v>21477</v>
      </c>
      <c r="C1903" s="14" t="s">
        <v>75</v>
      </c>
      <c r="D1903" s="105">
        <v>12050.2</v>
      </c>
      <c r="E1903" s="65">
        <v>42144</v>
      </c>
      <c r="F1903" s="106">
        <v>12050.2</v>
      </c>
      <c r="G1903" s="31">
        <f t="shared" si="58"/>
        <v>0</v>
      </c>
      <c r="H1903" s="19" t="s">
        <v>62</v>
      </c>
      <c r="I1903" s="3"/>
      <c r="J1903" s="42"/>
      <c r="K1903" s="3"/>
      <c r="M1903" s="20">
        <v>42149</v>
      </c>
      <c r="N1903" s="183">
        <v>22203</v>
      </c>
      <c r="O1903" s="14" t="s">
        <v>335</v>
      </c>
      <c r="P1903" s="105">
        <v>621.6</v>
      </c>
      <c r="Q1903" s="65">
        <v>42149</v>
      </c>
      <c r="R1903" s="106">
        <v>621.6</v>
      </c>
      <c r="S1903" s="31">
        <f t="shared" si="59"/>
        <v>0</v>
      </c>
      <c r="T1903" s="39" t="s">
        <v>9</v>
      </c>
    </row>
    <row r="1904" spans="1:20" ht="16.5" customHeight="1" x14ac:dyDescent="0.25">
      <c r="A1904" s="20">
        <v>42142</v>
      </c>
      <c r="B1904" s="183">
        <v>21478</v>
      </c>
      <c r="C1904" s="14" t="s">
        <v>1402</v>
      </c>
      <c r="D1904" s="105">
        <v>7531.2</v>
      </c>
      <c r="E1904" s="65">
        <v>42144</v>
      </c>
      <c r="F1904" s="106">
        <v>7531.2</v>
      </c>
      <c r="G1904" s="31">
        <f t="shared" si="58"/>
        <v>0</v>
      </c>
      <c r="H1904" s="19" t="s">
        <v>62</v>
      </c>
      <c r="I1904" s="3"/>
      <c r="J1904" s="42"/>
      <c r="K1904" s="3"/>
      <c r="M1904" s="20">
        <v>42151</v>
      </c>
      <c r="N1904" s="183">
        <v>22385</v>
      </c>
      <c r="O1904" s="14" t="s">
        <v>335</v>
      </c>
      <c r="P1904" s="105">
        <v>582.4</v>
      </c>
      <c r="Q1904" s="23">
        <v>42151</v>
      </c>
      <c r="R1904" s="106">
        <v>582.4</v>
      </c>
      <c r="S1904" s="31">
        <f t="shared" si="59"/>
        <v>0</v>
      </c>
      <c r="T1904" s="39" t="s">
        <v>9</v>
      </c>
    </row>
    <row r="1905" spans="1:20" x14ac:dyDescent="0.25">
      <c r="A1905" s="20">
        <v>42142</v>
      </c>
      <c r="B1905" s="183">
        <v>21479</v>
      </c>
      <c r="C1905" s="14" t="s">
        <v>237</v>
      </c>
      <c r="D1905" s="105">
        <v>260</v>
      </c>
      <c r="E1905" s="65">
        <v>42142</v>
      </c>
      <c r="F1905" s="106">
        <v>260</v>
      </c>
      <c r="G1905" s="31">
        <f t="shared" si="58"/>
        <v>0</v>
      </c>
      <c r="H1905" s="19" t="s">
        <v>9</v>
      </c>
      <c r="I1905" s="3"/>
      <c r="J1905" s="42"/>
      <c r="K1905" s="3"/>
      <c r="M1905" s="20">
        <v>42152</v>
      </c>
      <c r="N1905" s="183">
        <v>22494</v>
      </c>
      <c r="O1905" s="14" t="s">
        <v>335</v>
      </c>
      <c r="P1905" s="105">
        <v>188.5</v>
      </c>
      <c r="Q1905" s="23">
        <v>42152</v>
      </c>
      <c r="R1905" s="106">
        <v>188.5</v>
      </c>
      <c r="S1905" s="31">
        <f t="shared" si="59"/>
        <v>0</v>
      </c>
      <c r="T1905" s="39" t="s">
        <v>9</v>
      </c>
    </row>
    <row r="1906" spans="1:20" x14ac:dyDescent="0.25">
      <c r="A1906" s="20">
        <v>42142</v>
      </c>
      <c r="B1906" s="183">
        <v>21480</v>
      </c>
      <c r="C1906" s="14" t="s">
        <v>24</v>
      </c>
      <c r="D1906" s="105">
        <v>9490.5</v>
      </c>
      <c r="E1906" s="74">
        <v>42165</v>
      </c>
      <c r="F1906" s="144">
        <v>9490.5</v>
      </c>
      <c r="G1906" s="31">
        <f t="shared" si="58"/>
        <v>0</v>
      </c>
      <c r="H1906" s="19" t="s">
        <v>1273</v>
      </c>
      <c r="I1906" s="3"/>
      <c r="J1906" s="42"/>
      <c r="K1906" s="3"/>
      <c r="M1906" s="20">
        <v>42155</v>
      </c>
      <c r="N1906" s="183">
        <v>22800</v>
      </c>
      <c r="O1906" s="14" t="s">
        <v>335</v>
      </c>
      <c r="P1906" s="105">
        <v>515.20000000000005</v>
      </c>
      <c r="Q1906" s="23">
        <v>42155</v>
      </c>
      <c r="R1906" s="106">
        <v>515.20000000000005</v>
      </c>
      <c r="S1906" s="31">
        <f t="shared" si="59"/>
        <v>0</v>
      </c>
      <c r="T1906" s="39" t="s">
        <v>9</v>
      </c>
    </row>
    <row r="1907" spans="1:20" x14ac:dyDescent="0.25">
      <c r="A1907" s="20">
        <v>42142</v>
      </c>
      <c r="B1907" s="183">
        <v>21481</v>
      </c>
      <c r="C1907" s="14" t="s">
        <v>122</v>
      </c>
      <c r="D1907" s="105">
        <v>2235.1999999999998</v>
      </c>
      <c r="E1907" s="74"/>
      <c r="F1907" s="144"/>
      <c r="G1907" s="31">
        <f t="shared" si="58"/>
        <v>2235.1999999999998</v>
      </c>
      <c r="H1907" s="19" t="s">
        <v>9</v>
      </c>
      <c r="I1907" s="3"/>
      <c r="J1907" s="42"/>
      <c r="K1907" s="3"/>
      <c r="M1907" s="20">
        <v>42138</v>
      </c>
      <c r="N1907" s="183">
        <v>21078</v>
      </c>
      <c r="O1907" s="14" t="s">
        <v>693</v>
      </c>
      <c r="P1907" s="105">
        <v>30.6</v>
      </c>
      <c r="Q1907" s="23">
        <v>42138</v>
      </c>
      <c r="R1907" s="106">
        <v>30.6</v>
      </c>
      <c r="S1907" s="48">
        <f t="shared" si="59"/>
        <v>0</v>
      </c>
      <c r="T1907" s="39" t="s">
        <v>9</v>
      </c>
    </row>
    <row r="1908" spans="1:20" x14ac:dyDescent="0.25">
      <c r="A1908" s="20">
        <v>42142</v>
      </c>
      <c r="B1908" s="183">
        <v>21482</v>
      </c>
      <c r="C1908" s="14" t="s">
        <v>213</v>
      </c>
      <c r="D1908" s="105">
        <v>41128.480000000003</v>
      </c>
      <c r="E1908" s="65">
        <v>42143</v>
      </c>
      <c r="F1908" s="106">
        <v>41128.480000000003</v>
      </c>
      <c r="G1908" s="31">
        <f t="shared" si="58"/>
        <v>0</v>
      </c>
      <c r="H1908" s="19" t="s">
        <v>41</v>
      </c>
      <c r="I1908" s="3"/>
      <c r="J1908" s="42"/>
      <c r="K1908" s="3"/>
      <c r="M1908" s="20">
        <v>42138</v>
      </c>
      <c r="N1908" s="183">
        <v>20983</v>
      </c>
      <c r="O1908" s="14" t="s">
        <v>1059</v>
      </c>
      <c r="P1908" s="105">
        <v>21600</v>
      </c>
      <c r="Q1908" s="23">
        <v>42138</v>
      </c>
      <c r="R1908" s="106">
        <v>21600</v>
      </c>
      <c r="S1908" s="31">
        <f t="shared" si="59"/>
        <v>0</v>
      </c>
      <c r="T1908" s="19" t="s">
        <v>773</v>
      </c>
    </row>
    <row r="1909" spans="1:20" x14ac:dyDescent="0.25">
      <c r="A1909" s="20">
        <v>42142</v>
      </c>
      <c r="B1909" s="183">
        <v>21483</v>
      </c>
      <c r="C1909" s="14" t="s">
        <v>47</v>
      </c>
      <c r="D1909" s="105">
        <v>5625.6</v>
      </c>
      <c r="E1909" s="65">
        <v>42148</v>
      </c>
      <c r="F1909" s="106">
        <v>5625.6</v>
      </c>
      <c r="G1909" s="31">
        <f t="shared" si="58"/>
        <v>0</v>
      </c>
      <c r="H1909" s="19" t="s">
        <v>9</v>
      </c>
      <c r="I1909" s="3"/>
      <c r="J1909" s="42"/>
      <c r="K1909" s="3"/>
      <c r="M1909" s="20">
        <v>42143</v>
      </c>
      <c r="N1909" s="183">
        <v>21587</v>
      </c>
      <c r="O1909" s="14" t="s">
        <v>1059</v>
      </c>
      <c r="P1909" s="105">
        <v>19106.400000000001</v>
      </c>
      <c r="Q1909" s="23">
        <v>42143</v>
      </c>
      <c r="R1909" s="118">
        <v>19106.400000000001</v>
      </c>
      <c r="S1909" s="31">
        <f t="shared" si="59"/>
        <v>0</v>
      </c>
      <c r="T1909" s="56" t="s">
        <v>1273</v>
      </c>
    </row>
    <row r="1910" spans="1:20" x14ac:dyDescent="0.25">
      <c r="A1910" s="20">
        <v>42142</v>
      </c>
      <c r="B1910" s="183">
        <v>21484</v>
      </c>
      <c r="C1910" s="14" t="s">
        <v>102</v>
      </c>
      <c r="D1910" s="105">
        <v>501.4</v>
      </c>
      <c r="E1910" s="65">
        <v>42142</v>
      </c>
      <c r="F1910" s="106">
        <v>501.4</v>
      </c>
      <c r="G1910" s="31">
        <f t="shared" si="58"/>
        <v>0</v>
      </c>
      <c r="H1910" s="19" t="s">
        <v>9</v>
      </c>
      <c r="I1910" s="3"/>
      <c r="J1910" s="42"/>
      <c r="K1910" s="3"/>
      <c r="M1910" s="20">
        <v>42125</v>
      </c>
      <c r="N1910" s="183">
        <v>19607</v>
      </c>
      <c r="O1910" s="14" t="s">
        <v>1175</v>
      </c>
      <c r="P1910" s="105">
        <v>36342.1</v>
      </c>
      <c r="Q1910" s="23">
        <v>42125</v>
      </c>
      <c r="R1910" s="106">
        <v>36342.1</v>
      </c>
      <c r="S1910" s="25">
        <f t="shared" si="59"/>
        <v>0</v>
      </c>
      <c r="T1910" s="19" t="s">
        <v>9</v>
      </c>
    </row>
    <row r="1911" spans="1:20" x14ac:dyDescent="0.25">
      <c r="A1911" s="20">
        <v>42142</v>
      </c>
      <c r="B1911" s="183">
        <v>21485</v>
      </c>
      <c r="C1911" s="14" t="s">
        <v>91</v>
      </c>
      <c r="D1911" s="105">
        <v>37714.639999999999</v>
      </c>
      <c r="E1911" s="65">
        <v>42142</v>
      </c>
      <c r="F1911" s="106">
        <v>37714.639999999999</v>
      </c>
      <c r="G1911" s="31">
        <f t="shared" si="58"/>
        <v>0</v>
      </c>
      <c r="H1911" s="19" t="s">
        <v>59</v>
      </c>
      <c r="I1911" s="3"/>
      <c r="J1911" s="42"/>
      <c r="K1911" s="3"/>
      <c r="M1911" s="20">
        <v>42126</v>
      </c>
      <c r="N1911" s="183">
        <v>19706</v>
      </c>
      <c r="O1911" s="40" t="s">
        <v>1175</v>
      </c>
      <c r="P1911" s="105">
        <v>25874.6</v>
      </c>
      <c r="Q1911" s="23">
        <v>42126</v>
      </c>
      <c r="R1911" s="106">
        <v>25874.6</v>
      </c>
      <c r="S1911" s="25">
        <f t="shared" si="59"/>
        <v>0</v>
      </c>
      <c r="T1911" s="41" t="s">
        <v>9</v>
      </c>
    </row>
    <row r="1912" spans="1:20" x14ac:dyDescent="0.25">
      <c r="A1912" s="20">
        <v>42142</v>
      </c>
      <c r="B1912" s="183">
        <v>21486</v>
      </c>
      <c r="C1912" s="14" t="s">
        <v>98</v>
      </c>
      <c r="D1912" s="105">
        <v>2932.4</v>
      </c>
      <c r="E1912" s="65">
        <v>42143</v>
      </c>
      <c r="F1912" s="106">
        <v>2932.4</v>
      </c>
      <c r="G1912" s="31">
        <f t="shared" si="58"/>
        <v>0</v>
      </c>
      <c r="H1912" s="19" t="s">
        <v>1273</v>
      </c>
      <c r="I1912" s="3"/>
      <c r="J1912" s="42"/>
      <c r="K1912" s="3"/>
      <c r="M1912" s="20">
        <v>42130</v>
      </c>
      <c r="N1912" s="183">
        <v>20112</v>
      </c>
      <c r="O1912" s="14" t="s">
        <v>1175</v>
      </c>
      <c r="P1912" s="105">
        <v>26109</v>
      </c>
      <c r="Q1912" s="23">
        <v>42130</v>
      </c>
      <c r="R1912" s="106">
        <v>26109</v>
      </c>
      <c r="S1912" s="31">
        <f t="shared" si="59"/>
        <v>0</v>
      </c>
      <c r="T1912" s="39" t="s">
        <v>9</v>
      </c>
    </row>
    <row r="1913" spans="1:20" x14ac:dyDescent="0.25">
      <c r="A1913" s="20">
        <v>42142</v>
      </c>
      <c r="B1913" s="183">
        <v>21487</v>
      </c>
      <c r="C1913" s="14" t="s">
        <v>1406</v>
      </c>
      <c r="D1913" s="105">
        <v>626.05999999999995</v>
      </c>
      <c r="E1913" s="65">
        <v>42143</v>
      </c>
      <c r="F1913" s="106">
        <v>626.05999999999995</v>
      </c>
      <c r="G1913" s="31">
        <f t="shared" si="58"/>
        <v>0</v>
      </c>
      <c r="H1913" s="19" t="s">
        <v>1273</v>
      </c>
      <c r="I1913" s="3"/>
      <c r="J1913" s="42"/>
      <c r="K1913" s="3"/>
      <c r="M1913" s="20">
        <v>42135</v>
      </c>
      <c r="N1913" s="183">
        <v>20673</v>
      </c>
      <c r="O1913" s="14" t="s">
        <v>1175</v>
      </c>
      <c r="P1913" s="105">
        <v>22324.400000000001</v>
      </c>
      <c r="Q1913" s="23">
        <v>42135</v>
      </c>
      <c r="R1913" s="106">
        <v>22324.400000000001</v>
      </c>
      <c r="S1913" s="31">
        <f t="shared" si="59"/>
        <v>0</v>
      </c>
      <c r="T1913" s="39" t="s">
        <v>9</v>
      </c>
    </row>
    <row r="1914" spans="1:20" x14ac:dyDescent="0.25">
      <c r="A1914" s="20">
        <v>42142</v>
      </c>
      <c r="B1914" s="183">
        <v>21488</v>
      </c>
      <c r="C1914" s="14" t="s">
        <v>390</v>
      </c>
      <c r="D1914" s="105">
        <v>4466.8</v>
      </c>
      <c r="E1914" s="65">
        <v>42142</v>
      </c>
      <c r="F1914" s="106">
        <v>4466.8</v>
      </c>
      <c r="G1914" s="31">
        <f t="shared" si="58"/>
        <v>0</v>
      </c>
      <c r="H1914" s="19" t="s">
        <v>59</v>
      </c>
      <c r="I1914" s="3"/>
      <c r="J1914" s="42"/>
      <c r="K1914" s="3"/>
      <c r="M1914" s="20">
        <v>42135</v>
      </c>
      <c r="N1914" s="183">
        <v>20683</v>
      </c>
      <c r="O1914" s="14" t="s">
        <v>1175</v>
      </c>
      <c r="P1914" s="105">
        <v>23514.400000000001</v>
      </c>
      <c r="Q1914" s="23">
        <v>42135</v>
      </c>
      <c r="R1914" s="106">
        <v>23514.400000000001</v>
      </c>
      <c r="S1914" s="31">
        <f t="shared" si="59"/>
        <v>0</v>
      </c>
      <c r="T1914" s="39" t="s">
        <v>9</v>
      </c>
    </row>
    <row r="1915" spans="1:20" x14ac:dyDescent="0.25">
      <c r="A1915" s="20">
        <v>42142</v>
      </c>
      <c r="B1915" s="183">
        <v>21489</v>
      </c>
      <c r="C1915" s="14" t="s">
        <v>325</v>
      </c>
      <c r="D1915" s="105">
        <v>992</v>
      </c>
      <c r="E1915" s="65">
        <v>42143</v>
      </c>
      <c r="F1915" s="106">
        <v>992</v>
      </c>
      <c r="G1915" s="31">
        <f t="shared" si="58"/>
        <v>0</v>
      </c>
      <c r="H1915" s="19" t="s">
        <v>1273</v>
      </c>
      <c r="I1915" s="3"/>
      <c r="J1915" s="42"/>
      <c r="K1915" s="3"/>
      <c r="M1915" s="20">
        <v>42137</v>
      </c>
      <c r="N1915" s="183">
        <v>20887</v>
      </c>
      <c r="O1915" s="14" t="s">
        <v>1175</v>
      </c>
      <c r="P1915" s="105">
        <v>2257.1999999999998</v>
      </c>
      <c r="Q1915" s="23">
        <v>42137</v>
      </c>
      <c r="R1915" s="106">
        <v>2257.1999999999998</v>
      </c>
      <c r="S1915" s="31">
        <f t="shared" si="59"/>
        <v>0</v>
      </c>
      <c r="T1915" s="19" t="s">
        <v>9</v>
      </c>
    </row>
    <row r="1916" spans="1:20" x14ac:dyDescent="0.25">
      <c r="A1916" s="20">
        <v>42142</v>
      </c>
      <c r="B1916" s="183">
        <v>21490</v>
      </c>
      <c r="C1916" s="14" t="s">
        <v>363</v>
      </c>
      <c r="D1916" s="105">
        <v>1536</v>
      </c>
      <c r="E1916" s="65">
        <v>42143</v>
      </c>
      <c r="F1916" s="106">
        <v>1536</v>
      </c>
      <c r="G1916" s="31">
        <f t="shared" si="58"/>
        <v>0</v>
      </c>
      <c r="H1916" s="19" t="s">
        <v>1273</v>
      </c>
      <c r="I1916" s="3"/>
      <c r="J1916" s="42"/>
      <c r="K1916" s="3"/>
      <c r="M1916" s="20">
        <v>42137</v>
      </c>
      <c r="N1916" s="183">
        <v>20948</v>
      </c>
      <c r="O1916" s="14" t="s">
        <v>1175</v>
      </c>
      <c r="P1916" s="105">
        <v>13878.8</v>
      </c>
      <c r="Q1916" s="23">
        <v>42137</v>
      </c>
      <c r="R1916" s="106">
        <v>13878.8</v>
      </c>
      <c r="S1916" s="31">
        <f t="shared" si="59"/>
        <v>0</v>
      </c>
      <c r="T1916" s="19" t="s">
        <v>1393</v>
      </c>
    </row>
    <row r="1917" spans="1:20" x14ac:dyDescent="0.25">
      <c r="A1917" s="20">
        <v>42142</v>
      </c>
      <c r="B1917" s="183">
        <v>21491</v>
      </c>
      <c r="C1917" s="150" t="s">
        <v>95</v>
      </c>
      <c r="D1917" s="105">
        <v>1778.4</v>
      </c>
      <c r="E1917" s="65">
        <v>42143</v>
      </c>
      <c r="F1917" s="106">
        <v>1778.4</v>
      </c>
      <c r="G1917" s="31">
        <f t="shared" si="58"/>
        <v>0</v>
      </c>
      <c r="H1917" s="19" t="s">
        <v>1273</v>
      </c>
      <c r="I1917" s="3"/>
      <c r="J1917" s="42"/>
      <c r="K1917" s="3"/>
      <c r="M1917" s="20">
        <v>42139</v>
      </c>
      <c r="N1917" s="183">
        <v>21102</v>
      </c>
      <c r="O1917" s="14" t="s">
        <v>1175</v>
      </c>
      <c r="P1917" s="105">
        <v>28089.599999999999</v>
      </c>
      <c r="Q1917" s="23">
        <v>42139</v>
      </c>
      <c r="R1917" s="106">
        <v>28089.599999999999</v>
      </c>
      <c r="S1917" s="48">
        <f t="shared" si="59"/>
        <v>0</v>
      </c>
      <c r="T1917" s="39" t="s">
        <v>1327</v>
      </c>
    </row>
    <row r="1918" spans="1:20" x14ac:dyDescent="0.25">
      <c r="A1918" s="20">
        <v>42142</v>
      </c>
      <c r="B1918" s="183">
        <v>21492</v>
      </c>
      <c r="C1918" s="14" t="s">
        <v>223</v>
      </c>
      <c r="D1918" s="105">
        <v>160</v>
      </c>
      <c r="E1918" s="65">
        <v>42143</v>
      </c>
      <c r="F1918" s="106">
        <v>160</v>
      </c>
      <c r="G1918" s="31">
        <f t="shared" si="58"/>
        <v>0</v>
      </c>
      <c r="H1918" s="19" t="s">
        <v>1273</v>
      </c>
      <c r="I1918" s="3"/>
      <c r="J1918" s="42"/>
      <c r="K1918" s="3"/>
      <c r="M1918" s="20">
        <v>42140</v>
      </c>
      <c r="N1918" s="183">
        <v>21218</v>
      </c>
      <c r="O1918" s="14" t="s">
        <v>1175</v>
      </c>
      <c r="P1918" s="105">
        <v>37446.15</v>
      </c>
      <c r="Q1918" s="23">
        <v>42140</v>
      </c>
      <c r="R1918" s="106">
        <v>37446.15</v>
      </c>
      <c r="S1918" s="48">
        <f t="shared" si="59"/>
        <v>0</v>
      </c>
      <c r="T1918" s="39" t="s">
        <v>587</v>
      </c>
    </row>
    <row r="1919" spans="1:20" x14ac:dyDescent="0.25">
      <c r="A1919" s="20">
        <v>42142</v>
      </c>
      <c r="B1919" s="183">
        <v>21493</v>
      </c>
      <c r="C1919" s="14" t="s">
        <v>199</v>
      </c>
      <c r="D1919" s="105">
        <v>16874.599999999999</v>
      </c>
      <c r="E1919" s="65">
        <v>42145</v>
      </c>
      <c r="F1919" s="106">
        <v>16874.599999999999</v>
      </c>
      <c r="G1919" s="31">
        <f t="shared" si="58"/>
        <v>0</v>
      </c>
      <c r="H1919" s="19" t="s">
        <v>149</v>
      </c>
      <c r="I1919" s="3"/>
      <c r="J1919" s="42"/>
      <c r="K1919" s="3"/>
      <c r="M1919" s="20">
        <v>42145</v>
      </c>
      <c r="N1919" s="183">
        <v>21729</v>
      </c>
      <c r="O1919" s="14" t="s">
        <v>1175</v>
      </c>
      <c r="P1919" s="105">
        <v>7422.2</v>
      </c>
      <c r="Q1919" s="23">
        <v>42145</v>
      </c>
      <c r="R1919" s="106">
        <v>7422.2</v>
      </c>
      <c r="S1919" s="31">
        <f t="shared" si="59"/>
        <v>0</v>
      </c>
      <c r="T1919" s="39" t="s">
        <v>46</v>
      </c>
    </row>
    <row r="1920" spans="1:20" x14ac:dyDescent="0.25">
      <c r="A1920" s="20">
        <v>42142</v>
      </c>
      <c r="B1920" s="183">
        <v>21494</v>
      </c>
      <c r="C1920" s="14" t="s">
        <v>203</v>
      </c>
      <c r="D1920" s="105">
        <v>3251</v>
      </c>
      <c r="E1920" s="65">
        <v>42145</v>
      </c>
      <c r="F1920" s="106">
        <v>3251</v>
      </c>
      <c r="G1920" s="31">
        <f t="shared" si="58"/>
        <v>0</v>
      </c>
      <c r="H1920" s="19" t="s">
        <v>149</v>
      </c>
      <c r="I1920" s="3"/>
      <c r="J1920" s="42"/>
      <c r="K1920" s="3"/>
      <c r="M1920" s="20">
        <v>42146</v>
      </c>
      <c r="N1920" s="183">
        <v>21856</v>
      </c>
      <c r="O1920" s="14" t="s">
        <v>1175</v>
      </c>
      <c r="P1920" s="105">
        <v>40512</v>
      </c>
      <c r="Q1920" s="23">
        <v>42147</v>
      </c>
      <c r="R1920" s="106">
        <v>40512</v>
      </c>
      <c r="S1920" s="31">
        <f t="shared" si="59"/>
        <v>0</v>
      </c>
      <c r="T1920" s="39" t="s">
        <v>587</v>
      </c>
    </row>
    <row r="1921" spans="1:20" x14ac:dyDescent="0.25">
      <c r="A1921" s="20">
        <v>42142</v>
      </c>
      <c r="B1921" s="183">
        <v>21495</v>
      </c>
      <c r="C1921" s="14" t="s">
        <v>204</v>
      </c>
      <c r="D1921" s="105">
        <v>3407.4</v>
      </c>
      <c r="E1921" s="65">
        <v>42145</v>
      </c>
      <c r="F1921" s="106">
        <v>3407.4</v>
      </c>
      <c r="G1921" s="31">
        <f t="shared" si="58"/>
        <v>0</v>
      </c>
      <c r="H1921" s="19" t="s">
        <v>149</v>
      </c>
      <c r="I1921" s="3"/>
      <c r="J1921" s="42"/>
      <c r="K1921" s="3"/>
      <c r="M1921" s="20">
        <v>42131</v>
      </c>
      <c r="N1921" s="183">
        <v>20220</v>
      </c>
      <c r="O1921" s="14" t="s">
        <v>1328</v>
      </c>
      <c r="P1921" s="105">
        <v>23187.599999999999</v>
      </c>
      <c r="Q1921" s="23">
        <v>42131</v>
      </c>
      <c r="R1921" s="106">
        <v>23187.599999999999</v>
      </c>
      <c r="S1921" s="31">
        <f t="shared" si="59"/>
        <v>0</v>
      </c>
      <c r="T1921" s="39" t="s">
        <v>9</v>
      </c>
    </row>
    <row r="1922" spans="1:20" x14ac:dyDescent="0.25">
      <c r="A1922" s="20">
        <v>42142</v>
      </c>
      <c r="B1922" s="183">
        <v>21496</v>
      </c>
      <c r="C1922" s="14" t="s">
        <v>66</v>
      </c>
      <c r="D1922" s="105">
        <v>1131.2</v>
      </c>
      <c r="E1922" s="23">
        <v>42142</v>
      </c>
      <c r="F1922" s="106">
        <v>1131.2</v>
      </c>
      <c r="G1922" s="31">
        <f t="shared" si="58"/>
        <v>0</v>
      </c>
      <c r="H1922" s="19" t="s">
        <v>9</v>
      </c>
      <c r="I1922" s="3"/>
      <c r="J1922" s="42"/>
      <c r="K1922" s="3"/>
      <c r="M1922" s="20">
        <v>42132</v>
      </c>
      <c r="N1922" s="183">
        <v>20345</v>
      </c>
      <c r="O1922" s="14" t="s">
        <v>1328</v>
      </c>
      <c r="P1922" s="105">
        <v>45518</v>
      </c>
      <c r="Q1922" s="23">
        <v>42132</v>
      </c>
      <c r="R1922" s="106">
        <v>45518</v>
      </c>
      <c r="S1922" s="31">
        <f t="shared" si="59"/>
        <v>0</v>
      </c>
      <c r="T1922" s="19" t="s">
        <v>9</v>
      </c>
    </row>
    <row r="1923" spans="1:20" x14ac:dyDescent="0.25">
      <c r="A1923" s="20">
        <v>42142</v>
      </c>
      <c r="B1923" s="183">
        <v>21497</v>
      </c>
      <c r="C1923" s="14" t="s">
        <v>571</v>
      </c>
      <c r="D1923" s="105">
        <v>4166.3999999999996</v>
      </c>
      <c r="E1923" s="23">
        <v>42142</v>
      </c>
      <c r="F1923" s="106">
        <v>4166.3999999999996</v>
      </c>
      <c r="G1923" s="31">
        <f t="shared" ref="G1923:G1986" si="60">D1923-F1923</f>
        <v>0</v>
      </c>
      <c r="H1923" s="19" t="s">
        <v>41</v>
      </c>
      <c r="I1923" s="3"/>
      <c r="J1923" s="42"/>
      <c r="K1923" s="3"/>
      <c r="M1923" s="20">
        <v>42133</v>
      </c>
      <c r="N1923" s="183">
        <v>20484</v>
      </c>
      <c r="O1923" s="14" t="s">
        <v>1328</v>
      </c>
      <c r="P1923" s="105">
        <v>21945</v>
      </c>
      <c r="Q1923" s="23">
        <v>42133</v>
      </c>
      <c r="R1923" s="106">
        <v>21945</v>
      </c>
      <c r="S1923" s="31">
        <f t="shared" ref="S1923:S1986" si="61">P1923-R1923</f>
        <v>0</v>
      </c>
      <c r="T1923" s="19" t="s">
        <v>9</v>
      </c>
    </row>
    <row r="1924" spans="1:20" x14ac:dyDescent="0.25">
      <c r="A1924" s="20">
        <v>42142</v>
      </c>
      <c r="B1924" s="183">
        <v>21498</v>
      </c>
      <c r="C1924" s="14" t="s">
        <v>35</v>
      </c>
      <c r="D1924" s="105">
        <v>26656.05</v>
      </c>
      <c r="E1924" s="23">
        <v>42143</v>
      </c>
      <c r="F1924" s="106">
        <v>26656.05</v>
      </c>
      <c r="G1924" s="31">
        <f t="shared" si="60"/>
        <v>0</v>
      </c>
      <c r="H1924" s="19" t="s">
        <v>773</v>
      </c>
      <c r="I1924" s="3"/>
      <c r="J1924" s="42"/>
      <c r="K1924" s="3"/>
      <c r="M1924" s="20">
        <v>42150</v>
      </c>
      <c r="N1924" s="183">
        <v>22310</v>
      </c>
      <c r="O1924" s="14" t="s">
        <v>1328</v>
      </c>
      <c r="P1924" s="105">
        <v>18144</v>
      </c>
      <c r="Q1924" s="65">
        <v>42150</v>
      </c>
      <c r="R1924" s="106">
        <v>18144</v>
      </c>
      <c r="S1924" s="31">
        <f t="shared" si="61"/>
        <v>0</v>
      </c>
      <c r="T1924" s="39" t="s">
        <v>587</v>
      </c>
    </row>
    <row r="1925" spans="1:20" x14ac:dyDescent="0.25">
      <c r="A1925" s="20">
        <v>42142</v>
      </c>
      <c r="B1925" s="183">
        <v>21499</v>
      </c>
      <c r="C1925" s="14" t="s">
        <v>571</v>
      </c>
      <c r="D1925" s="105">
        <v>4394</v>
      </c>
      <c r="E1925" s="23">
        <v>42142</v>
      </c>
      <c r="F1925" s="106">
        <v>4394</v>
      </c>
      <c r="G1925" s="31">
        <f t="shared" si="60"/>
        <v>0</v>
      </c>
      <c r="H1925" s="19" t="s">
        <v>41</v>
      </c>
      <c r="I1925" s="3"/>
      <c r="J1925" s="42"/>
      <c r="K1925" s="3"/>
      <c r="M1925" s="20">
        <v>42151</v>
      </c>
      <c r="N1925" s="183">
        <v>22345</v>
      </c>
      <c r="O1925" s="14" t="s">
        <v>1328</v>
      </c>
      <c r="P1925" s="105">
        <v>13414.4</v>
      </c>
      <c r="Q1925" s="65">
        <v>42151</v>
      </c>
      <c r="R1925" s="106">
        <v>13414.4</v>
      </c>
      <c r="S1925" s="31">
        <f t="shared" si="61"/>
        <v>0</v>
      </c>
      <c r="T1925" s="39" t="s">
        <v>9</v>
      </c>
    </row>
    <row r="1926" spans="1:20" x14ac:dyDescent="0.25">
      <c r="A1926" s="20">
        <v>42142</v>
      </c>
      <c r="B1926" s="183">
        <v>21500</v>
      </c>
      <c r="C1926" s="14" t="s">
        <v>123</v>
      </c>
      <c r="D1926" s="105">
        <v>14678</v>
      </c>
      <c r="E1926" s="23">
        <v>42143</v>
      </c>
      <c r="F1926" s="106">
        <v>14678</v>
      </c>
      <c r="G1926" s="31">
        <f t="shared" si="60"/>
        <v>0</v>
      </c>
      <c r="H1926" s="19" t="s">
        <v>773</v>
      </c>
      <c r="I1926" s="3"/>
      <c r="J1926" s="42"/>
      <c r="K1926" s="3"/>
      <c r="M1926" s="20">
        <v>42152</v>
      </c>
      <c r="N1926" s="183">
        <v>22438</v>
      </c>
      <c r="O1926" s="14" t="s">
        <v>1328</v>
      </c>
      <c r="P1926" s="105">
        <v>5875.2</v>
      </c>
      <c r="Q1926" s="23">
        <v>42153</v>
      </c>
      <c r="R1926" s="106">
        <v>5875.2</v>
      </c>
      <c r="S1926" s="31">
        <f t="shared" si="61"/>
        <v>0</v>
      </c>
      <c r="T1926" s="39" t="s">
        <v>587</v>
      </c>
    </row>
    <row r="1927" spans="1:20" x14ac:dyDescent="0.25">
      <c r="A1927" s="20">
        <v>42142</v>
      </c>
      <c r="B1927" s="183">
        <v>21501</v>
      </c>
      <c r="C1927" s="14" t="s">
        <v>256</v>
      </c>
      <c r="D1927" s="105">
        <v>3540.2</v>
      </c>
      <c r="E1927" s="23">
        <v>42143</v>
      </c>
      <c r="F1927" s="106">
        <v>3540.2</v>
      </c>
      <c r="G1927" s="31">
        <f t="shared" si="60"/>
        <v>0</v>
      </c>
      <c r="H1927" s="19" t="s">
        <v>773</v>
      </c>
      <c r="I1927" s="3"/>
      <c r="J1927" s="42"/>
      <c r="K1927" s="3"/>
      <c r="M1927" s="20">
        <v>42152</v>
      </c>
      <c r="N1927" s="183">
        <v>22508</v>
      </c>
      <c r="O1927" s="14" t="s">
        <v>1328</v>
      </c>
      <c r="P1927" s="105">
        <v>6702</v>
      </c>
      <c r="Q1927" s="23">
        <v>42153</v>
      </c>
      <c r="R1927" s="106">
        <v>6702</v>
      </c>
      <c r="S1927" s="31">
        <f t="shared" si="61"/>
        <v>0</v>
      </c>
      <c r="T1927" s="39" t="s">
        <v>587</v>
      </c>
    </row>
    <row r="1928" spans="1:20" x14ac:dyDescent="0.25">
      <c r="A1928" s="20">
        <v>42142</v>
      </c>
      <c r="B1928" s="183">
        <v>21502</v>
      </c>
      <c r="C1928" s="14" t="s">
        <v>202</v>
      </c>
      <c r="D1928" s="105">
        <v>2701.6</v>
      </c>
      <c r="E1928" s="23">
        <v>42145</v>
      </c>
      <c r="F1928" s="106">
        <v>2701.6</v>
      </c>
      <c r="G1928" s="31">
        <f t="shared" si="60"/>
        <v>0</v>
      </c>
      <c r="H1928" s="39" t="s">
        <v>149</v>
      </c>
      <c r="I1928" s="3"/>
      <c r="J1928" s="42"/>
      <c r="K1928" s="3"/>
      <c r="M1928" s="20">
        <v>42153</v>
      </c>
      <c r="N1928" s="183">
        <v>22580</v>
      </c>
      <c r="O1928" s="14" t="s">
        <v>1328</v>
      </c>
      <c r="P1928" s="105">
        <v>30307.200000000001</v>
      </c>
      <c r="Q1928" s="23">
        <v>42153</v>
      </c>
      <c r="R1928" s="106">
        <v>30307.200000000001</v>
      </c>
      <c r="S1928" s="31">
        <f t="shared" si="61"/>
        <v>0</v>
      </c>
      <c r="T1928" s="39" t="s">
        <v>587</v>
      </c>
    </row>
    <row r="1929" spans="1:20" x14ac:dyDescent="0.25">
      <c r="A1929" s="20">
        <v>42142</v>
      </c>
      <c r="B1929" s="183">
        <v>21503</v>
      </c>
      <c r="C1929" s="14" t="s">
        <v>420</v>
      </c>
      <c r="D1929" s="105">
        <v>2191.5</v>
      </c>
      <c r="E1929" s="23">
        <v>42145</v>
      </c>
      <c r="F1929" s="106">
        <v>2191.5</v>
      </c>
      <c r="G1929" s="31">
        <f t="shared" si="60"/>
        <v>0</v>
      </c>
      <c r="H1929" s="39" t="s">
        <v>149</v>
      </c>
      <c r="I1929" s="3"/>
      <c r="J1929" s="42"/>
      <c r="K1929" s="3"/>
      <c r="M1929" s="20">
        <v>42154</v>
      </c>
      <c r="N1929" s="183">
        <v>22690</v>
      </c>
      <c r="O1929" s="14" t="s">
        <v>1328</v>
      </c>
      <c r="P1929" s="105">
        <v>43998.9</v>
      </c>
      <c r="Q1929" s="23">
        <v>42154</v>
      </c>
      <c r="R1929" s="106">
        <v>43998.9</v>
      </c>
      <c r="S1929" s="31">
        <f t="shared" si="61"/>
        <v>0</v>
      </c>
      <c r="T1929" s="39" t="s">
        <v>9</v>
      </c>
    </row>
    <row r="1930" spans="1:20" x14ac:dyDescent="0.25">
      <c r="A1930" s="20">
        <v>42142</v>
      </c>
      <c r="B1930" s="183">
        <v>21504</v>
      </c>
      <c r="C1930" s="14" t="s">
        <v>200</v>
      </c>
      <c r="D1930" s="105">
        <v>1616.1</v>
      </c>
      <c r="E1930" s="23">
        <v>42149</v>
      </c>
      <c r="F1930" s="106">
        <v>1616.1</v>
      </c>
      <c r="G1930" s="31">
        <f t="shared" si="60"/>
        <v>0</v>
      </c>
      <c r="H1930" s="39" t="s">
        <v>149</v>
      </c>
      <c r="I1930" s="3"/>
      <c r="J1930" s="42"/>
      <c r="K1930" s="3"/>
      <c r="M1930" s="20">
        <v>42142</v>
      </c>
      <c r="N1930" s="183">
        <v>21404</v>
      </c>
      <c r="O1930" s="14" t="s">
        <v>1411</v>
      </c>
      <c r="P1930" s="105">
        <v>24026.5</v>
      </c>
      <c r="Q1930" s="23">
        <v>42142</v>
      </c>
      <c r="R1930" s="118">
        <v>24026.5</v>
      </c>
      <c r="S1930" s="31">
        <f t="shared" si="61"/>
        <v>0</v>
      </c>
      <c r="T1930" s="56" t="s">
        <v>587</v>
      </c>
    </row>
    <row r="1931" spans="1:20" x14ac:dyDescent="0.25">
      <c r="A1931" s="20">
        <v>42142</v>
      </c>
      <c r="B1931" s="183">
        <v>21505</v>
      </c>
      <c r="C1931" s="14" t="s">
        <v>206</v>
      </c>
      <c r="D1931" s="105">
        <v>37666.050000000003</v>
      </c>
      <c r="E1931" s="23">
        <v>42151</v>
      </c>
      <c r="F1931" s="106">
        <v>37666.050000000003</v>
      </c>
      <c r="G1931" s="31">
        <f t="shared" si="60"/>
        <v>0</v>
      </c>
      <c r="H1931" s="39" t="s">
        <v>149</v>
      </c>
      <c r="I1931" s="3"/>
      <c r="J1931" s="42"/>
      <c r="K1931" s="3"/>
      <c r="M1931" s="20">
        <v>42140</v>
      </c>
      <c r="N1931" s="183">
        <v>21319</v>
      </c>
      <c r="O1931" s="14" t="s">
        <v>462</v>
      </c>
      <c r="P1931" s="105">
        <v>35.200000000000003</v>
      </c>
      <c r="Q1931" s="23">
        <v>42140</v>
      </c>
      <c r="R1931" s="118">
        <v>35.200000000000003</v>
      </c>
      <c r="S1931" s="31">
        <f t="shared" si="61"/>
        <v>0</v>
      </c>
      <c r="T1931" s="62" t="s">
        <v>9</v>
      </c>
    </row>
    <row r="1932" spans="1:20" x14ac:dyDescent="0.25">
      <c r="A1932" s="20">
        <v>42142</v>
      </c>
      <c r="B1932" s="183">
        <v>21506</v>
      </c>
      <c r="C1932" s="14" t="s">
        <v>207</v>
      </c>
      <c r="D1932" s="105">
        <v>30350.400000000001</v>
      </c>
      <c r="E1932" s="23">
        <v>42145</v>
      </c>
      <c r="F1932" s="106">
        <v>30350.400000000001</v>
      </c>
      <c r="G1932" s="31">
        <f t="shared" si="60"/>
        <v>0</v>
      </c>
      <c r="H1932" s="39" t="s">
        <v>149</v>
      </c>
      <c r="I1932" s="3"/>
      <c r="J1932" s="42"/>
      <c r="K1932" s="3"/>
      <c r="M1932" s="20">
        <v>42147</v>
      </c>
      <c r="N1932" s="183">
        <v>21995</v>
      </c>
      <c r="O1932" s="14" t="s">
        <v>217</v>
      </c>
      <c r="P1932" s="105">
        <v>4250.3999999999996</v>
      </c>
      <c r="Q1932" s="65">
        <v>42147</v>
      </c>
      <c r="R1932" s="106">
        <v>4250.3999999999996</v>
      </c>
      <c r="S1932" s="31">
        <f t="shared" si="61"/>
        <v>0</v>
      </c>
      <c r="T1932" s="39" t="s">
        <v>59</v>
      </c>
    </row>
    <row r="1933" spans="1:20" x14ac:dyDescent="0.25">
      <c r="A1933" s="20">
        <v>42142</v>
      </c>
      <c r="B1933" s="183">
        <v>21507</v>
      </c>
      <c r="C1933" s="26" t="s">
        <v>218</v>
      </c>
      <c r="D1933" s="108">
        <v>0</v>
      </c>
      <c r="E1933" s="23"/>
      <c r="F1933" s="106"/>
      <c r="G1933" s="31">
        <f t="shared" si="60"/>
        <v>0</v>
      </c>
      <c r="H1933" s="39" t="s">
        <v>13</v>
      </c>
      <c r="I1933" s="3"/>
      <c r="J1933" s="42"/>
      <c r="K1933" s="3"/>
      <c r="M1933" s="20">
        <v>42150</v>
      </c>
      <c r="N1933" s="183">
        <v>22287</v>
      </c>
      <c r="O1933" s="14" t="s">
        <v>217</v>
      </c>
      <c r="P1933" s="105">
        <v>4092</v>
      </c>
      <c r="Q1933" s="65">
        <v>42150</v>
      </c>
      <c r="R1933" s="106">
        <v>4092</v>
      </c>
      <c r="S1933" s="31">
        <f t="shared" si="61"/>
        <v>0</v>
      </c>
      <c r="T1933" s="39" t="s">
        <v>59</v>
      </c>
    </row>
    <row r="1934" spans="1:20" x14ac:dyDescent="0.25">
      <c r="A1934" s="20">
        <v>42142</v>
      </c>
      <c r="B1934" s="183">
        <v>21508</v>
      </c>
      <c r="C1934" s="14" t="s">
        <v>198</v>
      </c>
      <c r="D1934" s="105">
        <v>21326.77</v>
      </c>
      <c r="E1934" s="23">
        <v>42145</v>
      </c>
      <c r="F1934" s="106">
        <v>21326.77</v>
      </c>
      <c r="G1934" s="31">
        <f t="shared" si="60"/>
        <v>0</v>
      </c>
      <c r="H1934" s="39" t="s">
        <v>149</v>
      </c>
      <c r="I1934" s="3"/>
      <c r="J1934" s="42"/>
      <c r="K1934" s="3"/>
      <c r="M1934" s="20">
        <v>42154</v>
      </c>
      <c r="N1934" s="183">
        <v>22723</v>
      </c>
      <c r="O1934" s="14" t="s">
        <v>217</v>
      </c>
      <c r="P1934" s="105">
        <v>4629.3999999999996</v>
      </c>
      <c r="Q1934" s="23">
        <v>42154</v>
      </c>
      <c r="R1934" s="106">
        <v>4629.3999999999996</v>
      </c>
      <c r="S1934" s="31">
        <f t="shared" si="61"/>
        <v>0</v>
      </c>
      <c r="T1934" s="39" t="s">
        <v>59</v>
      </c>
    </row>
    <row r="1935" spans="1:20" x14ac:dyDescent="0.25">
      <c r="A1935" s="20">
        <v>42142</v>
      </c>
      <c r="B1935" s="183">
        <v>21509</v>
      </c>
      <c r="C1935" s="14" t="s">
        <v>106</v>
      </c>
      <c r="D1935" s="105">
        <v>545.6</v>
      </c>
      <c r="E1935" s="23">
        <v>42142</v>
      </c>
      <c r="F1935" s="106">
        <v>545.6</v>
      </c>
      <c r="G1935" s="31">
        <f t="shared" si="60"/>
        <v>0</v>
      </c>
      <c r="H1935" s="39" t="s">
        <v>9</v>
      </c>
      <c r="I1935" s="3"/>
      <c r="J1935" s="42"/>
      <c r="K1935" s="3"/>
      <c r="M1935" s="20">
        <v>42125</v>
      </c>
      <c r="N1935" s="183">
        <v>19595</v>
      </c>
      <c r="O1935" s="14" t="s">
        <v>256</v>
      </c>
      <c r="P1935" s="105">
        <v>7002.6</v>
      </c>
      <c r="Q1935" s="23">
        <v>42125</v>
      </c>
      <c r="R1935" s="106">
        <v>7002.6</v>
      </c>
      <c r="S1935" s="25">
        <f t="shared" si="61"/>
        <v>0</v>
      </c>
      <c r="T1935" s="19" t="s">
        <v>773</v>
      </c>
    </row>
    <row r="1936" spans="1:20" x14ac:dyDescent="0.25">
      <c r="A1936" s="20">
        <v>42142</v>
      </c>
      <c r="B1936" s="183">
        <v>21510</v>
      </c>
      <c r="C1936" s="14" t="s">
        <v>1275</v>
      </c>
      <c r="D1936" s="105">
        <v>15273.1</v>
      </c>
      <c r="E1936" s="23">
        <v>42145</v>
      </c>
      <c r="F1936" s="106">
        <v>15273.1</v>
      </c>
      <c r="G1936" s="31">
        <f t="shared" si="60"/>
        <v>0</v>
      </c>
      <c r="H1936" s="39" t="s">
        <v>149</v>
      </c>
      <c r="I1936" s="3"/>
      <c r="J1936" s="42"/>
      <c r="K1936" s="3"/>
      <c r="M1936" s="20">
        <v>42126</v>
      </c>
      <c r="N1936" s="183">
        <v>19740</v>
      </c>
      <c r="O1936" s="40" t="s">
        <v>256</v>
      </c>
      <c r="P1936" s="105">
        <v>8675.6</v>
      </c>
      <c r="Q1936" s="23">
        <v>42126</v>
      </c>
      <c r="R1936" s="106">
        <v>8675.6</v>
      </c>
      <c r="S1936" s="25">
        <f t="shared" si="61"/>
        <v>0</v>
      </c>
      <c r="T1936" s="41" t="s">
        <v>773</v>
      </c>
    </row>
    <row r="1937" spans="1:20" x14ac:dyDescent="0.25">
      <c r="A1937" s="20">
        <v>42142</v>
      </c>
      <c r="B1937" s="183">
        <v>21511</v>
      </c>
      <c r="C1937" s="14" t="s">
        <v>215</v>
      </c>
      <c r="D1937" s="105">
        <v>19683</v>
      </c>
      <c r="E1937" s="23">
        <v>42142</v>
      </c>
      <c r="F1937" s="106">
        <v>19683</v>
      </c>
      <c r="G1937" s="31">
        <f t="shared" si="60"/>
        <v>0</v>
      </c>
      <c r="H1937" s="39" t="s">
        <v>9</v>
      </c>
      <c r="I1937" s="3"/>
      <c r="J1937" s="42"/>
      <c r="K1937" s="3"/>
      <c r="M1937" s="20">
        <v>42127</v>
      </c>
      <c r="N1937" s="183">
        <v>19871</v>
      </c>
      <c r="O1937" s="14" t="s">
        <v>256</v>
      </c>
      <c r="P1937" s="105">
        <v>8167.8</v>
      </c>
      <c r="Q1937" s="23">
        <v>42127</v>
      </c>
      <c r="R1937" s="106">
        <f>587.4+7580.4</f>
        <v>8167.7999999999993</v>
      </c>
      <c r="S1937" s="31">
        <f t="shared" si="61"/>
        <v>0</v>
      </c>
      <c r="T1937" s="19" t="s">
        <v>773</v>
      </c>
    </row>
    <row r="1938" spans="1:20" x14ac:dyDescent="0.25">
      <c r="A1938" s="20">
        <v>42142</v>
      </c>
      <c r="B1938" s="183">
        <v>21512</v>
      </c>
      <c r="C1938" s="14" t="s">
        <v>732</v>
      </c>
      <c r="D1938" s="105">
        <v>41769.4</v>
      </c>
      <c r="E1938" s="23">
        <v>42145</v>
      </c>
      <c r="F1938" s="106">
        <v>41769.4</v>
      </c>
      <c r="G1938" s="31">
        <f t="shared" si="60"/>
        <v>0</v>
      </c>
      <c r="H1938" s="39" t="s">
        <v>149</v>
      </c>
      <c r="I1938" s="3"/>
      <c r="J1938" s="42"/>
      <c r="K1938" s="3"/>
      <c r="M1938" s="20">
        <v>42128</v>
      </c>
      <c r="N1938" s="183">
        <v>19919</v>
      </c>
      <c r="O1938" s="14" t="s">
        <v>256</v>
      </c>
      <c r="P1938" s="105">
        <v>5427.58</v>
      </c>
      <c r="Q1938" s="23">
        <v>42128</v>
      </c>
      <c r="R1938" s="106">
        <v>5427.58</v>
      </c>
      <c r="S1938" s="31">
        <f t="shared" si="61"/>
        <v>0</v>
      </c>
      <c r="T1938" s="19" t="s">
        <v>773</v>
      </c>
    </row>
    <row r="1939" spans="1:20" x14ac:dyDescent="0.25">
      <c r="A1939" s="20">
        <v>42142</v>
      </c>
      <c r="B1939" s="183">
        <v>21513</v>
      </c>
      <c r="C1939" s="14" t="s">
        <v>195</v>
      </c>
      <c r="D1939" s="105">
        <v>158276.14000000001</v>
      </c>
      <c r="E1939" s="23">
        <v>42149</v>
      </c>
      <c r="F1939" s="118">
        <v>158276.14000000001</v>
      </c>
      <c r="G1939" s="31">
        <f t="shared" si="60"/>
        <v>0</v>
      </c>
      <c r="H1939" s="56" t="s">
        <v>149</v>
      </c>
      <c r="I1939" s="3"/>
      <c r="J1939" s="42"/>
      <c r="K1939" s="3"/>
      <c r="M1939" s="20">
        <v>42129</v>
      </c>
      <c r="N1939" s="183">
        <v>20047</v>
      </c>
      <c r="O1939" s="14" t="s">
        <v>256</v>
      </c>
      <c r="P1939" s="105">
        <v>4285.6000000000004</v>
      </c>
      <c r="Q1939" s="23">
        <v>42129</v>
      </c>
      <c r="R1939" s="106">
        <v>4285.6000000000004</v>
      </c>
      <c r="S1939" s="31">
        <f t="shared" si="61"/>
        <v>0</v>
      </c>
      <c r="T1939" s="39" t="s">
        <v>773</v>
      </c>
    </row>
    <row r="1940" spans="1:20" x14ac:dyDescent="0.25">
      <c r="A1940" s="20">
        <v>42142</v>
      </c>
      <c r="B1940" s="183">
        <v>21514</v>
      </c>
      <c r="C1940" s="14" t="s">
        <v>207</v>
      </c>
      <c r="D1940" s="105">
        <v>14071.2</v>
      </c>
      <c r="E1940" s="12" t="s">
        <v>1416</v>
      </c>
      <c r="F1940" s="106">
        <f>10000+4071.2</f>
        <v>14071.2</v>
      </c>
      <c r="G1940" s="31">
        <f t="shared" si="60"/>
        <v>0</v>
      </c>
      <c r="H1940" s="56" t="s">
        <v>149</v>
      </c>
      <c r="I1940" s="3"/>
      <c r="J1940" s="42"/>
      <c r="K1940" s="3"/>
      <c r="M1940" s="20">
        <v>42130</v>
      </c>
      <c r="N1940" s="183">
        <v>20178</v>
      </c>
      <c r="O1940" s="14" t="s">
        <v>256</v>
      </c>
      <c r="P1940" s="105">
        <v>3837.52</v>
      </c>
      <c r="Q1940" s="23">
        <v>42131</v>
      </c>
      <c r="R1940" s="106">
        <v>3837.52</v>
      </c>
      <c r="S1940" s="31">
        <f t="shared" si="61"/>
        <v>0</v>
      </c>
      <c r="T1940" s="39" t="s">
        <v>773</v>
      </c>
    </row>
    <row r="1941" spans="1:20" x14ac:dyDescent="0.25">
      <c r="A1941" s="20">
        <v>42142</v>
      </c>
      <c r="B1941" s="183">
        <v>21515</v>
      </c>
      <c r="C1941" s="14" t="s">
        <v>32</v>
      </c>
      <c r="D1941" s="105">
        <v>7488</v>
      </c>
      <c r="E1941" s="30">
        <v>42171</v>
      </c>
      <c r="F1941" s="145">
        <v>7488</v>
      </c>
      <c r="G1941" s="31">
        <f t="shared" si="60"/>
        <v>0</v>
      </c>
      <c r="H1941" s="56" t="s">
        <v>9</v>
      </c>
      <c r="I1941" s="3"/>
      <c r="J1941" s="42"/>
      <c r="K1941" s="3"/>
      <c r="M1941" s="20">
        <v>42131</v>
      </c>
      <c r="N1941" s="183">
        <v>20255</v>
      </c>
      <c r="O1941" s="14" t="s">
        <v>256</v>
      </c>
      <c r="P1941" s="105">
        <v>6824.8</v>
      </c>
      <c r="Q1941" s="23">
        <v>42132</v>
      </c>
      <c r="R1941" s="106">
        <v>6824.8</v>
      </c>
      <c r="S1941" s="31">
        <f t="shared" si="61"/>
        <v>0</v>
      </c>
      <c r="T1941" s="19" t="s">
        <v>773</v>
      </c>
    </row>
    <row r="1942" spans="1:20" x14ac:dyDescent="0.25">
      <c r="A1942" s="20">
        <v>42142</v>
      </c>
      <c r="B1942" s="183">
        <v>21516</v>
      </c>
      <c r="C1942" s="14" t="s">
        <v>1397</v>
      </c>
      <c r="D1942" s="105">
        <v>7936</v>
      </c>
      <c r="E1942" s="23">
        <v>42142</v>
      </c>
      <c r="F1942" s="118">
        <v>7936</v>
      </c>
      <c r="G1942" s="31">
        <f t="shared" si="60"/>
        <v>0</v>
      </c>
      <c r="H1942" s="56" t="s">
        <v>9</v>
      </c>
      <c r="I1942" s="3"/>
      <c r="J1942" s="42"/>
      <c r="K1942" s="3"/>
      <c r="M1942" s="20">
        <v>42132</v>
      </c>
      <c r="N1942" s="183">
        <v>20403</v>
      </c>
      <c r="O1942" s="14" t="s">
        <v>256</v>
      </c>
      <c r="P1942" s="105">
        <v>10433.1</v>
      </c>
      <c r="Q1942" s="23">
        <v>42133</v>
      </c>
      <c r="R1942" s="106">
        <v>10433.1</v>
      </c>
      <c r="S1942" s="31">
        <f t="shared" si="61"/>
        <v>0</v>
      </c>
      <c r="T1942" s="19" t="s">
        <v>773</v>
      </c>
    </row>
    <row r="1943" spans="1:20" x14ac:dyDescent="0.25">
      <c r="A1943" s="20">
        <v>42142</v>
      </c>
      <c r="B1943" s="183">
        <v>21517</v>
      </c>
      <c r="C1943" s="14" t="s">
        <v>112</v>
      </c>
      <c r="D1943" s="105">
        <v>4126</v>
      </c>
      <c r="E1943" s="23">
        <v>42142</v>
      </c>
      <c r="F1943" s="118">
        <v>4126</v>
      </c>
      <c r="G1943" s="31">
        <f t="shared" si="60"/>
        <v>0</v>
      </c>
      <c r="H1943" s="56" t="s">
        <v>9</v>
      </c>
      <c r="I1943" s="3"/>
      <c r="J1943" s="42"/>
      <c r="K1943" s="3"/>
      <c r="M1943" s="20">
        <v>42133</v>
      </c>
      <c r="N1943" s="183">
        <v>20519</v>
      </c>
      <c r="O1943" s="14" t="s">
        <v>256</v>
      </c>
      <c r="P1943" s="105">
        <v>8762.6</v>
      </c>
      <c r="Q1943" s="23">
        <v>42133</v>
      </c>
      <c r="R1943" s="106">
        <v>8762.6</v>
      </c>
      <c r="S1943" s="31">
        <f t="shared" si="61"/>
        <v>0</v>
      </c>
      <c r="T1943" s="19" t="s">
        <v>773</v>
      </c>
    </row>
    <row r="1944" spans="1:20" x14ac:dyDescent="0.25">
      <c r="A1944" s="20">
        <v>42142</v>
      </c>
      <c r="B1944" s="183">
        <v>21518</v>
      </c>
      <c r="C1944" s="14" t="s">
        <v>193</v>
      </c>
      <c r="D1944" s="105">
        <v>10634.68</v>
      </c>
      <c r="E1944" s="30" t="s">
        <v>1443</v>
      </c>
      <c r="F1944" s="145">
        <v>10634.68</v>
      </c>
      <c r="G1944" s="31">
        <f t="shared" si="60"/>
        <v>0</v>
      </c>
      <c r="H1944" s="56" t="s">
        <v>9</v>
      </c>
      <c r="I1944" s="3"/>
      <c r="J1944" s="42"/>
      <c r="K1944" s="3"/>
      <c r="M1944" s="20">
        <v>42134</v>
      </c>
      <c r="N1944" s="183">
        <v>20639</v>
      </c>
      <c r="O1944" s="150" t="s">
        <v>256</v>
      </c>
      <c r="P1944" s="105">
        <v>8497.7000000000007</v>
      </c>
      <c r="Q1944" s="23">
        <v>42135</v>
      </c>
      <c r="R1944" s="118">
        <v>8497.7000000000007</v>
      </c>
      <c r="S1944" s="31">
        <f t="shared" si="61"/>
        <v>0</v>
      </c>
      <c r="T1944" s="56" t="s">
        <v>773</v>
      </c>
    </row>
    <row r="1945" spans="1:20" x14ac:dyDescent="0.25">
      <c r="A1945" s="20">
        <v>42142</v>
      </c>
      <c r="B1945" s="183">
        <v>21519</v>
      </c>
      <c r="C1945" s="14" t="s">
        <v>1103</v>
      </c>
      <c r="D1945" s="105">
        <v>24919</v>
      </c>
      <c r="E1945" s="23">
        <v>42145</v>
      </c>
      <c r="F1945" s="118">
        <v>24919</v>
      </c>
      <c r="G1945" s="31">
        <f t="shared" si="60"/>
        <v>0</v>
      </c>
      <c r="H1945" s="56" t="s">
        <v>149</v>
      </c>
      <c r="I1945" s="3"/>
      <c r="J1945" s="42"/>
      <c r="K1945" s="3"/>
      <c r="M1945" s="20">
        <v>42135</v>
      </c>
      <c r="N1945" s="183">
        <v>20689</v>
      </c>
      <c r="O1945" s="14" t="s">
        <v>256</v>
      </c>
      <c r="P1945" s="105">
        <v>4862</v>
      </c>
      <c r="Q1945" s="23">
        <v>42136</v>
      </c>
      <c r="R1945" s="106">
        <v>4862</v>
      </c>
      <c r="S1945" s="31">
        <f t="shared" si="61"/>
        <v>0</v>
      </c>
      <c r="T1945" s="39" t="s">
        <v>773</v>
      </c>
    </row>
    <row r="1946" spans="1:20" x14ac:dyDescent="0.25">
      <c r="A1946" s="20">
        <v>42142</v>
      </c>
      <c r="B1946" s="183">
        <v>21520</v>
      </c>
      <c r="C1946" s="14" t="s">
        <v>80</v>
      </c>
      <c r="D1946" s="105">
        <v>6355.2</v>
      </c>
      <c r="E1946" s="23">
        <v>42142</v>
      </c>
      <c r="F1946" s="118">
        <v>6355.2</v>
      </c>
      <c r="G1946" s="31">
        <f t="shared" si="60"/>
        <v>0</v>
      </c>
      <c r="H1946" s="56" t="s">
        <v>9</v>
      </c>
      <c r="I1946" s="3"/>
      <c r="J1946" s="42"/>
      <c r="K1946" s="3"/>
      <c r="M1946" s="20">
        <v>42136</v>
      </c>
      <c r="N1946" s="183">
        <v>20861</v>
      </c>
      <c r="O1946" s="14" t="s">
        <v>256</v>
      </c>
      <c r="P1946" s="105">
        <v>3649.8</v>
      </c>
      <c r="Q1946" s="23">
        <v>42137</v>
      </c>
      <c r="R1946" s="106">
        <v>3649.8</v>
      </c>
      <c r="S1946" s="31">
        <f t="shared" si="61"/>
        <v>0</v>
      </c>
      <c r="T1946" s="39" t="s">
        <v>94</v>
      </c>
    </row>
    <row r="1947" spans="1:20" x14ac:dyDescent="0.25">
      <c r="A1947" s="20">
        <v>42142</v>
      </c>
      <c r="B1947" s="183">
        <v>21521</v>
      </c>
      <c r="C1947" s="14" t="s">
        <v>1020</v>
      </c>
      <c r="D1947" s="105">
        <v>2667.6</v>
      </c>
      <c r="E1947" s="23">
        <v>42142</v>
      </c>
      <c r="F1947" s="118">
        <v>2667.6</v>
      </c>
      <c r="G1947" s="31">
        <f t="shared" si="60"/>
        <v>0</v>
      </c>
      <c r="H1947" s="56" t="s">
        <v>9</v>
      </c>
      <c r="I1947" s="3"/>
      <c r="J1947" s="42"/>
      <c r="K1947" s="3"/>
      <c r="M1947" s="20">
        <v>42137</v>
      </c>
      <c r="N1947" s="183">
        <v>20920</v>
      </c>
      <c r="O1947" s="14" t="s">
        <v>256</v>
      </c>
      <c r="P1947" s="105">
        <v>3649.8</v>
      </c>
      <c r="Q1947" s="23">
        <v>42137</v>
      </c>
      <c r="R1947" s="106">
        <v>3649.8</v>
      </c>
      <c r="S1947" s="48">
        <f t="shared" si="61"/>
        <v>0</v>
      </c>
      <c r="T1947" s="19" t="s">
        <v>46</v>
      </c>
    </row>
    <row r="1948" spans="1:20" x14ac:dyDescent="0.25">
      <c r="A1948" s="20">
        <v>42142</v>
      </c>
      <c r="B1948" s="183">
        <v>21522</v>
      </c>
      <c r="C1948" s="14" t="s">
        <v>1338</v>
      </c>
      <c r="D1948" s="105">
        <v>46578.16</v>
      </c>
      <c r="E1948" s="23">
        <v>42153</v>
      </c>
      <c r="F1948" s="118">
        <v>46578.16</v>
      </c>
      <c r="G1948" s="31">
        <f t="shared" si="60"/>
        <v>0</v>
      </c>
      <c r="H1948" s="56" t="s">
        <v>94</v>
      </c>
      <c r="I1948" s="3"/>
      <c r="J1948" s="42"/>
      <c r="K1948" s="3"/>
      <c r="M1948" s="20">
        <v>42137</v>
      </c>
      <c r="N1948" s="183">
        <v>20921</v>
      </c>
      <c r="O1948" s="14" t="s">
        <v>256</v>
      </c>
      <c r="P1948" s="105">
        <v>521.4</v>
      </c>
      <c r="Q1948" s="23">
        <v>42137</v>
      </c>
      <c r="R1948" s="106">
        <v>521.4</v>
      </c>
      <c r="S1948" s="31">
        <f t="shared" si="61"/>
        <v>0</v>
      </c>
      <c r="T1948" s="19" t="s">
        <v>46</v>
      </c>
    </row>
    <row r="1949" spans="1:20" x14ac:dyDescent="0.25">
      <c r="A1949" s="20">
        <v>42142</v>
      </c>
      <c r="B1949" s="183">
        <v>21523</v>
      </c>
      <c r="C1949" s="14" t="s">
        <v>262</v>
      </c>
      <c r="D1949" s="105">
        <v>38553.5</v>
      </c>
      <c r="E1949" s="12" t="s">
        <v>1312</v>
      </c>
      <c r="F1949" s="118">
        <f>23553.5+8000+7000</f>
        <v>38553.5</v>
      </c>
      <c r="G1949" s="31">
        <f t="shared" si="60"/>
        <v>0</v>
      </c>
      <c r="H1949" s="56" t="s">
        <v>149</v>
      </c>
      <c r="I1949" s="3"/>
      <c r="J1949" s="42"/>
      <c r="K1949" s="3"/>
      <c r="M1949" s="20">
        <v>42138</v>
      </c>
      <c r="N1949" s="183">
        <v>21035</v>
      </c>
      <c r="O1949" s="14" t="s">
        <v>256</v>
      </c>
      <c r="P1949" s="105">
        <v>5561.6</v>
      </c>
      <c r="Q1949" s="23">
        <v>42139</v>
      </c>
      <c r="R1949" s="106">
        <v>5561.6</v>
      </c>
      <c r="S1949" s="48">
        <f t="shared" si="61"/>
        <v>0</v>
      </c>
      <c r="T1949" s="39" t="s">
        <v>62</v>
      </c>
    </row>
    <row r="1950" spans="1:20" x14ac:dyDescent="0.25">
      <c r="A1950" s="20">
        <v>42142</v>
      </c>
      <c r="B1950" s="183">
        <v>21524</v>
      </c>
      <c r="C1950" s="14" t="s">
        <v>24</v>
      </c>
      <c r="D1950" s="105">
        <v>51426.9</v>
      </c>
      <c r="E1950" s="30">
        <v>42165</v>
      </c>
      <c r="F1950" s="145">
        <v>51426.9</v>
      </c>
      <c r="G1950" s="31">
        <f t="shared" si="60"/>
        <v>0</v>
      </c>
      <c r="H1950" s="56" t="s">
        <v>312</v>
      </c>
      <c r="I1950" s="3"/>
      <c r="J1950" s="42"/>
      <c r="K1950" s="3"/>
      <c r="M1950" s="20">
        <v>42140</v>
      </c>
      <c r="N1950" s="183">
        <v>21268</v>
      </c>
      <c r="O1950" s="150" t="s">
        <v>256</v>
      </c>
      <c r="P1950" s="105">
        <v>8234.7999999999993</v>
      </c>
      <c r="Q1950" s="23">
        <v>42140</v>
      </c>
      <c r="R1950" s="106">
        <v>8234.7999999999993</v>
      </c>
      <c r="S1950" s="31">
        <f t="shared" si="61"/>
        <v>0</v>
      </c>
      <c r="T1950" s="62" t="s">
        <v>1273</v>
      </c>
    </row>
    <row r="1951" spans="1:20" x14ac:dyDescent="0.25">
      <c r="A1951" s="20">
        <v>42142</v>
      </c>
      <c r="B1951" s="183">
        <v>21525</v>
      </c>
      <c r="C1951" s="14" t="s">
        <v>90</v>
      </c>
      <c r="D1951" s="105">
        <v>565.4</v>
      </c>
      <c r="E1951" s="23">
        <v>42142</v>
      </c>
      <c r="F1951" s="118">
        <v>565.4</v>
      </c>
      <c r="G1951" s="31">
        <f t="shared" si="60"/>
        <v>0</v>
      </c>
      <c r="H1951" s="56" t="s">
        <v>9</v>
      </c>
      <c r="I1951" s="3"/>
      <c r="J1951" s="42"/>
      <c r="K1951" s="3"/>
      <c r="M1951" s="20">
        <v>42140</v>
      </c>
      <c r="N1951" s="183">
        <v>21270</v>
      </c>
      <c r="O1951" s="14" t="s">
        <v>256</v>
      </c>
      <c r="P1951" s="105">
        <v>272.8</v>
      </c>
      <c r="Q1951" s="23">
        <v>42140</v>
      </c>
      <c r="R1951" s="106">
        <v>272.8</v>
      </c>
      <c r="S1951" s="31">
        <f t="shared" si="61"/>
        <v>0</v>
      </c>
      <c r="T1951" s="62" t="s">
        <v>1273</v>
      </c>
    </row>
    <row r="1952" spans="1:20" x14ac:dyDescent="0.25">
      <c r="A1952" s="20">
        <v>42142</v>
      </c>
      <c r="B1952" s="183">
        <v>21526</v>
      </c>
      <c r="C1952" s="14" t="s">
        <v>90</v>
      </c>
      <c r="D1952" s="105">
        <v>592.20000000000005</v>
      </c>
      <c r="E1952" s="23">
        <v>42142</v>
      </c>
      <c r="F1952" s="118">
        <v>592.20000000000005</v>
      </c>
      <c r="G1952" s="31">
        <f t="shared" si="60"/>
        <v>0</v>
      </c>
      <c r="H1952" s="56" t="s">
        <v>9</v>
      </c>
      <c r="I1952" s="3"/>
      <c r="J1952" s="42"/>
      <c r="K1952" s="3"/>
      <c r="M1952" s="20">
        <v>42141</v>
      </c>
      <c r="N1952" s="183">
        <v>21343</v>
      </c>
      <c r="O1952" s="14" t="s">
        <v>256</v>
      </c>
      <c r="P1952" s="105">
        <v>6672.8</v>
      </c>
      <c r="Q1952" s="23">
        <v>42142</v>
      </c>
      <c r="R1952" s="118">
        <v>6672.8</v>
      </c>
      <c r="S1952" s="31">
        <f t="shared" si="61"/>
        <v>0</v>
      </c>
      <c r="T1952" s="62" t="s">
        <v>773</v>
      </c>
    </row>
    <row r="1953" spans="1:20" x14ac:dyDescent="0.25">
      <c r="A1953" s="20">
        <v>42142</v>
      </c>
      <c r="B1953" s="183">
        <v>21527</v>
      </c>
      <c r="C1953" s="14" t="s">
        <v>24</v>
      </c>
      <c r="D1953" s="105">
        <v>4812</v>
      </c>
      <c r="E1953" s="30">
        <v>42165</v>
      </c>
      <c r="F1953" s="145">
        <v>4812</v>
      </c>
      <c r="G1953" s="31">
        <f t="shared" si="60"/>
        <v>0</v>
      </c>
      <c r="H1953" s="56" t="s">
        <v>1257</v>
      </c>
      <c r="I1953" s="3"/>
      <c r="J1953" s="42"/>
      <c r="K1953" s="3"/>
      <c r="M1953" s="20">
        <v>42142</v>
      </c>
      <c r="N1953" s="183">
        <v>21501</v>
      </c>
      <c r="O1953" s="14" t="s">
        <v>256</v>
      </c>
      <c r="P1953" s="105">
        <v>3540.2</v>
      </c>
      <c r="Q1953" s="23">
        <v>42143</v>
      </c>
      <c r="R1953" s="106">
        <v>3540.2</v>
      </c>
      <c r="S1953" s="31">
        <f t="shared" si="61"/>
        <v>0</v>
      </c>
      <c r="T1953" s="19" t="s">
        <v>773</v>
      </c>
    </row>
    <row r="1954" spans="1:20" x14ac:dyDescent="0.25">
      <c r="A1954" s="20">
        <v>42142</v>
      </c>
      <c r="B1954" s="183">
        <v>21528</v>
      </c>
      <c r="C1954" s="14" t="s">
        <v>1101</v>
      </c>
      <c r="D1954" s="105">
        <v>356.4</v>
      </c>
      <c r="E1954" s="23">
        <v>42142</v>
      </c>
      <c r="F1954" s="118">
        <v>356.4</v>
      </c>
      <c r="G1954" s="31">
        <f t="shared" si="60"/>
        <v>0</v>
      </c>
      <c r="H1954" s="56" t="s">
        <v>9</v>
      </c>
      <c r="I1954" s="3"/>
      <c r="J1954" s="42"/>
      <c r="K1954" s="3"/>
      <c r="M1954" s="20">
        <v>42143</v>
      </c>
      <c r="N1954" s="183">
        <v>21598</v>
      </c>
      <c r="O1954" s="14" t="s">
        <v>256</v>
      </c>
      <c r="P1954" s="105">
        <v>3721.2</v>
      </c>
      <c r="Q1954" s="23">
        <v>42145</v>
      </c>
      <c r="R1954" s="118">
        <v>3721.2</v>
      </c>
      <c r="S1954" s="31">
        <f t="shared" si="61"/>
        <v>0</v>
      </c>
      <c r="T1954" s="56" t="s">
        <v>1257</v>
      </c>
    </row>
    <row r="1955" spans="1:20" x14ac:dyDescent="0.25">
      <c r="A1955" s="20">
        <v>42142</v>
      </c>
      <c r="B1955" s="183">
        <v>21529</v>
      </c>
      <c r="C1955" s="14" t="s">
        <v>851</v>
      </c>
      <c r="D1955" s="105">
        <v>2264.4</v>
      </c>
      <c r="E1955" s="23">
        <v>42143</v>
      </c>
      <c r="F1955" s="118">
        <v>2264.4</v>
      </c>
      <c r="G1955" s="31">
        <f t="shared" si="60"/>
        <v>0</v>
      </c>
      <c r="H1955" s="56" t="s">
        <v>9</v>
      </c>
      <c r="I1955" s="3"/>
      <c r="J1955" s="42"/>
      <c r="K1955" s="3"/>
      <c r="M1955" s="20">
        <v>42144</v>
      </c>
      <c r="N1955" s="183">
        <v>21639</v>
      </c>
      <c r="O1955" s="14" t="s">
        <v>256</v>
      </c>
      <c r="P1955" s="105">
        <v>4489.3999999999996</v>
      </c>
      <c r="Q1955" s="23">
        <v>42145</v>
      </c>
      <c r="R1955" s="118">
        <v>4489.3999999999996</v>
      </c>
      <c r="S1955" s="31">
        <f t="shared" si="61"/>
        <v>0</v>
      </c>
      <c r="T1955" s="62" t="s">
        <v>773</v>
      </c>
    </row>
    <row r="1956" spans="1:20" x14ac:dyDescent="0.25">
      <c r="A1956" s="20">
        <v>42142</v>
      </c>
      <c r="B1956" s="183">
        <v>21530</v>
      </c>
      <c r="C1956" s="14" t="s">
        <v>141</v>
      </c>
      <c r="D1956" s="105">
        <v>990.4</v>
      </c>
      <c r="E1956" s="23">
        <v>42142</v>
      </c>
      <c r="F1956" s="118">
        <v>990.4</v>
      </c>
      <c r="G1956" s="31">
        <f t="shared" si="60"/>
        <v>0</v>
      </c>
      <c r="H1956" s="56" t="s">
        <v>9</v>
      </c>
      <c r="I1956" s="3"/>
      <c r="J1956" s="42"/>
      <c r="K1956" s="3"/>
      <c r="M1956" s="20">
        <v>42145</v>
      </c>
      <c r="N1956" s="183">
        <v>21756</v>
      </c>
      <c r="O1956" s="15" t="s">
        <v>256</v>
      </c>
      <c r="P1956" s="122">
        <v>4736.3999999999996</v>
      </c>
      <c r="Q1956" s="23">
        <v>42146</v>
      </c>
      <c r="R1956" s="118">
        <v>4736.3999999999996</v>
      </c>
      <c r="S1956" s="31">
        <f t="shared" si="61"/>
        <v>0</v>
      </c>
      <c r="T1956" s="68" t="s">
        <v>773</v>
      </c>
    </row>
    <row r="1957" spans="1:20" x14ac:dyDescent="0.25">
      <c r="A1957" s="20">
        <v>42142</v>
      </c>
      <c r="B1957" s="183">
        <v>21531</v>
      </c>
      <c r="C1957" s="14" t="s">
        <v>24</v>
      </c>
      <c r="D1957" s="105">
        <v>113047.3</v>
      </c>
      <c r="E1957" s="30">
        <v>42165</v>
      </c>
      <c r="F1957" s="145">
        <v>113047.3</v>
      </c>
      <c r="G1957" s="31">
        <f t="shared" si="60"/>
        <v>0</v>
      </c>
      <c r="H1957" s="56" t="s">
        <v>9</v>
      </c>
      <c r="I1957" s="3"/>
      <c r="J1957" s="42"/>
      <c r="K1957" s="3"/>
      <c r="M1957" s="20">
        <v>42146</v>
      </c>
      <c r="N1957" s="183">
        <v>21921</v>
      </c>
      <c r="O1957" s="14" t="s">
        <v>256</v>
      </c>
      <c r="P1957" s="105">
        <v>7514.4</v>
      </c>
      <c r="Q1957" s="23">
        <v>42147</v>
      </c>
      <c r="R1957" s="106">
        <v>7514.4</v>
      </c>
      <c r="S1957" s="31">
        <f t="shared" si="61"/>
        <v>0</v>
      </c>
      <c r="T1957" s="39" t="s">
        <v>1257</v>
      </c>
    </row>
    <row r="1958" spans="1:20" x14ac:dyDescent="0.25">
      <c r="A1958" s="20">
        <v>42142</v>
      </c>
      <c r="B1958" s="183">
        <v>21532</v>
      </c>
      <c r="C1958" s="14" t="s">
        <v>111</v>
      </c>
      <c r="D1958" s="105">
        <v>205417</v>
      </c>
      <c r="E1958" s="23">
        <v>42143</v>
      </c>
      <c r="F1958" s="118">
        <v>205417</v>
      </c>
      <c r="G1958" s="31">
        <f t="shared" si="60"/>
        <v>0</v>
      </c>
      <c r="H1958" s="56" t="s">
        <v>9</v>
      </c>
      <c r="I1958" s="3"/>
      <c r="J1958" s="42"/>
      <c r="K1958" s="3"/>
      <c r="M1958" s="20">
        <v>42147</v>
      </c>
      <c r="N1958" s="183">
        <v>22053</v>
      </c>
      <c r="O1958" s="14" t="s">
        <v>256</v>
      </c>
      <c r="P1958" s="105">
        <v>8441</v>
      </c>
      <c r="Q1958" s="65">
        <v>42148</v>
      </c>
      <c r="R1958" s="106">
        <v>8441</v>
      </c>
      <c r="S1958" s="31">
        <f t="shared" si="61"/>
        <v>0</v>
      </c>
      <c r="T1958" s="39" t="s">
        <v>9</v>
      </c>
    </row>
    <row r="1959" spans="1:20" x14ac:dyDescent="0.25">
      <c r="A1959" s="20">
        <v>42143</v>
      </c>
      <c r="B1959" s="183">
        <v>21533</v>
      </c>
      <c r="C1959" s="14" t="s">
        <v>121</v>
      </c>
      <c r="D1959" s="105">
        <v>3406</v>
      </c>
      <c r="E1959" s="23">
        <v>42143</v>
      </c>
      <c r="F1959" s="118">
        <v>3406</v>
      </c>
      <c r="G1959" s="31">
        <f t="shared" si="60"/>
        <v>0</v>
      </c>
      <c r="H1959" s="56" t="s">
        <v>9</v>
      </c>
      <c r="I1959" s="3"/>
      <c r="J1959" s="42"/>
      <c r="K1959" s="3"/>
      <c r="M1959" s="20">
        <v>42148</v>
      </c>
      <c r="N1959" s="183">
        <v>22102</v>
      </c>
      <c r="O1959" s="14" t="s">
        <v>256</v>
      </c>
      <c r="P1959" s="105">
        <v>10202.299999999999</v>
      </c>
      <c r="Q1959" s="65">
        <v>42148</v>
      </c>
      <c r="R1959" s="106">
        <v>10202.299999999999</v>
      </c>
      <c r="S1959" s="31">
        <f t="shared" si="61"/>
        <v>0</v>
      </c>
      <c r="T1959" s="39" t="s">
        <v>773</v>
      </c>
    </row>
    <row r="1960" spans="1:20" x14ac:dyDescent="0.25">
      <c r="A1960" s="20">
        <v>42143</v>
      </c>
      <c r="B1960" s="183">
        <v>21534</v>
      </c>
      <c r="C1960" s="150" t="s">
        <v>18</v>
      </c>
      <c r="D1960" s="105">
        <v>2375.4</v>
      </c>
      <c r="E1960" s="23">
        <v>42143</v>
      </c>
      <c r="F1960" s="118">
        <v>2375.4</v>
      </c>
      <c r="G1960" s="31">
        <f t="shared" si="60"/>
        <v>0</v>
      </c>
      <c r="H1960" s="56" t="s">
        <v>9</v>
      </c>
      <c r="I1960" s="3"/>
      <c r="J1960" s="42"/>
      <c r="K1960" s="3"/>
      <c r="M1960" s="20">
        <v>42149</v>
      </c>
      <c r="N1960" s="183">
        <v>22189</v>
      </c>
      <c r="O1960" s="14" t="s">
        <v>256</v>
      </c>
      <c r="P1960" s="105">
        <v>3795.6</v>
      </c>
      <c r="Q1960" s="65">
        <v>42149</v>
      </c>
      <c r="R1960" s="106">
        <v>3795.6</v>
      </c>
      <c r="S1960" s="31">
        <f t="shared" si="61"/>
        <v>0</v>
      </c>
      <c r="T1960" s="39" t="s">
        <v>773</v>
      </c>
    </row>
    <row r="1961" spans="1:20" x14ac:dyDescent="0.25">
      <c r="A1961" s="20">
        <v>42143</v>
      </c>
      <c r="B1961" s="183">
        <v>21535</v>
      </c>
      <c r="C1961" s="14" t="s">
        <v>112</v>
      </c>
      <c r="D1961" s="105">
        <v>28980.3</v>
      </c>
      <c r="E1961" s="23">
        <v>42144</v>
      </c>
      <c r="F1961" s="118">
        <v>28980.3</v>
      </c>
      <c r="G1961" s="31">
        <f t="shared" si="60"/>
        <v>0</v>
      </c>
      <c r="H1961" s="56" t="s">
        <v>9</v>
      </c>
      <c r="I1961" s="3"/>
      <c r="J1961" s="42"/>
      <c r="K1961" s="3"/>
      <c r="M1961" s="20">
        <v>42150</v>
      </c>
      <c r="N1961" s="183">
        <v>22297</v>
      </c>
      <c r="O1961" s="14" t="s">
        <v>256</v>
      </c>
      <c r="P1961" s="105">
        <v>3029</v>
      </c>
      <c r="Q1961" s="65">
        <v>42150</v>
      </c>
      <c r="R1961" s="106">
        <v>3029</v>
      </c>
      <c r="S1961" s="31">
        <f t="shared" si="61"/>
        <v>0</v>
      </c>
      <c r="T1961" s="39" t="s">
        <v>773</v>
      </c>
    </row>
    <row r="1962" spans="1:20" x14ac:dyDescent="0.25">
      <c r="A1962" s="20">
        <v>42143</v>
      </c>
      <c r="B1962" s="183">
        <v>21536</v>
      </c>
      <c r="C1962" s="14" t="s">
        <v>863</v>
      </c>
      <c r="D1962" s="105">
        <v>8718.7999999999993</v>
      </c>
      <c r="E1962" s="23">
        <v>42143</v>
      </c>
      <c r="F1962" s="118">
        <v>8718.7999999999993</v>
      </c>
      <c r="G1962" s="31">
        <f t="shared" si="60"/>
        <v>0</v>
      </c>
      <c r="H1962" s="56" t="s">
        <v>9</v>
      </c>
      <c r="I1962" s="3"/>
      <c r="J1962" s="42"/>
      <c r="K1962" s="3"/>
      <c r="M1962" s="20">
        <v>42151</v>
      </c>
      <c r="N1962" s="183">
        <v>22391</v>
      </c>
      <c r="O1962" s="14" t="s">
        <v>256</v>
      </c>
      <c r="P1962" s="105">
        <v>4992.6000000000004</v>
      </c>
      <c r="Q1962" s="23">
        <v>42152</v>
      </c>
      <c r="R1962" s="106">
        <v>4992.6000000000004</v>
      </c>
      <c r="S1962" s="31">
        <f t="shared" si="61"/>
        <v>0</v>
      </c>
      <c r="T1962" s="39" t="s">
        <v>773</v>
      </c>
    </row>
    <row r="1963" spans="1:20" x14ac:dyDescent="0.25">
      <c r="A1963" s="20">
        <v>42143</v>
      </c>
      <c r="B1963" s="183">
        <v>21537</v>
      </c>
      <c r="C1963" s="14" t="s">
        <v>1256</v>
      </c>
      <c r="D1963" s="105">
        <v>4550</v>
      </c>
      <c r="E1963" s="23">
        <v>42143</v>
      </c>
      <c r="F1963" s="118">
        <v>4550</v>
      </c>
      <c r="G1963" s="31">
        <f t="shared" si="60"/>
        <v>0</v>
      </c>
      <c r="H1963" s="56" t="s">
        <v>1257</v>
      </c>
      <c r="I1963" s="3"/>
      <c r="J1963" s="42"/>
      <c r="K1963" s="3"/>
      <c r="M1963" s="20">
        <v>42152</v>
      </c>
      <c r="N1963" s="183">
        <v>22509</v>
      </c>
      <c r="O1963" s="14" t="s">
        <v>256</v>
      </c>
      <c r="P1963" s="105">
        <v>5908</v>
      </c>
      <c r="Q1963" s="23">
        <v>42152</v>
      </c>
      <c r="R1963" s="106">
        <v>5908</v>
      </c>
      <c r="S1963" s="31">
        <f t="shared" si="61"/>
        <v>0</v>
      </c>
      <c r="T1963" s="39" t="s">
        <v>773</v>
      </c>
    </row>
    <row r="1964" spans="1:20" x14ac:dyDescent="0.25">
      <c r="A1964" s="20">
        <v>42143</v>
      </c>
      <c r="B1964" s="183">
        <v>21538</v>
      </c>
      <c r="C1964" s="14" t="s">
        <v>285</v>
      </c>
      <c r="D1964" s="105">
        <v>993.55</v>
      </c>
      <c r="E1964" s="23">
        <v>42144</v>
      </c>
      <c r="F1964" s="118">
        <v>993.55</v>
      </c>
      <c r="G1964" s="31">
        <f t="shared" si="60"/>
        <v>0</v>
      </c>
      <c r="H1964" s="56" t="s">
        <v>15</v>
      </c>
      <c r="I1964" s="3"/>
      <c r="J1964" s="42"/>
      <c r="K1964" s="3"/>
      <c r="M1964" s="20">
        <v>42153</v>
      </c>
      <c r="N1964" s="183">
        <v>22646</v>
      </c>
      <c r="O1964" s="14" t="s">
        <v>256</v>
      </c>
      <c r="P1964" s="105">
        <v>9604.44</v>
      </c>
      <c r="Q1964" s="23">
        <v>42154</v>
      </c>
      <c r="R1964" s="106">
        <v>9604.44</v>
      </c>
      <c r="S1964" s="31">
        <f t="shared" si="61"/>
        <v>0</v>
      </c>
      <c r="T1964" s="39" t="s">
        <v>773</v>
      </c>
    </row>
    <row r="1965" spans="1:20" x14ac:dyDescent="0.25">
      <c r="A1965" s="20">
        <v>42143</v>
      </c>
      <c r="B1965" s="183">
        <v>21539</v>
      </c>
      <c r="C1965" s="14" t="s">
        <v>14</v>
      </c>
      <c r="D1965" s="105">
        <v>21928.799999999999</v>
      </c>
      <c r="E1965" s="23">
        <v>42153</v>
      </c>
      <c r="F1965" s="118">
        <v>21928.799999999999</v>
      </c>
      <c r="G1965" s="31">
        <f t="shared" si="60"/>
        <v>0</v>
      </c>
      <c r="H1965" s="56" t="s">
        <v>15</v>
      </c>
      <c r="I1965" s="3"/>
      <c r="J1965" s="42"/>
      <c r="K1965" s="3"/>
      <c r="M1965" s="20">
        <v>42154</v>
      </c>
      <c r="N1965" s="183">
        <v>22771</v>
      </c>
      <c r="O1965" s="14" t="s">
        <v>256</v>
      </c>
      <c r="P1965" s="105">
        <v>8870.2000000000007</v>
      </c>
      <c r="Q1965" s="23">
        <v>42155</v>
      </c>
      <c r="R1965" s="106">
        <v>8870.2000000000007</v>
      </c>
      <c r="S1965" s="31">
        <f t="shared" si="61"/>
        <v>0</v>
      </c>
      <c r="T1965" s="39" t="s">
        <v>773</v>
      </c>
    </row>
    <row r="1966" spans="1:20" x14ac:dyDescent="0.25">
      <c r="A1966" s="20">
        <v>42143</v>
      </c>
      <c r="B1966" s="183">
        <v>21540</v>
      </c>
      <c r="C1966" s="14" t="s">
        <v>383</v>
      </c>
      <c r="D1966" s="105">
        <v>6899.4</v>
      </c>
      <c r="E1966" s="23">
        <v>42143</v>
      </c>
      <c r="F1966" s="118">
        <v>6899.4</v>
      </c>
      <c r="G1966" s="31">
        <f t="shared" si="60"/>
        <v>0</v>
      </c>
      <c r="H1966" s="56" t="s">
        <v>9</v>
      </c>
      <c r="I1966" s="3"/>
      <c r="J1966" s="42"/>
      <c r="K1966" s="3"/>
      <c r="M1966" s="20">
        <v>42155</v>
      </c>
      <c r="N1966" s="183">
        <v>22805</v>
      </c>
      <c r="O1966" s="14" t="s">
        <v>256</v>
      </c>
      <c r="P1966" s="105">
        <v>7386.2</v>
      </c>
      <c r="Q1966" s="23">
        <v>42155</v>
      </c>
      <c r="R1966" s="106">
        <v>7386.2</v>
      </c>
      <c r="S1966" s="31">
        <f t="shared" si="61"/>
        <v>0</v>
      </c>
      <c r="T1966" s="39" t="s">
        <v>773</v>
      </c>
    </row>
    <row r="1967" spans="1:20" x14ac:dyDescent="0.25">
      <c r="A1967" s="20">
        <v>42143</v>
      </c>
      <c r="B1967" s="183">
        <v>21541</v>
      </c>
      <c r="C1967" s="14" t="s">
        <v>213</v>
      </c>
      <c r="D1967" s="105">
        <v>3770</v>
      </c>
      <c r="E1967" s="23">
        <v>42144</v>
      </c>
      <c r="F1967" s="118">
        <v>3770</v>
      </c>
      <c r="G1967" s="31">
        <f t="shared" si="60"/>
        <v>0</v>
      </c>
      <c r="H1967" s="56" t="s">
        <v>15</v>
      </c>
      <c r="I1967" s="3"/>
      <c r="J1967" s="42"/>
      <c r="K1967" s="3"/>
      <c r="M1967" s="20">
        <v>42152</v>
      </c>
      <c r="N1967" s="183">
        <v>22518</v>
      </c>
      <c r="O1967" s="14" t="s">
        <v>1417</v>
      </c>
      <c r="P1967" s="105">
        <v>9424.7999999999993</v>
      </c>
      <c r="Q1967" s="23">
        <v>42152</v>
      </c>
      <c r="R1967" s="106">
        <v>9424.7999999999993</v>
      </c>
      <c r="S1967" s="31">
        <f t="shared" si="61"/>
        <v>0</v>
      </c>
      <c r="T1967" s="39" t="s">
        <v>9</v>
      </c>
    </row>
    <row r="1968" spans="1:20" x14ac:dyDescent="0.25">
      <c r="A1968" s="20">
        <v>42143</v>
      </c>
      <c r="B1968" s="183">
        <v>21542</v>
      </c>
      <c r="C1968" s="14" t="s">
        <v>675</v>
      </c>
      <c r="D1968" s="105">
        <v>75.599999999999994</v>
      </c>
      <c r="E1968" s="23">
        <v>42143</v>
      </c>
      <c r="F1968" s="118">
        <v>75.599999999999994</v>
      </c>
      <c r="G1968" s="31">
        <f t="shared" si="60"/>
        <v>0</v>
      </c>
      <c r="H1968" s="56" t="s">
        <v>9</v>
      </c>
      <c r="I1968" s="3"/>
      <c r="J1968" s="42"/>
      <c r="K1968" s="3"/>
      <c r="M1968" s="20">
        <v>42131</v>
      </c>
      <c r="N1968" s="183">
        <v>20275</v>
      </c>
      <c r="O1968" s="14" t="s">
        <v>406</v>
      </c>
      <c r="P1968" s="105">
        <v>12599</v>
      </c>
      <c r="Q1968" s="23">
        <v>42132</v>
      </c>
      <c r="R1968" s="106">
        <v>12599</v>
      </c>
      <c r="S1968" s="31">
        <f t="shared" si="61"/>
        <v>0</v>
      </c>
      <c r="T1968" s="19" t="s">
        <v>773</v>
      </c>
    </row>
    <row r="1969" spans="1:20" x14ac:dyDescent="0.25">
      <c r="A1969" s="20">
        <v>42143</v>
      </c>
      <c r="B1969" s="183">
        <v>21543</v>
      </c>
      <c r="C1969" s="14" t="s">
        <v>720</v>
      </c>
      <c r="D1969" s="105">
        <v>10080.4</v>
      </c>
      <c r="E1969" s="23">
        <v>42143</v>
      </c>
      <c r="F1969" s="118">
        <v>10080.4</v>
      </c>
      <c r="G1969" s="31">
        <f t="shared" si="60"/>
        <v>0</v>
      </c>
      <c r="H1969" s="56" t="s">
        <v>1418</v>
      </c>
      <c r="I1969" s="208" t="s">
        <v>1419</v>
      </c>
      <c r="J1969" s="42"/>
      <c r="K1969" s="3"/>
      <c r="M1969" s="20">
        <v>42132</v>
      </c>
      <c r="N1969" s="183">
        <v>20400</v>
      </c>
      <c r="O1969" s="14" t="s">
        <v>406</v>
      </c>
      <c r="P1969" s="105">
        <v>11700</v>
      </c>
      <c r="Q1969" s="23">
        <v>42133</v>
      </c>
      <c r="R1969" s="106">
        <v>11700</v>
      </c>
      <c r="S1969" s="31">
        <f t="shared" si="61"/>
        <v>0</v>
      </c>
      <c r="T1969" s="19" t="s">
        <v>773</v>
      </c>
    </row>
    <row r="1970" spans="1:20" x14ac:dyDescent="0.25">
      <c r="A1970" s="20">
        <v>42143</v>
      </c>
      <c r="B1970" s="183">
        <v>21544</v>
      </c>
      <c r="C1970" s="14" t="s">
        <v>114</v>
      </c>
      <c r="D1970" s="105">
        <v>6127.65</v>
      </c>
      <c r="E1970" s="23">
        <v>42143</v>
      </c>
      <c r="F1970" s="118">
        <v>6127.65</v>
      </c>
      <c r="G1970" s="31">
        <f t="shared" si="60"/>
        <v>0</v>
      </c>
      <c r="H1970" s="56" t="s">
        <v>9</v>
      </c>
      <c r="I1970" s="3"/>
      <c r="J1970" s="42"/>
      <c r="K1970" s="3"/>
      <c r="M1970" s="20">
        <v>42145</v>
      </c>
      <c r="N1970" s="183">
        <v>21813</v>
      </c>
      <c r="O1970" s="15" t="s">
        <v>406</v>
      </c>
      <c r="P1970" s="122">
        <v>17685.23</v>
      </c>
      <c r="Q1970" s="23">
        <v>42147</v>
      </c>
      <c r="R1970" s="118">
        <v>17685.23</v>
      </c>
      <c r="S1970" s="31">
        <f t="shared" si="61"/>
        <v>0</v>
      </c>
      <c r="T1970" s="68" t="s">
        <v>1257</v>
      </c>
    </row>
    <row r="1971" spans="1:20" x14ac:dyDescent="0.25">
      <c r="A1971" s="20">
        <v>42143</v>
      </c>
      <c r="B1971" s="183">
        <v>21545</v>
      </c>
      <c r="C1971" s="14" t="s">
        <v>1297</v>
      </c>
      <c r="D1971" s="105">
        <v>5718</v>
      </c>
      <c r="E1971" s="23">
        <v>42143</v>
      </c>
      <c r="F1971" s="118">
        <v>5718</v>
      </c>
      <c r="G1971" s="31">
        <f t="shared" si="60"/>
        <v>0</v>
      </c>
      <c r="H1971" s="56" t="s">
        <v>9</v>
      </c>
      <c r="I1971" s="3"/>
      <c r="J1971" s="42"/>
      <c r="K1971" s="3"/>
      <c r="M1971" s="20">
        <v>42154</v>
      </c>
      <c r="N1971" s="183">
        <v>22776</v>
      </c>
      <c r="O1971" s="14" t="s">
        <v>406</v>
      </c>
      <c r="P1971" s="105">
        <v>13753.8</v>
      </c>
      <c r="Q1971" s="23">
        <v>42155</v>
      </c>
      <c r="R1971" s="106">
        <v>13753.8</v>
      </c>
      <c r="S1971" s="31">
        <f t="shared" si="61"/>
        <v>0</v>
      </c>
      <c r="T1971" s="39" t="s">
        <v>773</v>
      </c>
    </row>
    <row r="1972" spans="1:20" x14ac:dyDescent="0.25">
      <c r="A1972" s="20">
        <v>42143</v>
      </c>
      <c r="B1972" s="183">
        <v>21546</v>
      </c>
      <c r="C1972" s="14" t="s">
        <v>37</v>
      </c>
      <c r="D1972" s="105">
        <v>26687.16</v>
      </c>
      <c r="E1972" s="23">
        <v>42145</v>
      </c>
      <c r="F1972" s="118">
        <v>26687.16</v>
      </c>
      <c r="G1972" s="31">
        <f t="shared" si="60"/>
        <v>0</v>
      </c>
      <c r="H1972" s="56" t="s">
        <v>94</v>
      </c>
      <c r="I1972" s="3"/>
      <c r="J1972" s="42"/>
      <c r="K1972" s="3"/>
      <c r="M1972" s="20">
        <v>42140</v>
      </c>
      <c r="N1972" s="183">
        <v>21237</v>
      </c>
      <c r="O1972" s="14" t="s">
        <v>126</v>
      </c>
      <c r="P1972" s="105">
        <v>1698</v>
      </c>
      <c r="Q1972" s="23">
        <v>42140</v>
      </c>
      <c r="R1972" s="106">
        <v>1698</v>
      </c>
      <c r="S1972" s="48">
        <f t="shared" si="61"/>
        <v>0</v>
      </c>
      <c r="T1972" s="39" t="s">
        <v>59</v>
      </c>
    </row>
    <row r="1973" spans="1:20" x14ac:dyDescent="0.25">
      <c r="A1973" s="20">
        <v>42143</v>
      </c>
      <c r="B1973" s="183">
        <v>21547</v>
      </c>
      <c r="C1973" s="14" t="s">
        <v>1279</v>
      </c>
      <c r="D1973" s="105">
        <v>118880.7</v>
      </c>
      <c r="E1973" s="30">
        <v>42156</v>
      </c>
      <c r="F1973" s="145">
        <v>118880.7</v>
      </c>
      <c r="G1973" s="31">
        <f t="shared" si="60"/>
        <v>0</v>
      </c>
      <c r="H1973" s="56" t="s">
        <v>9</v>
      </c>
      <c r="I1973" s="3"/>
      <c r="J1973" s="42"/>
      <c r="K1973" s="3"/>
      <c r="M1973" s="20">
        <v>42141</v>
      </c>
      <c r="N1973" s="183">
        <v>21335</v>
      </c>
      <c r="O1973" s="14" t="s">
        <v>126</v>
      </c>
      <c r="P1973" s="105">
        <v>3095.8</v>
      </c>
      <c r="Q1973" s="23">
        <v>42142</v>
      </c>
      <c r="R1973" s="118">
        <v>3095.8</v>
      </c>
      <c r="S1973" s="31">
        <f t="shared" si="61"/>
        <v>0</v>
      </c>
      <c r="T1973" s="62" t="s">
        <v>59</v>
      </c>
    </row>
    <row r="1974" spans="1:20" x14ac:dyDescent="0.25">
      <c r="A1974" s="20">
        <v>42143</v>
      </c>
      <c r="B1974" s="183">
        <v>21548</v>
      </c>
      <c r="C1974" s="14" t="s">
        <v>32</v>
      </c>
      <c r="D1974" s="105">
        <v>88755</v>
      </c>
      <c r="E1974" s="30">
        <v>42171</v>
      </c>
      <c r="F1974" s="145">
        <v>88755</v>
      </c>
      <c r="G1974" s="31">
        <f t="shared" si="60"/>
        <v>0</v>
      </c>
      <c r="H1974" s="56" t="s">
        <v>9</v>
      </c>
      <c r="I1974" s="3"/>
      <c r="J1974" s="42"/>
      <c r="K1974" s="3"/>
      <c r="M1974" s="20">
        <v>42142</v>
      </c>
      <c r="N1974" s="183">
        <v>21429</v>
      </c>
      <c r="O1974" s="14" t="s">
        <v>126</v>
      </c>
      <c r="P1974" s="105">
        <v>2563.1999999999998</v>
      </c>
      <c r="Q1974" s="23">
        <v>42142</v>
      </c>
      <c r="R1974" s="118">
        <v>2563.1999999999998</v>
      </c>
      <c r="S1974" s="31">
        <f t="shared" si="61"/>
        <v>0</v>
      </c>
      <c r="T1974" s="56" t="s">
        <v>59</v>
      </c>
    </row>
    <row r="1975" spans="1:20" x14ac:dyDescent="0.25">
      <c r="A1975" s="20">
        <v>42143</v>
      </c>
      <c r="B1975" s="183">
        <v>21549</v>
      </c>
      <c r="C1975" s="14" t="s">
        <v>854</v>
      </c>
      <c r="D1975" s="105">
        <v>2681.8</v>
      </c>
      <c r="E1975" s="23">
        <v>42144</v>
      </c>
      <c r="F1975" s="118">
        <v>2681.8</v>
      </c>
      <c r="G1975" s="31">
        <f t="shared" si="60"/>
        <v>0</v>
      </c>
      <c r="H1975" s="56" t="s">
        <v>9</v>
      </c>
      <c r="I1975" s="3"/>
      <c r="J1975" s="42"/>
      <c r="K1975" s="3"/>
      <c r="M1975" s="20">
        <v>42147</v>
      </c>
      <c r="N1975" s="183">
        <v>21998</v>
      </c>
      <c r="O1975" s="14" t="s">
        <v>126</v>
      </c>
      <c r="P1975" s="105">
        <v>2534.6</v>
      </c>
      <c r="Q1975" s="65">
        <v>42148</v>
      </c>
      <c r="R1975" s="106">
        <v>2534.6</v>
      </c>
      <c r="S1975" s="31">
        <f t="shared" si="61"/>
        <v>0</v>
      </c>
      <c r="T1975" s="39" t="s">
        <v>59</v>
      </c>
    </row>
    <row r="1976" spans="1:20" x14ac:dyDescent="0.25">
      <c r="A1976" s="20">
        <v>42143</v>
      </c>
      <c r="B1976" s="183">
        <v>21550</v>
      </c>
      <c r="C1976" s="14" t="s">
        <v>63</v>
      </c>
      <c r="D1976" s="105">
        <v>2230.1999999999998</v>
      </c>
      <c r="E1976" s="23">
        <v>42143</v>
      </c>
      <c r="F1976" s="118">
        <v>2230.1999999999998</v>
      </c>
      <c r="G1976" s="31">
        <f t="shared" si="60"/>
        <v>0</v>
      </c>
      <c r="H1976" s="56" t="s">
        <v>94</v>
      </c>
      <c r="I1976" s="3"/>
      <c r="J1976" s="42"/>
      <c r="K1976" s="3"/>
      <c r="M1976" s="20">
        <v>42149</v>
      </c>
      <c r="N1976" s="183">
        <v>22150</v>
      </c>
      <c r="O1976" s="14" t="s">
        <v>126</v>
      </c>
      <c r="P1976" s="105">
        <v>3559.7</v>
      </c>
      <c r="Q1976" s="65">
        <v>42149</v>
      </c>
      <c r="R1976" s="106">
        <v>3559.7</v>
      </c>
      <c r="S1976" s="31">
        <f t="shared" si="61"/>
        <v>0</v>
      </c>
      <c r="T1976" s="39" t="s">
        <v>59</v>
      </c>
    </row>
    <row r="1977" spans="1:20" x14ac:dyDescent="0.25">
      <c r="A1977" s="20">
        <v>42143</v>
      </c>
      <c r="B1977" s="183">
        <v>21551</v>
      </c>
      <c r="C1977" s="14" t="s">
        <v>169</v>
      </c>
      <c r="D1977" s="105">
        <v>2397.6</v>
      </c>
      <c r="E1977" s="23">
        <v>42143</v>
      </c>
      <c r="F1977" s="118">
        <v>2397.6</v>
      </c>
      <c r="G1977" s="31">
        <f t="shared" si="60"/>
        <v>0</v>
      </c>
      <c r="H1977" s="56" t="s">
        <v>59</v>
      </c>
      <c r="I1977" s="3"/>
      <c r="J1977" s="42"/>
      <c r="K1977" s="3"/>
      <c r="M1977" s="20">
        <v>42125</v>
      </c>
      <c r="N1977" s="183">
        <v>19601</v>
      </c>
      <c r="O1977" s="14" t="s">
        <v>285</v>
      </c>
      <c r="P1977" s="105">
        <v>786.6</v>
      </c>
      <c r="Q1977" s="23">
        <v>42128</v>
      </c>
      <c r="R1977" s="106">
        <v>786.6</v>
      </c>
      <c r="S1977" s="25">
        <f t="shared" si="61"/>
        <v>0</v>
      </c>
      <c r="T1977" s="19" t="s">
        <v>9</v>
      </c>
    </row>
    <row r="1978" spans="1:20" x14ac:dyDescent="0.25">
      <c r="A1978" s="20">
        <v>42143</v>
      </c>
      <c r="B1978" s="183">
        <v>21552</v>
      </c>
      <c r="C1978" s="14" t="s">
        <v>57</v>
      </c>
      <c r="D1978" s="105">
        <v>1330</v>
      </c>
      <c r="E1978" s="23">
        <v>42143</v>
      </c>
      <c r="F1978" s="118">
        <v>1330</v>
      </c>
      <c r="G1978" s="31">
        <f t="shared" si="60"/>
        <v>0</v>
      </c>
      <c r="H1978" s="56" t="s">
        <v>59</v>
      </c>
      <c r="I1978" s="3"/>
      <c r="J1978" s="42"/>
      <c r="K1978" s="3"/>
      <c r="M1978" s="20">
        <v>42126</v>
      </c>
      <c r="N1978" s="183">
        <v>19735</v>
      </c>
      <c r="O1978" s="40" t="s">
        <v>285</v>
      </c>
      <c r="P1978" s="105">
        <v>312.39999999999998</v>
      </c>
      <c r="Q1978" s="23">
        <v>42126</v>
      </c>
      <c r="R1978" s="106">
        <v>312.39999999999998</v>
      </c>
      <c r="S1978" s="25">
        <f t="shared" si="61"/>
        <v>0</v>
      </c>
      <c r="T1978" s="41" t="s">
        <v>15</v>
      </c>
    </row>
    <row r="1979" spans="1:20" x14ac:dyDescent="0.25">
      <c r="A1979" s="20">
        <v>42143</v>
      </c>
      <c r="B1979" s="183">
        <v>21553</v>
      </c>
      <c r="C1979" s="14" t="s">
        <v>137</v>
      </c>
      <c r="D1979" s="105">
        <v>2934</v>
      </c>
      <c r="E1979" s="23">
        <v>42143</v>
      </c>
      <c r="F1979" s="118">
        <v>2934</v>
      </c>
      <c r="G1979" s="31">
        <f t="shared" si="60"/>
        <v>0</v>
      </c>
      <c r="H1979" s="56" t="s">
        <v>9</v>
      </c>
      <c r="I1979" s="3"/>
      <c r="J1979" s="42"/>
      <c r="K1979" s="3"/>
      <c r="M1979" s="20">
        <v>42126</v>
      </c>
      <c r="N1979" s="183">
        <v>19791</v>
      </c>
      <c r="O1979" s="40" t="s">
        <v>285</v>
      </c>
      <c r="P1979" s="105">
        <v>701.6</v>
      </c>
      <c r="Q1979" s="23">
        <v>42128</v>
      </c>
      <c r="R1979" s="106">
        <v>701.6</v>
      </c>
      <c r="S1979" s="31">
        <f t="shared" si="61"/>
        <v>0</v>
      </c>
      <c r="T1979" s="41" t="s">
        <v>19</v>
      </c>
    </row>
    <row r="1980" spans="1:20" x14ac:dyDescent="0.25">
      <c r="A1980" s="20">
        <v>42143</v>
      </c>
      <c r="B1980" s="183">
        <v>21554</v>
      </c>
      <c r="C1980" s="14" t="s">
        <v>151</v>
      </c>
      <c r="D1980" s="105">
        <v>2197.8000000000002</v>
      </c>
      <c r="E1980" s="23">
        <v>42144</v>
      </c>
      <c r="F1980" s="118">
        <v>2197.8000000000002</v>
      </c>
      <c r="G1980" s="31">
        <f t="shared" si="60"/>
        <v>0</v>
      </c>
      <c r="H1980" s="56" t="s">
        <v>9</v>
      </c>
      <c r="I1980" s="3"/>
      <c r="J1980" s="42"/>
      <c r="K1980" s="3"/>
      <c r="M1980" s="20">
        <v>42131</v>
      </c>
      <c r="N1980" s="183">
        <v>20240</v>
      </c>
      <c r="O1980" s="14" t="s">
        <v>285</v>
      </c>
      <c r="P1980" s="105">
        <v>738.15</v>
      </c>
      <c r="Q1980" s="23">
        <v>42131</v>
      </c>
      <c r="R1980" s="106">
        <v>738.15</v>
      </c>
      <c r="S1980" s="31">
        <f t="shared" si="61"/>
        <v>0</v>
      </c>
      <c r="T1980" s="19" t="s">
        <v>9</v>
      </c>
    </row>
    <row r="1981" spans="1:20" x14ac:dyDescent="0.25">
      <c r="A1981" s="20">
        <v>42143</v>
      </c>
      <c r="B1981" s="183">
        <v>21555</v>
      </c>
      <c r="C1981" s="14" t="s">
        <v>226</v>
      </c>
      <c r="D1981" s="105">
        <v>988.1</v>
      </c>
      <c r="E1981" s="23">
        <v>42143</v>
      </c>
      <c r="F1981" s="118">
        <v>988.1</v>
      </c>
      <c r="G1981" s="31">
        <f t="shared" si="60"/>
        <v>0</v>
      </c>
      <c r="H1981" s="56" t="s">
        <v>41</v>
      </c>
      <c r="I1981" s="3"/>
      <c r="J1981" s="42"/>
      <c r="K1981" s="3"/>
      <c r="M1981" s="20">
        <v>42132</v>
      </c>
      <c r="N1981" s="183">
        <v>20369</v>
      </c>
      <c r="O1981" s="14" t="s">
        <v>285</v>
      </c>
      <c r="P1981" s="105">
        <v>666.9</v>
      </c>
      <c r="Q1981" s="23">
        <v>42134</v>
      </c>
      <c r="R1981" s="106">
        <v>666.9</v>
      </c>
      <c r="S1981" s="31">
        <f t="shared" si="61"/>
        <v>0</v>
      </c>
      <c r="T1981" s="19" t="s">
        <v>312</v>
      </c>
    </row>
    <row r="1982" spans="1:20" x14ac:dyDescent="0.25">
      <c r="A1982" s="20">
        <v>42143</v>
      </c>
      <c r="B1982" s="183">
        <v>21556</v>
      </c>
      <c r="C1982" s="14" t="s">
        <v>111</v>
      </c>
      <c r="D1982" s="105">
        <v>32092.400000000001</v>
      </c>
      <c r="E1982" s="23">
        <v>42144</v>
      </c>
      <c r="F1982" s="118">
        <v>32092.400000000001</v>
      </c>
      <c r="G1982" s="31">
        <f t="shared" si="60"/>
        <v>0</v>
      </c>
      <c r="H1982" s="56" t="s">
        <v>187</v>
      </c>
      <c r="I1982" s="3"/>
      <c r="J1982" s="42"/>
      <c r="K1982" s="3"/>
      <c r="M1982" s="20">
        <v>42133</v>
      </c>
      <c r="N1982" s="183">
        <v>20559</v>
      </c>
      <c r="O1982" s="14" t="s">
        <v>285</v>
      </c>
      <c r="P1982" s="105">
        <v>506</v>
      </c>
      <c r="Q1982" s="23">
        <v>42133</v>
      </c>
      <c r="R1982" s="106">
        <v>506</v>
      </c>
      <c r="S1982" s="31">
        <f t="shared" si="61"/>
        <v>0</v>
      </c>
      <c r="T1982" s="19" t="s">
        <v>41</v>
      </c>
    </row>
    <row r="1983" spans="1:20" x14ac:dyDescent="0.25">
      <c r="A1983" s="20">
        <v>42143</v>
      </c>
      <c r="B1983" s="183">
        <v>21557</v>
      </c>
      <c r="C1983" s="14" t="s">
        <v>125</v>
      </c>
      <c r="D1983" s="105">
        <v>17045.099999999999</v>
      </c>
      <c r="E1983" s="23">
        <v>42154</v>
      </c>
      <c r="F1983" s="118">
        <v>17045.099999999999</v>
      </c>
      <c r="G1983" s="31">
        <f t="shared" si="60"/>
        <v>0</v>
      </c>
      <c r="H1983" s="56" t="s">
        <v>187</v>
      </c>
      <c r="I1983" s="3"/>
      <c r="J1983" s="42"/>
      <c r="K1983" s="3"/>
      <c r="M1983" s="20">
        <v>42137</v>
      </c>
      <c r="N1983" s="183">
        <v>20878</v>
      </c>
      <c r="O1983" s="14" t="s">
        <v>285</v>
      </c>
      <c r="P1983" s="105">
        <v>800.2</v>
      </c>
      <c r="Q1983" s="23">
        <v>42137</v>
      </c>
      <c r="R1983" s="106">
        <v>800.2</v>
      </c>
      <c r="S1983" s="31">
        <f t="shared" si="61"/>
        <v>0</v>
      </c>
      <c r="T1983" s="39" t="s">
        <v>312</v>
      </c>
    </row>
    <row r="1984" spans="1:20" x14ac:dyDescent="0.25">
      <c r="A1984" s="20">
        <v>42143</v>
      </c>
      <c r="B1984" s="183">
        <v>21558</v>
      </c>
      <c r="C1984" s="14" t="s">
        <v>49</v>
      </c>
      <c r="D1984" s="105">
        <v>1402.2</v>
      </c>
      <c r="E1984" s="23">
        <v>42143</v>
      </c>
      <c r="F1984" s="118">
        <v>1402.2</v>
      </c>
      <c r="G1984" s="31">
        <f t="shared" si="60"/>
        <v>0</v>
      </c>
      <c r="H1984" s="56" t="s">
        <v>41</v>
      </c>
      <c r="I1984" s="3"/>
      <c r="J1984" s="42"/>
      <c r="K1984" s="3"/>
      <c r="M1984" s="20">
        <v>42142</v>
      </c>
      <c r="N1984" s="183">
        <v>21440</v>
      </c>
      <c r="O1984" s="14" t="s">
        <v>285</v>
      </c>
      <c r="P1984" s="105">
        <v>1121.0999999999999</v>
      </c>
      <c r="Q1984" s="65">
        <v>42142</v>
      </c>
      <c r="R1984" s="106">
        <v>1121.0999999999999</v>
      </c>
      <c r="S1984" s="31">
        <f t="shared" si="61"/>
        <v>0</v>
      </c>
      <c r="T1984" s="39" t="s">
        <v>94</v>
      </c>
    </row>
    <row r="1985" spans="1:20" x14ac:dyDescent="0.25">
      <c r="A1985" s="20">
        <v>42143</v>
      </c>
      <c r="B1985" s="183">
        <v>21559</v>
      </c>
      <c r="C1985" s="14" t="s">
        <v>83</v>
      </c>
      <c r="D1985" s="105">
        <v>3549</v>
      </c>
      <c r="E1985" s="23">
        <v>42143</v>
      </c>
      <c r="F1985" s="118">
        <v>3549</v>
      </c>
      <c r="G1985" s="31">
        <f t="shared" si="60"/>
        <v>0</v>
      </c>
      <c r="H1985" s="56" t="s">
        <v>59</v>
      </c>
      <c r="I1985" s="3"/>
      <c r="J1985" s="42"/>
      <c r="K1985" s="3"/>
      <c r="M1985" s="20">
        <v>42143</v>
      </c>
      <c r="N1985" s="183">
        <v>21538</v>
      </c>
      <c r="O1985" s="14" t="s">
        <v>285</v>
      </c>
      <c r="P1985" s="105">
        <v>993.55</v>
      </c>
      <c r="Q1985" s="23">
        <v>42144</v>
      </c>
      <c r="R1985" s="118">
        <v>993.55</v>
      </c>
      <c r="S1985" s="31">
        <f t="shared" si="61"/>
        <v>0</v>
      </c>
      <c r="T1985" s="56" t="s">
        <v>15</v>
      </c>
    </row>
    <row r="1986" spans="1:20" x14ac:dyDescent="0.25">
      <c r="A1986" s="20">
        <v>42143</v>
      </c>
      <c r="B1986" s="183">
        <v>21560</v>
      </c>
      <c r="C1986" s="14" t="s">
        <v>83</v>
      </c>
      <c r="D1986" s="105">
        <v>1305.5999999999999</v>
      </c>
      <c r="E1986" s="23">
        <v>42143</v>
      </c>
      <c r="F1986" s="118">
        <v>1305.5999999999999</v>
      </c>
      <c r="G1986" s="31">
        <f t="shared" si="60"/>
        <v>0</v>
      </c>
      <c r="H1986" s="56" t="s">
        <v>59</v>
      </c>
      <c r="I1986" s="3"/>
      <c r="J1986" s="42"/>
      <c r="K1986" s="3"/>
      <c r="M1986" s="20">
        <v>42145</v>
      </c>
      <c r="N1986" s="183">
        <v>21737</v>
      </c>
      <c r="O1986" s="15" t="s">
        <v>285</v>
      </c>
      <c r="P1986" s="122">
        <v>1169.4000000000001</v>
      </c>
      <c r="Q1986" s="23">
        <v>42146</v>
      </c>
      <c r="R1986" s="106">
        <v>1169.4000000000001</v>
      </c>
      <c r="S1986" s="31">
        <f t="shared" si="61"/>
        <v>0</v>
      </c>
      <c r="T1986" s="68" t="s">
        <v>312</v>
      </c>
    </row>
    <row r="1987" spans="1:20" x14ac:dyDescent="0.25">
      <c r="A1987" s="20">
        <v>42143</v>
      </c>
      <c r="B1987" s="183">
        <v>21561</v>
      </c>
      <c r="C1987" s="14" t="s">
        <v>53</v>
      </c>
      <c r="D1987" s="105">
        <v>680.4</v>
      </c>
      <c r="E1987" s="23">
        <v>42143</v>
      </c>
      <c r="F1987" s="118">
        <v>680.4</v>
      </c>
      <c r="G1987" s="31">
        <f t="shared" ref="G1987:G2050" si="62">D1987-F1987</f>
        <v>0</v>
      </c>
      <c r="H1987" s="56" t="s">
        <v>59</v>
      </c>
      <c r="I1987" s="3"/>
      <c r="J1987" s="42"/>
      <c r="K1987" s="3"/>
      <c r="M1987" s="20">
        <v>42146</v>
      </c>
      <c r="N1987" s="183">
        <v>21907</v>
      </c>
      <c r="O1987" s="14" t="s">
        <v>285</v>
      </c>
      <c r="P1987" s="105">
        <v>708</v>
      </c>
      <c r="Q1987" s="23">
        <v>42146</v>
      </c>
      <c r="R1987" s="106">
        <v>708</v>
      </c>
      <c r="S1987" s="31">
        <f t="shared" ref="S1987:S2050" si="63">P1987-R1987</f>
        <v>0</v>
      </c>
      <c r="T1987" s="39" t="s">
        <v>1013</v>
      </c>
    </row>
    <row r="1988" spans="1:20" x14ac:dyDescent="0.25">
      <c r="A1988" s="20">
        <v>42143</v>
      </c>
      <c r="B1988" s="183">
        <v>21562</v>
      </c>
      <c r="C1988" s="14" t="s">
        <v>116</v>
      </c>
      <c r="D1988" s="105">
        <v>2860.8</v>
      </c>
      <c r="E1988" s="23">
        <v>42143</v>
      </c>
      <c r="F1988" s="118">
        <v>2860.8</v>
      </c>
      <c r="G1988" s="31">
        <f t="shared" si="62"/>
        <v>0</v>
      </c>
      <c r="H1988" s="56" t="s">
        <v>59</v>
      </c>
      <c r="I1988" s="3"/>
      <c r="J1988" s="42"/>
      <c r="K1988" s="3"/>
      <c r="M1988" s="20">
        <v>42149</v>
      </c>
      <c r="N1988" s="183">
        <v>22180</v>
      </c>
      <c r="O1988" s="14" t="s">
        <v>285</v>
      </c>
      <c r="P1988" s="105">
        <v>1309.5999999999999</v>
      </c>
      <c r="Q1988" s="65">
        <v>42150</v>
      </c>
      <c r="R1988" s="106">
        <v>1309.5999999999999</v>
      </c>
      <c r="S1988" s="31">
        <f t="shared" si="63"/>
        <v>0</v>
      </c>
      <c r="T1988" s="39" t="s">
        <v>15</v>
      </c>
    </row>
    <row r="1989" spans="1:20" x14ac:dyDescent="0.25">
      <c r="A1989" s="20">
        <v>42143</v>
      </c>
      <c r="B1989" s="183">
        <v>21563</v>
      </c>
      <c r="C1989" s="14" t="s">
        <v>1187</v>
      </c>
      <c r="D1989" s="105">
        <v>613.6</v>
      </c>
      <c r="E1989" s="23">
        <v>42143</v>
      </c>
      <c r="F1989" s="118">
        <v>613.6</v>
      </c>
      <c r="G1989" s="31">
        <f t="shared" si="62"/>
        <v>0</v>
      </c>
      <c r="H1989" s="56" t="s">
        <v>59</v>
      </c>
      <c r="I1989" s="3"/>
      <c r="J1989" s="42"/>
      <c r="K1989" s="3"/>
      <c r="M1989" s="20">
        <v>42150</v>
      </c>
      <c r="N1989" s="183">
        <v>22318</v>
      </c>
      <c r="O1989" s="14" t="s">
        <v>285</v>
      </c>
      <c r="P1989" s="105">
        <v>1683.6</v>
      </c>
      <c r="Q1989" s="65">
        <v>42151</v>
      </c>
      <c r="R1989" s="106">
        <v>1683.6</v>
      </c>
      <c r="S1989" s="31">
        <f t="shared" si="63"/>
        <v>0</v>
      </c>
      <c r="T1989" s="39" t="s">
        <v>1273</v>
      </c>
    </row>
    <row r="1990" spans="1:20" x14ac:dyDescent="0.25">
      <c r="A1990" s="20">
        <v>42143</v>
      </c>
      <c r="B1990" s="183">
        <v>21564</v>
      </c>
      <c r="C1990" s="14" t="s">
        <v>115</v>
      </c>
      <c r="D1990" s="105">
        <v>736.85</v>
      </c>
      <c r="E1990" s="23">
        <v>42143</v>
      </c>
      <c r="F1990" s="118">
        <v>736.85</v>
      </c>
      <c r="G1990" s="31">
        <f t="shared" si="62"/>
        <v>0</v>
      </c>
      <c r="H1990" s="56" t="s">
        <v>9</v>
      </c>
      <c r="I1990" s="3"/>
      <c r="J1990" s="42"/>
      <c r="K1990" s="3"/>
      <c r="M1990" s="20">
        <v>42151</v>
      </c>
      <c r="N1990" s="183">
        <v>22380</v>
      </c>
      <c r="O1990" s="14" t="s">
        <v>285</v>
      </c>
      <c r="P1990" s="105">
        <v>810.35</v>
      </c>
      <c r="Q1990" s="23">
        <v>42151</v>
      </c>
      <c r="R1990" s="106">
        <v>810.35</v>
      </c>
      <c r="S1990" s="31">
        <f t="shared" si="63"/>
        <v>0</v>
      </c>
      <c r="T1990" s="39" t="s">
        <v>187</v>
      </c>
    </row>
    <row r="1991" spans="1:20" x14ac:dyDescent="0.25">
      <c r="A1991" s="20">
        <v>42143</v>
      </c>
      <c r="B1991" s="183">
        <v>21565</v>
      </c>
      <c r="C1991" s="14" t="s">
        <v>102</v>
      </c>
      <c r="D1991" s="105">
        <v>2197.8000000000002</v>
      </c>
      <c r="E1991" s="23">
        <v>42143</v>
      </c>
      <c r="F1991" s="118">
        <v>2197.8000000000002</v>
      </c>
      <c r="G1991" s="31">
        <f t="shared" si="62"/>
        <v>0</v>
      </c>
      <c r="H1991" s="56" t="s">
        <v>9</v>
      </c>
      <c r="I1991" s="3"/>
      <c r="J1991" s="42"/>
      <c r="K1991" s="3"/>
      <c r="M1991" s="20">
        <v>42126</v>
      </c>
      <c r="N1991" s="183">
        <v>19799</v>
      </c>
      <c r="O1991" s="40" t="s">
        <v>1290</v>
      </c>
      <c r="P1991" s="105">
        <v>3774</v>
      </c>
      <c r="Q1991" s="23">
        <v>42127</v>
      </c>
      <c r="R1991" s="106">
        <v>3774</v>
      </c>
      <c r="S1991" s="31">
        <f t="shared" si="63"/>
        <v>0</v>
      </c>
      <c r="T1991" s="41" t="s">
        <v>9</v>
      </c>
    </row>
    <row r="1992" spans="1:20" x14ac:dyDescent="0.25">
      <c r="A1992" s="20">
        <v>42143</v>
      </c>
      <c r="B1992" s="183">
        <v>21566</v>
      </c>
      <c r="C1992" s="14" t="s">
        <v>915</v>
      </c>
      <c r="D1992" s="105">
        <v>4224</v>
      </c>
      <c r="E1992" s="23">
        <v>42143</v>
      </c>
      <c r="F1992" s="118">
        <v>4224</v>
      </c>
      <c r="G1992" s="31">
        <f t="shared" si="62"/>
        <v>0</v>
      </c>
      <c r="H1992" s="56" t="s">
        <v>59</v>
      </c>
      <c r="I1992" s="3"/>
      <c r="J1992" s="42"/>
      <c r="K1992" s="3"/>
      <c r="M1992" s="20">
        <v>42129</v>
      </c>
      <c r="N1992" s="183">
        <v>20032</v>
      </c>
      <c r="O1992" s="14" t="s">
        <v>1290</v>
      </c>
      <c r="P1992" s="105">
        <v>868.8</v>
      </c>
      <c r="Q1992" s="23">
        <v>42129</v>
      </c>
      <c r="R1992" s="106">
        <v>868.8</v>
      </c>
      <c r="S1992" s="31">
        <f t="shared" si="63"/>
        <v>0</v>
      </c>
      <c r="T1992" s="39" t="s">
        <v>9</v>
      </c>
    </row>
    <row r="1993" spans="1:20" x14ac:dyDescent="0.25">
      <c r="A1993" s="20">
        <v>42143</v>
      </c>
      <c r="B1993" s="183">
        <v>21567</v>
      </c>
      <c r="C1993" s="110">
        <v>105</v>
      </c>
      <c r="D1993" s="105">
        <v>1710</v>
      </c>
      <c r="E1993" s="23">
        <v>42145</v>
      </c>
      <c r="F1993" s="118">
        <v>1710</v>
      </c>
      <c r="G1993" s="31">
        <f t="shared" si="62"/>
        <v>0</v>
      </c>
      <c r="H1993" s="56" t="s">
        <v>9</v>
      </c>
      <c r="I1993" s="3"/>
      <c r="J1993" s="42"/>
      <c r="K1993" s="3"/>
      <c r="M1993" s="20">
        <v>42130</v>
      </c>
      <c r="N1993" s="183">
        <v>20111</v>
      </c>
      <c r="O1993" s="14" t="s">
        <v>1290</v>
      </c>
      <c r="P1993" s="105">
        <v>3514.8</v>
      </c>
      <c r="Q1993" s="23">
        <v>42130</v>
      </c>
      <c r="R1993" s="106">
        <v>3514.8</v>
      </c>
      <c r="S1993" s="31">
        <f t="shared" si="63"/>
        <v>0</v>
      </c>
      <c r="T1993" s="39" t="s">
        <v>9</v>
      </c>
    </row>
    <row r="1994" spans="1:20" x14ac:dyDescent="0.25">
      <c r="A1994" s="20">
        <v>42143</v>
      </c>
      <c r="B1994" s="183">
        <v>21568</v>
      </c>
      <c r="C1994" s="14" t="s">
        <v>320</v>
      </c>
      <c r="D1994" s="105">
        <v>8827.2000000000007</v>
      </c>
      <c r="E1994" s="23">
        <v>42143</v>
      </c>
      <c r="F1994" s="118">
        <v>8827.2000000000007</v>
      </c>
      <c r="G1994" s="31">
        <f t="shared" si="62"/>
        <v>0</v>
      </c>
      <c r="H1994" s="56" t="s">
        <v>9</v>
      </c>
      <c r="I1994" s="3"/>
      <c r="J1994" s="42"/>
      <c r="K1994" s="3"/>
      <c r="M1994" s="20">
        <v>42139</v>
      </c>
      <c r="N1994" s="183">
        <v>21092</v>
      </c>
      <c r="O1994" s="14" t="s">
        <v>1290</v>
      </c>
      <c r="P1994" s="105">
        <v>5874.9</v>
      </c>
      <c r="Q1994" s="23">
        <v>42139</v>
      </c>
      <c r="R1994" s="106">
        <v>5874.9</v>
      </c>
      <c r="S1994" s="48">
        <f t="shared" si="63"/>
        <v>0</v>
      </c>
      <c r="T1994" s="39" t="s">
        <v>1327</v>
      </c>
    </row>
    <row r="1995" spans="1:20" x14ac:dyDescent="0.25">
      <c r="A1995" s="20">
        <v>42143</v>
      </c>
      <c r="B1995" s="183">
        <v>21569</v>
      </c>
      <c r="C1995" s="14" t="s">
        <v>1261</v>
      </c>
      <c r="D1995" s="105">
        <v>6260.6</v>
      </c>
      <c r="E1995" s="23">
        <v>42143</v>
      </c>
      <c r="F1995" s="118">
        <v>6260.6</v>
      </c>
      <c r="G1995" s="31">
        <f t="shared" si="62"/>
        <v>0</v>
      </c>
      <c r="H1995" s="56" t="s">
        <v>587</v>
      </c>
      <c r="I1995" s="3"/>
      <c r="J1995" s="42"/>
      <c r="K1995" s="3"/>
      <c r="M1995" s="20">
        <v>42140</v>
      </c>
      <c r="N1995" s="183">
        <v>21280</v>
      </c>
      <c r="O1995" s="14" t="s">
        <v>1290</v>
      </c>
      <c r="P1995" s="105">
        <v>534.6</v>
      </c>
      <c r="Q1995" s="23">
        <v>42140</v>
      </c>
      <c r="R1995" s="118">
        <v>534.6</v>
      </c>
      <c r="S1995" s="31">
        <f t="shared" si="63"/>
        <v>0</v>
      </c>
      <c r="T1995" s="62" t="s">
        <v>587</v>
      </c>
    </row>
    <row r="1996" spans="1:20" x14ac:dyDescent="0.25">
      <c r="A1996" s="20">
        <v>42143</v>
      </c>
      <c r="B1996" s="183">
        <v>21570</v>
      </c>
      <c r="C1996" s="14" t="s">
        <v>125</v>
      </c>
      <c r="D1996" s="105">
        <v>12488</v>
      </c>
      <c r="E1996" s="23">
        <v>42154</v>
      </c>
      <c r="F1996" s="118">
        <v>12488</v>
      </c>
      <c r="G1996" s="31">
        <f t="shared" si="62"/>
        <v>0</v>
      </c>
      <c r="H1996" s="56" t="s">
        <v>187</v>
      </c>
      <c r="I1996" s="3"/>
      <c r="J1996" s="42"/>
      <c r="K1996" s="3"/>
      <c r="M1996" s="20">
        <v>42144</v>
      </c>
      <c r="N1996" s="183">
        <v>21624</v>
      </c>
      <c r="O1996" s="14" t="s">
        <v>1290</v>
      </c>
      <c r="P1996" s="105">
        <v>2649.1</v>
      </c>
      <c r="Q1996" s="23">
        <v>42144</v>
      </c>
      <c r="R1996" s="118">
        <v>2649.1</v>
      </c>
      <c r="S1996" s="31">
        <f t="shared" si="63"/>
        <v>0</v>
      </c>
      <c r="T1996" s="62" t="s">
        <v>587</v>
      </c>
    </row>
    <row r="1997" spans="1:20" x14ac:dyDescent="0.25">
      <c r="A1997" s="20">
        <v>42143</v>
      </c>
      <c r="B1997" s="183">
        <v>21571</v>
      </c>
      <c r="C1997" s="150" t="s">
        <v>14</v>
      </c>
      <c r="D1997" s="105">
        <v>4699</v>
      </c>
      <c r="E1997" s="23">
        <v>42153</v>
      </c>
      <c r="F1997" s="118">
        <v>4699</v>
      </c>
      <c r="G1997" s="31">
        <f t="shared" si="62"/>
        <v>0</v>
      </c>
      <c r="H1997" s="56" t="s">
        <v>9</v>
      </c>
      <c r="I1997" s="3"/>
      <c r="J1997" s="42"/>
      <c r="K1997" s="3"/>
      <c r="M1997" s="20">
        <v>42145</v>
      </c>
      <c r="N1997" s="183">
        <v>21728</v>
      </c>
      <c r="O1997" s="14" t="s">
        <v>1290</v>
      </c>
      <c r="P1997" s="105">
        <v>9687.7999999999993</v>
      </c>
      <c r="Q1997" s="23">
        <v>42147</v>
      </c>
      <c r="R1997" s="106">
        <v>9687.7999999999993</v>
      </c>
      <c r="S1997" s="31">
        <f t="shared" si="63"/>
        <v>0</v>
      </c>
      <c r="T1997" s="39" t="s">
        <v>587</v>
      </c>
    </row>
    <row r="1998" spans="1:20" x14ac:dyDescent="0.25">
      <c r="A1998" s="20">
        <v>42143</v>
      </c>
      <c r="B1998" s="183">
        <v>21572</v>
      </c>
      <c r="C1998" s="14" t="s">
        <v>82</v>
      </c>
      <c r="D1998" s="105">
        <v>5199.6000000000004</v>
      </c>
      <c r="E1998" s="23">
        <v>42143</v>
      </c>
      <c r="F1998" s="118">
        <v>5199.6000000000004</v>
      </c>
      <c r="G1998" s="31">
        <f t="shared" si="62"/>
        <v>0</v>
      </c>
      <c r="H1998" s="56" t="s">
        <v>9</v>
      </c>
      <c r="I1998" s="3"/>
      <c r="J1998" s="42"/>
      <c r="K1998" s="3"/>
      <c r="M1998" s="20">
        <v>42146</v>
      </c>
      <c r="N1998" s="183">
        <v>21858</v>
      </c>
      <c r="O1998" s="14" t="s">
        <v>1290</v>
      </c>
      <c r="P1998" s="105">
        <v>38913</v>
      </c>
      <c r="Q1998" s="23">
        <v>42147</v>
      </c>
      <c r="R1998" s="106">
        <v>38913</v>
      </c>
      <c r="S1998" s="31">
        <f t="shared" si="63"/>
        <v>0</v>
      </c>
      <c r="T1998" s="39" t="s">
        <v>587</v>
      </c>
    </row>
    <row r="1999" spans="1:20" x14ac:dyDescent="0.25">
      <c r="A1999" s="20">
        <v>42143</v>
      </c>
      <c r="B1999" s="183">
        <v>21573</v>
      </c>
      <c r="C1999" s="14" t="s">
        <v>1058</v>
      </c>
      <c r="D1999" s="105">
        <v>2848.6</v>
      </c>
      <c r="E1999" s="23">
        <v>42143</v>
      </c>
      <c r="F1999" s="118">
        <v>2848.6</v>
      </c>
      <c r="G1999" s="31">
        <f t="shared" si="62"/>
        <v>0</v>
      </c>
      <c r="H1999" s="56" t="s">
        <v>9</v>
      </c>
      <c r="I1999" s="3"/>
      <c r="J1999" s="42"/>
      <c r="K1999" s="3"/>
      <c r="M1999" s="20">
        <v>42152</v>
      </c>
      <c r="N1999" s="183">
        <v>22440</v>
      </c>
      <c r="O1999" s="14" t="s">
        <v>1290</v>
      </c>
      <c r="P1999" s="105">
        <v>2912</v>
      </c>
      <c r="Q1999" s="23">
        <v>42153</v>
      </c>
      <c r="R1999" s="106">
        <v>2912</v>
      </c>
      <c r="S1999" s="31">
        <f t="shared" si="63"/>
        <v>0</v>
      </c>
      <c r="T1999" s="39" t="s">
        <v>587</v>
      </c>
    </row>
    <row r="2000" spans="1:20" x14ac:dyDescent="0.25">
      <c r="A2000" s="20">
        <v>42143</v>
      </c>
      <c r="B2000" s="183">
        <v>21574</v>
      </c>
      <c r="C2000" s="14" t="s">
        <v>56</v>
      </c>
      <c r="D2000" s="105">
        <v>11546.4</v>
      </c>
      <c r="E2000" s="23">
        <v>42143</v>
      </c>
      <c r="F2000" s="118">
        <v>11546.4</v>
      </c>
      <c r="G2000" s="31">
        <f t="shared" si="62"/>
        <v>0</v>
      </c>
      <c r="H2000" s="56" t="s">
        <v>94</v>
      </c>
      <c r="I2000" s="3"/>
      <c r="J2000" s="42"/>
      <c r="K2000" s="3"/>
      <c r="M2000" s="20">
        <v>42148</v>
      </c>
      <c r="N2000" s="183">
        <v>22080</v>
      </c>
      <c r="O2000" s="14" t="s">
        <v>477</v>
      </c>
      <c r="P2000" s="105">
        <v>566.4</v>
      </c>
      <c r="Q2000" s="65">
        <v>42148</v>
      </c>
      <c r="R2000" s="106">
        <v>566.4</v>
      </c>
      <c r="S2000" s="31">
        <f t="shared" si="63"/>
        <v>0</v>
      </c>
      <c r="T2000" s="39" t="s">
        <v>9</v>
      </c>
    </row>
    <row r="2001" spans="1:20" x14ac:dyDescent="0.25">
      <c r="A2001" s="20">
        <v>42143</v>
      </c>
      <c r="B2001" s="183">
        <v>21575</v>
      </c>
      <c r="C2001" s="14" t="s">
        <v>854</v>
      </c>
      <c r="D2001" s="105">
        <v>2385.1</v>
      </c>
      <c r="E2001" s="23" t="s">
        <v>1420</v>
      </c>
      <c r="F2001" s="118">
        <f>1450+935.1</f>
        <v>2385.1</v>
      </c>
      <c r="G2001" s="31">
        <f t="shared" si="62"/>
        <v>0</v>
      </c>
      <c r="H2001" s="56" t="s">
        <v>9</v>
      </c>
      <c r="I2001" s="3"/>
      <c r="J2001" s="42"/>
      <c r="K2001" s="3"/>
      <c r="M2001" s="20">
        <v>42154</v>
      </c>
      <c r="N2001" s="183">
        <v>22780</v>
      </c>
      <c r="O2001" s="14" t="s">
        <v>1421</v>
      </c>
      <c r="P2001" s="105">
        <v>11134.6</v>
      </c>
      <c r="Q2001" s="23"/>
      <c r="R2001" s="106"/>
      <c r="S2001" s="31">
        <f t="shared" si="63"/>
        <v>11134.6</v>
      </c>
      <c r="T2001" s="39" t="s">
        <v>9</v>
      </c>
    </row>
    <row r="2002" spans="1:20" x14ac:dyDescent="0.25">
      <c r="A2002" s="20">
        <v>42143</v>
      </c>
      <c r="B2002" s="183">
        <v>21576</v>
      </c>
      <c r="C2002" s="14" t="s">
        <v>118</v>
      </c>
      <c r="D2002" s="105">
        <v>2010.9</v>
      </c>
      <c r="E2002" s="23">
        <v>42143</v>
      </c>
      <c r="F2002" s="118">
        <v>2010.9</v>
      </c>
      <c r="G2002" s="31">
        <f t="shared" si="62"/>
        <v>0</v>
      </c>
      <c r="H2002" s="56" t="s">
        <v>59</v>
      </c>
      <c r="I2002" s="3"/>
      <c r="J2002" s="42"/>
      <c r="K2002" s="3"/>
      <c r="M2002" s="20">
        <v>42131</v>
      </c>
      <c r="N2002" s="183">
        <v>20217</v>
      </c>
      <c r="O2002" s="14" t="s">
        <v>22</v>
      </c>
      <c r="P2002" s="105">
        <v>3091.2</v>
      </c>
      <c r="Q2002" s="23">
        <v>42131</v>
      </c>
      <c r="R2002" s="106">
        <v>3091.2</v>
      </c>
      <c r="S2002" s="31">
        <f t="shared" si="63"/>
        <v>0</v>
      </c>
      <c r="T2002" s="39" t="s">
        <v>9</v>
      </c>
    </row>
    <row r="2003" spans="1:20" x14ac:dyDescent="0.25">
      <c r="A2003" s="20">
        <v>42143</v>
      </c>
      <c r="B2003" s="183">
        <v>21577</v>
      </c>
      <c r="C2003" s="14" t="s">
        <v>422</v>
      </c>
      <c r="D2003" s="105">
        <v>114</v>
      </c>
      <c r="E2003" s="23">
        <v>42143</v>
      </c>
      <c r="F2003" s="106">
        <v>114</v>
      </c>
      <c r="G2003" s="31">
        <f t="shared" si="62"/>
        <v>0</v>
      </c>
      <c r="H2003" s="56" t="s">
        <v>9</v>
      </c>
      <c r="I2003" s="3"/>
      <c r="J2003" s="42"/>
      <c r="K2003" s="3"/>
      <c r="M2003" s="20">
        <v>42135</v>
      </c>
      <c r="N2003" s="183">
        <v>20676</v>
      </c>
      <c r="O2003" s="14" t="s">
        <v>22</v>
      </c>
      <c r="P2003" s="105">
        <v>2340</v>
      </c>
      <c r="Q2003" s="23">
        <v>42135</v>
      </c>
      <c r="R2003" s="106">
        <v>2340</v>
      </c>
      <c r="S2003" s="31">
        <f t="shared" si="63"/>
        <v>0</v>
      </c>
      <c r="T2003" s="39" t="s">
        <v>9</v>
      </c>
    </row>
    <row r="2004" spans="1:20" x14ac:dyDescent="0.25">
      <c r="A2004" s="20">
        <v>42143</v>
      </c>
      <c r="B2004" s="183">
        <v>21578</v>
      </c>
      <c r="C2004" s="14" t="s">
        <v>375</v>
      </c>
      <c r="D2004" s="105">
        <v>1926.6</v>
      </c>
      <c r="E2004" s="23">
        <v>42143</v>
      </c>
      <c r="F2004" s="106">
        <v>1926.6</v>
      </c>
      <c r="G2004" s="31">
        <f t="shared" si="62"/>
        <v>0</v>
      </c>
      <c r="H2004" s="56" t="s">
        <v>9</v>
      </c>
      <c r="I2004" s="3"/>
      <c r="J2004" s="42"/>
      <c r="K2004" s="3"/>
      <c r="M2004" s="20">
        <v>42139</v>
      </c>
      <c r="N2004" s="183">
        <v>21116</v>
      </c>
      <c r="O2004" s="14" t="s">
        <v>22</v>
      </c>
      <c r="P2004" s="105">
        <v>3952.8</v>
      </c>
      <c r="Q2004" s="23">
        <v>42139</v>
      </c>
      <c r="R2004" s="106">
        <v>3952.8</v>
      </c>
      <c r="S2004" s="48">
        <f t="shared" si="63"/>
        <v>0</v>
      </c>
      <c r="T2004" s="39" t="s">
        <v>9</v>
      </c>
    </row>
    <row r="2005" spans="1:20" x14ac:dyDescent="0.25">
      <c r="A2005" s="20">
        <v>42143</v>
      </c>
      <c r="B2005" s="183">
        <v>21579</v>
      </c>
      <c r="C2005" s="14" t="s">
        <v>1371</v>
      </c>
      <c r="D2005" s="105">
        <v>4245.26</v>
      </c>
      <c r="E2005" s="23">
        <v>42143</v>
      </c>
      <c r="F2005" s="106">
        <v>4245.26</v>
      </c>
      <c r="G2005" s="31">
        <f t="shared" si="62"/>
        <v>0</v>
      </c>
      <c r="H2005" s="56" t="s">
        <v>9</v>
      </c>
      <c r="I2005" s="3"/>
      <c r="J2005" s="42"/>
      <c r="K2005" s="3"/>
      <c r="M2005" s="20">
        <v>42144</v>
      </c>
      <c r="N2005" s="183">
        <v>21620</v>
      </c>
      <c r="O2005" s="14" t="s">
        <v>22</v>
      </c>
      <c r="P2005" s="105">
        <v>4664</v>
      </c>
      <c r="Q2005" s="23">
        <v>42144</v>
      </c>
      <c r="R2005" s="118">
        <v>4664</v>
      </c>
      <c r="S2005" s="31">
        <f t="shared" si="63"/>
        <v>0</v>
      </c>
      <c r="T2005" s="56" t="s">
        <v>9</v>
      </c>
    </row>
    <row r="2006" spans="1:20" x14ac:dyDescent="0.25">
      <c r="A2006" s="20">
        <v>42143</v>
      </c>
      <c r="B2006" s="183">
        <v>21580</v>
      </c>
      <c r="C2006" s="14" t="s">
        <v>89</v>
      </c>
      <c r="D2006" s="105">
        <v>2137.1999999999998</v>
      </c>
      <c r="E2006" s="23">
        <v>42143</v>
      </c>
      <c r="F2006" s="106">
        <v>2137.1999999999998</v>
      </c>
      <c r="G2006" s="31">
        <f t="shared" si="62"/>
        <v>0</v>
      </c>
      <c r="H2006" s="56" t="s">
        <v>9</v>
      </c>
      <c r="I2006" s="3"/>
      <c r="J2006" s="42"/>
      <c r="K2006" s="3"/>
      <c r="M2006" s="20">
        <v>42149</v>
      </c>
      <c r="N2006" s="183">
        <v>22157</v>
      </c>
      <c r="O2006" s="14" t="s">
        <v>22</v>
      </c>
      <c r="P2006" s="105">
        <v>3179.2</v>
      </c>
      <c r="Q2006" s="65">
        <v>42149</v>
      </c>
      <c r="R2006" s="106">
        <v>3179.2</v>
      </c>
      <c r="S2006" s="31">
        <f t="shared" si="63"/>
        <v>0</v>
      </c>
      <c r="T2006" s="39" t="s">
        <v>9</v>
      </c>
    </row>
    <row r="2007" spans="1:20" x14ac:dyDescent="0.25">
      <c r="A2007" s="20">
        <v>42143</v>
      </c>
      <c r="B2007" s="183">
        <v>21581</v>
      </c>
      <c r="C2007" s="14" t="s">
        <v>239</v>
      </c>
      <c r="D2007" s="105">
        <v>3145.5</v>
      </c>
      <c r="E2007" s="23">
        <v>42143</v>
      </c>
      <c r="F2007" s="106">
        <v>3145.5</v>
      </c>
      <c r="G2007" s="31">
        <f t="shared" si="62"/>
        <v>0</v>
      </c>
      <c r="H2007" s="56" t="s">
        <v>9</v>
      </c>
      <c r="I2007" s="3"/>
      <c r="J2007" s="42"/>
      <c r="K2007" s="3"/>
      <c r="M2007" s="20">
        <v>42153</v>
      </c>
      <c r="N2007" s="183">
        <v>22571</v>
      </c>
      <c r="O2007" s="14" t="s">
        <v>22</v>
      </c>
      <c r="P2007" s="105">
        <v>2920</v>
      </c>
      <c r="Q2007" s="23">
        <v>42153</v>
      </c>
      <c r="R2007" s="106">
        <v>2920</v>
      </c>
      <c r="S2007" s="31">
        <f t="shared" si="63"/>
        <v>0</v>
      </c>
      <c r="T2007" s="39" t="s">
        <v>9</v>
      </c>
    </row>
    <row r="2008" spans="1:20" x14ac:dyDescent="0.25">
      <c r="A2008" s="20">
        <v>42143</v>
      </c>
      <c r="B2008" s="183">
        <v>21582</v>
      </c>
      <c r="C2008" s="14" t="s">
        <v>128</v>
      </c>
      <c r="D2008" s="105">
        <v>8716.7999999999993</v>
      </c>
      <c r="E2008" s="23">
        <v>42143</v>
      </c>
      <c r="F2008" s="106">
        <v>8716.7999999999993</v>
      </c>
      <c r="G2008" s="31">
        <f t="shared" si="62"/>
        <v>0</v>
      </c>
      <c r="H2008" s="56" t="s">
        <v>1257</v>
      </c>
      <c r="I2008" s="3"/>
      <c r="J2008" s="42"/>
      <c r="K2008" s="3"/>
      <c r="M2008" s="20">
        <v>42126</v>
      </c>
      <c r="N2008" s="183">
        <v>19800</v>
      </c>
      <c r="O2008" s="40" t="s">
        <v>484</v>
      </c>
      <c r="P2008" s="105">
        <v>15292.2</v>
      </c>
      <c r="Q2008" s="23">
        <v>42133</v>
      </c>
      <c r="R2008" s="106">
        <v>15292.2</v>
      </c>
      <c r="S2008" s="31">
        <f t="shared" si="63"/>
        <v>0</v>
      </c>
      <c r="T2008" s="41" t="s">
        <v>9</v>
      </c>
    </row>
    <row r="2009" spans="1:20" x14ac:dyDescent="0.25">
      <c r="A2009" s="20">
        <v>42143</v>
      </c>
      <c r="B2009" s="183">
        <v>21583</v>
      </c>
      <c r="C2009" s="14" t="s">
        <v>131</v>
      </c>
      <c r="D2009" s="105">
        <v>7328.4</v>
      </c>
      <c r="E2009" s="23">
        <v>42145</v>
      </c>
      <c r="F2009" s="106">
        <v>7328.4</v>
      </c>
      <c r="G2009" s="31">
        <f t="shared" si="62"/>
        <v>0</v>
      </c>
      <c r="H2009" s="56" t="s">
        <v>46</v>
      </c>
      <c r="I2009" s="3"/>
      <c r="J2009" s="42"/>
      <c r="K2009" s="3"/>
      <c r="M2009" s="20">
        <v>42133</v>
      </c>
      <c r="N2009" s="183">
        <v>20570</v>
      </c>
      <c r="O2009" s="14" t="s">
        <v>484</v>
      </c>
      <c r="P2009" s="105">
        <v>15673.2</v>
      </c>
      <c r="Q2009" s="23">
        <v>42140</v>
      </c>
      <c r="R2009" s="106">
        <v>15673.2</v>
      </c>
      <c r="S2009" s="31">
        <f t="shared" si="63"/>
        <v>0</v>
      </c>
      <c r="T2009" s="19" t="s">
        <v>9</v>
      </c>
    </row>
    <row r="2010" spans="1:20" x14ac:dyDescent="0.25">
      <c r="A2010" s="20">
        <v>42143</v>
      </c>
      <c r="B2010" s="183">
        <v>21584</v>
      </c>
      <c r="C2010" s="150" t="s">
        <v>130</v>
      </c>
      <c r="D2010" s="105">
        <v>3607</v>
      </c>
      <c r="E2010" s="23">
        <v>42145</v>
      </c>
      <c r="F2010" s="106">
        <v>3607</v>
      </c>
      <c r="G2010" s="31">
        <f t="shared" si="62"/>
        <v>0</v>
      </c>
      <c r="H2010" s="56" t="s">
        <v>1257</v>
      </c>
      <c r="I2010" s="3"/>
      <c r="J2010" s="42"/>
      <c r="K2010" s="3"/>
      <c r="M2010" s="20">
        <v>42140</v>
      </c>
      <c r="N2010" s="183">
        <v>21290</v>
      </c>
      <c r="O2010" s="14" t="s">
        <v>484</v>
      </c>
      <c r="P2010" s="105">
        <v>12952.4</v>
      </c>
      <c r="Q2010" s="23">
        <v>42147</v>
      </c>
      <c r="R2010" s="118">
        <v>12952.4</v>
      </c>
      <c r="S2010" s="31">
        <f t="shared" si="63"/>
        <v>0</v>
      </c>
      <c r="T2010" s="62" t="s">
        <v>9</v>
      </c>
    </row>
    <row r="2011" spans="1:20" x14ac:dyDescent="0.25">
      <c r="A2011" s="20">
        <v>42143</v>
      </c>
      <c r="B2011" s="183">
        <v>21585</v>
      </c>
      <c r="C2011" s="14" t="s">
        <v>679</v>
      </c>
      <c r="D2011" s="105">
        <v>13578.3</v>
      </c>
      <c r="E2011" s="30"/>
      <c r="F2011" s="144"/>
      <c r="G2011" s="31">
        <f t="shared" si="62"/>
        <v>13578.3</v>
      </c>
      <c r="H2011" s="56" t="s">
        <v>187</v>
      </c>
      <c r="I2011" s="3"/>
      <c r="J2011" s="42"/>
      <c r="K2011" s="3"/>
      <c r="M2011" s="20">
        <v>42147</v>
      </c>
      <c r="N2011" s="183">
        <v>22056</v>
      </c>
      <c r="O2011" s="14" t="s">
        <v>484</v>
      </c>
      <c r="P2011" s="105">
        <v>8254</v>
      </c>
      <c r="Q2011" s="65">
        <v>42154</v>
      </c>
      <c r="R2011" s="106">
        <v>8254</v>
      </c>
      <c r="S2011" s="31">
        <f t="shared" si="63"/>
        <v>0</v>
      </c>
      <c r="T2011" s="39" t="s">
        <v>9</v>
      </c>
    </row>
    <row r="2012" spans="1:20" x14ac:dyDescent="0.25">
      <c r="A2012" s="20">
        <v>42143</v>
      </c>
      <c r="B2012" s="183">
        <v>21586</v>
      </c>
      <c r="C2012" s="14" t="s">
        <v>912</v>
      </c>
      <c r="D2012" s="105">
        <v>28369.95</v>
      </c>
      <c r="E2012" s="23">
        <v>42143</v>
      </c>
      <c r="F2012" s="118">
        <v>28369.95</v>
      </c>
      <c r="G2012" s="31">
        <f t="shared" si="62"/>
        <v>0</v>
      </c>
      <c r="H2012" s="56" t="s">
        <v>9</v>
      </c>
      <c r="I2012" s="3"/>
      <c r="J2012" s="42"/>
      <c r="K2012" s="3"/>
      <c r="M2012" s="20">
        <v>42147</v>
      </c>
      <c r="N2012" s="183">
        <v>22062</v>
      </c>
      <c r="O2012" s="150" t="s">
        <v>484</v>
      </c>
      <c r="P2012" s="105">
        <v>8526</v>
      </c>
      <c r="Q2012" s="65">
        <v>42154</v>
      </c>
      <c r="R2012" s="106">
        <v>8526</v>
      </c>
      <c r="S2012" s="31">
        <f t="shared" si="63"/>
        <v>0</v>
      </c>
      <c r="T2012" s="39" t="s">
        <v>9</v>
      </c>
    </row>
    <row r="2013" spans="1:20" x14ac:dyDescent="0.25">
      <c r="A2013" s="20">
        <v>42143</v>
      </c>
      <c r="B2013" s="183">
        <v>21587</v>
      </c>
      <c r="C2013" s="14" t="s">
        <v>1059</v>
      </c>
      <c r="D2013" s="105">
        <v>19106.400000000001</v>
      </c>
      <c r="E2013" s="23">
        <v>42143</v>
      </c>
      <c r="F2013" s="118">
        <v>19106.400000000001</v>
      </c>
      <c r="G2013" s="31">
        <f t="shared" si="62"/>
        <v>0</v>
      </c>
      <c r="H2013" s="56" t="s">
        <v>1273</v>
      </c>
      <c r="I2013" s="3"/>
      <c r="J2013" s="42"/>
      <c r="K2013" s="3"/>
      <c r="M2013" s="20">
        <v>42125</v>
      </c>
      <c r="N2013" s="183">
        <v>19691</v>
      </c>
      <c r="O2013" s="14" t="s">
        <v>1020</v>
      </c>
      <c r="P2013" s="105">
        <v>1584.24</v>
      </c>
      <c r="Q2013" s="23">
        <v>42125</v>
      </c>
      <c r="R2013" s="106">
        <v>1584.24</v>
      </c>
      <c r="S2013" s="25">
        <f t="shared" si="63"/>
        <v>0</v>
      </c>
      <c r="T2013" s="39" t="s">
        <v>9</v>
      </c>
    </row>
    <row r="2014" spans="1:20" x14ac:dyDescent="0.25">
      <c r="A2014" s="20">
        <v>42143</v>
      </c>
      <c r="B2014" s="183">
        <v>21588</v>
      </c>
      <c r="C2014" s="14" t="s">
        <v>24</v>
      </c>
      <c r="D2014" s="105">
        <v>19909.5</v>
      </c>
      <c r="E2014" s="30">
        <v>42165</v>
      </c>
      <c r="F2014" s="145">
        <v>19909.5</v>
      </c>
      <c r="G2014" s="31">
        <f t="shared" si="62"/>
        <v>0</v>
      </c>
      <c r="H2014" s="56" t="s">
        <v>9</v>
      </c>
      <c r="I2014" s="3"/>
      <c r="J2014" s="42"/>
      <c r="K2014" s="3"/>
      <c r="M2014" s="20">
        <v>42125</v>
      </c>
      <c r="N2014" s="183">
        <v>19693</v>
      </c>
      <c r="O2014" s="14" t="s">
        <v>1020</v>
      </c>
      <c r="P2014" s="105">
        <v>4727.5200000000004</v>
      </c>
      <c r="Q2014" s="23">
        <v>42125</v>
      </c>
      <c r="R2014" s="106">
        <v>4727.5200000000004</v>
      </c>
      <c r="S2014" s="25">
        <f t="shared" si="63"/>
        <v>0</v>
      </c>
      <c r="T2014" s="39" t="s">
        <v>9</v>
      </c>
    </row>
    <row r="2015" spans="1:20" x14ac:dyDescent="0.25">
      <c r="A2015" s="20">
        <v>42143</v>
      </c>
      <c r="B2015" s="183">
        <v>21589</v>
      </c>
      <c r="C2015" s="14" t="s">
        <v>24</v>
      </c>
      <c r="D2015" s="105">
        <v>6260.6</v>
      </c>
      <c r="E2015" s="30">
        <v>42165</v>
      </c>
      <c r="F2015" s="145">
        <v>6260.6</v>
      </c>
      <c r="G2015" s="31">
        <f t="shared" si="62"/>
        <v>0</v>
      </c>
      <c r="H2015" s="56" t="s">
        <v>9</v>
      </c>
      <c r="I2015" s="3"/>
      <c r="J2015" s="42"/>
      <c r="K2015" s="3"/>
      <c r="M2015" s="20">
        <v>42125</v>
      </c>
      <c r="N2015" s="183">
        <v>19694</v>
      </c>
      <c r="O2015" s="14" t="s">
        <v>1020</v>
      </c>
      <c r="P2015" s="105">
        <v>30</v>
      </c>
      <c r="Q2015" s="23">
        <v>42125</v>
      </c>
      <c r="R2015" s="106">
        <v>30</v>
      </c>
      <c r="S2015" s="25">
        <f t="shared" si="63"/>
        <v>0</v>
      </c>
      <c r="T2015" s="39" t="s">
        <v>9</v>
      </c>
    </row>
    <row r="2016" spans="1:20" x14ac:dyDescent="0.25">
      <c r="A2016" s="20">
        <v>42143</v>
      </c>
      <c r="B2016" s="183">
        <v>21590</v>
      </c>
      <c r="C2016" s="14" t="s">
        <v>136</v>
      </c>
      <c r="D2016" s="105">
        <v>20956.8</v>
      </c>
      <c r="E2016" s="23">
        <v>42143</v>
      </c>
      <c r="F2016" s="118">
        <v>20956.8</v>
      </c>
      <c r="G2016" s="31">
        <f t="shared" si="62"/>
        <v>0</v>
      </c>
      <c r="H2016" s="56" t="s">
        <v>9</v>
      </c>
      <c r="I2016" s="3"/>
      <c r="J2016" s="42"/>
      <c r="K2016" s="3"/>
      <c r="M2016" s="20">
        <v>42127</v>
      </c>
      <c r="N2016" s="183">
        <v>19816</v>
      </c>
      <c r="O2016" s="40" t="s">
        <v>1020</v>
      </c>
      <c r="P2016" s="105">
        <v>4170.5200000000004</v>
      </c>
      <c r="Q2016" s="23">
        <v>42127</v>
      </c>
      <c r="R2016" s="106">
        <v>4170.5200000000004</v>
      </c>
      <c r="S2016" s="31">
        <f t="shared" si="63"/>
        <v>0</v>
      </c>
      <c r="T2016" s="41" t="s">
        <v>9</v>
      </c>
    </row>
    <row r="2017" spans="1:20" x14ac:dyDescent="0.25">
      <c r="A2017" s="20">
        <v>42143</v>
      </c>
      <c r="B2017" s="183">
        <v>21591</v>
      </c>
      <c r="C2017" s="14" t="s">
        <v>252</v>
      </c>
      <c r="D2017" s="105">
        <v>4508.3999999999996</v>
      </c>
      <c r="E2017" s="23">
        <v>42143</v>
      </c>
      <c r="F2017" s="118">
        <v>4508.3999999999996</v>
      </c>
      <c r="G2017" s="31">
        <f t="shared" si="62"/>
        <v>0</v>
      </c>
      <c r="H2017" s="56" t="s">
        <v>9</v>
      </c>
      <c r="I2017" s="3"/>
      <c r="J2017" s="42"/>
      <c r="K2017" s="3"/>
      <c r="M2017" s="20">
        <v>42128</v>
      </c>
      <c r="N2017" s="183">
        <v>20002</v>
      </c>
      <c r="O2017" s="14" t="s">
        <v>1020</v>
      </c>
      <c r="P2017" s="105">
        <v>1669.52</v>
      </c>
      <c r="Q2017" s="23">
        <v>42128</v>
      </c>
      <c r="R2017" s="106">
        <v>1669.52</v>
      </c>
      <c r="S2017" s="31">
        <f t="shared" si="63"/>
        <v>0</v>
      </c>
      <c r="T2017" s="19" t="s">
        <v>9</v>
      </c>
    </row>
    <row r="2018" spans="1:20" x14ac:dyDescent="0.25">
      <c r="A2018" s="20">
        <v>42143</v>
      </c>
      <c r="B2018" s="183">
        <v>21592</v>
      </c>
      <c r="C2018" s="14" t="s">
        <v>50</v>
      </c>
      <c r="D2018" s="105">
        <v>2287.6</v>
      </c>
      <c r="E2018" s="23">
        <v>42143</v>
      </c>
      <c r="F2018" s="118">
        <v>2287.6</v>
      </c>
      <c r="G2018" s="31">
        <f t="shared" si="62"/>
        <v>0</v>
      </c>
      <c r="H2018" s="56" t="s">
        <v>94</v>
      </c>
      <c r="I2018" s="3"/>
      <c r="J2018" s="42"/>
      <c r="K2018" s="3"/>
      <c r="M2018" s="20">
        <v>42130</v>
      </c>
      <c r="N2018" s="183">
        <v>20197</v>
      </c>
      <c r="O2018" s="14" t="s">
        <v>1020</v>
      </c>
      <c r="P2018" s="105">
        <v>3108</v>
      </c>
      <c r="Q2018" s="23">
        <v>42130</v>
      </c>
      <c r="R2018" s="106">
        <v>3108</v>
      </c>
      <c r="S2018" s="31">
        <f t="shared" si="63"/>
        <v>0</v>
      </c>
      <c r="T2018" s="39" t="s">
        <v>9</v>
      </c>
    </row>
    <row r="2019" spans="1:20" x14ac:dyDescent="0.25">
      <c r="A2019" s="20">
        <v>42143</v>
      </c>
      <c r="B2019" s="183">
        <v>21593</v>
      </c>
      <c r="C2019" s="14" t="s">
        <v>138</v>
      </c>
      <c r="D2019" s="105">
        <v>2991.6</v>
      </c>
      <c r="E2019" s="23">
        <v>42143</v>
      </c>
      <c r="F2019" s="118">
        <v>2991.6</v>
      </c>
      <c r="G2019" s="31">
        <f t="shared" si="62"/>
        <v>0</v>
      </c>
      <c r="H2019" s="56" t="s">
        <v>94</v>
      </c>
      <c r="I2019" s="3"/>
      <c r="J2019" s="42"/>
      <c r="K2019" s="3"/>
      <c r="M2019" s="20">
        <v>42131</v>
      </c>
      <c r="N2019" s="183">
        <v>20324</v>
      </c>
      <c r="O2019" s="14" t="s">
        <v>1020</v>
      </c>
      <c r="P2019" s="105">
        <v>2987.2</v>
      </c>
      <c r="Q2019" s="23">
        <v>42131</v>
      </c>
      <c r="R2019" s="106">
        <v>2987.2</v>
      </c>
      <c r="S2019" s="31">
        <f t="shared" si="63"/>
        <v>0</v>
      </c>
      <c r="T2019" s="39" t="s">
        <v>9</v>
      </c>
    </row>
    <row r="2020" spans="1:20" x14ac:dyDescent="0.25">
      <c r="A2020" s="20">
        <v>42143</v>
      </c>
      <c r="B2020" s="183">
        <v>21594</v>
      </c>
      <c r="C2020" s="14" t="s">
        <v>190</v>
      </c>
      <c r="D2020" s="105">
        <v>6338.6</v>
      </c>
      <c r="E2020" s="23">
        <v>42144</v>
      </c>
      <c r="F2020" s="118">
        <v>6338.6</v>
      </c>
      <c r="G2020" s="31">
        <f t="shared" si="62"/>
        <v>0</v>
      </c>
      <c r="H2020" s="56" t="s">
        <v>1273</v>
      </c>
      <c r="I2020" s="3"/>
      <c r="J2020" s="42"/>
      <c r="K2020" s="3"/>
      <c r="M2020" s="20">
        <v>42132</v>
      </c>
      <c r="N2020" s="183">
        <v>20464</v>
      </c>
      <c r="O2020" s="14" t="s">
        <v>1020</v>
      </c>
      <c r="P2020" s="105">
        <v>5883.2</v>
      </c>
      <c r="Q2020" s="23">
        <v>42133</v>
      </c>
      <c r="R2020" s="106">
        <v>5883.2</v>
      </c>
      <c r="S2020" s="31">
        <f t="shared" si="63"/>
        <v>0</v>
      </c>
      <c r="T2020" s="19" t="s">
        <v>9</v>
      </c>
    </row>
    <row r="2021" spans="1:20" x14ac:dyDescent="0.25">
      <c r="A2021" s="20">
        <v>42143</v>
      </c>
      <c r="B2021" s="183">
        <v>21595</v>
      </c>
      <c r="C2021" s="14" t="s">
        <v>98</v>
      </c>
      <c r="D2021" s="105">
        <v>2874.7</v>
      </c>
      <c r="E2021" s="23">
        <v>42144</v>
      </c>
      <c r="F2021" s="118">
        <v>2874.7</v>
      </c>
      <c r="G2021" s="31">
        <f t="shared" si="62"/>
        <v>0</v>
      </c>
      <c r="H2021" s="56" t="s">
        <v>1273</v>
      </c>
      <c r="I2021" s="3"/>
      <c r="J2021" s="42"/>
      <c r="K2021" s="3"/>
      <c r="M2021" s="20">
        <v>42134</v>
      </c>
      <c r="N2021" s="183">
        <v>20591</v>
      </c>
      <c r="O2021" s="150" t="s">
        <v>1020</v>
      </c>
      <c r="P2021" s="105">
        <v>5914.4</v>
      </c>
      <c r="Q2021" s="23">
        <v>42134</v>
      </c>
      <c r="R2021" s="106">
        <v>5914.4</v>
      </c>
      <c r="S2021" s="31">
        <f t="shared" si="63"/>
        <v>0</v>
      </c>
      <c r="T2021" s="39" t="s">
        <v>9</v>
      </c>
    </row>
    <row r="2022" spans="1:20" x14ac:dyDescent="0.25">
      <c r="A2022" s="20">
        <v>42143</v>
      </c>
      <c r="B2022" s="183">
        <v>21596</v>
      </c>
      <c r="C2022" s="14" t="s">
        <v>35</v>
      </c>
      <c r="D2022" s="105">
        <v>584.20000000000005</v>
      </c>
      <c r="E2022" s="23">
        <v>42145</v>
      </c>
      <c r="F2022" s="118">
        <v>584.20000000000005</v>
      </c>
      <c r="G2022" s="31">
        <f t="shared" si="62"/>
        <v>0</v>
      </c>
      <c r="H2022" s="56" t="s">
        <v>1257</v>
      </c>
      <c r="I2022" s="3"/>
      <c r="J2022" s="42"/>
      <c r="K2022" s="3"/>
      <c r="M2022" s="20">
        <v>42138</v>
      </c>
      <c r="N2022" s="183">
        <v>21074</v>
      </c>
      <c r="O2022" s="14" t="s">
        <v>1020</v>
      </c>
      <c r="P2022" s="105">
        <v>2832</v>
      </c>
      <c r="Q2022" s="23">
        <v>42138</v>
      </c>
      <c r="R2022" s="106">
        <v>2832</v>
      </c>
      <c r="S2022" s="48">
        <f t="shared" si="63"/>
        <v>0</v>
      </c>
      <c r="T2022" s="39" t="s">
        <v>9</v>
      </c>
    </row>
    <row r="2023" spans="1:20" x14ac:dyDescent="0.25">
      <c r="A2023" s="20">
        <v>42143</v>
      </c>
      <c r="B2023" s="183">
        <v>21597</v>
      </c>
      <c r="C2023" s="14" t="s">
        <v>123</v>
      </c>
      <c r="D2023" s="105">
        <v>8923.2000000000007</v>
      </c>
      <c r="E2023" s="23">
        <v>42145</v>
      </c>
      <c r="F2023" s="118">
        <v>8923.2000000000007</v>
      </c>
      <c r="G2023" s="31">
        <f t="shared" si="62"/>
        <v>0</v>
      </c>
      <c r="H2023" s="56" t="s">
        <v>1257</v>
      </c>
      <c r="I2023" s="3"/>
      <c r="J2023" s="42"/>
      <c r="K2023" s="3"/>
      <c r="M2023" s="20">
        <v>42139</v>
      </c>
      <c r="N2023" s="183">
        <v>21202</v>
      </c>
      <c r="O2023" s="14" t="s">
        <v>1020</v>
      </c>
      <c r="P2023" s="105">
        <v>4453.6000000000004</v>
      </c>
      <c r="Q2023" s="23">
        <v>42139</v>
      </c>
      <c r="R2023" s="106">
        <v>4453.6000000000004</v>
      </c>
      <c r="S2023" s="48">
        <f t="shared" si="63"/>
        <v>0</v>
      </c>
      <c r="T2023" s="39" t="s">
        <v>9</v>
      </c>
    </row>
    <row r="2024" spans="1:20" x14ac:dyDescent="0.25">
      <c r="A2024" s="20">
        <v>42143</v>
      </c>
      <c r="B2024" s="183">
        <v>21598</v>
      </c>
      <c r="C2024" s="14" t="s">
        <v>256</v>
      </c>
      <c r="D2024" s="105">
        <v>3721.2</v>
      </c>
      <c r="E2024" s="23">
        <v>42145</v>
      </c>
      <c r="F2024" s="118">
        <v>3721.2</v>
      </c>
      <c r="G2024" s="31">
        <f t="shared" si="62"/>
        <v>0</v>
      </c>
      <c r="H2024" s="56" t="s">
        <v>1257</v>
      </c>
      <c r="I2024" s="3"/>
      <c r="J2024" s="42"/>
      <c r="K2024" s="3"/>
      <c r="M2024" s="20">
        <v>42140</v>
      </c>
      <c r="N2024" s="183">
        <v>21315</v>
      </c>
      <c r="O2024" s="14" t="s">
        <v>1020</v>
      </c>
      <c r="P2024" s="105">
        <v>4384</v>
      </c>
      <c r="Q2024" s="23">
        <v>42140</v>
      </c>
      <c r="R2024" s="118">
        <v>4384</v>
      </c>
      <c r="S2024" s="31">
        <f t="shared" si="63"/>
        <v>0</v>
      </c>
      <c r="T2024" s="62" t="s">
        <v>9</v>
      </c>
    </row>
    <row r="2025" spans="1:20" x14ac:dyDescent="0.25">
      <c r="A2025" s="20">
        <v>42143</v>
      </c>
      <c r="B2025" s="183">
        <v>21599</v>
      </c>
      <c r="C2025" s="14" t="s">
        <v>1267</v>
      </c>
      <c r="D2025" s="105">
        <v>1000</v>
      </c>
      <c r="E2025" s="23">
        <v>42144</v>
      </c>
      <c r="F2025" s="118">
        <v>1000</v>
      </c>
      <c r="G2025" s="31">
        <f t="shared" si="62"/>
        <v>0</v>
      </c>
      <c r="H2025" s="56" t="s">
        <v>1273</v>
      </c>
      <c r="I2025" s="3"/>
      <c r="J2025" s="42"/>
      <c r="K2025" s="3"/>
      <c r="M2025" s="20">
        <v>42142</v>
      </c>
      <c r="N2025" s="183">
        <v>21521</v>
      </c>
      <c r="O2025" s="14" t="s">
        <v>1020</v>
      </c>
      <c r="P2025" s="105">
        <v>2667.6</v>
      </c>
      <c r="Q2025" s="23">
        <v>42142</v>
      </c>
      <c r="R2025" s="118">
        <v>2667.6</v>
      </c>
      <c r="S2025" s="31">
        <f t="shared" si="63"/>
        <v>0</v>
      </c>
      <c r="T2025" s="56" t="s">
        <v>9</v>
      </c>
    </row>
    <row r="2026" spans="1:20" x14ac:dyDescent="0.25">
      <c r="A2026" s="20">
        <v>42143</v>
      </c>
      <c r="B2026" s="183">
        <v>21600</v>
      </c>
      <c r="C2026" s="14" t="s">
        <v>104</v>
      </c>
      <c r="D2026" s="105">
        <v>1292.5</v>
      </c>
      <c r="E2026" s="23">
        <v>42144</v>
      </c>
      <c r="F2026" s="118">
        <v>1292.5</v>
      </c>
      <c r="G2026" s="31">
        <f t="shared" si="62"/>
        <v>0</v>
      </c>
      <c r="H2026" s="56" t="s">
        <v>1273</v>
      </c>
      <c r="I2026" s="3"/>
      <c r="J2026" s="42"/>
      <c r="K2026" s="3"/>
      <c r="M2026" s="20">
        <v>42144</v>
      </c>
      <c r="N2026" s="183">
        <v>21710</v>
      </c>
      <c r="O2026" s="14" t="s">
        <v>1020</v>
      </c>
      <c r="P2026" s="105">
        <v>2909.4</v>
      </c>
      <c r="Q2026" s="23">
        <v>42144</v>
      </c>
      <c r="R2026" s="106">
        <v>2909.4</v>
      </c>
      <c r="S2026" s="31">
        <f t="shared" si="63"/>
        <v>0</v>
      </c>
      <c r="T2026" s="39" t="s">
        <v>9</v>
      </c>
    </row>
    <row r="2027" spans="1:20" x14ac:dyDescent="0.25">
      <c r="A2027" s="20">
        <v>42143</v>
      </c>
      <c r="B2027" s="183">
        <v>21601</v>
      </c>
      <c r="C2027" s="14" t="s">
        <v>111</v>
      </c>
      <c r="D2027" s="105">
        <v>227232</v>
      </c>
      <c r="E2027" s="23">
        <v>42144</v>
      </c>
      <c r="F2027" s="118">
        <v>227232</v>
      </c>
      <c r="G2027" s="31">
        <f t="shared" si="62"/>
        <v>0</v>
      </c>
      <c r="H2027" s="56" t="s">
        <v>9</v>
      </c>
      <c r="I2027" s="3"/>
      <c r="J2027" s="42"/>
      <c r="K2027" s="3"/>
      <c r="M2027" s="20">
        <v>42145</v>
      </c>
      <c r="N2027" s="183">
        <v>21812</v>
      </c>
      <c r="O2027" s="15" t="s">
        <v>1020</v>
      </c>
      <c r="P2027" s="122">
        <v>3015.48</v>
      </c>
      <c r="Q2027" s="23">
        <v>42145</v>
      </c>
      <c r="R2027" s="118">
        <v>3015.48</v>
      </c>
      <c r="S2027" s="31">
        <f t="shared" si="63"/>
        <v>0</v>
      </c>
      <c r="T2027" s="68" t="s">
        <v>9</v>
      </c>
    </row>
    <row r="2028" spans="1:20" x14ac:dyDescent="0.25">
      <c r="A2028" s="20">
        <v>42143</v>
      </c>
      <c r="B2028" s="183">
        <v>21602</v>
      </c>
      <c r="C2028" s="14" t="s">
        <v>1422</v>
      </c>
      <c r="D2028" s="105">
        <v>648</v>
      </c>
      <c r="E2028" s="23">
        <v>42144</v>
      </c>
      <c r="F2028" s="118">
        <v>648</v>
      </c>
      <c r="G2028" s="31">
        <f t="shared" si="62"/>
        <v>0</v>
      </c>
      <c r="H2028" s="56" t="s">
        <v>9</v>
      </c>
      <c r="I2028" s="3"/>
      <c r="J2028" s="42"/>
      <c r="K2028" s="3"/>
      <c r="M2028" s="20">
        <v>42146</v>
      </c>
      <c r="N2028" s="183">
        <v>21959</v>
      </c>
      <c r="O2028" s="14" t="s">
        <v>1020</v>
      </c>
      <c r="P2028" s="105">
        <v>4037.28</v>
      </c>
      <c r="Q2028" s="65">
        <v>42147</v>
      </c>
      <c r="R2028" s="106">
        <v>4037.28</v>
      </c>
      <c r="S2028" s="48">
        <f t="shared" si="63"/>
        <v>0</v>
      </c>
      <c r="T2028" s="39" t="s">
        <v>9</v>
      </c>
    </row>
    <row r="2029" spans="1:20" x14ac:dyDescent="0.25">
      <c r="A2029" s="20">
        <v>42143</v>
      </c>
      <c r="B2029" s="183">
        <v>21603</v>
      </c>
      <c r="C2029" s="14" t="s">
        <v>1338</v>
      </c>
      <c r="D2029" s="105">
        <v>33614.94</v>
      </c>
      <c r="E2029" s="23">
        <v>42153</v>
      </c>
      <c r="F2029" s="118">
        <v>33614.94</v>
      </c>
      <c r="G2029" s="31">
        <f t="shared" si="62"/>
        <v>0</v>
      </c>
      <c r="H2029" s="56" t="s">
        <v>1013</v>
      </c>
      <c r="I2029" s="3"/>
      <c r="J2029" s="42"/>
      <c r="K2029" s="3"/>
      <c r="M2029" s="20">
        <v>42148</v>
      </c>
      <c r="N2029" s="183">
        <v>22066</v>
      </c>
      <c r="O2029" s="14" t="s">
        <v>1020</v>
      </c>
      <c r="P2029" s="105">
        <v>4602</v>
      </c>
      <c r="Q2029" s="65">
        <v>42148</v>
      </c>
      <c r="R2029" s="106">
        <v>4602</v>
      </c>
      <c r="S2029" s="31">
        <f t="shared" si="63"/>
        <v>0</v>
      </c>
      <c r="T2029" s="39" t="s">
        <v>9</v>
      </c>
    </row>
    <row r="2030" spans="1:20" x14ac:dyDescent="0.25">
      <c r="A2030" s="20">
        <v>42143</v>
      </c>
      <c r="B2030" s="183">
        <v>21604</v>
      </c>
      <c r="C2030" s="14" t="s">
        <v>24</v>
      </c>
      <c r="D2030" s="105">
        <v>76168</v>
      </c>
      <c r="E2030" s="30">
        <v>42165</v>
      </c>
      <c r="F2030" s="145">
        <v>76168</v>
      </c>
      <c r="G2030" s="31">
        <f t="shared" si="62"/>
        <v>0</v>
      </c>
      <c r="H2030" s="56" t="s">
        <v>46</v>
      </c>
      <c r="I2030" s="3"/>
      <c r="J2030" s="42"/>
      <c r="K2030" s="3"/>
      <c r="M2030" s="20">
        <v>42152</v>
      </c>
      <c r="N2030" s="183">
        <v>22543</v>
      </c>
      <c r="O2030" s="14" t="s">
        <v>1020</v>
      </c>
      <c r="P2030" s="105">
        <v>2920.32</v>
      </c>
      <c r="Q2030" s="23"/>
      <c r="R2030" s="106"/>
      <c r="S2030" s="31">
        <f t="shared" si="63"/>
        <v>2920.32</v>
      </c>
      <c r="T2030" s="39" t="s">
        <v>9</v>
      </c>
    </row>
    <row r="2031" spans="1:20" x14ac:dyDescent="0.25">
      <c r="A2031" s="20">
        <v>42143</v>
      </c>
      <c r="B2031" s="183">
        <v>21605</v>
      </c>
      <c r="C2031" s="14" t="s">
        <v>24</v>
      </c>
      <c r="D2031" s="105">
        <v>84796.800000000003</v>
      </c>
      <c r="E2031" s="30">
        <v>42165</v>
      </c>
      <c r="F2031" s="145">
        <v>84796.800000000003</v>
      </c>
      <c r="G2031" s="31">
        <f t="shared" si="62"/>
        <v>0</v>
      </c>
      <c r="H2031" s="56" t="s">
        <v>46</v>
      </c>
      <c r="I2031" s="3"/>
      <c r="J2031" s="42"/>
      <c r="K2031" s="3"/>
      <c r="M2031" s="20">
        <v>42153</v>
      </c>
      <c r="N2031" s="183">
        <v>22667</v>
      </c>
      <c r="O2031" s="14" t="s">
        <v>1020</v>
      </c>
      <c r="P2031" s="105">
        <v>4650.3599999999997</v>
      </c>
      <c r="Q2031" s="23">
        <v>42154</v>
      </c>
      <c r="R2031" s="106">
        <v>4650.3599999999997</v>
      </c>
      <c r="S2031" s="31">
        <f t="shared" si="63"/>
        <v>0</v>
      </c>
      <c r="T2031" s="39" t="s">
        <v>9</v>
      </c>
    </row>
    <row r="2032" spans="1:20" x14ac:dyDescent="0.25">
      <c r="A2032" s="20">
        <v>42143</v>
      </c>
      <c r="B2032" s="183">
        <v>21606</v>
      </c>
      <c r="C2032" s="14" t="s">
        <v>213</v>
      </c>
      <c r="D2032" s="105">
        <v>507242</v>
      </c>
      <c r="E2032" s="23">
        <v>42143</v>
      </c>
      <c r="F2032" s="118">
        <v>507242</v>
      </c>
      <c r="G2032" s="31">
        <f t="shared" si="62"/>
        <v>0</v>
      </c>
      <c r="H2032" s="56" t="s">
        <v>9</v>
      </c>
      <c r="I2032" s="3"/>
      <c r="J2032" s="42"/>
      <c r="K2032" s="3"/>
      <c r="M2032" s="20">
        <v>42154</v>
      </c>
      <c r="N2032" s="183">
        <v>22787</v>
      </c>
      <c r="O2032" s="14" t="s">
        <v>1020</v>
      </c>
      <c r="P2032" s="105">
        <v>5481.84</v>
      </c>
      <c r="Q2032" s="23">
        <v>42154</v>
      </c>
      <c r="R2032" s="106">
        <v>5481.84</v>
      </c>
      <c r="S2032" s="31">
        <f t="shared" si="63"/>
        <v>0</v>
      </c>
      <c r="T2032" s="39" t="s">
        <v>9</v>
      </c>
    </row>
    <row r="2033" spans="1:20" x14ac:dyDescent="0.25">
      <c r="A2033" s="20">
        <v>42143</v>
      </c>
      <c r="B2033" s="183">
        <v>21607</v>
      </c>
      <c r="C2033" s="14" t="s">
        <v>24</v>
      </c>
      <c r="D2033" s="105">
        <v>1313</v>
      </c>
      <c r="E2033" s="30">
        <v>42165</v>
      </c>
      <c r="F2033" s="145">
        <v>1313</v>
      </c>
      <c r="G2033" s="31">
        <f t="shared" si="62"/>
        <v>0</v>
      </c>
      <c r="H2033" s="56" t="s">
        <v>94</v>
      </c>
      <c r="I2033" s="3"/>
      <c r="J2033" s="42"/>
      <c r="K2033" s="3"/>
      <c r="M2033" s="20">
        <v>42155</v>
      </c>
      <c r="N2033" s="183">
        <v>22852</v>
      </c>
      <c r="O2033" s="14" t="s">
        <v>1020</v>
      </c>
      <c r="P2033" s="105">
        <v>2099.7600000000002</v>
      </c>
      <c r="Q2033" s="23">
        <v>42155</v>
      </c>
      <c r="R2033" s="106">
        <v>2099.7600000000002</v>
      </c>
      <c r="S2033" s="31">
        <f t="shared" si="63"/>
        <v>0</v>
      </c>
      <c r="T2033" s="39" t="s">
        <v>9</v>
      </c>
    </row>
    <row r="2034" spans="1:20" x14ac:dyDescent="0.25">
      <c r="A2034" s="20">
        <v>42143</v>
      </c>
      <c r="B2034" s="183">
        <v>21608</v>
      </c>
      <c r="C2034" s="14" t="s">
        <v>80</v>
      </c>
      <c r="D2034" s="105">
        <v>6592</v>
      </c>
      <c r="E2034" s="23">
        <v>42143</v>
      </c>
      <c r="F2034" s="118">
        <v>6592</v>
      </c>
      <c r="G2034" s="31">
        <f t="shared" si="62"/>
        <v>0</v>
      </c>
      <c r="H2034" s="56" t="s">
        <v>9</v>
      </c>
      <c r="I2034" s="3"/>
      <c r="J2034" s="42"/>
      <c r="K2034" s="3"/>
      <c r="M2034" s="20">
        <v>42128</v>
      </c>
      <c r="N2034" s="183">
        <v>19902</v>
      </c>
      <c r="O2034" s="14" t="s">
        <v>474</v>
      </c>
      <c r="P2034" s="105">
        <v>4305</v>
      </c>
      <c r="Q2034" s="23">
        <v>42128</v>
      </c>
      <c r="R2034" s="106">
        <v>4305</v>
      </c>
      <c r="S2034" s="31">
        <f t="shared" si="63"/>
        <v>0</v>
      </c>
      <c r="T2034" s="19" t="s">
        <v>9</v>
      </c>
    </row>
    <row r="2035" spans="1:20" x14ac:dyDescent="0.25">
      <c r="A2035" s="20">
        <v>42143</v>
      </c>
      <c r="B2035" s="183">
        <v>21609</v>
      </c>
      <c r="C2035" s="14" t="s">
        <v>24</v>
      </c>
      <c r="D2035" s="105">
        <v>5508</v>
      </c>
      <c r="E2035" s="30">
        <v>42165</v>
      </c>
      <c r="F2035" s="145">
        <v>5508</v>
      </c>
      <c r="G2035" s="31">
        <f t="shared" si="62"/>
        <v>0</v>
      </c>
      <c r="H2035" s="56" t="s">
        <v>59</v>
      </c>
      <c r="I2035" s="3"/>
      <c r="J2035" s="42"/>
      <c r="K2035" s="3"/>
      <c r="M2035" s="20">
        <v>42153</v>
      </c>
      <c r="N2035" s="183">
        <v>22574</v>
      </c>
      <c r="O2035" s="14" t="s">
        <v>474</v>
      </c>
      <c r="P2035" s="105">
        <v>4838</v>
      </c>
      <c r="Q2035" s="23">
        <v>42153</v>
      </c>
      <c r="R2035" s="106">
        <v>4838</v>
      </c>
      <c r="S2035" s="31">
        <f t="shared" si="63"/>
        <v>0</v>
      </c>
      <c r="T2035" s="39" t="s">
        <v>9</v>
      </c>
    </row>
    <row r="2036" spans="1:20" x14ac:dyDescent="0.25">
      <c r="A2036" s="20">
        <v>42143</v>
      </c>
      <c r="B2036" s="183">
        <v>21610</v>
      </c>
      <c r="C2036" s="14" t="s">
        <v>1101</v>
      </c>
      <c r="D2036" s="105">
        <v>515.6</v>
      </c>
      <c r="E2036" s="23">
        <v>42144</v>
      </c>
      <c r="F2036" s="118">
        <v>515.6</v>
      </c>
      <c r="G2036" s="31">
        <f t="shared" si="62"/>
        <v>0</v>
      </c>
      <c r="H2036" s="56" t="s">
        <v>9</v>
      </c>
      <c r="I2036" s="3"/>
      <c r="J2036" s="42"/>
      <c r="K2036" s="3"/>
      <c r="M2036" s="20">
        <v>42129</v>
      </c>
      <c r="N2036" s="183">
        <v>20028</v>
      </c>
      <c r="O2036" s="14" t="s">
        <v>1191</v>
      </c>
      <c r="P2036" s="105">
        <v>4843.8</v>
      </c>
      <c r="Q2036" s="23">
        <v>42129</v>
      </c>
      <c r="R2036" s="106">
        <v>4843.8</v>
      </c>
      <c r="S2036" s="31">
        <f t="shared" si="63"/>
        <v>0</v>
      </c>
      <c r="T2036" s="39" t="s">
        <v>9</v>
      </c>
    </row>
    <row r="2037" spans="1:20" x14ac:dyDescent="0.25">
      <c r="A2037" s="20">
        <v>42143</v>
      </c>
      <c r="B2037" s="183">
        <v>21611</v>
      </c>
      <c r="C2037" s="14" t="s">
        <v>59</v>
      </c>
      <c r="D2037" s="105">
        <v>134.4</v>
      </c>
      <c r="E2037" s="23">
        <v>42146</v>
      </c>
      <c r="F2037" s="118">
        <v>134.4</v>
      </c>
      <c r="G2037" s="31">
        <f t="shared" si="62"/>
        <v>0</v>
      </c>
      <c r="H2037" s="56" t="s">
        <v>59</v>
      </c>
      <c r="I2037" s="3"/>
      <c r="J2037" s="42"/>
      <c r="K2037" s="3"/>
      <c r="M2037" s="20">
        <v>42146</v>
      </c>
      <c r="N2037" s="183">
        <v>21946</v>
      </c>
      <c r="O2037" s="14" t="s">
        <v>1191</v>
      </c>
      <c r="P2037" s="105">
        <v>5448</v>
      </c>
      <c r="Q2037" s="23">
        <v>42147</v>
      </c>
      <c r="R2037" s="106">
        <v>5448</v>
      </c>
      <c r="S2037" s="31">
        <f t="shared" si="63"/>
        <v>0</v>
      </c>
      <c r="T2037" s="39" t="s">
        <v>587</v>
      </c>
    </row>
    <row r="2038" spans="1:20" x14ac:dyDescent="0.25">
      <c r="A2038" s="20">
        <v>42143</v>
      </c>
      <c r="B2038" s="183">
        <v>21612</v>
      </c>
      <c r="C2038" s="14" t="s">
        <v>1423</v>
      </c>
      <c r="D2038" s="122">
        <v>85687.65</v>
      </c>
      <c r="E2038" s="30">
        <v>42180</v>
      </c>
      <c r="F2038" s="145">
        <v>85687.65</v>
      </c>
      <c r="G2038" s="31">
        <f t="shared" si="62"/>
        <v>0</v>
      </c>
      <c r="H2038" s="56" t="s">
        <v>9</v>
      </c>
      <c r="I2038" s="3"/>
      <c r="J2038" s="42"/>
      <c r="K2038" s="3"/>
      <c r="M2038" s="20">
        <v>42152</v>
      </c>
      <c r="N2038" s="183">
        <v>22483</v>
      </c>
      <c r="O2038" s="14" t="s">
        <v>1424</v>
      </c>
      <c r="P2038" s="105">
        <v>1862</v>
      </c>
      <c r="Q2038" s="23">
        <v>42152</v>
      </c>
      <c r="R2038" s="106">
        <v>1862</v>
      </c>
      <c r="S2038" s="31">
        <f t="shared" si="63"/>
        <v>0</v>
      </c>
      <c r="T2038" s="39" t="s">
        <v>59</v>
      </c>
    </row>
    <row r="2039" spans="1:20" x14ac:dyDescent="0.25">
      <c r="A2039" s="20">
        <v>42144</v>
      </c>
      <c r="B2039" s="183">
        <v>21613</v>
      </c>
      <c r="C2039" s="14" t="s">
        <v>720</v>
      </c>
      <c r="D2039" s="105">
        <v>10432</v>
      </c>
      <c r="E2039" s="23">
        <v>42144</v>
      </c>
      <c r="F2039" s="118">
        <v>10432</v>
      </c>
      <c r="G2039" s="31">
        <f t="shared" si="62"/>
        <v>0</v>
      </c>
      <c r="H2039" s="56" t="s">
        <v>9</v>
      </c>
      <c r="I2039" s="3"/>
      <c r="J2039" s="42"/>
      <c r="K2039" s="3"/>
      <c r="M2039" s="20">
        <v>42125</v>
      </c>
      <c r="N2039" s="183">
        <v>19668</v>
      </c>
      <c r="O2039" s="14" t="s">
        <v>1267</v>
      </c>
      <c r="P2039" s="105">
        <v>800</v>
      </c>
      <c r="Q2039" s="23">
        <v>42126</v>
      </c>
      <c r="R2039" s="106">
        <v>800</v>
      </c>
      <c r="S2039" s="25">
        <f t="shared" si="63"/>
        <v>0</v>
      </c>
      <c r="T2039" s="39" t="s">
        <v>19</v>
      </c>
    </row>
    <row r="2040" spans="1:20" x14ac:dyDescent="0.25">
      <c r="A2040" s="20">
        <v>42144</v>
      </c>
      <c r="B2040" s="183">
        <v>21614</v>
      </c>
      <c r="C2040" s="26" t="s">
        <v>218</v>
      </c>
      <c r="D2040" s="108">
        <v>0</v>
      </c>
      <c r="E2040" s="23"/>
      <c r="F2040" s="118"/>
      <c r="G2040" s="31">
        <f t="shared" si="62"/>
        <v>0</v>
      </c>
      <c r="H2040" s="56" t="s">
        <v>13</v>
      </c>
      <c r="I2040" s="3"/>
      <c r="J2040" s="42"/>
      <c r="K2040" s="3"/>
      <c r="M2040" s="20">
        <v>42126</v>
      </c>
      <c r="N2040" s="183">
        <v>19794</v>
      </c>
      <c r="O2040" s="40" t="s">
        <v>1267</v>
      </c>
      <c r="P2040" s="105">
        <v>1400</v>
      </c>
      <c r="Q2040" s="23">
        <v>42128</v>
      </c>
      <c r="R2040" s="106">
        <v>1400</v>
      </c>
      <c r="S2040" s="31">
        <f t="shared" si="63"/>
        <v>0</v>
      </c>
      <c r="T2040" s="41" t="s">
        <v>19</v>
      </c>
    </row>
    <row r="2041" spans="1:20" x14ac:dyDescent="0.25">
      <c r="A2041" s="20">
        <v>42144</v>
      </c>
      <c r="B2041" s="183">
        <v>21615</v>
      </c>
      <c r="C2041" s="14" t="s">
        <v>14</v>
      </c>
      <c r="D2041" s="105">
        <v>20161.8</v>
      </c>
      <c r="E2041" s="23">
        <v>42153</v>
      </c>
      <c r="F2041" s="118">
        <v>20161.8</v>
      </c>
      <c r="G2041" s="31">
        <f t="shared" si="62"/>
        <v>0</v>
      </c>
      <c r="H2041" s="56" t="s">
        <v>15</v>
      </c>
      <c r="I2041" s="3"/>
      <c r="J2041" s="42"/>
      <c r="K2041" s="3"/>
      <c r="M2041" s="20">
        <v>42128</v>
      </c>
      <c r="N2041" s="183">
        <v>19959</v>
      </c>
      <c r="O2041" s="14" t="s">
        <v>1267</v>
      </c>
      <c r="P2041" s="105">
        <v>1000</v>
      </c>
      <c r="Q2041" s="23">
        <v>42128</v>
      </c>
      <c r="R2041" s="106">
        <v>1000</v>
      </c>
      <c r="S2041" s="31">
        <f t="shared" si="63"/>
        <v>0</v>
      </c>
      <c r="T2041" s="19" t="s">
        <v>9</v>
      </c>
    </row>
    <row r="2042" spans="1:20" x14ac:dyDescent="0.25">
      <c r="A2042" s="20">
        <v>42144</v>
      </c>
      <c r="B2042" s="183">
        <v>21616</v>
      </c>
      <c r="C2042" s="14" t="s">
        <v>20</v>
      </c>
      <c r="D2042" s="105">
        <v>9267.7000000000007</v>
      </c>
      <c r="E2042" s="23">
        <v>42144</v>
      </c>
      <c r="F2042" s="118">
        <v>9267.7000000000007</v>
      </c>
      <c r="G2042" s="31">
        <f t="shared" si="62"/>
        <v>0</v>
      </c>
      <c r="H2042" s="56" t="s">
        <v>94</v>
      </c>
      <c r="I2042" s="3"/>
      <c r="J2042" s="42"/>
      <c r="K2042" s="3"/>
      <c r="M2042" s="20">
        <v>42129</v>
      </c>
      <c r="N2042" s="183">
        <v>20082</v>
      </c>
      <c r="O2042" s="14" t="s">
        <v>1267</v>
      </c>
      <c r="P2042" s="105">
        <v>600</v>
      </c>
      <c r="Q2042" s="23">
        <v>42129</v>
      </c>
      <c r="R2042" s="106">
        <v>600</v>
      </c>
      <c r="S2042" s="31">
        <f t="shared" si="63"/>
        <v>0</v>
      </c>
      <c r="T2042" s="39" t="s">
        <v>1273</v>
      </c>
    </row>
    <row r="2043" spans="1:20" x14ac:dyDescent="0.25">
      <c r="A2043" s="20">
        <v>42144</v>
      </c>
      <c r="B2043" s="183">
        <v>21617</v>
      </c>
      <c r="C2043" s="14" t="s">
        <v>215</v>
      </c>
      <c r="D2043" s="105">
        <v>23606.400000000001</v>
      </c>
      <c r="E2043" s="23">
        <v>42144</v>
      </c>
      <c r="F2043" s="118">
        <v>23606.400000000001</v>
      </c>
      <c r="G2043" s="31">
        <f t="shared" si="62"/>
        <v>0</v>
      </c>
      <c r="H2043" s="56" t="s">
        <v>1273</v>
      </c>
      <c r="I2043" s="3"/>
      <c r="J2043" s="42"/>
      <c r="K2043" s="3"/>
      <c r="M2043" s="20">
        <v>42131</v>
      </c>
      <c r="N2043" s="183">
        <v>20292</v>
      </c>
      <c r="O2043" s="14" t="s">
        <v>1267</v>
      </c>
      <c r="P2043" s="105">
        <v>927.6</v>
      </c>
      <c r="Q2043" s="23">
        <v>42132</v>
      </c>
      <c r="R2043" s="106">
        <v>927.6</v>
      </c>
      <c r="S2043" s="31">
        <f t="shared" si="63"/>
        <v>0</v>
      </c>
      <c r="T2043" s="19" t="s">
        <v>1273</v>
      </c>
    </row>
    <row r="2044" spans="1:20" x14ac:dyDescent="0.25">
      <c r="A2044" s="20">
        <v>42144</v>
      </c>
      <c r="B2044" s="183">
        <v>21618</v>
      </c>
      <c r="C2044" s="14" t="s">
        <v>1256</v>
      </c>
      <c r="D2044" s="105">
        <v>4466</v>
      </c>
      <c r="E2044" s="23">
        <v>42144</v>
      </c>
      <c r="F2044" s="118">
        <v>4466</v>
      </c>
      <c r="G2044" s="31">
        <f t="shared" si="62"/>
        <v>0</v>
      </c>
      <c r="H2044" s="56" t="s">
        <v>1257</v>
      </c>
      <c r="I2044" s="3"/>
      <c r="J2044" s="42"/>
      <c r="K2044" s="3"/>
      <c r="M2044" s="20">
        <v>42133</v>
      </c>
      <c r="N2044" s="183">
        <v>20534</v>
      </c>
      <c r="O2044" s="14" t="s">
        <v>1267</v>
      </c>
      <c r="P2044" s="105">
        <v>6000</v>
      </c>
      <c r="Q2044" s="23">
        <v>42135</v>
      </c>
      <c r="R2044" s="106">
        <v>6000</v>
      </c>
      <c r="S2044" s="31">
        <f t="shared" si="63"/>
        <v>0</v>
      </c>
      <c r="T2044" s="19" t="s">
        <v>94</v>
      </c>
    </row>
    <row r="2045" spans="1:20" x14ac:dyDescent="0.25">
      <c r="A2045" s="20">
        <v>42144</v>
      </c>
      <c r="B2045" s="183">
        <v>21619</v>
      </c>
      <c r="C2045" s="14" t="s">
        <v>99</v>
      </c>
      <c r="D2045" s="105">
        <v>2412</v>
      </c>
      <c r="E2045" s="23">
        <v>42144</v>
      </c>
      <c r="F2045" s="118">
        <v>2412</v>
      </c>
      <c r="G2045" s="31">
        <f t="shared" si="62"/>
        <v>0</v>
      </c>
      <c r="H2045" s="56" t="s">
        <v>94</v>
      </c>
      <c r="I2045" s="3"/>
      <c r="J2045" s="42"/>
      <c r="K2045" s="3"/>
      <c r="M2045" s="20">
        <v>42139</v>
      </c>
      <c r="N2045" s="183">
        <v>21169</v>
      </c>
      <c r="O2045" s="14" t="s">
        <v>1267</v>
      </c>
      <c r="P2045" s="105">
        <v>1000</v>
      </c>
      <c r="Q2045" s="23">
        <v>42140</v>
      </c>
      <c r="R2045" s="106">
        <v>1000</v>
      </c>
      <c r="S2045" s="48">
        <f t="shared" si="63"/>
        <v>0</v>
      </c>
      <c r="T2045" s="39" t="s">
        <v>9</v>
      </c>
    </row>
    <row r="2046" spans="1:20" x14ac:dyDescent="0.25">
      <c r="A2046" s="20">
        <v>42144</v>
      </c>
      <c r="B2046" s="183">
        <v>21620</v>
      </c>
      <c r="C2046" s="14" t="s">
        <v>22</v>
      </c>
      <c r="D2046" s="105">
        <v>4664</v>
      </c>
      <c r="E2046" s="23">
        <v>42144</v>
      </c>
      <c r="F2046" s="118">
        <v>4664</v>
      </c>
      <c r="G2046" s="31">
        <f t="shared" si="62"/>
        <v>0</v>
      </c>
      <c r="H2046" s="56" t="s">
        <v>9</v>
      </c>
      <c r="I2046" s="3"/>
      <c r="J2046" s="42"/>
      <c r="K2046" s="3"/>
      <c r="M2046" s="20">
        <v>42140</v>
      </c>
      <c r="N2046" s="183">
        <v>21296</v>
      </c>
      <c r="O2046" s="14" t="s">
        <v>1267</v>
      </c>
      <c r="P2046" s="105">
        <v>1000</v>
      </c>
      <c r="Q2046" s="23">
        <v>42142</v>
      </c>
      <c r="R2046" s="118">
        <v>1000</v>
      </c>
      <c r="S2046" s="31">
        <f t="shared" si="63"/>
        <v>0</v>
      </c>
      <c r="T2046" s="62" t="s">
        <v>1273</v>
      </c>
    </row>
    <row r="2047" spans="1:20" x14ac:dyDescent="0.25">
      <c r="A2047" s="20">
        <v>42144</v>
      </c>
      <c r="B2047" s="183">
        <v>21621</v>
      </c>
      <c r="C2047" s="14" t="s">
        <v>226</v>
      </c>
      <c r="D2047" s="105">
        <v>2217.6</v>
      </c>
      <c r="E2047" s="23">
        <v>42144</v>
      </c>
      <c r="F2047" s="118">
        <v>2217.6</v>
      </c>
      <c r="G2047" s="31">
        <f t="shared" si="62"/>
        <v>0</v>
      </c>
      <c r="H2047" s="62" t="s">
        <v>94</v>
      </c>
      <c r="I2047" s="3"/>
      <c r="J2047" s="42"/>
      <c r="K2047" s="3"/>
      <c r="M2047" s="20">
        <v>42141</v>
      </c>
      <c r="N2047" s="183">
        <v>21376</v>
      </c>
      <c r="O2047" s="14" t="s">
        <v>1267</v>
      </c>
      <c r="P2047" s="105">
        <v>1000</v>
      </c>
      <c r="Q2047" s="23">
        <v>42142</v>
      </c>
      <c r="R2047" s="118">
        <v>1000</v>
      </c>
      <c r="S2047" s="31">
        <f t="shared" si="63"/>
        <v>0</v>
      </c>
      <c r="T2047" s="56" t="s">
        <v>1257</v>
      </c>
    </row>
    <row r="2048" spans="1:20" x14ac:dyDescent="0.25">
      <c r="A2048" s="20">
        <v>42144</v>
      </c>
      <c r="B2048" s="183">
        <v>21622</v>
      </c>
      <c r="C2048" s="14" t="s">
        <v>1190</v>
      </c>
      <c r="D2048" s="105">
        <v>4802.6000000000004</v>
      </c>
      <c r="E2048" s="23">
        <v>42144</v>
      </c>
      <c r="F2048" s="118">
        <v>4802.6000000000004</v>
      </c>
      <c r="G2048" s="31">
        <f t="shared" si="62"/>
        <v>0</v>
      </c>
      <c r="H2048" s="62" t="s">
        <v>587</v>
      </c>
      <c r="I2048" s="3"/>
      <c r="J2048" s="42"/>
      <c r="K2048" s="3"/>
      <c r="M2048" s="20">
        <v>42143</v>
      </c>
      <c r="N2048" s="183">
        <v>21599</v>
      </c>
      <c r="O2048" s="14" t="s">
        <v>1267</v>
      </c>
      <c r="P2048" s="105">
        <v>1000</v>
      </c>
      <c r="Q2048" s="23">
        <v>42144</v>
      </c>
      <c r="R2048" s="118">
        <v>1000</v>
      </c>
      <c r="S2048" s="31">
        <f t="shared" si="63"/>
        <v>0</v>
      </c>
      <c r="T2048" s="56" t="s">
        <v>1273</v>
      </c>
    </row>
    <row r="2049" spans="1:20" x14ac:dyDescent="0.25">
      <c r="A2049" s="20">
        <v>42144</v>
      </c>
      <c r="B2049" s="183">
        <v>21623</v>
      </c>
      <c r="C2049" s="26" t="s">
        <v>218</v>
      </c>
      <c r="D2049" s="108">
        <v>0</v>
      </c>
      <c r="E2049" s="23"/>
      <c r="F2049" s="118"/>
      <c r="G2049" s="31">
        <f t="shared" si="62"/>
        <v>0</v>
      </c>
      <c r="H2049" s="62" t="s">
        <v>13</v>
      </c>
      <c r="I2049" s="3"/>
      <c r="J2049" s="42"/>
      <c r="K2049" s="3"/>
      <c r="M2049" s="20">
        <v>42145</v>
      </c>
      <c r="N2049" s="183">
        <v>21785</v>
      </c>
      <c r="O2049" s="15" t="s">
        <v>1267</v>
      </c>
      <c r="P2049" s="122">
        <v>1000</v>
      </c>
      <c r="Q2049" s="23">
        <v>42145</v>
      </c>
      <c r="R2049" s="118">
        <v>1000</v>
      </c>
      <c r="S2049" s="31">
        <f t="shared" si="63"/>
        <v>0</v>
      </c>
      <c r="T2049" s="68" t="s">
        <v>62</v>
      </c>
    </row>
    <row r="2050" spans="1:20" x14ac:dyDescent="0.25">
      <c r="A2050" s="20">
        <v>42144</v>
      </c>
      <c r="B2050" s="183">
        <v>21624</v>
      </c>
      <c r="C2050" s="14" t="s">
        <v>1290</v>
      </c>
      <c r="D2050" s="105">
        <v>2649.1</v>
      </c>
      <c r="E2050" s="23">
        <v>42144</v>
      </c>
      <c r="F2050" s="118">
        <v>2649.1</v>
      </c>
      <c r="G2050" s="31">
        <f t="shared" si="62"/>
        <v>0</v>
      </c>
      <c r="H2050" s="62" t="s">
        <v>587</v>
      </c>
      <c r="I2050" s="3"/>
      <c r="J2050" s="42"/>
      <c r="K2050" s="3"/>
      <c r="M2050" s="20">
        <v>42146</v>
      </c>
      <c r="N2050" s="183">
        <v>21929</v>
      </c>
      <c r="O2050" s="14" t="s">
        <v>1267</v>
      </c>
      <c r="P2050" s="105">
        <v>1200</v>
      </c>
      <c r="Q2050" s="23">
        <v>42147</v>
      </c>
      <c r="R2050" s="106">
        <v>1200</v>
      </c>
      <c r="S2050" s="31">
        <f t="shared" si="63"/>
        <v>0</v>
      </c>
      <c r="T2050" s="39" t="s">
        <v>1273</v>
      </c>
    </row>
    <row r="2051" spans="1:20" x14ac:dyDescent="0.25">
      <c r="A2051" s="20">
        <v>42144</v>
      </c>
      <c r="B2051" s="183">
        <v>21625</v>
      </c>
      <c r="C2051" s="14" t="s">
        <v>1174</v>
      </c>
      <c r="D2051" s="105">
        <v>2938.2</v>
      </c>
      <c r="E2051" s="23">
        <v>42144</v>
      </c>
      <c r="F2051" s="118">
        <v>2938.2</v>
      </c>
      <c r="G2051" s="31">
        <f t="shared" ref="G2051:G2114" si="64">D2051-F2051</f>
        <v>0</v>
      </c>
      <c r="H2051" s="62" t="s">
        <v>587</v>
      </c>
      <c r="I2051" s="3"/>
      <c r="J2051" s="42"/>
      <c r="K2051" s="3"/>
      <c r="M2051" s="20">
        <v>42147</v>
      </c>
      <c r="N2051" s="183">
        <v>22046</v>
      </c>
      <c r="O2051" s="14" t="s">
        <v>1267</v>
      </c>
      <c r="P2051" s="105">
        <v>2528.6</v>
      </c>
      <c r="Q2051" s="65">
        <v>42149</v>
      </c>
      <c r="R2051" s="106">
        <v>2528.6</v>
      </c>
      <c r="S2051" s="31">
        <f t="shared" ref="S2051:S2114" si="65">P2051-R2051</f>
        <v>0</v>
      </c>
      <c r="T2051" s="39" t="s">
        <v>1273</v>
      </c>
    </row>
    <row r="2052" spans="1:20" x14ac:dyDescent="0.25">
      <c r="A2052" s="20">
        <v>42144</v>
      </c>
      <c r="B2052" s="183">
        <v>21626</v>
      </c>
      <c r="C2052" s="14" t="s">
        <v>1173</v>
      </c>
      <c r="D2052" s="105">
        <v>2289.25</v>
      </c>
      <c r="E2052" s="23">
        <v>42144</v>
      </c>
      <c r="F2052" s="118">
        <v>2289.25</v>
      </c>
      <c r="G2052" s="31">
        <f t="shared" si="64"/>
        <v>0</v>
      </c>
      <c r="H2052" s="62" t="s">
        <v>587</v>
      </c>
      <c r="I2052" s="3"/>
      <c r="J2052" s="42"/>
      <c r="K2052" s="3"/>
      <c r="M2052" s="20">
        <v>42149</v>
      </c>
      <c r="N2052" s="183">
        <v>22199</v>
      </c>
      <c r="O2052" s="14" t="s">
        <v>1267</v>
      </c>
      <c r="P2052" s="105">
        <v>1640</v>
      </c>
      <c r="Q2052" s="65">
        <v>42150</v>
      </c>
      <c r="R2052" s="106">
        <v>1640</v>
      </c>
      <c r="S2052" s="31">
        <f t="shared" si="65"/>
        <v>0</v>
      </c>
      <c r="T2052" s="39" t="s">
        <v>94</v>
      </c>
    </row>
    <row r="2053" spans="1:20" x14ac:dyDescent="0.25">
      <c r="A2053" s="20">
        <v>42144</v>
      </c>
      <c r="B2053" s="183">
        <v>21627</v>
      </c>
      <c r="C2053" s="14" t="s">
        <v>940</v>
      </c>
      <c r="D2053" s="105">
        <v>2401.3000000000002</v>
      </c>
      <c r="E2053" s="23">
        <v>42144</v>
      </c>
      <c r="F2053" s="118">
        <v>2401.3000000000002</v>
      </c>
      <c r="G2053" s="31">
        <f t="shared" si="64"/>
        <v>0</v>
      </c>
      <c r="H2053" s="62" t="s">
        <v>587</v>
      </c>
      <c r="I2053" s="3"/>
      <c r="J2053" s="42"/>
      <c r="K2053" s="3"/>
      <c r="M2053" s="20">
        <v>42147</v>
      </c>
      <c r="N2053" s="183">
        <v>21978</v>
      </c>
      <c r="O2053" s="14" t="s">
        <v>1425</v>
      </c>
      <c r="P2053" s="105">
        <v>10854.8</v>
      </c>
      <c r="Q2053" s="152" t="s">
        <v>1426</v>
      </c>
      <c r="R2053" s="106">
        <f>7500+3354.8</f>
        <v>10854.8</v>
      </c>
      <c r="S2053" s="31">
        <f t="shared" si="65"/>
        <v>0</v>
      </c>
      <c r="T2053" s="39" t="s">
        <v>9</v>
      </c>
    </row>
    <row r="2054" spans="1:20" x14ac:dyDescent="0.25">
      <c r="A2054" s="20">
        <v>42144</v>
      </c>
      <c r="B2054" s="183">
        <v>21628</v>
      </c>
      <c r="C2054" s="14" t="s">
        <v>1297</v>
      </c>
      <c r="D2054" s="105">
        <v>5276.2</v>
      </c>
      <c r="E2054" s="23">
        <v>42144</v>
      </c>
      <c r="F2054" s="118">
        <v>5276.2</v>
      </c>
      <c r="G2054" s="31">
        <f t="shared" si="64"/>
        <v>0</v>
      </c>
      <c r="H2054" s="62" t="s">
        <v>9</v>
      </c>
      <c r="I2054" s="3"/>
      <c r="J2054" s="42"/>
      <c r="K2054" s="3"/>
      <c r="M2054" s="20">
        <v>42148</v>
      </c>
      <c r="N2054" s="183">
        <v>22067</v>
      </c>
      <c r="O2054" s="14" t="s">
        <v>1425</v>
      </c>
      <c r="P2054" s="105">
        <v>5214.2</v>
      </c>
      <c r="Q2054" s="152" t="s">
        <v>1427</v>
      </c>
      <c r="R2054" s="106">
        <f>2200+3014.2</f>
        <v>5214.2</v>
      </c>
      <c r="S2054" s="31">
        <f t="shared" si="65"/>
        <v>0</v>
      </c>
      <c r="T2054" s="39" t="s">
        <v>9</v>
      </c>
    </row>
    <row r="2055" spans="1:20" x14ac:dyDescent="0.25">
      <c r="A2055" s="20">
        <v>42144</v>
      </c>
      <c r="B2055" s="183">
        <v>21629</v>
      </c>
      <c r="C2055" s="14" t="s">
        <v>145</v>
      </c>
      <c r="D2055" s="105">
        <v>1602</v>
      </c>
      <c r="E2055" s="23">
        <v>42144</v>
      </c>
      <c r="F2055" s="118">
        <v>1602</v>
      </c>
      <c r="G2055" s="31">
        <f t="shared" si="64"/>
        <v>0</v>
      </c>
      <c r="H2055" s="62" t="s">
        <v>9</v>
      </c>
      <c r="I2055" s="3"/>
      <c r="J2055" s="42"/>
      <c r="K2055" s="3"/>
      <c r="M2055" s="20">
        <v>42149</v>
      </c>
      <c r="N2055" s="183">
        <v>22166</v>
      </c>
      <c r="O2055" s="14" t="s">
        <v>1425</v>
      </c>
      <c r="P2055" s="105">
        <v>1993.5</v>
      </c>
      <c r="Q2055" s="65">
        <v>42151</v>
      </c>
      <c r="R2055" s="106">
        <v>1993.5</v>
      </c>
      <c r="S2055" s="31">
        <f t="shared" si="65"/>
        <v>0</v>
      </c>
      <c r="T2055" s="39" t="s">
        <v>9</v>
      </c>
    </row>
    <row r="2056" spans="1:20" x14ac:dyDescent="0.25">
      <c r="A2056" s="20">
        <v>42144</v>
      </c>
      <c r="B2056" s="183">
        <v>21630</v>
      </c>
      <c r="C2056" s="14" t="s">
        <v>854</v>
      </c>
      <c r="D2056" s="105">
        <v>5691.6</v>
      </c>
      <c r="E2056" s="23" t="s">
        <v>1428</v>
      </c>
      <c r="F2056" s="118">
        <f>5391.6+300</f>
        <v>5691.6</v>
      </c>
      <c r="G2056" s="31">
        <f t="shared" si="64"/>
        <v>0</v>
      </c>
      <c r="H2056" s="62" t="s">
        <v>9</v>
      </c>
      <c r="I2056" s="3"/>
      <c r="J2056" s="42"/>
      <c r="K2056" s="3"/>
      <c r="M2056" s="20">
        <v>42149</v>
      </c>
      <c r="N2056" s="183">
        <v>22167</v>
      </c>
      <c r="O2056" s="14" t="s">
        <v>1425</v>
      </c>
      <c r="P2056" s="105">
        <v>2537.6999999999998</v>
      </c>
      <c r="Q2056" s="65">
        <v>42149</v>
      </c>
      <c r="R2056" s="106">
        <v>2537.6999999999998</v>
      </c>
      <c r="S2056" s="31">
        <f t="shared" si="65"/>
        <v>0</v>
      </c>
      <c r="T2056" s="39" t="s">
        <v>9</v>
      </c>
    </row>
    <row r="2057" spans="1:20" x14ac:dyDescent="0.25">
      <c r="A2057" s="20">
        <v>42144</v>
      </c>
      <c r="B2057" s="183">
        <v>21631</v>
      </c>
      <c r="C2057" s="14" t="s">
        <v>125</v>
      </c>
      <c r="D2057" s="105">
        <v>10549.2</v>
      </c>
      <c r="E2057" s="23">
        <v>42152</v>
      </c>
      <c r="F2057" s="118">
        <v>10549.2</v>
      </c>
      <c r="G2057" s="48">
        <f t="shared" si="64"/>
        <v>0</v>
      </c>
      <c r="H2057" s="62" t="s">
        <v>9</v>
      </c>
      <c r="I2057" s="3"/>
      <c r="J2057" s="42"/>
      <c r="K2057" s="3"/>
      <c r="M2057" s="20">
        <v>42150</v>
      </c>
      <c r="N2057" s="183">
        <v>22261</v>
      </c>
      <c r="O2057" s="14" t="s">
        <v>1425</v>
      </c>
      <c r="P2057" s="105">
        <v>3102</v>
      </c>
      <c r="Q2057" s="65">
        <v>42151</v>
      </c>
      <c r="R2057" s="106">
        <v>3102</v>
      </c>
      <c r="S2057" s="31">
        <f t="shared" si="65"/>
        <v>0</v>
      </c>
      <c r="T2057" s="39" t="s">
        <v>9</v>
      </c>
    </row>
    <row r="2058" spans="1:20" x14ac:dyDescent="0.25">
      <c r="A2058" s="20">
        <v>42144</v>
      </c>
      <c r="B2058" s="183">
        <v>21632</v>
      </c>
      <c r="C2058" s="14" t="s">
        <v>121</v>
      </c>
      <c r="D2058" s="105">
        <v>2523.4</v>
      </c>
      <c r="E2058" s="23">
        <v>42144</v>
      </c>
      <c r="F2058" s="118">
        <v>2523.4</v>
      </c>
      <c r="G2058" s="31">
        <f t="shared" si="64"/>
        <v>0</v>
      </c>
      <c r="H2058" s="62" t="s">
        <v>9</v>
      </c>
      <c r="I2058" s="3"/>
      <c r="J2058" s="42"/>
      <c r="K2058" s="3"/>
      <c r="M2058" s="20">
        <v>42151</v>
      </c>
      <c r="N2058" s="183">
        <v>22342</v>
      </c>
      <c r="O2058" s="14" t="s">
        <v>1425</v>
      </c>
      <c r="P2058" s="105">
        <v>5867</v>
      </c>
      <c r="Q2058" s="65">
        <v>42152</v>
      </c>
      <c r="R2058" s="106">
        <v>5867</v>
      </c>
      <c r="S2058" s="31">
        <f t="shared" si="65"/>
        <v>0</v>
      </c>
      <c r="T2058" s="39" t="s">
        <v>9</v>
      </c>
    </row>
    <row r="2059" spans="1:20" x14ac:dyDescent="0.25">
      <c r="A2059" s="20">
        <v>42144</v>
      </c>
      <c r="B2059" s="183">
        <v>21633</v>
      </c>
      <c r="C2059" s="14" t="s">
        <v>591</v>
      </c>
      <c r="D2059" s="105">
        <v>13257.54</v>
      </c>
      <c r="E2059" s="23">
        <v>42145</v>
      </c>
      <c r="F2059" s="118">
        <v>13257.54</v>
      </c>
      <c r="G2059" s="31">
        <f t="shared" si="64"/>
        <v>0</v>
      </c>
      <c r="H2059" s="62" t="s">
        <v>773</v>
      </c>
      <c r="I2059" s="3"/>
      <c r="J2059" s="42"/>
      <c r="K2059" s="3"/>
      <c r="M2059" s="20">
        <v>42152</v>
      </c>
      <c r="N2059" s="183">
        <v>22435</v>
      </c>
      <c r="O2059" s="14" t="s">
        <v>1425</v>
      </c>
      <c r="P2059" s="105">
        <v>6765.4</v>
      </c>
      <c r="Q2059" s="23">
        <v>42153</v>
      </c>
      <c r="R2059" s="106">
        <v>6765.4</v>
      </c>
      <c r="S2059" s="31">
        <f t="shared" si="65"/>
        <v>0</v>
      </c>
      <c r="T2059" s="39" t="s">
        <v>9</v>
      </c>
    </row>
    <row r="2060" spans="1:20" x14ac:dyDescent="0.25">
      <c r="A2060" s="20">
        <v>42144</v>
      </c>
      <c r="B2060" s="183">
        <v>21634</v>
      </c>
      <c r="C2060" s="14" t="s">
        <v>151</v>
      </c>
      <c r="D2060" s="105">
        <v>6864.5</v>
      </c>
      <c r="E2060" s="23">
        <v>42145</v>
      </c>
      <c r="F2060" s="118">
        <v>6864.5</v>
      </c>
      <c r="G2060" s="31">
        <f t="shared" si="64"/>
        <v>0</v>
      </c>
      <c r="H2060" s="62" t="s">
        <v>9</v>
      </c>
      <c r="I2060" s="3"/>
      <c r="J2060" s="42"/>
      <c r="K2060" s="3"/>
      <c r="M2060" s="20">
        <v>42153</v>
      </c>
      <c r="N2060" s="183">
        <v>22551</v>
      </c>
      <c r="O2060" s="14" t="s">
        <v>1425</v>
      </c>
      <c r="P2060" s="105">
        <v>8389.2999999999993</v>
      </c>
      <c r="Q2060" s="23" t="s">
        <v>1429</v>
      </c>
      <c r="R2060" s="106">
        <f>7500+889.3</f>
        <v>8389.2999999999993</v>
      </c>
      <c r="S2060" s="31">
        <f t="shared" si="65"/>
        <v>0</v>
      </c>
      <c r="T2060" s="39" t="s">
        <v>9</v>
      </c>
    </row>
    <row r="2061" spans="1:20" x14ac:dyDescent="0.25">
      <c r="A2061" s="20">
        <v>42144</v>
      </c>
      <c r="B2061" s="183">
        <v>21635</v>
      </c>
      <c r="C2061" s="14" t="s">
        <v>114</v>
      </c>
      <c r="D2061" s="105">
        <v>5115.2</v>
      </c>
      <c r="E2061" s="23">
        <v>42144</v>
      </c>
      <c r="F2061" s="118">
        <v>5115.2</v>
      </c>
      <c r="G2061" s="31">
        <f t="shared" si="64"/>
        <v>0</v>
      </c>
      <c r="H2061" s="62" t="s">
        <v>9</v>
      </c>
      <c r="I2061" s="3"/>
      <c r="J2061" s="42"/>
      <c r="K2061" s="3"/>
      <c r="M2061" s="20">
        <v>42154</v>
      </c>
      <c r="N2061" s="183">
        <v>22677</v>
      </c>
      <c r="O2061" s="14" t="s">
        <v>1425</v>
      </c>
      <c r="P2061" s="105">
        <v>9143</v>
      </c>
      <c r="Q2061" s="23"/>
      <c r="R2061" s="106"/>
      <c r="S2061" s="31">
        <f t="shared" si="65"/>
        <v>9143</v>
      </c>
      <c r="T2061" s="39" t="s">
        <v>9</v>
      </c>
    </row>
    <row r="2062" spans="1:20" x14ac:dyDescent="0.25">
      <c r="A2062" s="20">
        <v>42144</v>
      </c>
      <c r="B2062" s="183">
        <v>21636</v>
      </c>
      <c r="C2062" s="14" t="s">
        <v>37</v>
      </c>
      <c r="D2062" s="105">
        <v>22890.34</v>
      </c>
      <c r="E2062" s="23">
        <v>42152</v>
      </c>
      <c r="F2062" s="118">
        <v>22890.34</v>
      </c>
      <c r="G2062" s="31">
        <f t="shared" si="64"/>
        <v>0</v>
      </c>
      <c r="H2062" s="62" t="s">
        <v>9</v>
      </c>
      <c r="I2062" s="3"/>
      <c r="J2062" s="42"/>
      <c r="K2062" s="3"/>
      <c r="M2062" s="20">
        <v>42154</v>
      </c>
      <c r="N2062" s="183">
        <v>22745</v>
      </c>
      <c r="O2062" s="14" t="s">
        <v>1425</v>
      </c>
      <c r="P2062" s="105">
        <v>2164.8000000000002</v>
      </c>
      <c r="Q2062" s="23">
        <v>42154</v>
      </c>
      <c r="R2062" s="106">
        <v>2164.8000000000002</v>
      </c>
      <c r="S2062" s="31">
        <f t="shared" si="65"/>
        <v>0</v>
      </c>
      <c r="T2062" s="39" t="s">
        <v>9</v>
      </c>
    </row>
    <row r="2063" spans="1:20" x14ac:dyDescent="0.25">
      <c r="A2063" s="20">
        <v>42144</v>
      </c>
      <c r="B2063" s="183">
        <v>21637</v>
      </c>
      <c r="C2063" s="14" t="s">
        <v>35</v>
      </c>
      <c r="D2063" s="105">
        <v>25553.1</v>
      </c>
      <c r="E2063" s="23">
        <v>42145</v>
      </c>
      <c r="F2063" s="118">
        <v>25553.1</v>
      </c>
      <c r="G2063" s="31">
        <f t="shared" si="64"/>
        <v>0</v>
      </c>
      <c r="H2063" s="62" t="s">
        <v>773</v>
      </c>
      <c r="I2063" s="3"/>
      <c r="J2063" s="42"/>
      <c r="K2063" s="3"/>
      <c r="M2063" s="20">
        <v>42155</v>
      </c>
      <c r="N2063" s="183">
        <v>22803</v>
      </c>
      <c r="O2063" s="14" t="s">
        <v>1425</v>
      </c>
      <c r="P2063" s="105">
        <v>213.6</v>
      </c>
      <c r="Q2063" s="23">
        <v>42155</v>
      </c>
      <c r="R2063" s="106">
        <v>213.6</v>
      </c>
      <c r="S2063" s="31">
        <f t="shared" si="65"/>
        <v>0</v>
      </c>
      <c r="T2063" s="39" t="s">
        <v>9</v>
      </c>
    </row>
    <row r="2064" spans="1:20" x14ac:dyDescent="0.25">
      <c r="A2064" s="20">
        <v>42144</v>
      </c>
      <c r="B2064" s="183">
        <v>21638</v>
      </c>
      <c r="C2064" s="14" t="s">
        <v>56</v>
      </c>
      <c r="D2064" s="105">
        <v>4429.8</v>
      </c>
      <c r="E2064" s="23">
        <v>42145</v>
      </c>
      <c r="F2064" s="118">
        <v>4429.8</v>
      </c>
      <c r="G2064" s="31">
        <f t="shared" si="64"/>
        <v>0</v>
      </c>
      <c r="H2064" s="62" t="s">
        <v>773</v>
      </c>
      <c r="I2064" s="3"/>
      <c r="J2064" s="42"/>
      <c r="K2064" s="3"/>
      <c r="M2064" s="20">
        <v>42155</v>
      </c>
      <c r="N2064" s="183">
        <v>22858</v>
      </c>
      <c r="O2064" s="14" t="s">
        <v>1425</v>
      </c>
      <c r="P2064" s="105">
        <v>727.2</v>
      </c>
      <c r="Q2064" s="23">
        <v>42155</v>
      </c>
      <c r="R2064" s="106">
        <v>727.2</v>
      </c>
      <c r="S2064" s="31">
        <f t="shared" si="65"/>
        <v>0</v>
      </c>
      <c r="T2064" s="39" t="s">
        <v>9</v>
      </c>
    </row>
    <row r="2065" spans="1:20" x14ac:dyDescent="0.25">
      <c r="A2065" s="20">
        <v>42144</v>
      </c>
      <c r="B2065" s="183">
        <v>21639</v>
      </c>
      <c r="C2065" s="14" t="s">
        <v>256</v>
      </c>
      <c r="D2065" s="105">
        <v>4489.3999999999996</v>
      </c>
      <c r="E2065" s="23">
        <v>42145</v>
      </c>
      <c r="F2065" s="118">
        <v>4489.3999999999996</v>
      </c>
      <c r="G2065" s="31">
        <f t="shared" si="64"/>
        <v>0</v>
      </c>
      <c r="H2065" s="62" t="s">
        <v>773</v>
      </c>
      <c r="I2065" s="3"/>
      <c r="J2065" s="42"/>
      <c r="K2065" s="3"/>
      <c r="M2065" s="20">
        <v>42126</v>
      </c>
      <c r="N2065" s="183">
        <v>19711</v>
      </c>
      <c r="O2065" s="40" t="s">
        <v>854</v>
      </c>
      <c r="P2065" s="105">
        <v>4964</v>
      </c>
      <c r="Q2065" s="23">
        <v>42126</v>
      </c>
      <c r="R2065" s="106">
        <v>4964</v>
      </c>
      <c r="S2065" s="25">
        <f t="shared" si="65"/>
        <v>0</v>
      </c>
      <c r="T2065" s="41" t="s">
        <v>9</v>
      </c>
    </row>
    <row r="2066" spans="1:20" x14ac:dyDescent="0.25">
      <c r="A2066" s="20">
        <v>42144</v>
      </c>
      <c r="B2066" s="183">
        <v>21640</v>
      </c>
      <c r="C2066" s="14" t="s">
        <v>135</v>
      </c>
      <c r="D2066" s="105">
        <v>5438.8</v>
      </c>
      <c r="E2066" s="23">
        <v>42144</v>
      </c>
      <c r="F2066" s="118">
        <v>5438.8</v>
      </c>
      <c r="G2066" s="31">
        <f t="shared" si="64"/>
        <v>0</v>
      </c>
      <c r="H2066" s="62" t="s">
        <v>9</v>
      </c>
      <c r="I2066" s="3"/>
      <c r="J2066" s="42"/>
      <c r="K2066" s="3"/>
      <c r="M2066" s="20">
        <v>42127</v>
      </c>
      <c r="N2066" s="183">
        <v>19824</v>
      </c>
      <c r="O2066" s="40" t="s">
        <v>854</v>
      </c>
      <c r="P2066" s="105">
        <v>5989.6</v>
      </c>
      <c r="Q2066" s="23" t="s">
        <v>1289</v>
      </c>
      <c r="R2066" s="106">
        <f>4000+1989.6</f>
        <v>5989.6</v>
      </c>
      <c r="S2066" s="31">
        <f t="shared" si="65"/>
        <v>0</v>
      </c>
      <c r="T2066" s="41" t="s">
        <v>9</v>
      </c>
    </row>
    <row r="2067" spans="1:20" x14ac:dyDescent="0.25">
      <c r="A2067" s="20">
        <v>42144</v>
      </c>
      <c r="B2067" s="183">
        <v>21641</v>
      </c>
      <c r="C2067" s="14" t="s">
        <v>112</v>
      </c>
      <c r="D2067" s="105">
        <v>21616.1</v>
      </c>
      <c r="E2067" s="23">
        <v>42146</v>
      </c>
      <c r="F2067" s="118">
        <v>21616.1</v>
      </c>
      <c r="G2067" s="31">
        <f t="shared" si="64"/>
        <v>0</v>
      </c>
      <c r="H2067" s="62" t="s">
        <v>9</v>
      </c>
      <c r="I2067" s="3"/>
      <c r="J2067" s="42"/>
      <c r="K2067" s="3"/>
      <c r="M2067" s="20">
        <v>42131</v>
      </c>
      <c r="N2067" s="183">
        <v>20224</v>
      </c>
      <c r="O2067" s="14" t="s">
        <v>854</v>
      </c>
      <c r="P2067" s="105">
        <v>2524.1999999999998</v>
      </c>
      <c r="Q2067" s="23">
        <v>42131</v>
      </c>
      <c r="R2067" s="106">
        <f>1650+874.2</f>
        <v>2524.1999999999998</v>
      </c>
      <c r="S2067" s="31">
        <f t="shared" si="65"/>
        <v>0</v>
      </c>
      <c r="T2067" s="39" t="s">
        <v>9</v>
      </c>
    </row>
    <row r="2068" spans="1:20" x14ac:dyDescent="0.25">
      <c r="A2068" s="20">
        <v>42144</v>
      </c>
      <c r="B2068" s="183">
        <v>21642</v>
      </c>
      <c r="C2068" s="14" t="s">
        <v>383</v>
      </c>
      <c r="D2068" s="105">
        <v>2814</v>
      </c>
      <c r="E2068" s="23">
        <v>42144</v>
      </c>
      <c r="F2068" s="118">
        <v>2814</v>
      </c>
      <c r="G2068" s="31">
        <f t="shared" si="64"/>
        <v>0</v>
      </c>
      <c r="H2068" s="62" t="s">
        <v>9</v>
      </c>
      <c r="I2068" s="3"/>
      <c r="J2068" s="42"/>
      <c r="K2068" s="3"/>
      <c r="M2068" s="20">
        <v>42132</v>
      </c>
      <c r="N2068" s="183">
        <v>20336</v>
      </c>
      <c r="O2068" s="14" t="s">
        <v>854</v>
      </c>
      <c r="P2068" s="105">
        <v>4647.5</v>
      </c>
      <c r="Q2068" s="23">
        <v>42132</v>
      </c>
      <c r="R2068" s="106">
        <v>4647.5</v>
      </c>
      <c r="S2068" s="31">
        <f t="shared" si="65"/>
        <v>0</v>
      </c>
      <c r="T2068" s="19" t="s">
        <v>9</v>
      </c>
    </row>
    <row r="2069" spans="1:20" x14ac:dyDescent="0.25">
      <c r="A2069" s="20">
        <v>42144</v>
      </c>
      <c r="B2069" s="183">
        <v>21643</v>
      </c>
      <c r="C2069" s="14" t="s">
        <v>23</v>
      </c>
      <c r="D2069" s="105">
        <v>4931.2</v>
      </c>
      <c r="E2069" s="23">
        <v>42144</v>
      </c>
      <c r="F2069" s="118">
        <v>4931.2</v>
      </c>
      <c r="G2069" s="31">
        <f t="shared" si="64"/>
        <v>0</v>
      </c>
      <c r="H2069" s="62" t="s">
        <v>9</v>
      </c>
      <c r="I2069" s="3"/>
      <c r="J2069" s="42"/>
      <c r="K2069" s="3"/>
      <c r="M2069" s="20">
        <v>42133</v>
      </c>
      <c r="N2069" s="183">
        <v>20489</v>
      </c>
      <c r="O2069" s="14" t="s">
        <v>854</v>
      </c>
      <c r="P2069" s="105">
        <v>6728</v>
      </c>
      <c r="Q2069" s="23">
        <v>42134</v>
      </c>
      <c r="R2069" s="106">
        <v>6728</v>
      </c>
      <c r="S2069" s="31">
        <f t="shared" si="65"/>
        <v>0</v>
      </c>
      <c r="T2069" s="19" t="s">
        <v>9</v>
      </c>
    </row>
    <row r="2070" spans="1:20" x14ac:dyDescent="0.25">
      <c r="A2070" s="20">
        <v>42144</v>
      </c>
      <c r="B2070" s="183">
        <v>21644</v>
      </c>
      <c r="C2070" s="14" t="s">
        <v>111</v>
      </c>
      <c r="D2070" s="105">
        <v>7560</v>
      </c>
      <c r="E2070" s="23">
        <v>42144</v>
      </c>
      <c r="F2070" s="118">
        <v>7560</v>
      </c>
      <c r="G2070" s="31">
        <f t="shared" si="64"/>
        <v>0</v>
      </c>
      <c r="H2070" s="62" t="s">
        <v>9</v>
      </c>
      <c r="I2070" s="3"/>
      <c r="J2070" s="42"/>
      <c r="K2070" s="3"/>
      <c r="M2070" s="20">
        <v>42134</v>
      </c>
      <c r="N2070" s="183">
        <v>20607</v>
      </c>
      <c r="O2070" s="14" t="s">
        <v>854</v>
      </c>
      <c r="P2070" s="105">
        <v>2982</v>
      </c>
      <c r="Q2070" s="23">
        <v>42134</v>
      </c>
      <c r="R2070" s="118">
        <v>2982</v>
      </c>
      <c r="S2070" s="31">
        <f t="shared" si="65"/>
        <v>0</v>
      </c>
      <c r="T2070" s="56" t="s">
        <v>9</v>
      </c>
    </row>
    <row r="2071" spans="1:20" x14ac:dyDescent="0.25">
      <c r="A2071" s="20">
        <v>42144</v>
      </c>
      <c r="B2071" s="183">
        <v>21645</v>
      </c>
      <c r="C2071" s="14" t="s">
        <v>375</v>
      </c>
      <c r="D2071" s="105">
        <v>4172</v>
      </c>
      <c r="E2071" s="23">
        <v>42144</v>
      </c>
      <c r="F2071" s="118">
        <v>4172</v>
      </c>
      <c r="G2071" s="31">
        <f t="shared" si="64"/>
        <v>0</v>
      </c>
      <c r="H2071" s="62" t="s">
        <v>9</v>
      </c>
      <c r="I2071" s="3"/>
      <c r="J2071" s="42"/>
      <c r="K2071" s="3"/>
      <c r="M2071" s="20">
        <v>42135</v>
      </c>
      <c r="N2071" s="183">
        <v>20677</v>
      </c>
      <c r="O2071" s="14" t="s">
        <v>854</v>
      </c>
      <c r="P2071" s="105">
        <v>2412.5</v>
      </c>
      <c r="Q2071" s="23">
        <v>42135</v>
      </c>
      <c r="R2071" s="106">
        <v>2412.5</v>
      </c>
      <c r="S2071" s="31">
        <f t="shared" si="65"/>
        <v>0</v>
      </c>
      <c r="T2071" s="39" t="s">
        <v>9</v>
      </c>
    </row>
    <row r="2072" spans="1:20" x14ac:dyDescent="0.25">
      <c r="A2072" s="20">
        <v>42144</v>
      </c>
      <c r="B2072" s="183">
        <v>21646</v>
      </c>
      <c r="C2072" s="14" t="s">
        <v>127</v>
      </c>
      <c r="D2072" s="105">
        <v>7921.2</v>
      </c>
      <c r="E2072" s="23">
        <v>42144</v>
      </c>
      <c r="F2072" s="118">
        <v>7921.2</v>
      </c>
      <c r="G2072" s="31">
        <f t="shared" si="64"/>
        <v>0</v>
      </c>
      <c r="H2072" s="62" t="s">
        <v>9</v>
      </c>
      <c r="I2072" s="3"/>
      <c r="J2072" s="42"/>
      <c r="K2072" s="3"/>
      <c r="M2072" s="20">
        <v>42136</v>
      </c>
      <c r="N2072" s="183">
        <v>20804</v>
      </c>
      <c r="O2072" s="14" t="s">
        <v>854</v>
      </c>
      <c r="P2072" s="105">
        <v>5168.3999999999996</v>
      </c>
      <c r="Q2072" s="23">
        <v>42137</v>
      </c>
      <c r="R2072" s="106">
        <v>5168.3999999999996</v>
      </c>
      <c r="S2072" s="31">
        <f t="shared" si="65"/>
        <v>0</v>
      </c>
      <c r="T2072" s="39" t="s">
        <v>9</v>
      </c>
    </row>
    <row r="2073" spans="1:20" x14ac:dyDescent="0.25">
      <c r="A2073" s="20">
        <v>42144</v>
      </c>
      <c r="B2073" s="183">
        <v>21647</v>
      </c>
      <c r="C2073" s="14" t="s">
        <v>78</v>
      </c>
      <c r="D2073" s="105">
        <v>6141.6</v>
      </c>
      <c r="E2073" s="23">
        <v>42145</v>
      </c>
      <c r="F2073" s="118">
        <v>6141.6</v>
      </c>
      <c r="G2073" s="31">
        <f t="shared" si="64"/>
        <v>0</v>
      </c>
      <c r="H2073" s="62" t="s">
        <v>62</v>
      </c>
      <c r="I2073" s="3"/>
      <c r="J2073" s="42"/>
      <c r="K2073" s="3"/>
      <c r="M2073" s="20">
        <v>42137</v>
      </c>
      <c r="N2073" s="183">
        <v>20888</v>
      </c>
      <c r="O2073" s="14" t="s">
        <v>854</v>
      </c>
      <c r="P2073" s="105">
        <v>4549.2</v>
      </c>
      <c r="Q2073" s="23">
        <v>42138</v>
      </c>
      <c r="R2073" s="106">
        <v>4549.2</v>
      </c>
      <c r="S2073" s="31">
        <f t="shared" si="65"/>
        <v>0</v>
      </c>
      <c r="T2073" s="19" t="s">
        <v>9</v>
      </c>
    </row>
    <row r="2074" spans="1:20" x14ac:dyDescent="0.25">
      <c r="A2074" s="20">
        <v>42144</v>
      </c>
      <c r="B2074" s="183">
        <v>21648</v>
      </c>
      <c r="C2074" s="14" t="s">
        <v>67</v>
      </c>
      <c r="D2074" s="105">
        <v>3017.6</v>
      </c>
      <c r="E2074" s="23">
        <v>42145</v>
      </c>
      <c r="F2074" s="118">
        <v>3017.6</v>
      </c>
      <c r="G2074" s="31">
        <f t="shared" si="64"/>
        <v>0</v>
      </c>
      <c r="H2074" s="62" t="s">
        <v>62</v>
      </c>
      <c r="I2074" s="3"/>
      <c r="J2074" s="42"/>
      <c r="K2074" s="3"/>
      <c r="M2074" s="20">
        <v>42139</v>
      </c>
      <c r="N2074" s="183">
        <v>21103</v>
      </c>
      <c r="O2074" s="14" t="s">
        <v>854</v>
      </c>
      <c r="P2074" s="105">
        <v>5221.3999999999996</v>
      </c>
      <c r="Q2074" s="23">
        <v>42139</v>
      </c>
      <c r="R2074" s="106">
        <v>5221.3999999999996</v>
      </c>
      <c r="S2074" s="48">
        <f t="shared" si="65"/>
        <v>0</v>
      </c>
      <c r="T2074" s="39" t="s">
        <v>9</v>
      </c>
    </row>
    <row r="2075" spans="1:20" x14ac:dyDescent="0.25">
      <c r="A2075" s="20">
        <v>42144</v>
      </c>
      <c r="B2075" s="183">
        <v>21649</v>
      </c>
      <c r="C2075" s="14" t="s">
        <v>32</v>
      </c>
      <c r="D2075" s="105">
        <v>176673</v>
      </c>
      <c r="E2075" s="30">
        <v>42171</v>
      </c>
      <c r="F2075" s="145">
        <v>176673</v>
      </c>
      <c r="G2075" s="31">
        <f t="shared" si="64"/>
        <v>0</v>
      </c>
      <c r="H2075" s="62" t="s">
        <v>9</v>
      </c>
      <c r="I2075" s="3"/>
      <c r="J2075" s="42"/>
      <c r="K2075" s="3"/>
      <c r="M2075" s="20">
        <v>42140</v>
      </c>
      <c r="N2075" s="183">
        <v>21243</v>
      </c>
      <c r="O2075" s="14" t="s">
        <v>854</v>
      </c>
      <c r="P2075" s="105">
        <v>7100.4</v>
      </c>
      <c r="Q2075" s="23">
        <v>42142</v>
      </c>
      <c r="R2075" s="106">
        <v>7100.4</v>
      </c>
      <c r="S2075" s="48">
        <f t="shared" si="65"/>
        <v>0</v>
      </c>
      <c r="T2075" s="19" t="s">
        <v>9</v>
      </c>
    </row>
    <row r="2076" spans="1:20" x14ac:dyDescent="0.25">
      <c r="A2076" s="20">
        <v>42144</v>
      </c>
      <c r="B2076" s="183">
        <v>21650</v>
      </c>
      <c r="C2076" s="14" t="s">
        <v>170</v>
      </c>
      <c r="D2076" s="105">
        <v>5040</v>
      </c>
      <c r="E2076" s="23">
        <v>42145</v>
      </c>
      <c r="F2076" s="118">
        <v>5040</v>
      </c>
      <c r="G2076" s="31">
        <f t="shared" si="64"/>
        <v>0</v>
      </c>
      <c r="H2076" s="62" t="s">
        <v>62</v>
      </c>
      <c r="I2076" s="3"/>
      <c r="J2076" s="42"/>
      <c r="K2076" s="3"/>
      <c r="M2076" s="20">
        <v>42141</v>
      </c>
      <c r="N2076" s="183">
        <v>21329</v>
      </c>
      <c r="O2076" s="14" t="s">
        <v>854</v>
      </c>
      <c r="P2076" s="105">
        <v>897</v>
      </c>
      <c r="Q2076" s="23">
        <v>42141</v>
      </c>
      <c r="R2076" s="118">
        <v>897</v>
      </c>
      <c r="S2076" s="31">
        <f t="shared" si="65"/>
        <v>0</v>
      </c>
      <c r="T2076" s="62" t="s">
        <v>9</v>
      </c>
    </row>
    <row r="2077" spans="1:20" x14ac:dyDescent="0.25">
      <c r="A2077" s="20">
        <v>42144</v>
      </c>
      <c r="B2077" s="183">
        <v>21651</v>
      </c>
      <c r="C2077" s="14" t="s">
        <v>1142</v>
      </c>
      <c r="D2077" s="105">
        <v>4277</v>
      </c>
      <c r="E2077" s="23">
        <v>42144</v>
      </c>
      <c r="F2077" s="118">
        <v>4277</v>
      </c>
      <c r="G2077" s="31">
        <f t="shared" si="64"/>
        <v>0</v>
      </c>
      <c r="H2077" s="62" t="s">
        <v>9</v>
      </c>
      <c r="I2077" s="3"/>
      <c r="J2077" s="42"/>
      <c r="K2077" s="3"/>
      <c r="M2077" s="20">
        <v>42142</v>
      </c>
      <c r="N2077" s="183">
        <v>21399</v>
      </c>
      <c r="O2077" s="14" t="s">
        <v>854</v>
      </c>
      <c r="P2077" s="105">
        <v>5417.6</v>
      </c>
      <c r="Q2077" s="23">
        <v>42143</v>
      </c>
      <c r="R2077" s="118">
        <v>5417.6</v>
      </c>
      <c r="S2077" s="31">
        <f t="shared" si="65"/>
        <v>0</v>
      </c>
      <c r="T2077" s="56" t="s">
        <v>9</v>
      </c>
    </row>
    <row r="2078" spans="1:20" x14ac:dyDescent="0.25">
      <c r="A2078" s="20">
        <v>42144</v>
      </c>
      <c r="B2078" s="183">
        <v>21652</v>
      </c>
      <c r="C2078" s="26" t="s">
        <v>218</v>
      </c>
      <c r="D2078" s="108">
        <v>0</v>
      </c>
      <c r="E2078" s="23"/>
      <c r="F2078" s="118"/>
      <c r="G2078" s="31">
        <f t="shared" si="64"/>
        <v>0</v>
      </c>
      <c r="H2078" s="62" t="s">
        <v>13</v>
      </c>
      <c r="I2078" s="3"/>
      <c r="J2078" s="42"/>
      <c r="K2078" s="3"/>
      <c r="M2078" s="20">
        <v>42143</v>
      </c>
      <c r="N2078" s="183">
        <v>21549</v>
      </c>
      <c r="O2078" s="14" t="s">
        <v>854</v>
      </c>
      <c r="P2078" s="105">
        <v>2681.8</v>
      </c>
      <c r="Q2078" s="23">
        <v>42144</v>
      </c>
      <c r="R2078" s="118">
        <v>2681.8</v>
      </c>
      <c r="S2078" s="31">
        <f t="shared" si="65"/>
        <v>0</v>
      </c>
      <c r="T2078" s="56" t="s">
        <v>9</v>
      </c>
    </row>
    <row r="2079" spans="1:20" x14ac:dyDescent="0.25">
      <c r="A2079" s="20">
        <v>42144</v>
      </c>
      <c r="B2079" s="183">
        <v>21653</v>
      </c>
      <c r="C2079" s="14" t="s">
        <v>173</v>
      </c>
      <c r="D2079" s="105">
        <v>18872</v>
      </c>
      <c r="E2079" s="30" t="s">
        <v>1475</v>
      </c>
      <c r="F2079" s="145">
        <v>18872</v>
      </c>
      <c r="G2079" s="31">
        <f t="shared" si="64"/>
        <v>0</v>
      </c>
      <c r="H2079" s="62" t="s">
        <v>62</v>
      </c>
      <c r="I2079" s="3"/>
      <c r="J2079" s="42"/>
      <c r="K2079" s="3"/>
      <c r="M2079" s="20">
        <v>42143</v>
      </c>
      <c r="N2079" s="183">
        <v>21575</v>
      </c>
      <c r="O2079" s="14" t="s">
        <v>854</v>
      </c>
      <c r="P2079" s="105">
        <v>2385.1</v>
      </c>
      <c r="Q2079" s="23" t="s">
        <v>1420</v>
      </c>
      <c r="R2079" s="118">
        <f>1450+935.1</f>
        <v>2385.1</v>
      </c>
      <c r="S2079" s="31">
        <f t="shared" si="65"/>
        <v>0</v>
      </c>
      <c r="T2079" s="56" t="s">
        <v>9</v>
      </c>
    </row>
    <row r="2080" spans="1:20" x14ac:dyDescent="0.25">
      <c r="A2080" s="20">
        <v>42144</v>
      </c>
      <c r="B2080" s="183">
        <v>21654</v>
      </c>
      <c r="C2080" s="14" t="s">
        <v>57</v>
      </c>
      <c r="D2080" s="105">
        <v>950</v>
      </c>
      <c r="E2080" s="23">
        <v>42145</v>
      </c>
      <c r="F2080" s="118">
        <v>950</v>
      </c>
      <c r="G2080" s="31">
        <f t="shared" si="64"/>
        <v>0</v>
      </c>
      <c r="H2080" s="62" t="s">
        <v>1257</v>
      </c>
      <c r="I2080" s="3"/>
      <c r="J2080" s="42"/>
      <c r="K2080" s="3"/>
      <c r="M2080" s="20">
        <v>42144</v>
      </c>
      <c r="N2080" s="183">
        <v>21630</v>
      </c>
      <c r="O2080" s="14" t="s">
        <v>854</v>
      </c>
      <c r="P2080" s="105">
        <v>5691.6</v>
      </c>
      <c r="Q2080" s="23" t="s">
        <v>1428</v>
      </c>
      <c r="R2080" s="118">
        <f>5391.6+300</f>
        <v>5691.6</v>
      </c>
      <c r="S2080" s="31">
        <f t="shared" si="65"/>
        <v>0</v>
      </c>
      <c r="T2080" s="62" t="s">
        <v>9</v>
      </c>
    </row>
    <row r="2081" spans="1:20" x14ac:dyDescent="0.25">
      <c r="A2081" s="20">
        <v>42144</v>
      </c>
      <c r="B2081" s="183">
        <v>21655</v>
      </c>
      <c r="C2081" s="14" t="s">
        <v>1402</v>
      </c>
      <c r="D2081" s="105">
        <v>8088.2</v>
      </c>
      <c r="E2081" s="23">
        <v>42145</v>
      </c>
      <c r="F2081" s="118">
        <v>8088.2</v>
      </c>
      <c r="G2081" s="31">
        <f t="shared" si="64"/>
        <v>0</v>
      </c>
      <c r="H2081" s="62" t="s">
        <v>62</v>
      </c>
      <c r="I2081" s="3"/>
      <c r="J2081" s="42"/>
      <c r="K2081" s="3"/>
      <c r="M2081" s="20">
        <v>42145</v>
      </c>
      <c r="N2081" s="183">
        <v>21734</v>
      </c>
      <c r="O2081" s="14" t="s">
        <v>854</v>
      </c>
      <c r="P2081" s="105">
        <v>5146</v>
      </c>
      <c r="Q2081" s="23">
        <v>42147</v>
      </c>
      <c r="R2081" s="106">
        <v>5146</v>
      </c>
      <c r="S2081" s="31">
        <f t="shared" si="65"/>
        <v>0</v>
      </c>
      <c r="T2081" s="39" t="s">
        <v>9</v>
      </c>
    </row>
    <row r="2082" spans="1:20" x14ac:dyDescent="0.25">
      <c r="A2082" s="20">
        <v>42144</v>
      </c>
      <c r="B2082" s="183">
        <v>21656</v>
      </c>
      <c r="C2082" s="150" t="s">
        <v>225</v>
      </c>
      <c r="D2082" s="105">
        <v>2815.7</v>
      </c>
      <c r="E2082" s="23">
        <v>42144</v>
      </c>
      <c r="F2082" s="118">
        <v>2815.7</v>
      </c>
      <c r="G2082" s="31">
        <f t="shared" si="64"/>
        <v>0</v>
      </c>
      <c r="H2082" s="62" t="s">
        <v>9</v>
      </c>
      <c r="I2082" s="3"/>
      <c r="J2082" s="42"/>
      <c r="K2082" s="3"/>
      <c r="M2082" s="20">
        <v>42125</v>
      </c>
      <c r="N2082" s="183">
        <v>19577</v>
      </c>
      <c r="O2082" s="14" t="s">
        <v>1256</v>
      </c>
      <c r="P2082" s="105">
        <v>13344</v>
      </c>
      <c r="Q2082" s="23">
        <v>42125</v>
      </c>
      <c r="R2082" s="106">
        <v>13344</v>
      </c>
      <c r="S2082" s="25">
        <f t="shared" si="65"/>
        <v>0</v>
      </c>
      <c r="T2082" s="19" t="s">
        <v>1257</v>
      </c>
    </row>
    <row r="2083" spans="1:20" x14ac:dyDescent="0.25">
      <c r="A2083" s="20">
        <v>42144</v>
      </c>
      <c r="B2083" s="183">
        <v>21657</v>
      </c>
      <c r="C2083" s="14" t="s">
        <v>1402</v>
      </c>
      <c r="D2083" s="105">
        <v>11792.4</v>
      </c>
      <c r="E2083" s="23">
        <v>42145</v>
      </c>
      <c r="F2083" s="118">
        <v>11792.4</v>
      </c>
      <c r="G2083" s="31">
        <f t="shared" si="64"/>
        <v>0</v>
      </c>
      <c r="H2083" s="62" t="s">
        <v>62</v>
      </c>
      <c r="I2083" s="3"/>
      <c r="J2083" s="42"/>
      <c r="K2083" s="3"/>
      <c r="M2083" s="20">
        <v>42126</v>
      </c>
      <c r="N2083" s="183">
        <v>19704</v>
      </c>
      <c r="O2083" s="40" t="s">
        <v>1256</v>
      </c>
      <c r="P2083" s="105">
        <v>14092.8</v>
      </c>
      <c r="Q2083" s="23">
        <v>42126</v>
      </c>
      <c r="R2083" s="106">
        <v>14092.8</v>
      </c>
      <c r="S2083" s="25">
        <f t="shared" si="65"/>
        <v>0</v>
      </c>
      <c r="T2083" s="41" t="s">
        <v>9</v>
      </c>
    </row>
    <row r="2084" spans="1:20" x14ac:dyDescent="0.25">
      <c r="A2084" s="20">
        <v>42144</v>
      </c>
      <c r="B2084" s="183">
        <v>21658</v>
      </c>
      <c r="C2084" s="14" t="s">
        <v>1338</v>
      </c>
      <c r="D2084" s="105">
        <v>10603.2</v>
      </c>
      <c r="E2084" s="23">
        <v>42153</v>
      </c>
      <c r="F2084" s="118">
        <v>10603.2</v>
      </c>
      <c r="G2084" s="31">
        <f t="shared" si="64"/>
        <v>0</v>
      </c>
      <c r="H2084" s="62" t="s">
        <v>1257</v>
      </c>
      <c r="I2084" s="3"/>
      <c r="J2084" s="42"/>
      <c r="K2084" s="3"/>
      <c r="M2084" s="20">
        <v>42127</v>
      </c>
      <c r="N2084" s="183">
        <v>19831</v>
      </c>
      <c r="O2084" s="40" t="s">
        <v>1256</v>
      </c>
      <c r="P2084" s="105">
        <v>9203.2000000000007</v>
      </c>
      <c r="Q2084" s="23">
        <v>42127</v>
      </c>
      <c r="R2084" s="106">
        <v>9203.2000000000007</v>
      </c>
      <c r="S2084" s="31">
        <f t="shared" si="65"/>
        <v>0</v>
      </c>
      <c r="T2084" s="41" t="s">
        <v>1257</v>
      </c>
    </row>
    <row r="2085" spans="1:20" x14ac:dyDescent="0.25">
      <c r="A2085" s="20">
        <v>42144</v>
      </c>
      <c r="B2085" s="183">
        <v>21659</v>
      </c>
      <c r="C2085" s="14" t="s">
        <v>75</v>
      </c>
      <c r="D2085" s="105">
        <v>24554.02</v>
      </c>
      <c r="E2085" s="23">
        <v>42145</v>
      </c>
      <c r="F2085" s="118">
        <v>24554.02</v>
      </c>
      <c r="G2085" s="31">
        <f t="shared" si="64"/>
        <v>0</v>
      </c>
      <c r="H2085" s="62" t="s">
        <v>62</v>
      </c>
      <c r="I2085" s="3"/>
      <c r="J2085" s="42"/>
      <c r="K2085" s="3"/>
      <c r="M2085" s="20">
        <v>42128</v>
      </c>
      <c r="N2085" s="183">
        <v>19894</v>
      </c>
      <c r="O2085" s="14" t="s">
        <v>1256</v>
      </c>
      <c r="P2085" s="105">
        <v>7323.4</v>
      </c>
      <c r="Q2085" s="23">
        <v>42128</v>
      </c>
      <c r="R2085" s="106">
        <v>7323.4</v>
      </c>
      <c r="S2085" s="31">
        <f t="shared" si="65"/>
        <v>0</v>
      </c>
      <c r="T2085" s="19" t="s">
        <v>1257</v>
      </c>
    </row>
    <row r="2086" spans="1:20" x14ac:dyDescent="0.25">
      <c r="A2086" s="20">
        <v>42144</v>
      </c>
      <c r="B2086" s="183">
        <v>21660</v>
      </c>
      <c r="C2086" s="14" t="s">
        <v>78</v>
      </c>
      <c r="D2086" s="105">
        <v>1618.8</v>
      </c>
      <c r="E2086" s="23">
        <v>42145</v>
      </c>
      <c r="F2086" s="118">
        <v>1618.8</v>
      </c>
      <c r="G2086" s="31">
        <f t="shared" si="64"/>
        <v>0</v>
      </c>
      <c r="H2086" s="62" t="s">
        <v>62</v>
      </c>
      <c r="I2086" s="3"/>
      <c r="J2086" s="42"/>
      <c r="K2086" s="3"/>
      <c r="M2086" s="20">
        <v>42130</v>
      </c>
      <c r="N2086" s="183">
        <v>20116</v>
      </c>
      <c r="O2086" s="14" t="s">
        <v>1256</v>
      </c>
      <c r="P2086" s="105">
        <v>6949</v>
      </c>
      <c r="Q2086" s="23">
        <v>42130</v>
      </c>
      <c r="R2086" s="106">
        <v>6949</v>
      </c>
      <c r="S2086" s="31">
        <f t="shared" si="65"/>
        <v>0</v>
      </c>
      <c r="T2086" s="39" t="s">
        <v>9</v>
      </c>
    </row>
    <row r="2087" spans="1:20" x14ac:dyDescent="0.25">
      <c r="A2087" s="20">
        <v>42144</v>
      </c>
      <c r="B2087" s="183">
        <v>21661</v>
      </c>
      <c r="C2087" s="14" t="s">
        <v>152</v>
      </c>
      <c r="D2087" s="105">
        <v>4261.3999999999996</v>
      </c>
      <c r="E2087" s="23">
        <v>42145</v>
      </c>
      <c r="F2087" s="118">
        <v>4261.3999999999996</v>
      </c>
      <c r="G2087" s="31">
        <f t="shared" si="64"/>
        <v>0</v>
      </c>
      <c r="H2087" s="62" t="s">
        <v>1257</v>
      </c>
      <c r="I2087" s="3"/>
      <c r="J2087" s="42"/>
      <c r="K2087" s="3"/>
      <c r="M2087" s="20">
        <v>42131</v>
      </c>
      <c r="N2087" s="183">
        <v>20212</v>
      </c>
      <c r="O2087" s="14" t="s">
        <v>1256</v>
      </c>
      <c r="P2087" s="105">
        <v>7296</v>
      </c>
      <c r="Q2087" s="23">
        <v>42131</v>
      </c>
      <c r="R2087" s="106">
        <v>7296</v>
      </c>
      <c r="S2087" s="31">
        <f t="shared" si="65"/>
        <v>0</v>
      </c>
      <c r="T2087" s="39" t="s">
        <v>1257</v>
      </c>
    </row>
    <row r="2088" spans="1:20" x14ac:dyDescent="0.25">
      <c r="A2088" s="20">
        <v>42144</v>
      </c>
      <c r="B2088" s="183">
        <v>21662</v>
      </c>
      <c r="C2088" s="14" t="s">
        <v>81</v>
      </c>
      <c r="D2088" s="105">
        <v>1867.8</v>
      </c>
      <c r="E2088" s="23">
        <v>42145</v>
      </c>
      <c r="F2088" s="118">
        <v>1867.8</v>
      </c>
      <c r="G2088" s="31">
        <f t="shared" si="64"/>
        <v>0</v>
      </c>
      <c r="H2088" s="62" t="s">
        <v>1257</v>
      </c>
      <c r="I2088" s="3"/>
      <c r="J2088" s="42"/>
      <c r="K2088" s="3"/>
      <c r="M2088" s="20">
        <v>42132</v>
      </c>
      <c r="N2088" s="183">
        <v>20333</v>
      </c>
      <c r="O2088" s="14" t="s">
        <v>1256</v>
      </c>
      <c r="P2088" s="105">
        <v>10355.200000000001</v>
      </c>
      <c r="Q2088" s="23">
        <v>42132</v>
      </c>
      <c r="R2088" s="106">
        <v>10355.200000000001</v>
      </c>
      <c r="S2088" s="31">
        <f t="shared" si="65"/>
        <v>0</v>
      </c>
      <c r="T2088" s="39" t="s">
        <v>9</v>
      </c>
    </row>
    <row r="2089" spans="1:20" x14ac:dyDescent="0.25">
      <c r="A2089" s="20">
        <v>42144</v>
      </c>
      <c r="B2089" s="183">
        <v>21663</v>
      </c>
      <c r="C2089" s="14" t="s">
        <v>729</v>
      </c>
      <c r="D2089" s="105">
        <v>1668</v>
      </c>
      <c r="E2089" s="23">
        <v>42145</v>
      </c>
      <c r="F2089" s="118">
        <v>1668</v>
      </c>
      <c r="G2089" s="31">
        <f t="shared" si="64"/>
        <v>0</v>
      </c>
      <c r="H2089" s="62" t="s">
        <v>1257</v>
      </c>
      <c r="I2089" s="3"/>
      <c r="J2089" s="42"/>
      <c r="K2089" s="3"/>
      <c r="M2089" s="20">
        <v>42134</v>
      </c>
      <c r="N2089" s="183">
        <v>20605</v>
      </c>
      <c r="O2089" s="14" t="s">
        <v>1256</v>
      </c>
      <c r="P2089" s="105">
        <v>10124.799999999999</v>
      </c>
      <c r="Q2089" s="23">
        <v>42134</v>
      </c>
      <c r="R2089" s="118">
        <v>10124.799999999999</v>
      </c>
      <c r="S2089" s="31">
        <f t="shared" si="65"/>
        <v>0</v>
      </c>
      <c r="T2089" s="56" t="s">
        <v>1257</v>
      </c>
    </row>
    <row r="2090" spans="1:20" x14ac:dyDescent="0.25">
      <c r="A2090" s="20">
        <v>42144</v>
      </c>
      <c r="B2090" s="183">
        <v>21664</v>
      </c>
      <c r="C2090" s="14" t="s">
        <v>84</v>
      </c>
      <c r="D2090" s="105">
        <v>21289</v>
      </c>
      <c r="E2090" s="30" t="s">
        <v>1430</v>
      </c>
      <c r="F2090" s="118">
        <v>21289</v>
      </c>
      <c r="G2090" s="31">
        <f t="shared" si="64"/>
        <v>0</v>
      </c>
      <c r="H2090" s="62" t="s">
        <v>62</v>
      </c>
      <c r="I2090" s="3"/>
      <c r="J2090" s="42"/>
      <c r="K2090" s="3"/>
      <c r="M2090" s="20">
        <v>42134</v>
      </c>
      <c r="N2090" s="183">
        <v>20606</v>
      </c>
      <c r="O2090" s="14" t="s">
        <v>1256</v>
      </c>
      <c r="P2090" s="105">
        <v>147.6</v>
      </c>
      <c r="Q2090" s="23">
        <v>42134</v>
      </c>
      <c r="R2090" s="118">
        <v>147.6</v>
      </c>
      <c r="S2090" s="31">
        <f t="shared" si="65"/>
        <v>0</v>
      </c>
      <c r="T2090" s="56" t="s">
        <v>1257</v>
      </c>
    </row>
    <row r="2091" spans="1:20" x14ac:dyDescent="0.25">
      <c r="A2091" s="20">
        <v>42144</v>
      </c>
      <c r="B2091" s="183">
        <v>21665</v>
      </c>
      <c r="C2091" s="14" t="s">
        <v>53</v>
      </c>
      <c r="D2091" s="105">
        <v>1134</v>
      </c>
      <c r="E2091" s="23">
        <v>42145</v>
      </c>
      <c r="F2091" s="118">
        <v>1134</v>
      </c>
      <c r="G2091" s="31">
        <f t="shared" si="64"/>
        <v>0</v>
      </c>
      <c r="H2091" s="62" t="s">
        <v>1257</v>
      </c>
      <c r="I2091" s="3"/>
      <c r="J2091" s="42"/>
      <c r="K2091" s="3"/>
      <c r="M2091" s="20">
        <v>42135</v>
      </c>
      <c r="N2091" s="183">
        <v>20666</v>
      </c>
      <c r="O2091" s="150" t="s">
        <v>1256</v>
      </c>
      <c r="P2091" s="105">
        <v>7500.8</v>
      </c>
      <c r="Q2091" s="23">
        <v>42135</v>
      </c>
      <c r="R2091" s="106">
        <v>7500.8</v>
      </c>
      <c r="S2091" s="31">
        <f t="shared" si="65"/>
        <v>0</v>
      </c>
      <c r="T2091" s="39" t="s">
        <v>1257</v>
      </c>
    </row>
    <row r="2092" spans="1:20" x14ac:dyDescent="0.25">
      <c r="A2092" s="20">
        <v>42144</v>
      </c>
      <c r="B2092" s="183">
        <v>21666</v>
      </c>
      <c r="C2092" s="14" t="s">
        <v>75</v>
      </c>
      <c r="D2092" s="105">
        <v>388.8</v>
      </c>
      <c r="E2092" s="23">
        <v>42145</v>
      </c>
      <c r="F2092" s="118">
        <v>388.8</v>
      </c>
      <c r="G2092" s="31">
        <f t="shared" si="64"/>
        <v>0</v>
      </c>
      <c r="H2092" s="62" t="s">
        <v>62</v>
      </c>
      <c r="I2092" s="3"/>
      <c r="J2092" s="42"/>
      <c r="K2092" s="3"/>
      <c r="M2092" s="20">
        <v>42136</v>
      </c>
      <c r="N2092" s="183">
        <v>20793</v>
      </c>
      <c r="O2092" s="14" t="s">
        <v>1256</v>
      </c>
      <c r="P2092" s="105">
        <v>5656.2</v>
      </c>
      <c r="Q2092" s="23">
        <v>42136</v>
      </c>
      <c r="R2092" s="106">
        <v>5656.2</v>
      </c>
      <c r="S2092" s="31">
        <f t="shared" si="65"/>
        <v>0</v>
      </c>
      <c r="T2092" s="19" t="s">
        <v>1257</v>
      </c>
    </row>
    <row r="2093" spans="1:20" x14ac:dyDescent="0.25">
      <c r="A2093" s="20">
        <v>42144</v>
      </c>
      <c r="B2093" s="183">
        <v>21667</v>
      </c>
      <c r="C2093" s="14" t="s">
        <v>155</v>
      </c>
      <c r="D2093" s="105">
        <v>1694.6</v>
      </c>
      <c r="E2093" s="23">
        <v>42145</v>
      </c>
      <c r="F2093" s="118">
        <v>1694.6</v>
      </c>
      <c r="G2093" s="31">
        <f t="shared" si="64"/>
        <v>0</v>
      </c>
      <c r="H2093" s="62" t="s">
        <v>1257</v>
      </c>
      <c r="I2093" s="3"/>
      <c r="J2093" s="42"/>
      <c r="K2093" s="3"/>
      <c r="M2093" s="20">
        <v>42137</v>
      </c>
      <c r="N2093" s="183">
        <v>20868</v>
      </c>
      <c r="O2093" s="14" t="s">
        <v>1256</v>
      </c>
      <c r="P2093" s="105">
        <v>5259.6</v>
      </c>
      <c r="Q2093" s="23">
        <v>42137</v>
      </c>
      <c r="R2093" s="106">
        <v>5259.6</v>
      </c>
      <c r="S2093" s="31">
        <f t="shared" si="65"/>
        <v>0</v>
      </c>
      <c r="T2093" s="39" t="s">
        <v>1257</v>
      </c>
    </row>
    <row r="2094" spans="1:20" x14ac:dyDescent="0.25">
      <c r="A2094" s="20">
        <v>42144</v>
      </c>
      <c r="B2094" s="183">
        <v>21668</v>
      </c>
      <c r="C2094" s="14" t="s">
        <v>1187</v>
      </c>
      <c r="D2094" s="105">
        <v>2260.8000000000002</v>
      </c>
      <c r="E2094" s="23">
        <v>42145</v>
      </c>
      <c r="F2094" s="118">
        <v>2260.8000000000002</v>
      </c>
      <c r="G2094" s="31">
        <f t="shared" si="64"/>
        <v>0</v>
      </c>
      <c r="H2094" s="62" t="s">
        <v>1257</v>
      </c>
      <c r="I2094" s="3"/>
      <c r="J2094" s="42"/>
      <c r="K2094" s="3"/>
      <c r="M2094" s="20">
        <v>42138</v>
      </c>
      <c r="N2094" s="183">
        <v>20972</v>
      </c>
      <c r="O2094" s="14" t="s">
        <v>1256</v>
      </c>
      <c r="P2094" s="105">
        <v>11424.6</v>
      </c>
      <c r="Q2094" s="23">
        <v>42138</v>
      </c>
      <c r="R2094" s="106">
        <v>11424.6</v>
      </c>
      <c r="S2094" s="31">
        <f t="shared" si="65"/>
        <v>0</v>
      </c>
      <c r="T2094" s="19" t="s">
        <v>1257</v>
      </c>
    </row>
    <row r="2095" spans="1:20" x14ac:dyDescent="0.25">
      <c r="A2095" s="20">
        <v>42144</v>
      </c>
      <c r="B2095" s="183">
        <v>21669</v>
      </c>
      <c r="C2095" s="14" t="s">
        <v>1058</v>
      </c>
      <c r="D2095" s="105">
        <v>2610.1999999999998</v>
      </c>
      <c r="E2095" s="23">
        <v>42144</v>
      </c>
      <c r="F2095" s="118">
        <v>2610.1999999999998</v>
      </c>
      <c r="G2095" s="31">
        <f t="shared" si="64"/>
        <v>0</v>
      </c>
      <c r="H2095" s="62" t="s">
        <v>9</v>
      </c>
      <c r="I2095" s="3"/>
      <c r="J2095" s="42"/>
      <c r="K2095" s="3"/>
      <c r="M2095" s="20">
        <v>42139</v>
      </c>
      <c r="N2095" s="183">
        <v>21081</v>
      </c>
      <c r="O2095" s="14" t="s">
        <v>1256</v>
      </c>
      <c r="P2095" s="105">
        <v>10698.6</v>
      </c>
      <c r="Q2095" s="23">
        <v>42139</v>
      </c>
      <c r="R2095" s="106">
        <v>10698.6</v>
      </c>
      <c r="S2095" s="48">
        <f t="shared" si="65"/>
        <v>0</v>
      </c>
      <c r="T2095" s="39" t="s">
        <v>1257</v>
      </c>
    </row>
    <row r="2096" spans="1:20" x14ac:dyDescent="0.25">
      <c r="A2096" s="20">
        <v>42144</v>
      </c>
      <c r="B2096" s="183">
        <v>21670</v>
      </c>
      <c r="C2096" s="110">
        <v>105</v>
      </c>
      <c r="D2096" s="105">
        <v>1710</v>
      </c>
      <c r="E2096" s="23">
        <v>42145</v>
      </c>
      <c r="F2096" s="118">
        <v>1710</v>
      </c>
      <c r="G2096" s="31">
        <f t="shared" si="64"/>
        <v>0</v>
      </c>
      <c r="H2096" s="62" t="s">
        <v>1257</v>
      </c>
      <c r="I2096" s="3"/>
      <c r="J2096" s="42"/>
      <c r="K2096" s="3"/>
      <c r="M2096" s="20">
        <v>42140</v>
      </c>
      <c r="N2096" s="183">
        <v>21209</v>
      </c>
      <c r="O2096" s="14" t="s">
        <v>1256</v>
      </c>
      <c r="P2096" s="105">
        <v>13893</v>
      </c>
      <c r="Q2096" s="23">
        <v>42142</v>
      </c>
      <c r="R2096" s="106">
        <v>13893</v>
      </c>
      <c r="S2096" s="48">
        <f t="shared" si="65"/>
        <v>0</v>
      </c>
      <c r="T2096" s="39" t="s">
        <v>1257</v>
      </c>
    </row>
    <row r="2097" spans="1:20" x14ac:dyDescent="0.25">
      <c r="A2097" s="20">
        <v>42144</v>
      </c>
      <c r="B2097" s="183">
        <v>21671</v>
      </c>
      <c r="C2097" s="14" t="s">
        <v>47</v>
      </c>
      <c r="D2097" s="105">
        <v>50497.254999999997</v>
      </c>
      <c r="E2097" s="23">
        <v>42144</v>
      </c>
      <c r="F2097" s="118">
        <v>50497.25</v>
      </c>
      <c r="G2097" s="31">
        <f t="shared" si="64"/>
        <v>4.9999999973806553E-3</v>
      </c>
      <c r="H2097" s="62" t="s">
        <v>9</v>
      </c>
      <c r="I2097" s="3"/>
      <c r="J2097" s="42"/>
      <c r="K2097" s="3"/>
      <c r="M2097" s="20">
        <v>42140</v>
      </c>
      <c r="N2097" s="183">
        <v>21210</v>
      </c>
      <c r="O2097" s="14" t="s">
        <v>1256</v>
      </c>
      <c r="P2097" s="105">
        <v>216</v>
      </c>
      <c r="Q2097" s="23">
        <v>42142</v>
      </c>
      <c r="R2097" s="106">
        <v>216</v>
      </c>
      <c r="S2097" s="48">
        <f t="shared" si="65"/>
        <v>0</v>
      </c>
      <c r="T2097" s="39" t="s">
        <v>1257</v>
      </c>
    </row>
    <row r="2098" spans="1:20" x14ac:dyDescent="0.25">
      <c r="A2098" s="20">
        <v>42144</v>
      </c>
      <c r="B2098" s="183">
        <v>21672</v>
      </c>
      <c r="C2098" s="14" t="s">
        <v>332</v>
      </c>
      <c r="D2098" s="105">
        <v>3186.2</v>
      </c>
      <c r="E2098" s="23">
        <v>42144</v>
      </c>
      <c r="F2098" s="118">
        <v>3186.2</v>
      </c>
      <c r="G2098" s="31">
        <f t="shared" si="64"/>
        <v>0</v>
      </c>
      <c r="H2098" s="62" t="s">
        <v>9</v>
      </c>
      <c r="I2098" s="3"/>
      <c r="J2098" s="42"/>
      <c r="K2098" s="3"/>
      <c r="M2098" s="20">
        <v>42141</v>
      </c>
      <c r="N2098" s="183">
        <v>21326</v>
      </c>
      <c r="O2098" s="14" t="s">
        <v>1256</v>
      </c>
      <c r="P2098" s="105">
        <v>11090.8</v>
      </c>
      <c r="Q2098" s="51">
        <v>42142</v>
      </c>
      <c r="R2098" s="118">
        <v>11090.8</v>
      </c>
      <c r="S2098" s="31">
        <f t="shared" si="65"/>
        <v>0</v>
      </c>
      <c r="T2098" s="62" t="s">
        <v>1257</v>
      </c>
    </row>
    <row r="2099" spans="1:20" x14ac:dyDescent="0.25">
      <c r="A2099" s="20">
        <v>42144</v>
      </c>
      <c r="B2099" s="183">
        <v>21673</v>
      </c>
      <c r="C2099" s="14" t="s">
        <v>131</v>
      </c>
      <c r="D2099" s="105">
        <v>5294.8</v>
      </c>
      <c r="E2099" s="23">
        <v>42145</v>
      </c>
      <c r="F2099" s="118">
        <v>5294.8</v>
      </c>
      <c r="G2099" s="31">
        <f t="shared" si="64"/>
        <v>0</v>
      </c>
      <c r="H2099" s="62" t="s">
        <v>1257</v>
      </c>
      <c r="I2099" s="3"/>
      <c r="J2099" s="42"/>
      <c r="K2099" s="3"/>
      <c r="M2099" s="20">
        <v>42142</v>
      </c>
      <c r="N2099" s="183">
        <v>21385</v>
      </c>
      <c r="O2099" s="14" t="s">
        <v>1256</v>
      </c>
      <c r="P2099" s="105">
        <v>3678.8</v>
      </c>
      <c r="Q2099" s="23">
        <v>42142</v>
      </c>
      <c r="R2099" s="118">
        <v>3678.8</v>
      </c>
      <c r="S2099" s="31">
        <f t="shared" si="65"/>
        <v>0</v>
      </c>
      <c r="T2099" s="56" t="s">
        <v>1273</v>
      </c>
    </row>
    <row r="2100" spans="1:20" x14ac:dyDescent="0.25">
      <c r="A2100" s="20">
        <v>42144</v>
      </c>
      <c r="B2100" s="183">
        <v>21674</v>
      </c>
      <c r="C2100" s="14" t="s">
        <v>167</v>
      </c>
      <c r="D2100" s="105">
        <v>480</v>
      </c>
      <c r="E2100" s="23">
        <v>42145</v>
      </c>
      <c r="F2100" s="118">
        <v>480</v>
      </c>
      <c r="G2100" s="31">
        <f t="shared" si="64"/>
        <v>0</v>
      </c>
      <c r="H2100" s="62" t="s">
        <v>1257</v>
      </c>
      <c r="I2100" s="3"/>
      <c r="J2100" s="42"/>
      <c r="K2100" s="3"/>
      <c r="M2100" s="20">
        <v>42143</v>
      </c>
      <c r="N2100" s="183">
        <v>21537</v>
      </c>
      <c r="O2100" s="14" t="s">
        <v>1256</v>
      </c>
      <c r="P2100" s="105">
        <v>4550</v>
      </c>
      <c r="Q2100" s="23">
        <v>42143</v>
      </c>
      <c r="R2100" s="118">
        <v>4550</v>
      </c>
      <c r="S2100" s="31">
        <f t="shared" si="65"/>
        <v>0</v>
      </c>
      <c r="T2100" s="56" t="s">
        <v>1257</v>
      </c>
    </row>
    <row r="2101" spans="1:20" x14ac:dyDescent="0.25">
      <c r="A2101" s="20">
        <v>42144</v>
      </c>
      <c r="B2101" s="183">
        <v>21675</v>
      </c>
      <c r="C2101" s="14" t="s">
        <v>130</v>
      </c>
      <c r="D2101" s="105">
        <v>3473.55</v>
      </c>
      <c r="E2101" s="23">
        <v>42145</v>
      </c>
      <c r="F2101" s="118">
        <v>3473.55</v>
      </c>
      <c r="G2101" s="31">
        <f t="shared" si="64"/>
        <v>0</v>
      </c>
      <c r="H2101" s="62" t="s">
        <v>1257</v>
      </c>
      <c r="I2101" s="3"/>
      <c r="J2101" s="42"/>
      <c r="K2101" s="3"/>
      <c r="M2101" s="20">
        <v>42144</v>
      </c>
      <c r="N2101" s="183">
        <v>21618</v>
      </c>
      <c r="O2101" s="14" t="s">
        <v>1256</v>
      </c>
      <c r="P2101" s="105">
        <v>4466</v>
      </c>
      <c r="Q2101" s="23">
        <v>42144</v>
      </c>
      <c r="R2101" s="118">
        <v>4466</v>
      </c>
      <c r="S2101" s="31">
        <f t="shared" si="65"/>
        <v>0</v>
      </c>
      <c r="T2101" s="56" t="s">
        <v>1257</v>
      </c>
    </row>
    <row r="2102" spans="1:20" x14ac:dyDescent="0.25">
      <c r="A2102" s="20">
        <v>42144</v>
      </c>
      <c r="B2102" s="183">
        <v>21676</v>
      </c>
      <c r="C2102" s="14" t="s">
        <v>61</v>
      </c>
      <c r="D2102" s="105">
        <v>5990.4</v>
      </c>
      <c r="E2102" s="23">
        <v>42145</v>
      </c>
      <c r="F2102" s="118">
        <v>5990.4</v>
      </c>
      <c r="G2102" s="31">
        <f t="shared" si="64"/>
        <v>0</v>
      </c>
      <c r="H2102" s="62" t="s">
        <v>62</v>
      </c>
      <c r="I2102" s="3"/>
      <c r="J2102" s="42"/>
      <c r="K2102" s="3"/>
      <c r="M2102" s="20">
        <v>42145</v>
      </c>
      <c r="N2102" s="183">
        <v>21721</v>
      </c>
      <c r="O2102" s="14" t="s">
        <v>1256</v>
      </c>
      <c r="P2102" s="105">
        <v>6050</v>
      </c>
      <c r="Q2102" s="23">
        <v>42145</v>
      </c>
      <c r="R2102" s="106">
        <v>6050</v>
      </c>
      <c r="S2102" s="31">
        <f t="shared" si="65"/>
        <v>0</v>
      </c>
      <c r="T2102" s="39" t="s">
        <v>1257</v>
      </c>
    </row>
    <row r="2103" spans="1:20" x14ac:dyDescent="0.25">
      <c r="A2103" s="20">
        <v>42144</v>
      </c>
      <c r="B2103" s="183">
        <v>21677</v>
      </c>
      <c r="C2103" s="14" t="s">
        <v>723</v>
      </c>
      <c r="D2103" s="105">
        <v>2299.6999999999998</v>
      </c>
      <c r="E2103" s="23">
        <v>42145</v>
      </c>
      <c r="F2103" s="118">
        <v>2299.6999999999998</v>
      </c>
      <c r="G2103" s="31">
        <f t="shared" si="64"/>
        <v>0</v>
      </c>
      <c r="H2103" s="62" t="s">
        <v>1257</v>
      </c>
      <c r="I2103" s="3"/>
      <c r="J2103" s="42"/>
      <c r="K2103" s="3"/>
      <c r="M2103" s="20">
        <v>42146</v>
      </c>
      <c r="N2103" s="183">
        <v>21835</v>
      </c>
      <c r="O2103" s="15" t="s">
        <v>1256</v>
      </c>
      <c r="P2103" s="122">
        <v>5684.4</v>
      </c>
      <c r="Q2103" s="23">
        <v>42146</v>
      </c>
      <c r="R2103" s="118">
        <v>5684.4</v>
      </c>
      <c r="S2103" s="31">
        <f t="shared" si="65"/>
        <v>0</v>
      </c>
      <c r="T2103" s="68" t="s">
        <v>1273</v>
      </c>
    </row>
    <row r="2104" spans="1:20" x14ac:dyDescent="0.25">
      <c r="A2104" s="20">
        <v>42144</v>
      </c>
      <c r="B2104" s="183">
        <v>21678</v>
      </c>
      <c r="C2104" s="14" t="s">
        <v>24</v>
      </c>
      <c r="D2104" s="105">
        <v>6868.5</v>
      </c>
      <c r="E2104" s="30">
        <v>42165</v>
      </c>
      <c r="F2104" s="145">
        <v>6868.5</v>
      </c>
      <c r="G2104" s="31">
        <f t="shared" si="64"/>
        <v>0</v>
      </c>
      <c r="H2104" s="62" t="s">
        <v>312</v>
      </c>
      <c r="I2104" s="3"/>
      <c r="J2104" s="42"/>
      <c r="K2104" s="3"/>
      <c r="M2104" s="20">
        <v>42147</v>
      </c>
      <c r="N2104" s="183">
        <v>21970</v>
      </c>
      <c r="O2104" s="14" t="s">
        <v>1256</v>
      </c>
      <c r="P2104" s="105">
        <v>7408.8</v>
      </c>
      <c r="Q2104" s="65">
        <v>42147</v>
      </c>
      <c r="R2104" s="106">
        <v>7408.8</v>
      </c>
      <c r="S2104" s="31">
        <f t="shared" si="65"/>
        <v>0</v>
      </c>
      <c r="T2104" s="39" t="s">
        <v>1273</v>
      </c>
    </row>
    <row r="2105" spans="1:20" x14ac:dyDescent="0.25">
      <c r="A2105" s="20">
        <v>42144</v>
      </c>
      <c r="B2105" s="183">
        <v>21679</v>
      </c>
      <c r="C2105" s="14" t="s">
        <v>48</v>
      </c>
      <c r="D2105" s="105">
        <v>8701.7999999999993</v>
      </c>
      <c r="E2105" s="23">
        <v>42144</v>
      </c>
      <c r="F2105" s="118">
        <v>8701.7999999999993</v>
      </c>
      <c r="G2105" s="31">
        <f t="shared" si="64"/>
        <v>0</v>
      </c>
      <c r="H2105" s="56" t="s">
        <v>1013</v>
      </c>
      <c r="I2105" s="3"/>
      <c r="J2105" s="42"/>
      <c r="K2105" s="3"/>
      <c r="M2105" s="20">
        <v>42148</v>
      </c>
      <c r="N2105" s="183">
        <v>22070</v>
      </c>
      <c r="O2105" s="14" t="s">
        <v>1256</v>
      </c>
      <c r="P2105" s="105">
        <v>6055.2</v>
      </c>
      <c r="Q2105" s="65">
        <v>42148</v>
      </c>
      <c r="R2105" s="106">
        <v>6055.2</v>
      </c>
      <c r="S2105" s="31">
        <f t="shared" si="65"/>
        <v>0</v>
      </c>
      <c r="T2105" s="39" t="s">
        <v>1257</v>
      </c>
    </row>
    <row r="2106" spans="1:20" x14ac:dyDescent="0.25">
      <c r="A2106" s="20">
        <v>42144</v>
      </c>
      <c r="B2106" s="183">
        <v>21680</v>
      </c>
      <c r="C2106" s="14" t="s">
        <v>791</v>
      </c>
      <c r="D2106" s="122">
        <v>2537.6</v>
      </c>
      <c r="E2106" s="30">
        <v>42171</v>
      </c>
      <c r="F2106" s="145">
        <v>2537.6</v>
      </c>
      <c r="G2106" s="31">
        <f t="shared" si="64"/>
        <v>0</v>
      </c>
      <c r="H2106" s="56" t="s">
        <v>9</v>
      </c>
      <c r="I2106" s="3"/>
      <c r="J2106" s="42"/>
      <c r="K2106" s="3"/>
      <c r="M2106" s="20">
        <v>42149</v>
      </c>
      <c r="N2106" s="183">
        <v>22135</v>
      </c>
      <c r="O2106" s="14" t="s">
        <v>1256</v>
      </c>
      <c r="P2106" s="105">
        <v>4756.2</v>
      </c>
      <c r="Q2106" s="65">
        <v>42149</v>
      </c>
      <c r="R2106" s="106">
        <v>4756.2</v>
      </c>
      <c r="S2106" s="31">
        <f t="shared" si="65"/>
        <v>0</v>
      </c>
      <c r="T2106" s="39" t="s">
        <v>1257</v>
      </c>
    </row>
    <row r="2107" spans="1:20" x14ac:dyDescent="0.25">
      <c r="A2107" s="20">
        <v>42144</v>
      </c>
      <c r="B2107" s="183">
        <v>21681</v>
      </c>
      <c r="C2107" s="14" t="s">
        <v>44</v>
      </c>
      <c r="D2107" s="105">
        <v>1224</v>
      </c>
      <c r="E2107" s="23">
        <v>42144</v>
      </c>
      <c r="F2107" s="118">
        <v>1224</v>
      </c>
      <c r="G2107" s="31">
        <f t="shared" si="64"/>
        <v>0</v>
      </c>
      <c r="H2107" s="56" t="s">
        <v>9</v>
      </c>
      <c r="I2107" s="3"/>
      <c r="J2107" s="42"/>
      <c r="K2107" s="3"/>
      <c r="M2107" s="20">
        <v>42150</v>
      </c>
      <c r="N2107" s="183">
        <v>22258</v>
      </c>
      <c r="O2107" s="14" t="s">
        <v>1256</v>
      </c>
      <c r="P2107" s="105">
        <v>3807.3</v>
      </c>
      <c r="Q2107" s="65">
        <v>42150</v>
      </c>
      <c r="R2107" s="106">
        <v>3807.3</v>
      </c>
      <c r="S2107" s="31">
        <f t="shared" si="65"/>
        <v>0</v>
      </c>
      <c r="T2107" s="39" t="s">
        <v>1273</v>
      </c>
    </row>
    <row r="2108" spans="1:20" x14ac:dyDescent="0.25">
      <c r="A2108" s="20">
        <v>42144</v>
      </c>
      <c r="B2108" s="183">
        <v>21682</v>
      </c>
      <c r="C2108" s="14" t="s">
        <v>128</v>
      </c>
      <c r="D2108" s="105">
        <v>11577.6</v>
      </c>
      <c r="E2108" s="23">
        <v>42144</v>
      </c>
      <c r="F2108" s="118">
        <v>11577.6</v>
      </c>
      <c r="G2108" s="31">
        <f t="shared" si="64"/>
        <v>0</v>
      </c>
      <c r="H2108" s="56" t="s">
        <v>1013</v>
      </c>
      <c r="I2108" s="3"/>
      <c r="J2108" s="42"/>
      <c r="K2108" s="3"/>
      <c r="M2108" s="20">
        <v>42151</v>
      </c>
      <c r="N2108" s="183">
        <v>22330</v>
      </c>
      <c r="O2108" s="14" t="s">
        <v>1256</v>
      </c>
      <c r="P2108" s="105">
        <v>4314.2</v>
      </c>
      <c r="Q2108" s="65">
        <v>42151</v>
      </c>
      <c r="R2108" s="106">
        <v>4314.2</v>
      </c>
      <c r="S2108" s="31">
        <f t="shared" si="65"/>
        <v>0</v>
      </c>
      <c r="T2108" s="39" t="s">
        <v>1257</v>
      </c>
    </row>
    <row r="2109" spans="1:20" x14ac:dyDescent="0.25">
      <c r="A2109" s="20">
        <v>42144</v>
      </c>
      <c r="B2109" s="183">
        <v>21683</v>
      </c>
      <c r="C2109" s="14" t="s">
        <v>100</v>
      </c>
      <c r="D2109" s="105">
        <v>1824</v>
      </c>
      <c r="E2109" s="30">
        <v>42171</v>
      </c>
      <c r="F2109" s="145">
        <v>1824</v>
      </c>
      <c r="G2109" s="31">
        <f t="shared" si="64"/>
        <v>0</v>
      </c>
      <c r="H2109" s="56" t="s">
        <v>9</v>
      </c>
      <c r="I2109" s="3"/>
      <c r="J2109" s="42"/>
      <c r="K2109" s="3"/>
      <c r="M2109" s="20">
        <v>42152</v>
      </c>
      <c r="N2109" s="183">
        <v>22428</v>
      </c>
      <c r="O2109" s="14" t="s">
        <v>1256</v>
      </c>
      <c r="P2109" s="105">
        <v>5029.6000000000004</v>
      </c>
      <c r="Q2109" s="23">
        <v>42152</v>
      </c>
      <c r="R2109" s="106">
        <v>5029.6000000000004</v>
      </c>
      <c r="S2109" s="31">
        <f t="shared" si="65"/>
        <v>0</v>
      </c>
      <c r="T2109" s="39" t="s">
        <v>9</v>
      </c>
    </row>
    <row r="2110" spans="1:20" x14ac:dyDescent="0.25">
      <c r="A2110" s="20">
        <v>42144</v>
      </c>
      <c r="B2110" s="183">
        <v>21684</v>
      </c>
      <c r="C2110" s="14" t="s">
        <v>122</v>
      </c>
      <c r="D2110" s="105">
        <v>7461.2</v>
      </c>
      <c r="E2110" s="23">
        <v>42144</v>
      </c>
      <c r="F2110" s="118">
        <v>7461.2</v>
      </c>
      <c r="G2110" s="31">
        <f t="shared" si="64"/>
        <v>0</v>
      </c>
      <c r="H2110" s="56" t="s">
        <v>9</v>
      </c>
      <c r="I2110" s="3"/>
      <c r="J2110" s="42"/>
      <c r="K2110" s="3"/>
      <c r="M2110" s="20">
        <v>42153</v>
      </c>
      <c r="N2110" s="183">
        <v>22546</v>
      </c>
      <c r="O2110" s="14" t="s">
        <v>1256</v>
      </c>
      <c r="P2110" s="105">
        <v>8467.2000000000007</v>
      </c>
      <c r="Q2110" s="23">
        <v>42153</v>
      </c>
      <c r="R2110" s="106">
        <v>8467.2000000000007</v>
      </c>
      <c r="S2110" s="31">
        <f t="shared" si="65"/>
        <v>0</v>
      </c>
      <c r="T2110" s="39" t="s">
        <v>9</v>
      </c>
    </row>
    <row r="2111" spans="1:20" x14ac:dyDescent="0.25">
      <c r="A2111" s="20">
        <v>42144</v>
      </c>
      <c r="B2111" s="183">
        <v>21685</v>
      </c>
      <c r="C2111" s="14" t="s">
        <v>14</v>
      </c>
      <c r="D2111" s="105">
        <v>318802.8</v>
      </c>
      <c r="E2111" s="23">
        <v>42153</v>
      </c>
      <c r="F2111" s="118">
        <v>318802.8</v>
      </c>
      <c r="G2111" s="31">
        <f t="shared" si="64"/>
        <v>0</v>
      </c>
      <c r="H2111" s="56" t="s">
        <v>312</v>
      </c>
      <c r="I2111" s="3"/>
      <c r="J2111" s="42"/>
      <c r="K2111" s="3"/>
      <c r="M2111" s="20">
        <v>42154</v>
      </c>
      <c r="N2111" s="183">
        <v>22669</v>
      </c>
      <c r="O2111" s="14" t="s">
        <v>1256</v>
      </c>
      <c r="P2111" s="105">
        <v>11772</v>
      </c>
      <c r="Q2111" s="23">
        <v>42154</v>
      </c>
      <c r="R2111" s="106">
        <v>11772</v>
      </c>
      <c r="S2111" s="31">
        <f t="shared" si="65"/>
        <v>0</v>
      </c>
      <c r="T2111" s="39" t="s">
        <v>1257</v>
      </c>
    </row>
    <row r="2112" spans="1:20" x14ac:dyDescent="0.25">
      <c r="A2112" s="20">
        <v>42144</v>
      </c>
      <c r="B2112" s="183">
        <v>21686</v>
      </c>
      <c r="C2112" s="14" t="s">
        <v>14</v>
      </c>
      <c r="D2112" s="105">
        <v>210851.75</v>
      </c>
      <c r="E2112" s="23">
        <v>42153</v>
      </c>
      <c r="F2112" s="118">
        <v>210851.75</v>
      </c>
      <c r="G2112" s="31">
        <f t="shared" si="64"/>
        <v>0</v>
      </c>
      <c r="H2112" s="56" t="s">
        <v>9</v>
      </c>
      <c r="I2112" s="3"/>
      <c r="J2112" s="42"/>
      <c r="K2112" s="3"/>
      <c r="M2112" s="20">
        <v>42155</v>
      </c>
      <c r="N2112" s="183">
        <v>22790</v>
      </c>
      <c r="O2112" s="14" t="s">
        <v>1256</v>
      </c>
      <c r="P2112" s="105">
        <v>11980.8</v>
      </c>
      <c r="Q2112" s="23">
        <v>42155</v>
      </c>
      <c r="R2112" s="106">
        <v>11980.8</v>
      </c>
      <c r="S2112" s="31">
        <f t="shared" si="65"/>
        <v>0</v>
      </c>
      <c r="T2112" s="39" t="s">
        <v>1257</v>
      </c>
    </row>
    <row r="2113" spans="1:20" x14ac:dyDescent="0.25">
      <c r="A2113" s="20">
        <v>42144</v>
      </c>
      <c r="B2113" s="183">
        <v>21687</v>
      </c>
      <c r="C2113" s="14" t="s">
        <v>89</v>
      </c>
      <c r="D2113" s="105">
        <v>4246.2</v>
      </c>
      <c r="E2113" s="23">
        <v>42144</v>
      </c>
      <c r="F2113" s="118">
        <v>4246.2</v>
      </c>
      <c r="G2113" s="31">
        <f t="shared" si="64"/>
        <v>0</v>
      </c>
      <c r="H2113" s="56" t="s">
        <v>9</v>
      </c>
      <c r="I2113" s="3"/>
      <c r="J2113" s="42"/>
      <c r="K2113" s="3"/>
      <c r="M2113" s="20">
        <v>42125</v>
      </c>
      <c r="N2113" s="183">
        <v>19584</v>
      </c>
      <c r="O2113" s="14" t="s">
        <v>37</v>
      </c>
      <c r="P2113" s="105">
        <v>4674.6000000000004</v>
      </c>
      <c r="Q2113" s="23">
        <v>42136</v>
      </c>
      <c r="R2113" s="106">
        <v>4674.6000000000004</v>
      </c>
      <c r="S2113" s="25">
        <f t="shared" si="65"/>
        <v>0</v>
      </c>
      <c r="T2113" s="19" t="s">
        <v>773</v>
      </c>
    </row>
    <row r="2114" spans="1:20" x14ac:dyDescent="0.25">
      <c r="A2114" s="20">
        <v>42144</v>
      </c>
      <c r="B2114" s="183">
        <v>21688</v>
      </c>
      <c r="C2114" s="14" t="s">
        <v>103</v>
      </c>
      <c r="D2114" s="105">
        <v>25540.46</v>
      </c>
      <c r="E2114" s="23">
        <v>42145</v>
      </c>
      <c r="F2114" s="106">
        <v>25540.46</v>
      </c>
      <c r="G2114" s="31">
        <f t="shared" si="64"/>
        <v>0</v>
      </c>
      <c r="H2114" s="39" t="s">
        <v>1273</v>
      </c>
      <c r="I2114" s="3"/>
      <c r="J2114" s="42"/>
      <c r="K2114" s="3"/>
      <c r="M2114" s="20">
        <v>42126</v>
      </c>
      <c r="N2114" s="183">
        <v>19743</v>
      </c>
      <c r="O2114" s="40" t="s">
        <v>37</v>
      </c>
      <c r="P2114" s="105">
        <v>2117.5</v>
      </c>
      <c r="Q2114" s="23">
        <v>42136</v>
      </c>
      <c r="R2114" s="106">
        <v>2117.5</v>
      </c>
      <c r="S2114" s="25">
        <f t="shared" si="65"/>
        <v>0</v>
      </c>
      <c r="T2114" s="41" t="s">
        <v>773</v>
      </c>
    </row>
    <row r="2115" spans="1:20" x14ac:dyDescent="0.25">
      <c r="A2115" s="20">
        <v>42144</v>
      </c>
      <c r="B2115" s="183">
        <v>21689</v>
      </c>
      <c r="C2115" s="14" t="s">
        <v>1324</v>
      </c>
      <c r="D2115" s="105">
        <v>3543.15</v>
      </c>
      <c r="E2115" s="30">
        <v>42156</v>
      </c>
      <c r="F2115" s="144">
        <v>3543.15</v>
      </c>
      <c r="G2115" s="31">
        <f t="shared" ref="G2115:G2178" si="66">D2115-F2115</f>
        <v>0</v>
      </c>
      <c r="H2115" s="39" t="s">
        <v>9</v>
      </c>
      <c r="I2115" s="3"/>
      <c r="J2115" s="42"/>
      <c r="K2115" s="3"/>
      <c r="M2115" s="20">
        <v>42128</v>
      </c>
      <c r="N2115" s="183">
        <v>19921</v>
      </c>
      <c r="O2115" s="14" t="s">
        <v>37</v>
      </c>
      <c r="P2115" s="105">
        <v>14378.2</v>
      </c>
      <c r="Q2115" s="23">
        <v>42136</v>
      </c>
      <c r="R2115" s="106">
        <v>14378.2</v>
      </c>
      <c r="S2115" s="31">
        <f t="shared" ref="S2115:S2178" si="67">P2115-R2115</f>
        <v>0</v>
      </c>
      <c r="T2115" s="19" t="s">
        <v>773</v>
      </c>
    </row>
    <row r="2116" spans="1:20" x14ac:dyDescent="0.25">
      <c r="A2116" s="20">
        <v>42144</v>
      </c>
      <c r="B2116" s="183">
        <v>21690</v>
      </c>
      <c r="C2116" s="14" t="s">
        <v>571</v>
      </c>
      <c r="D2116" s="105">
        <v>9500</v>
      </c>
      <c r="E2116" s="23">
        <v>42144</v>
      </c>
      <c r="F2116" s="106">
        <v>9500</v>
      </c>
      <c r="G2116" s="31">
        <f t="shared" si="66"/>
        <v>0</v>
      </c>
      <c r="H2116" s="39" t="s">
        <v>94</v>
      </c>
      <c r="I2116" s="3"/>
      <c r="J2116" s="42"/>
      <c r="K2116" s="3"/>
      <c r="M2116" s="20">
        <v>42131</v>
      </c>
      <c r="N2116" s="183">
        <v>20268</v>
      </c>
      <c r="O2116" s="14" t="s">
        <v>37</v>
      </c>
      <c r="P2116" s="105">
        <v>49755.47</v>
      </c>
      <c r="Q2116" s="23">
        <v>42136</v>
      </c>
      <c r="R2116" s="106">
        <v>49755.47</v>
      </c>
      <c r="S2116" s="31">
        <f t="shared" si="67"/>
        <v>0</v>
      </c>
      <c r="T2116" s="19" t="s">
        <v>773</v>
      </c>
    </row>
    <row r="2117" spans="1:20" x14ac:dyDescent="0.25">
      <c r="A2117" s="20">
        <v>42144</v>
      </c>
      <c r="B2117" s="183">
        <v>21691</v>
      </c>
      <c r="C2117" s="150" t="s">
        <v>106</v>
      </c>
      <c r="D2117" s="105">
        <v>58841.72</v>
      </c>
      <c r="E2117" s="23">
        <v>42144</v>
      </c>
      <c r="F2117" s="106">
        <v>58841.72</v>
      </c>
      <c r="G2117" s="31">
        <f t="shared" si="66"/>
        <v>0</v>
      </c>
      <c r="H2117" s="39" t="s">
        <v>46</v>
      </c>
      <c r="I2117" s="3"/>
      <c r="J2117" s="42"/>
      <c r="K2117" s="3"/>
      <c r="M2117" s="20">
        <v>42132</v>
      </c>
      <c r="N2117" s="183">
        <v>20405</v>
      </c>
      <c r="O2117" s="14" t="s">
        <v>37</v>
      </c>
      <c r="P2117" s="105">
        <v>26160.9</v>
      </c>
      <c r="Q2117" s="23">
        <v>42136</v>
      </c>
      <c r="R2117" s="106">
        <v>26160.9</v>
      </c>
      <c r="S2117" s="31">
        <f t="shared" si="67"/>
        <v>0</v>
      </c>
      <c r="T2117" s="19" t="s">
        <v>773</v>
      </c>
    </row>
    <row r="2118" spans="1:20" x14ac:dyDescent="0.25">
      <c r="A2118" s="20">
        <v>42144</v>
      </c>
      <c r="B2118" s="183">
        <v>21692</v>
      </c>
      <c r="C2118" s="14" t="s">
        <v>335</v>
      </c>
      <c r="D2118" s="105">
        <v>825.6</v>
      </c>
      <c r="E2118" s="23">
        <v>42144</v>
      </c>
      <c r="F2118" s="106">
        <v>825.6</v>
      </c>
      <c r="G2118" s="31">
        <f t="shared" si="66"/>
        <v>0</v>
      </c>
      <c r="H2118" s="39" t="s">
        <v>9</v>
      </c>
      <c r="I2118" s="3"/>
      <c r="J2118" s="42"/>
      <c r="K2118" s="3"/>
      <c r="M2118" s="20">
        <v>42132</v>
      </c>
      <c r="N2118" s="183">
        <v>20409</v>
      </c>
      <c r="O2118" s="14" t="s">
        <v>37</v>
      </c>
      <c r="P2118" s="105">
        <v>450.8</v>
      </c>
      <c r="Q2118" s="23">
        <v>42136</v>
      </c>
      <c r="R2118" s="106">
        <v>450.8</v>
      </c>
      <c r="S2118" s="31">
        <f t="shared" si="67"/>
        <v>0</v>
      </c>
      <c r="T2118" s="19" t="s">
        <v>773</v>
      </c>
    </row>
    <row r="2119" spans="1:20" x14ac:dyDescent="0.25">
      <c r="A2119" s="20">
        <v>42144</v>
      </c>
      <c r="B2119" s="183">
        <v>21693</v>
      </c>
      <c r="C2119" s="14" t="s">
        <v>158</v>
      </c>
      <c r="D2119" s="105">
        <v>1908</v>
      </c>
      <c r="E2119" s="23">
        <v>42144</v>
      </c>
      <c r="F2119" s="106">
        <v>1908</v>
      </c>
      <c r="G2119" s="31">
        <f t="shared" si="66"/>
        <v>0</v>
      </c>
      <c r="H2119" s="39" t="s">
        <v>9</v>
      </c>
      <c r="I2119" s="3"/>
      <c r="J2119" s="42"/>
      <c r="K2119" s="3"/>
      <c r="M2119" s="20">
        <v>42133</v>
      </c>
      <c r="N2119" s="183">
        <v>20520</v>
      </c>
      <c r="O2119" s="14" t="s">
        <v>37</v>
      </c>
      <c r="P2119" s="105">
        <v>23939.1</v>
      </c>
      <c r="Q2119" s="23">
        <v>42136</v>
      </c>
      <c r="R2119" s="106">
        <v>23939.1</v>
      </c>
      <c r="S2119" s="31">
        <f t="shared" si="67"/>
        <v>0</v>
      </c>
      <c r="T2119" s="19" t="s">
        <v>773</v>
      </c>
    </row>
    <row r="2120" spans="1:20" x14ac:dyDescent="0.25">
      <c r="A2120" s="20">
        <v>42144</v>
      </c>
      <c r="B2120" s="183">
        <v>21694</v>
      </c>
      <c r="C2120" s="14" t="s">
        <v>136</v>
      </c>
      <c r="D2120" s="105">
        <v>36652.199999999997</v>
      </c>
      <c r="E2120" s="12" t="s">
        <v>1431</v>
      </c>
      <c r="F2120" s="106">
        <f>32200+4452.2</f>
        <v>36652.199999999997</v>
      </c>
      <c r="G2120" s="31">
        <f t="shared" si="66"/>
        <v>0</v>
      </c>
      <c r="H2120" s="39" t="s">
        <v>9</v>
      </c>
      <c r="I2120" s="3"/>
      <c r="J2120" s="42"/>
      <c r="K2120" s="3"/>
      <c r="M2120" s="20">
        <v>42133</v>
      </c>
      <c r="N2120" s="183">
        <v>20521</v>
      </c>
      <c r="O2120" s="14" t="s">
        <v>37</v>
      </c>
      <c r="P2120" s="105">
        <v>618.70000000000005</v>
      </c>
      <c r="Q2120" s="23">
        <v>42136</v>
      </c>
      <c r="R2120" s="106">
        <v>618.70000000000005</v>
      </c>
      <c r="S2120" s="31">
        <f t="shared" si="67"/>
        <v>0</v>
      </c>
      <c r="T2120" s="19" t="s">
        <v>773</v>
      </c>
    </row>
    <row r="2121" spans="1:20" x14ac:dyDescent="0.25">
      <c r="A2121" s="20">
        <v>42144</v>
      </c>
      <c r="B2121" s="183">
        <v>21695</v>
      </c>
      <c r="C2121" s="14" t="s">
        <v>252</v>
      </c>
      <c r="D2121" s="105">
        <v>4403.3999999999996</v>
      </c>
      <c r="E2121" s="23">
        <v>42144</v>
      </c>
      <c r="F2121" s="106">
        <v>4403.3999999999996</v>
      </c>
      <c r="G2121" s="31">
        <f t="shared" si="66"/>
        <v>0</v>
      </c>
      <c r="H2121" s="39" t="s">
        <v>9</v>
      </c>
      <c r="I2121" s="3"/>
      <c r="J2121" s="42"/>
      <c r="K2121" s="3"/>
      <c r="M2121" s="20">
        <v>42135</v>
      </c>
      <c r="N2121" s="183">
        <v>20672</v>
      </c>
      <c r="O2121" s="14" t="s">
        <v>37</v>
      </c>
      <c r="P2121" s="105">
        <v>25875</v>
      </c>
      <c r="Q2121" s="23">
        <v>42145</v>
      </c>
      <c r="R2121" s="106">
        <v>25875</v>
      </c>
      <c r="S2121" s="31">
        <f t="shared" si="67"/>
        <v>0</v>
      </c>
      <c r="T2121" s="39" t="s">
        <v>773</v>
      </c>
    </row>
    <row r="2122" spans="1:20" x14ac:dyDescent="0.25">
      <c r="A2122" s="20">
        <v>42144</v>
      </c>
      <c r="B2122" s="183">
        <v>21696</v>
      </c>
      <c r="C2122" s="14" t="s">
        <v>1262</v>
      </c>
      <c r="D2122" s="105">
        <v>56804.17</v>
      </c>
      <c r="E2122" s="23">
        <v>42147</v>
      </c>
      <c r="F2122" s="106">
        <v>56804.17</v>
      </c>
      <c r="G2122" s="31">
        <f t="shared" si="66"/>
        <v>0</v>
      </c>
      <c r="H2122" s="39" t="s">
        <v>1013</v>
      </c>
      <c r="I2122" s="3"/>
      <c r="J2122" s="42"/>
      <c r="K2122" s="3"/>
      <c r="M2122" s="20">
        <v>42136</v>
      </c>
      <c r="N2122" s="183">
        <v>20810</v>
      </c>
      <c r="O2122" s="14" t="s">
        <v>37</v>
      </c>
      <c r="P2122" s="105">
        <v>20775.900000000001</v>
      </c>
      <c r="Q2122" s="23">
        <v>42145</v>
      </c>
      <c r="R2122" s="106">
        <v>20775.900000000001</v>
      </c>
      <c r="S2122" s="31">
        <f t="shared" si="67"/>
        <v>0</v>
      </c>
      <c r="T2122" s="39" t="s">
        <v>94</v>
      </c>
    </row>
    <row r="2123" spans="1:20" x14ac:dyDescent="0.25">
      <c r="A2123" s="20">
        <v>42144</v>
      </c>
      <c r="B2123" s="183">
        <v>21697</v>
      </c>
      <c r="C2123" s="14" t="s">
        <v>734</v>
      </c>
      <c r="D2123" s="105">
        <v>9673.6</v>
      </c>
      <c r="E2123" s="23">
        <v>42145</v>
      </c>
      <c r="F2123" s="106">
        <v>9673.6</v>
      </c>
      <c r="G2123" s="31">
        <f t="shared" si="66"/>
        <v>0</v>
      </c>
      <c r="H2123" s="39" t="s">
        <v>94</v>
      </c>
      <c r="I2123" s="3"/>
      <c r="J2123" s="42"/>
      <c r="K2123" s="3"/>
      <c r="M2123" s="20">
        <v>42139</v>
      </c>
      <c r="N2123" s="183">
        <v>21088</v>
      </c>
      <c r="O2123" s="14" t="s">
        <v>37</v>
      </c>
      <c r="P2123" s="105">
        <v>25247.75</v>
      </c>
      <c r="Q2123" s="23">
        <v>42145</v>
      </c>
      <c r="R2123" s="106">
        <v>25247.75</v>
      </c>
      <c r="S2123" s="48">
        <f t="shared" si="67"/>
        <v>0</v>
      </c>
      <c r="T2123" s="39" t="s">
        <v>773</v>
      </c>
    </row>
    <row r="2124" spans="1:20" x14ac:dyDescent="0.25">
      <c r="A2124" s="20">
        <v>42144</v>
      </c>
      <c r="B2124" s="183">
        <v>21698</v>
      </c>
      <c r="C2124" s="14" t="s">
        <v>363</v>
      </c>
      <c r="D2124" s="105">
        <v>655.20000000000005</v>
      </c>
      <c r="E2124" s="23">
        <v>42145</v>
      </c>
      <c r="F2124" s="106">
        <v>655.20000000000005</v>
      </c>
      <c r="G2124" s="31">
        <f t="shared" si="66"/>
        <v>0</v>
      </c>
      <c r="H2124" s="39" t="s">
        <v>1273</v>
      </c>
      <c r="I2124" s="3"/>
      <c r="J2124" s="42"/>
      <c r="K2124" s="3"/>
      <c r="M2124" s="20">
        <v>42139</v>
      </c>
      <c r="N2124" s="183">
        <v>21089</v>
      </c>
      <c r="O2124" s="14" t="s">
        <v>37</v>
      </c>
      <c r="P2124" s="105">
        <v>2587.8000000000002</v>
      </c>
      <c r="Q2124" s="23">
        <v>42145</v>
      </c>
      <c r="R2124" s="106">
        <v>2587.8000000000002</v>
      </c>
      <c r="S2124" s="48">
        <f t="shared" si="67"/>
        <v>0</v>
      </c>
      <c r="T2124" s="39" t="s">
        <v>773</v>
      </c>
    </row>
    <row r="2125" spans="1:20" x14ac:dyDescent="0.25">
      <c r="A2125" s="20">
        <v>42144</v>
      </c>
      <c r="B2125" s="183">
        <v>21699</v>
      </c>
      <c r="C2125" s="14" t="s">
        <v>95</v>
      </c>
      <c r="D2125" s="105">
        <v>3063.6</v>
      </c>
      <c r="E2125" s="23">
        <v>42145</v>
      </c>
      <c r="F2125" s="106">
        <v>3063.6</v>
      </c>
      <c r="G2125" s="31">
        <f t="shared" si="66"/>
        <v>0</v>
      </c>
      <c r="H2125" s="39" t="s">
        <v>1273</v>
      </c>
      <c r="I2125" s="3"/>
      <c r="J2125" s="42"/>
      <c r="K2125" s="3"/>
      <c r="M2125" s="20">
        <v>42139</v>
      </c>
      <c r="N2125" s="183">
        <v>21091</v>
      </c>
      <c r="O2125" s="14" t="s">
        <v>37</v>
      </c>
      <c r="P2125" s="105">
        <v>535.9</v>
      </c>
      <c r="Q2125" s="23">
        <v>42145</v>
      </c>
      <c r="R2125" s="106">
        <v>535.9</v>
      </c>
      <c r="S2125" s="48">
        <f t="shared" si="67"/>
        <v>0</v>
      </c>
      <c r="T2125" s="39" t="s">
        <v>773</v>
      </c>
    </row>
    <row r="2126" spans="1:20" x14ac:dyDescent="0.25">
      <c r="A2126" s="20">
        <v>42144</v>
      </c>
      <c r="B2126" s="183">
        <v>21700</v>
      </c>
      <c r="C2126" s="14" t="s">
        <v>1287</v>
      </c>
      <c r="D2126" s="105">
        <v>9028.7999999999993</v>
      </c>
      <c r="E2126" s="23">
        <v>42153</v>
      </c>
      <c r="F2126" s="106">
        <v>9028.7999999999993</v>
      </c>
      <c r="G2126" s="31">
        <f t="shared" si="66"/>
        <v>0</v>
      </c>
      <c r="H2126" s="39" t="s">
        <v>9</v>
      </c>
      <c r="I2126" s="3"/>
      <c r="J2126" s="42"/>
      <c r="K2126" s="3"/>
      <c r="M2126" s="20">
        <v>42143</v>
      </c>
      <c r="N2126" s="183">
        <v>21546</v>
      </c>
      <c r="O2126" s="14" t="s">
        <v>37</v>
      </c>
      <c r="P2126" s="105">
        <v>26687.16</v>
      </c>
      <c r="Q2126" s="23">
        <v>42145</v>
      </c>
      <c r="R2126" s="118">
        <v>26687.16</v>
      </c>
      <c r="S2126" s="31">
        <f t="shared" si="67"/>
        <v>0</v>
      </c>
      <c r="T2126" s="56" t="s">
        <v>94</v>
      </c>
    </row>
    <row r="2127" spans="1:20" x14ac:dyDescent="0.25">
      <c r="A2127" s="20">
        <v>42144</v>
      </c>
      <c r="B2127" s="183">
        <v>21701</v>
      </c>
      <c r="C2127" s="14" t="s">
        <v>118</v>
      </c>
      <c r="D2127" s="105">
        <v>11050.4</v>
      </c>
      <c r="E2127" s="30">
        <v>42157</v>
      </c>
      <c r="F2127" s="144">
        <v>11050.4</v>
      </c>
      <c r="G2127" s="31">
        <f t="shared" si="66"/>
        <v>0</v>
      </c>
      <c r="H2127" s="39" t="s">
        <v>94</v>
      </c>
      <c r="I2127" s="3"/>
      <c r="J2127" s="42"/>
      <c r="K2127" s="3"/>
      <c r="M2127" s="20">
        <v>42144</v>
      </c>
      <c r="N2127" s="183">
        <v>21636</v>
      </c>
      <c r="O2127" s="14" t="s">
        <v>37</v>
      </c>
      <c r="P2127" s="105">
        <v>22890.34</v>
      </c>
      <c r="Q2127" s="23">
        <v>42152</v>
      </c>
      <c r="R2127" s="118">
        <v>22890.34</v>
      </c>
      <c r="S2127" s="31">
        <f t="shared" si="67"/>
        <v>0</v>
      </c>
      <c r="T2127" s="62" t="s">
        <v>9</v>
      </c>
    </row>
    <row r="2128" spans="1:20" x14ac:dyDescent="0.25">
      <c r="A2128" s="20">
        <v>42144</v>
      </c>
      <c r="B2128" s="183">
        <v>21702</v>
      </c>
      <c r="C2128" s="14" t="s">
        <v>411</v>
      </c>
      <c r="D2128" s="105">
        <v>1736.7</v>
      </c>
      <c r="E2128" s="23">
        <v>42144</v>
      </c>
      <c r="F2128" s="106">
        <v>1736.7</v>
      </c>
      <c r="G2128" s="31">
        <f t="shared" si="66"/>
        <v>0</v>
      </c>
      <c r="H2128" s="39" t="s">
        <v>9</v>
      </c>
      <c r="I2128" s="3"/>
      <c r="J2128" s="42"/>
      <c r="K2128" s="3"/>
      <c r="M2128" s="20">
        <v>42145</v>
      </c>
      <c r="N2128" s="183">
        <v>21758</v>
      </c>
      <c r="O2128" s="15" t="s">
        <v>37</v>
      </c>
      <c r="P2128" s="122">
        <v>47874.86</v>
      </c>
      <c r="Q2128" s="23">
        <v>42152</v>
      </c>
      <c r="R2128" s="118">
        <v>47874.86</v>
      </c>
      <c r="S2128" s="31">
        <f t="shared" si="67"/>
        <v>0</v>
      </c>
      <c r="T2128" s="68" t="s">
        <v>773</v>
      </c>
    </row>
    <row r="2129" spans="1:20" x14ac:dyDescent="0.25">
      <c r="A2129" s="20">
        <v>42144</v>
      </c>
      <c r="B2129" s="183">
        <v>21703</v>
      </c>
      <c r="C2129" s="150" t="s">
        <v>827</v>
      </c>
      <c r="D2129" s="105">
        <v>1843.2</v>
      </c>
      <c r="E2129" s="23">
        <v>42145</v>
      </c>
      <c r="F2129" s="106">
        <v>1843.2</v>
      </c>
      <c r="G2129" s="31">
        <f t="shared" si="66"/>
        <v>0</v>
      </c>
      <c r="H2129" s="39" t="s">
        <v>94</v>
      </c>
      <c r="I2129" s="3"/>
      <c r="J2129" s="42"/>
      <c r="K2129" s="3"/>
      <c r="M2129" s="20">
        <v>42147</v>
      </c>
      <c r="N2129" s="183">
        <v>21990</v>
      </c>
      <c r="O2129" s="14" t="s">
        <v>37</v>
      </c>
      <c r="P2129" s="105">
        <v>2397.3000000000002</v>
      </c>
      <c r="Q2129" s="65">
        <v>42152</v>
      </c>
      <c r="R2129" s="106">
        <v>2397.3000000000002</v>
      </c>
      <c r="S2129" s="31">
        <f t="shared" si="67"/>
        <v>0</v>
      </c>
      <c r="T2129" s="39" t="s">
        <v>9</v>
      </c>
    </row>
    <row r="2130" spans="1:20" x14ac:dyDescent="0.25">
      <c r="A2130" s="20">
        <v>42144</v>
      </c>
      <c r="B2130" s="183">
        <v>21704</v>
      </c>
      <c r="C2130" s="14" t="s">
        <v>1338</v>
      </c>
      <c r="D2130" s="105">
        <v>2779.2</v>
      </c>
      <c r="E2130" s="23">
        <v>42153</v>
      </c>
      <c r="F2130" s="106">
        <v>2779.2</v>
      </c>
      <c r="G2130" s="31">
        <f t="shared" si="66"/>
        <v>0</v>
      </c>
      <c r="H2130" s="39" t="s">
        <v>94</v>
      </c>
      <c r="I2130" s="3"/>
      <c r="J2130" s="42"/>
      <c r="K2130" s="3"/>
      <c r="M2130" s="20">
        <v>42149</v>
      </c>
      <c r="N2130" s="183">
        <v>22186</v>
      </c>
      <c r="O2130" s="14" t="s">
        <v>37</v>
      </c>
      <c r="P2130" s="105">
        <v>26895.15</v>
      </c>
      <c r="Q2130" s="65"/>
      <c r="R2130" s="106"/>
      <c r="S2130" s="31">
        <f t="shared" si="67"/>
        <v>26895.15</v>
      </c>
      <c r="T2130" s="39" t="s">
        <v>773</v>
      </c>
    </row>
    <row r="2131" spans="1:20" x14ac:dyDescent="0.25">
      <c r="A2131" s="20">
        <v>42144</v>
      </c>
      <c r="B2131" s="183">
        <v>21705</v>
      </c>
      <c r="C2131" s="14" t="s">
        <v>24</v>
      </c>
      <c r="D2131" s="105">
        <v>81782.2</v>
      </c>
      <c r="E2131" s="30">
        <v>42165</v>
      </c>
      <c r="F2131" s="144">
        <v>81782.2</v>
      </c>
      <c r="G2131" s="31">
        <f t="shared" si="66"/>
        <v>0</v>
      </c>
      <c r="H2131" s="39" t="s">
        <v>1273</v>
      </c>
      <c r="I2131" s="3"/>
      <c r="J2131" s="42"/>
      <c r="K2131" s="3"/>
      <c r="M2131" s="20">
        <v>42152</v>
      </c>
      <c r="N2131" s="183">
        <v>22452</v>
      </c>
      <c r="O2131" s="14" t="s">
        <v>37</v>
      </c>
      <c r="P2131" s="105">
        <v>30073.200000000001</v>
      </c>
      <c r="Q2131" s="23"/>
      <c r="R2131" s="106"/>
      <c r="S2131" s="31">
        <f t="shared" si="67"/>
        <v>30073.200000000001</v>
      </c>
      <c r="T2131" s="39" t="s">
        <v>773</v>
      </c>
    </row>
    <row r="2132" spans="1:20" x14ac:dyDescent="0.25">
      <c r="A2132" s="20">
        <v>42144</v>
      </c>
      <c r="B2132" s="183">
        <v>21706</v>
      </c>
      <c r="C2132" s="14" t="s">
        <v>111</v>
      </c>
      <c r="D2132" s="105">
        <v>160551</v>
      </c>
      <c r="E2132" s="23">
        <v>42146</v>
      </c>
      <c r="F2132" s="106">
        <v>160551</v>
      </c>
      <c r="G2132" s="31">
        <f t="shared" si="66"/>
        <v>0</v>
      </c>
      <c r="H2132" s="39" t="s">
        <v>9</v>
      </c>
      <c r="I2132" s="3"/>
      <c r="J2132" s="42"/>
      <c r="K2132" s="3"/>
      <c r="M2132" s="20">
        <v>42153</v>
      </c>
      <c r="N2132" s="183">
        <v>22587</v>
      </c>
      <c r="O2132" s="14" t="s">
        <v>37</v>
      </c>
      <c r="P2132" s="105">
        <v>32957</v>
      </c>
      <c r="Q2132" s="23"/>
      <c r="R2132" s="106"/>
      <c r="S2132" s="31">
        <f t="shared" si="67"/>
        <v>32957</v>
      </c>
      <c r="T2132" s="39" t="s">
        <v>773</v>
      </c>
    </row>
    <row r="2133" spans="1:20" x14ac:dyDescent="0.25">
      <c r="A2133" s="20">
        <v>42144</v>
      </c>
      <c r="B2133" s="183">
        <v>21707</v>
      </c>
      <c r="C2133" s="14" t="s">
        <v>24</v>
      </c>
      <c r="D2133" s="105">
        <v>8002</v>
      </c>
      <c r="E2133" s="30">
        <v>42165</v>
      </c>
      <c r="F2133" s="144">
        <v>8002</v>
      </c>
      <c r="G2133" s="31">
        <f t="shared" si="66"/>
        <v>0</v>
      </c>
      <c r="H2133" s="39" t="s">
        <v>9</v>
      </c>
      <c r="I2133" s="3"/>
      <c r="J2133" s="42"/>
      <c r="K2133" s="3"/>
      <c r="M2133" s="20">
        <v>42125</v>
      </c>
      <c r="N2133" s="183">
        <v>19697</v>
      </c>
      <c r="O2133" s="14" t="s">
        <v>791</v>
      </c>
      <c r="P2133" s="105">
        <v>2563</v>
      </c>
      <c r="Q2133" s="23">
        <v>42125</v>
      </c>
      <c r="R2133" s="106">
        <v>2563</v>
      </c>
      <c r="S2133" s="25">
        <f t="shared" si="67"/>
        <v>0</v>
      </c>
      <c r="T2133" s="39" t="s">
        <v>9</v>
      </c>
    </row>
    <row r="2134" spans="1:20" x14ac:dyDescent="0.25">
      <c r="A2134" s="20">
        <v>42144</v>
      </c>
      <c r="B2134" s="183">
        <v>21708</v>
      </c>
      <c r="C2134" s="14" t="s">
        <v>1182</v>
      </c>
      <c r="D2134" s="105">
        <v>1678.4</v>
      </c>
      <c r="E2134" s="23">
        <v>42144</v>
      </c>
      <c r="F2134" s="106">
        <v>1678.4</v>
      </c>
      <c r="G2134" s="31">
        <f t="shared" si="66"/>
        <v>0</v>
      </c>
      <c r="H2134" s="39" t="s">
        <v>9</v>
      </c>
      <c r="I2134" s="3"/>
      <c r="J2134" s="42"/>
      <c r="K2134" s="3"/>
      <c r="M2134" s="20">
        <v>42126</v>
      </c>
      <c r="N2134" s="183">
        <v>19714</v>
      </c>
      <c r="O2134" s="40" t="s">
        <v>791</v>
      </c>
      <c r="P2134" s="105">
        <v>2343</v>
      </c>
      <c r="Q2134" s="23">
        <v>42129</v>
      </c>
      <c r="R2134" s="106">
        <v>2343</v>
      </c>
      <c r="S2134" s="25">
        <f t="shared" si="67"/>
        <v>0</v>
      </c>
      <c r="T2134" s="41" t="s">
        <v>9</v>
      </c>
    </row>
    <row r="2135" spans="1:20" x14ac:dyDescent="0.25">
      <c r="A2135" s="20">
        <v>42144</v>
      </c>
      <c r="B2135" s="183">
        <v>21709</v>
      </c>
      <c r="C2135" s="14" t="s">
        <v>1182</v>
      </c>
      <c r="D2135" s="105">
        <v>721.8</v>
      </c>
      <c r="E2135" s="23">
        <v>42144</v>
      </c>
      <c r="F2135" s="106">
        <v>721.8</v>
      </c>
      <c r="G2135" s="31">
        <f t="shared" si="66"/>
        <v>0</v>
      </c>
      <c r="H2135" s="39" t="s">
        <v>9</v>
      </c>
      <c r="I2135" s="3"/>
      <c r="J2135" s="42"/>
      <c r="K2135" s="3"/>
      <c r="M2135" s="20">
        <v>42129</v>
      </c>
      <c r="N2135" s="183">
        <v>20037</v>
      </c>
      <c r="O2135" s="14" t="s">
        <v>791</v>
      </c>
      <c r="P2135" s="105">
        <v>2461</v>
      </c>
      <c r="Q2135" s="23">
        <v>42129</v>
      </c>
      <c r="R2135" s="106">
        <v>2461</v>
      </c>
      <c r="S2135" s="31">
        <f t="shared" si="67"/>
        <v>0</v>
      </c>
      <c r="T2135" s="39" t="s">
        <v>9</v>
      </c>
    </row>
    <row r="2136" spans="1:20" x14ac:dyDescent="0.25">
      <c r="A2136" s="20">
        <v>42144</v>
      </c>
      <c r="B2136" s="183">
        <v>21710</v>
      </c>
      <c r="C2136" s="14" t="s">
        <v>1020</v>
      </c>
      <c r="D2136" s="105">
        <v>2909.4</v>
      </c>
      <c r="E2136" s="23">
        <v>42144</v>
      </c>
      <c r="F2136" s="106">
        <v>2909.4</v>
      </c>
      <c r="G2136" s="31">
        <f t="shared" si="66"/>
        <v>0</v>
      </c>
      <c r="H2136" s="39" t="s">
        <v>9</v>
      </c>
      <c r="I2136" s="3"/>
      <c r="J2136" s="42"/>
      <c r="K2136" s="3"/>
      <c r="M2136" s="20">
        <v>42129</v>
      </c>
      <c r="N2136" s="183">
        <v>20091</v>
      </c>
      <c r="O2136" s="14" t="s">
        <v>791</v>
      </c>
      <c r="P2136" s="105">
        <v>1097.25</v>
      </c>
      <c r="Q2136" s="23">
        <v>42129</v>
      </c>
      <c r="R2136" s="106">
        <v>1097.25</v>
      </c>
      <c r="S2136" s="31">
        <f t="shared" si="67"/>
        <v>0</v>
      </c>
      <c r="T2136" s="39" t="s">
        <v>9</v>
      </c>
    </row>
    <row r="2137" spans="1:20" x14ac:dyDescent="0.25">
      <c r="A2137" s="20">
        <v>42144</v>
      </c>
      <c r="B2137" s="183">
        <v>21711</v>
      </c>
      <c r="C2137" s="14" t="s">
        <v>24</v>
      </c>
      <c r="D2137" s="105">
        <v>237925.82</v>
      </c>
      <c r="E2137" s="30">
        <v>42165</v>
      </c>
      <c r="F2137" s="144">
        <v>237925.82</v>
      </c>
      <c r="G2137" s="31">
        <f t="shared" si="66"/>
        <v>0</v>
      </c>
      <c r="H2137" s="39" t="s">
        <v>46</v>
      </c>
      <c r="I2137" s="3"/>
      <c r="J2137" s="42"/>
      <c r="K2137" s="3"/>
      <c r="M2137" s="20">
        <v>42129</v>
      </c>
      <c r="N2137" s="183">
        <v>20092</v>
      </c>
      <c r="O2137" s="14" t="s">
        <v>791</v>
      </c>
      <c r="P2137" s="105">
        <v>183</v>
      </c>
      <c r="Q2137" s="23">
        <v>42129</v>
      </c>
      <c r="R2137" s="106">
        <v>183</v>
      </c>
      <c r="S2137" s="31">
        <f t="shared" si="67"/>
        <v>0</v>
      </c>
      <c r="T2137" s="39" t="s">
        <v>9</v>
      </c>
    </row>
    <row r="2138" spans="1:20" x14ac:dyDescent="0.25">
      <c r="A2138" s="20">
        <v>42144</v>
      </c>
      <c r="B2138" s="183">
        <v>21712</v>
      </c>
      <c r="C2138" s="14" t="s">
        <v>1279</v>
      </c>
      <c r="D2138" s="105">
        <v>139746.04999999999</v>
      </c>
      <c r="E2138" s="30">
        <v>42160</v>
      </c>
      <c r="F2138" s="144">
        <v>139746.04999999999</v>
      </c>
      <c r="G2138" s="31">
        <f t="shared" si="66"/>
        <v>0</v>
      </c>
      <c r="H2138" s="39" t="s">
        <v>9</v>
      </c>
      <c r="I2138" s="3"/>
      <c r="J2138" s="42"/>
      <c r="K2138" s="3"/>
      <c r="M2138" s="20">
        <v>42130</v>
      </c>
      <c r="N2138" s="183">
        <v>20177</v>
      </c>
      <c r="O2138" s="14" t="s">
        <v>791</v>
      </c>
      <c r="P2138" s="105">
        <v>20150.25</v>
      </c>
      <c r="Q2138" s="23">
        <v>42136</v>
      </c>
      <c r="R2138" s="106">
        <v>20150.25</v>
      </c>
      <c r="S2138" s="31">
        <f t="shared" si="67"/>
        <v>0</v>
      </c>
      <c r="T2138" s="39" t="s">
        <v>773</v>
      </c>
    </row>
    <row r="2139" spans="1:20" x14ac:dyDescent="0.25">
      <c r="A2139" s="20">
        <v>42144</v>
      </c>
      <c r="B2139" s="183">
        <v>21713</v>
      </c>
      <c r="C2139" s="14" t="s">
        <v>416</v>
      </c>
      <c r="D2139" s="105">
        <v>374.4</v>
      </c>
      <c r="E2139" s="23">
        <v>42144</v>
      </c>
      <c r="F2139" s="106">
        <v>374.4</v>
      </c>
      <c r="G2139" s="31">
        <f t="shared" si="66"/>
        <v>0</v>
      </c>
      <c r="H2139" s="39" t="s">
        <v>9</v>
      </c>
      <c r="I2139" s="3"/>
      <c r="J2139" s="42"/>
      <c r="K2139" s="3"/>
      <c r="M2139" s="20">
        <v>42133</v>
      </c>
      <c r="N2139" s="183">
        <v>20542</v>
      </c>
      <c r="O2139" s="14" t="s">
        <v>791</v>
      </c>
      <c r="P2139" s="105">
        <v>2037.75</v>
      </c>
      <c r="Q2139" s="23">
        <v>42142</v>
      </c>
      <c r="R2139" s="106">
        <v>2037.75</v>
      </c>
      <c r="S2139" s="31">
        <f t="shared" si="67"/>
        <v>0</v>
      </c>
      <c r="T2139" s="19" t="s">
        <v>9</v>
      </c>
    </row>
    <row r="2140" spans="1:20" x14ac:dyDescent="0.25">
      <c r="A2140" s="20">
        <v>42144</v>
      </c>
      <c r="B2140" s="183">
        <v>21714</v>
      </c>
      <c r="C2140" s="14" t="s">
        <v>734</v>
      </c>
      <c r="D2140" s="105">
        <v>27417.3</v>
      </c>
      <c r="E2140" s="23">
        <v>42145</v>
      </c>
      <c r="F2140" s="106">
        <v>27417.3</v>
      </c>
      <c r="G2140" s="31">
        <f t="shared" si="66"/>
        <v>0</v>
      </c>
      <c r="H2140" s="39" t="s">
        <v>1257</v>
      </c>
      <c r="I2140" s="3"/>
      <c r="J2140" s="42"/>
      <c r="K2140" s="3"/>
      <c r="M2140" s="20">
        <v>42144</v>
      </c>
      <c r="N2140" s="183">
        <v>21680</v>
      </c>
      <c r="O2140" s="14" t="s">
        <v>791</v>
      </c>
      <c r="P2140" s="122">
        <v>2537.6</v>
      </c>
      <c r="Q2140" s="23"/>
      <c r="R2140" s="118"/>
      <c r="S2140" s="31">
        <f t="shared" si="67"/>
        <v>2537.6</v>
      </c>
      <c r="T2140" s="56" t="s">
        <v>9</v>
      </c>
    </row>
    <row r="2141" spans="1:20" x14ac:dyDescent="0.25">
      <c r="A2141" s="20">
        <v>42144</v>
      </c>
      <c r="B2141" s="183">
        <v>21715</v>
      </c>
      <c r="C2141" s="14" t="s">
        <v>43</v>
      </c>
      <c r="D2141" s="105">
        <v>4914.7</v>
      </c>
      <c r="E2141" s="23">
        <v>42146</v>
      </c>
      <c r="F2141" s="106">
        <v>4914.7</v>
      </c>
      <c r="G2141" s="31">
        <f t="shared" si="66"/>
        <v>0</v>
      </c>
      <c r="H2141" s="39" t="s">
        <v>9</v>
      </c>
      <c r="I2141" s="3"/>
      <c r="J2141" s="42"/>
      <c r="K2141" s="3"/>
      <c r="M2141" s="20">
        <v>42126</v>
      </c>
      <c r="N2141" s="183">
        <v>19759</v>
      </c>
      <c r="O2141" s="40" t="s">
        <v>136</v>
      </c>
      <c r="P2141" s="105">
        <v>8500.7999999999993</v>
      </c>
      <c r="Q2141" s="23">
        <v>42126</v>
      </c>
      <c r="R2141" s="106">
        <v>8500.7999999999993</v>
      </c>
      <c r="S2141" s="25">
        <f t="shared" si="67"/>
        <v>0</v>
      </c>
      <c r="T2141" s="41" t="s">
        <v>9</v>
      </c>
    </row>
    <row r="2142" spans="1:20" x14ac:dyDescent="0.25">
      <c r="A2142" s="20">
        <v>42144</v>
      </c>
      <c r="B2142" s="183">
        <v>21716</v>
      </c>
      <c r="C2142" s="14" t="s">
        <v>1288</v>
      </c>
      <c r="D2142" s="105">
        <v>31558</v>
      </c>
      <c r="E2142" s="212" t="s">
        <v>1449</v>
      </c>
      <c r="F2142" s="144">
        <f>5134.3+26423.7</f>
        <v>31558</v>
      </c>
      <c r="G2142" s="31">
        <f t="shared" si="66"/>
        <v>0</v>
      </c>
      <c r="H2142" s="39" t="s">
        <v>9</v>
      </c>
      <c r="I2142" s="3"/>
      <c r="J2142" s="42"/>
      <c r="K2142" s="3"/>
      <c r="M2142" s="20">
        <v>42126</v>
      </c>
      <c r="N2142" s="183">
        <v>19790</v>
      </c>
      <c r="O2142" s="40" t="s">
        <v>136</v>
      </c>
      <c r="P2142" s="105">
        <v>34489.599999999999</v>
      </c>
      <c r="Q2142" s="23" t="s">
        <v>1289</v>
      </c>
      <c r="R2142" s="106">
        <f>11000+23489.6</f>
        <v>34489.599999999999</v>
      </c>
      <c r="S2142" s="31">
        <f t="shared" si="67"/>
        <v>0</v>
      </c>
      <c r="T2142" s="41" t="s">
        <v>94</v>
      </c>
    </row>
    <row r="2143" spans="1:20" x14ac:dyDescent="0.25">
      <c r="A2143" s="20">
        <v>42145</v>
      </c>
      <c r="B2143" s="183">
        <v>21717</v>
      </c>
      <c r="C2143" s="14" t="s">
        <v>720</v>
      </c>
      <c r="D2143" s="105">
        <v>13325.9</v>
      </c>
      <c r="E2143" s="23">
        <v>42145</v>
      </c>
      <c r="F2143" s="106">
        <v>13325.9</v>
      </c>
      <c r="G2143" s="31">
        <f t="shared" si="66"/>
        <v>0</v>
      </c>
      <c r="H2143" s="39" t="s">
        <v>9</v>
      </c>
      <c r="I2143" s="3"/>
      <c r="J2143" s="42"/>
      <c r="K2143" s="3"/>
      <c r="M2143" s="20">
        <v>42128</v>
      </c>
      <c r="N2143" s="183">
        <v>19936</v>
      </c>
      <c r="O2143" s="14" t="s">
        <v>136</v>
      </c>
      <c r="P2143" s="105">
        <v>34122.400000000001</v>
      </c>
      <c r="Q2143" s="23">
        <v>42129</v>
      </c>
      <c r="R2143" s="106">
        <v>34122.400000000001</v>
      </c>
      <c r="S2143" s="31">
        <f t="shared" si="67"/>
        <v>0</v>
      </c>
      <c r="T2143" s="19" t="s">
        <v>9</v>
      </c>
    </row>
    <row r="2144" spans="1:20" x14ac:dyDescent="0.25">
      <c r="A2144" s="20">
        <v>42145</v>
      </c>
      <c r="B2144" s="183">
        <v>21718</v>
      </c>
      <c r="C2144" s="14" t="s">
        <v>158</v>
      </c>
      <c r="D2144" s="105">
        <v>7379.6</v>
      </c>
      <c r="E2144" s="23">
        <v>42145</v>
      </c>
      <c r="F2144" s="106">
        <v>7379.6</v>
      </c>
      <c r="G2144" s="31">
        <f t="shared" si="66"/>
        <v>0</v>
      </c>
      <c r="H2144" s="39" t="s">
        <v>9</v>
      </c>
      <c r="I2144" s="3"/>
      <c r="J2144" s="42"/>
      <c r="K2144" s="3"/>
      <c r="M2144" s="20">
        <v>42129</v>
      </c>
      <c r="N2144" s="183">
        <v>20078</v>
      </c>
      <c r="O2144" s="14" t="s">
        <v>136</v>
      </c>
      <c r="P2144" s="105">
        <v>4127.6000000000004</v>
      </c>
      <c r="Q2144" s="23">
        <v>42129</v>
      </c>
      <c r="R2144" s="106">
        <v>4127.6000000000004</v>
      </c>
      <c r="S2144" s="31">
        <f t="shared" si="67"/>
        <v>0</v>
      </c>
      <c r="T2144" s="39" t="s">
        <v>9</v>
      </c>
    </row>
    <row r="2145" spans="1:20" x14ac:dyDescent="0.25">
      <c r="A2145" s="20">
        <v>42145</v>
      </c>
      <c r="B2145" s="183">
        <v>21719</v>
      </c>
      <c r="C2145" s="14" t="s">
        <v>32</v>
      </c>
      <c r="D2145" s="105">
        <v>19416</v>
      </c>
      <c r="E2145" s="30">
        <v>42171</v>
      </c>
      <c r="F2145" s="144">
        <v>19416</v>
      </c>
      <c r="G2145" s="31">
        <f t="shared" si="66"/>
        <v>0</v>
      </c>
      <c r="H2145" s="39" t="s">
        <v>1273</v>
      </c>
      <c r="I2145" s="3"/>
      <c r="J2145" s="42"/>
      <c r="K2145" s="3"/>
      <c r="M2145" s="20">
        <v>42129</v>
      </c>
      <c r="N2145" s="183">
        <v>20084</v>
      </c>
      <c r="O2145" s="14" t="s">
        <v>136</v>
      </c>
      <c r="P2145" s="105">
        <v>33952.400000000001</v>
      </c>
      <c r="Q2145" s="23">
        <v>42131</v>
      </c>
      <c r="R2145" s="106">
        <v>33952.400000000001</v>
      </c>
      <c r="S2145" s="31">
        <f t="shared" si="67"/>
        <v>0</v>
      </c>
      <c r="T2145" s="39" t="s">
        <v>9</v>
      </c>
    </row>
    <row r="2146" spans="1:20" x14ac:dyDescent="0.25">
      <c r="A2146" s="20">
        <v>42145</v>
      </c>
      <c r="B2146" s="183">
        <v>21720</v>
      </c>
      <c r="C2146" s="14" t="s">
        <v>18</v>
      </c>
      <c r="D2146" s="105">
        <v>2502</v>
      </c>
      <c r="E2146" s="23">
        <v>42145</v>
      </c>
      <c r="F2146" s="106">
        <v>2502</v>
      </c>
      <c r="G2146" s="31">
        <f t="shared" si="66"/>
        <v>0</v>
      </c>
      <c r="H2146" s="39" t="s">
        <v>9</v>
      </c>
      <c r="I2146" s="3"/>
      <c r="J2146" s="42"/>
      <c r="K2146" s="3"/>
      <c r="M2146" s="20">
        <v>42131</v>
      </c>
      <c r="N2146" s="183">
        <v>20296</v>
      </c>
      <c r="O2146" s="14" t="s">
        <v>136</v>
      </c>
      <c r="P2146" s="105">
        <v>37713.199999999997</v>
      </c>
      <c r="Q2146" s="23">
        <v>42133</v>
      </c>
      <c r="R2146" s="106">
        <v>37713.199999999997</v>
      </c>
      <c r="S2146" s="31">
        <f t="shared" si="67"/>
        <v>0</v>
      </c>
      <c r="T2146" s="19" t="s">
        <v>9</v>
      </c>
    </row>
    <row r="2147" spans="1:20" x14ac:dyDescent="0.25">
      <c r="A2147" s="20">
        <v>42145</v>
      </c>
      <c r="B2147" s="183">
        <v>21721</v>
      </c>
      <c r="C2147" s="14" t="s">
        <v>1256</v>
      </c>
      <c r="D2147" s="105">
        <v>6050</v>
      </c>
      <c r="E2147" s="23">
        <v>42145</v>
      </c>
      <c r="F2147" s="106">
        <v>6050</v>
      </c>
      <c r="G2147" s="31">
        <f t="shared" si="66"/>
        <v>0</v>
      </c>
      <c r="H2147" s="39" t="s">
        <v>1257</v>
      </c>
      <c r="I2147" s="3"/>
      <c r="J2147" s="42"/>
      <c r="K2147" s="3"/>
      <c r="M2147" s="20">
        <v>42132</v>
      </c>
      <c r="N2147" s="183">
        <v>20457</v>
      </c>
      <c r="O2147" s="14" t="s">
        <v>136</v>
      </c>
      <c r="P2147" s="105">
        <v>35135.599999999999</v>
      </c>
      <c r="Q2147" s="23" t="s">
        <v>1233</v>
      </c>
      <c r="R2147" s="106">
        <f>4900+18500+11735.6</f>
        <v>35135.599999999999</v>
      </c>
      <c r="S2147" s="31">
        <f t="shared" si="67"/>
        <v>0</v>
      </c>
      <c r="T2147" s="19" t="s">
        <v>9</v>
      </c>
    </row>
    <row r="2148" spans="1:20" x14ac:dyDescent="0.25">
      <c r="A2148" s="20">
        <v>42145</v>
      </c>
      <c r="B2148" s="183">
        <v>21722</v>
      </c>
      <c r="C2148" s="14" t="s">
        <v>111</v>
      </c>
      <c r="D2148" s="105">
        <v>8289</v>
      </c>
      <c r="E2148" s="23">
        <v>42146</v>
      </c>
      <c r="F2148" s="106">
        <v>8289</v>
      </c>
      <c r="G2148" s="31">
        <f t="shared" si="66"/>
        <v>0</v>
      </c>
      <c r="H2148" s="39" t="s">
        <v>15</v>
      </c>
      <c r="I2148" s="3"/>
      <c r="J2148" s="42"/>
      <c r="K2148" s="3"/>
      <c r="M2148" s="20">
        <v>42133</v>
      </c>
      <c r="N2148" s="183">
        <v>20571</v>
      </c>
      <c r="O2148" s="14" t="s">
        <v>136</v>
      </c>
      <c r="P2148" s="105">
        <v>18196.8</v>
      </c>
      <c r="Q2148" s="23">
        <v>42136</v>
      </c>
      <c r="R2148" s="106">
        <v>18196.8</v>
      </c>
      <c r="S2148" s="31">
        <f t="shared" si="67"/>
        <v>0</v>
      </c>
      <c r="T2148" s="19" t="s">
        <v>9</v>
      </c>
    </row>
    <row r="2149" spans="1:20" x14ac:dyDescent="0.25">
      <c r="A2149" s="20">
        <v>42145</v>
      </c>
      <c r="B2149" s="183">
        <v>21723</v>
      </c>
      <c r="C2149" s="14" t="s">
        <v>14</v>
      </c>
      <c r="D2149" s="105">
        <v>21672.6</v>
      </c>
      <c r="E2149" s="23">
        <v>42153</v>
      </c>
      <c r="F2149" s="106">
        <v>21672.6</v>
      </c>
      <c r="G2149" s="31">
        <f t="shared" si="66"/>
        <v>0</v>
      </c>
      <c r="H2149" s="39" t="s">
        <v>15</v>
      </c>
      <c r="I2149" s="3"/>
      <c r="J2149" s="42"/>
      <c r="K2149" s="3"/>
      <c r="M2149" s="20">
        <v>42135</v>
      </c>
      <c r="N2149" s="183">
        <v>20761</v>
      </c>
      <c r="O2149" s="14" t="s">
        <v>136</v>
      </c>
      <c r="P2149" s="105">
        <v>34754.800000000003</v>
      </c>
      <c r="Q2149" s="23">
        <v>42136</v>
      </c>
      <c r="R2149" s="106">
        <v>34754.800000000003</v>
      </c>
      <c r="S2149" s="31">
        <f t="shared" si="67"/>
        <v>0</v>
      </c>
      <c r="T2149" s="19" t="s">
        <v>9</v>
      </c>
    </row>
    <row r="2150" spans="1:20" x14ac:dyDescent="0.25">
      <c r="A2150" s="20">
        <v>42145</v>
      </c>
      <c r="B2150" s="183">
        <v>21724</v>
      </c>
      <c r="C2150" s="14" t="s">
        <v>24</v>
      </c>
      <c r="D2150" s="105">
        <v>68974</v>
      </c>
      <c r="E2150" s="30">
        <v>42165</v>
      </c>
      <c r="F2150" s="144">
        <v>68974</v>
      </c>
      <c r="G2150" s="31">
        <f t="shared" si="66"/>
        <v>0</v>
      </c>
      <c r="H2150" s="39" t="s">
        <v>62</v>
      </c>
      <c r="I2150" s="3"/>
      <c r="J2150" s="42"/>
      <c r="K2150" s="3"/>
      <c r="M2150" s="20">
        <v>42136</v>
      </c>
      <c r="N2150" s="183">
        <v>20848</v>
      </c>
      <c r="O2150" s="14" t="s">
        <v>136</v>
      </c>
      <c r="P2150" s="105">
        <v>3372.8</v>
      </c>
      <c r="Q2150" s="23">
        <v>42136</v>
      </c>
      <c r="R2150" s="106">
        <v>3372.8</v>
      </c>
      <c r="S2150" s="31">
        <f t="shared" si="67"/>
        <v>0</v>
      </c>
      <c r="T2150" s="39" t="s">
        <v>9</v>
      </c>
    </row>
    <row r="2151" spans="1:20" x14ac:dyDescent="0.25">
      <c r="A2151" s="20">
        <v>42145</v>
      </c>
      <c r="B2151" s="183">
        <v>21725</v>
      </c>
      <c r="C2151" s="14" t="s">
        <v>20</v>
      </c>
      <c r="D2151" s="105">
        <v>17769.599999999999</v>
      </c>
      <c r="E2151" s="23">
        <v>42145</v>
      </c>
      <c r="F2151" s="106">
        <v>17769.599999999999</v>
      </c>
      <c r="G2151" s="31">
        <f t="shared" si="66"/>
        <v>0</v>
      </c>
      <c r="H2151" s="39" t="s">
        <v>94</v>
      </c>
      <c r="I2151" s="3"/>
      <c r="J2151" s="42"/>
      <c r="K2151" s="3"/>
      <c r="M2151" s="20">
        <v>42136</v>
      </c>
      <c r="N2151" s="183">
        <v>20851</v>
      </c>
      <c r="O2151" s="14" t="s">
        <v>136</v>
      </c>
      <c r="P2151" s="105">
        <v>16932</v>
      </c>
      <c r="Q2151" s="23">
        <v>42139</v>
      </c>
      <c r="R2151" s="106">
        <v>16932</v>
      </c>
      <c r="S2151" s="31">
        <f t="shared" si="67"/>
        <v>0</v>
      </c>
      <c r="T2151" s="39" t="s">
        <v>9</v>
      </c>
    </row>
    <row r="2152" spans="1:20" x14ac:dyDescent="0.25">
      <c r="A2152" s="20">
        <v>42145</v>
      </c>
      <c r="B2152" s="183">
        <v>21726</v>
      </c>
      <c r="C2152" s="14" t="s">
        <v>1297</v>
      </c>
      <c r="D2152" s="105">
        <v>4947.6000000000004</v>
      </c>
      <c r="E2152" s="23">
        <v>42145</v>
      </c>
      <c r="F2152" s="106">
        <v>4947.6000000000004</v>
      </c>
      <c r="G2152" s="31">
        <f t="shared" si="66"/>
        <v>0</v>
      </c>
      <c r="H2152" s="39" t="s">
        <v>9</v>
      </c>
      <c r="I2152" s="3"/>
      <c r="J2152" s="42"/>
      <c r="K2152" s="3"/>
      <c r="M2152" s="20">
        <v>42137</v>
      </c>
      <c r="N2152" s="183">
        <v>20931</v>
      </c>
      <c r="O2152" s="14" t="s">
        <v>136</v>
      </c>
      <c r="P2152" s="105">
        <v>18263</v>
      </c>
      <c r="Q2152" s="23" t="s">
        <v>1392</v>
      </c>
      <c r="R2152" s="106">
        <f>14968+3295</f>
        <v>18263</v>
      </c>
      <c r="S2152" s="31">
        <f t="shared" si="67"/>
        <v>0</v>
      </c>
      <c r="T2152" s="19" t="s">
        <v>773</v>
      </c>
    </row>
    <row r="2153" spans="1:20" x14ac:dyDescent="0.25">
      <c r="A2153" s="20">
        <v>42145</v>
      </c>
      <c r="B2153" s="183">
        <v>21727</v>
      </c>
      <c r="C2153" s="14" t="s">
        <v>122</v>
      </c>
      <c r="D2153" s="105">
        <v>9418.7999999999993</v>
      </c>
      <c r="E2153" s="23">
        <v>42145</v>
      </c>
      <c r="F2153" s="106">
        <v>9418.7999999999993</v>
      </c>
      <c r="G2153" s="31">
        <f t="shared" si="66"/>
        <v>0</v>
      </c>
      <c r="H2153" s="39" t="s">
        <v>9</v>
      </c>
      <c r="I2153" s="3"/>
      <c r="J2153" s="42"/>
      <c r="K2153" s="3"/>
      <c r="M2153" s="20">
        <v>42138</v>
      </c>
      <c r="N2153" s="183">
        <v>21027</v>
      </c>
      <c r="O2153" s="14" t="s">
        <v>136</v>
      </c>
      <c r="P2153" s="105">
        <v>35364</v>
      </c>
      <c r="Q2153" s="23">
        <v>42138</v>
      </c>
      <c r="R2153" s="106">
        <v>35364</v>
      </c>
      <c r="S2153" s="48">
        <f t="shared" si="67"/>
        <v>0</v>
      </c>
      <c r="T2153" s="39" t="s">
        <v>9</v>
      </c>
    </row>
    <row r="2154" spans="1:20" x14ac:dyDescent="0.25">
      <c r="A2154" s="20">
        <v>42145</v>
      </c>
      <c r="B2154" s="183">
        <v>21728</v>
      </c>
      <c r="C2154" s="14" t="s">
        <v>1290</v>
      </c>
      <c r="D2154" s="105">
        <v>9687.7999999999993</v>
      </c>
      <c r="E2154" s="23">
        <v>42147</v>
      </c>
      <c r="F2154" s="106">
        <v>9687.7999999999993</v>
      </c>
      <c r="G2154" s="31">
        <f t="shared" si="66"/>
        <v>0</v>
      </c>
      <c r="H2154" s="39" t="s">
        <v>587</v>
      </c>
      <c r="I2154" s="3"/>
      <c r="J2154" s="42"/>
      <c r="K2154" s="3"/>
      <c r="M2154" s="20">
        <v>42139</v>
      </c>
      <c r="N2154" s="183">
        <v>21197</v>
      </c>
      <c r="O2154" s="14" t="s">
        <v>136</v>
      </c>
      <c r="P2154" s="105">
        <v>35189</v>
      </c>
      <c r="Q2154" s="23" t="s">
        <v>1403</v>
      </c>
      <c r="R2154" s="106">
        <f>20500+14689</f>
        <v>35189</v>
      </c>
      <c r="S2154" s="48">
        <f t="shared" si="67"/>
        <v>0</v>
      </c>
      <c r="T2154" s="39" t="s">
        <v>1257</v>
      </c>
    </row>
    <row r="2155" spans="1:20" x14ac:dyDescent="0.25">
      <c r="A2155" s="20">
        <v>42145</v>
      </c>
      <c r="B2155" s="183">
        <v>21729</v>
      </c>
      <c r="C2155" s="14" t="s">
        <v>1175</v>
      </c>
      <c r="D2155" s="105">
        <v>7422.2</v>
      </c>
      <c r="E2155" s="23">
        <v>42145</v>
      </c>
      <c r="F2155" s="106">
        <v>7422.2</v>
      </c>
      <c r="G2155" s="31">
        <f t="shared" si="66"/>
        <v>0</v>
      </c>
      <c r="H2155" s="39" t="s">
        <v>46</v>
      </c>
      <c r="I2155" s="3"/>
      <c r="J2155" s="42"/>
      <c r="K2155" s="3"/>
      <c r="M2155" s="20">
        <v>42141</v>
      </c>
      <c r="N2155" s="183">
        <v>21373</v>
      </c>
      <c r="O2155" s="14" t="s">
        <v>136</v>
      </c>
      <c r="P2155" s="105">
        <v>36705.599999999999</v>
      </c>
      <c r="Q2155" s="23" t="s">
        <v>1410</v>
      </c>
      <c r="R2155" s="118">
        <f>7500+7750+21455.6</f>
        <v>36705.599999999999</v>
      </c>
      <c r="S2155" s="31">
        <f t="shared" si="67"/>
        <v>0</v>
      </c>
      <c r="T2155" s="56" t="s">
        <v>9</v>
      </c>
    </row>
    <row r="2156" spans="1:20" x14ac:dyDescent="0.25">
      <c r="A2156" s="20">
        <v>42145</v>
      </c>
      <c r="B2156" s="183">
        <v>21730</v>
      </c>
      <c r="C2156" s="14" t="s">
        <v>1190</v>
      </c>
      <c r="D2156" s="105">
        <v>4708.2</v>
      </c>
      <c r="E2156" s="23">
        <v>42145</v>
      </c>
      <c r="F2156" s="106">
        <v>4708.2</v>
      </c>
      <c r="G2156" s="31">
        <f t="shared" si="66"/>
        <v>0</v>
      </c>
      <c r="H2156" s="39" t="s">
        <v>9</v>
      </c>
      <c r="I2156" s="3"/>
      <c r="J2156" s="42"/>
      <c r="K2156" s="3"/>
      <c r="M2156" s="20">
        <v>42142</v>
      </c>
      <c r="N2156" s="183">
        <v>21402</v>
      </c>
      <c r="O2156" s="14" t="s">
        <v>136</v>
      </c>
      <c r="P2156" s="105">
        <v>4788</v>
      </c>
      <c r="Q2156" s="23">
        <v>42142</v>
      </c>
      <c r="R2156" s="118">
        <v>4788</v>
      </c>
      <c r="S2156" s="31">
        <f t="shared" si="67"/>
        <v>0</v>
      </c>
      <c r="T2156" s="56" t="s">
        <v>9</v>
      </c>
    </row>
    <row r="2157" spans="1:20" x14ac:dyDescent="0.25">
      <c r="A2157" s="20">
        <v>42145</v>
      </c>
      <c r="B2157" s="183">
        <v>21731</v>
      </c>
      <c r="C2157" s="14" t="s">
        <v>1261</v>
      </c>
      <c r="D2157" s="105">
        <v>6800.4</v>
      </c>
      <c r="E2157" s="23">
        <v>42145</v>
      </c>
      <c r="F2157" s="106">
        <v>6800.4</v>
      </c>
      <c r="G2157" s="31">
        <f t="shared" si="66"/>
        <v>0</v>
      </c>
      <c r="H2157" s="39" t="s">
        <v>9</v>
      </c>
      <c r="I2157" s="3"/>
      <c r="J2157" s="42"/>
      <c r="K2157" s="3"/>
      <c r="M2157" s="20">
        <v>42143</v>
      </c>
      <c r="N2157" s="183">
        <v>21590</v>
      </c>
      <c r="O2157" s="14" t="s">
        <v>136</v>
      </c>
      <c r="P2157" s="105">
        <v>20956.8</v>
      </c>
      <c r="Q2157" s="23">
        <v>42143</v>
      </c>
      <c r="R2157" s="118">
        <v>20956.8</v>
      </c>
      <c r="S2157" s="31">
        <f t="shared" si="67"/>
        <v>0</v>
      </c>
      <c r="T2157" s="56" t="s">
        <v>9</v>
      </c>
    </row>
    <row r="2158" spans="1:20" x14ac:dyDescent="0.25">
      <c r="A2158" s="20">
        <v>42145</v>
      </c>
      <c r="B2158" s="183">
        <v>21732</v>
      </c>
      <c r="C2158" s="14" t="s">
        <v>829</v>
      </c>
      <c r="D2158" s="105">
        <v>4497.2</v>
      </c>
      <c r="E2158" s="23">
        <v>42145</v>
      </c>
      <c r="F2158" s="106">
        <v>4497.2</v>
      </c>
      <c r="G2158" s="31">
        <f t="shared" si="66"/>
        <v>0</v>
      </c>
      <c r="H2158" s="39" t="s">
        <v>9</v>
      </c>
      <c r="I2158" s="3"/>
      <c r="J2158" s="42"/>
      <c r="K2158" s="3"/>
      <c r="M2158" s="20">
        <v>42144</v>
      </c>
      <c r="N2158" s="183">
        <v>21694</v>
      </c>
      <c r="O2158" s="14" t="s">
        <v>136</v>
      </c>
      <c r="P2158" s="105">
        <v>36652.199999999997</v>
      </c>
      <c r="Q2158" s="23" t="s">
        <v>1431</v>
      </c>
      <c r="R2158" s="106">
        <f>32200+4452.2</f>
        <v>36652.199999999997</v>
      </c>
      <c r="S2158" s="31">
        <f t="shared" si="67"/>
        <v>0</v>
      </c>
      <c r="T2158" s="39" t="s">
        <v>9</v>
      </c>
    </row>
    <row r="2159" spans="1:20" x14ac:dyDescent="0.25">
      <c r="A2159" s="20">
        <v>42145</v>
      </c>
      <c r="B2159" s="183">
        <v>21733</v>
      </c>
      <c r="C2159" s="14" t="s">
        <v>114</v>
      </c>
      <c r="D2159" s="105">
        <v>1998</v>
      </c>
      <c r="E2159" s="23">
        <v>42145</v>
      </c>
      <c r="F2159" s="106">
        <v>1998</v>
      </c>
      <c r="G2159" s="31">
        <f t="shared" si="66"/>
        <v>0</v>
      </c>
      <c r="H2159" s="39" t="s">
        <v>9</v>
      </c>
      <c r="I2159" s="3"/>
      <c r="J2159" s="42"/>
      <c r="K2159" s="3"/>
      <c r="M2159" s="20">
        <v>42146</v>
      </c>
      <c r="N2159" s="183">
        <v>21940</v>
      </c>
      <c r="O2159" s="14" t="s">
        <v>136</v>
      </c>
      <c r="P2159" s="105">
        <v>36430.6</v>
      </c>
      <c r="Q2159" s="12" t="s">
        <v>1426</v>
      </c>
      <c r="R2159" s="106">
        <f>24100+12330.6</f>
        <v>36430.6</v>
      </c>
      <c r="S2159" s="31">
        <f t="shared" si="67"/>
        <v>0</v>
      </c>
      <c r="T2159" s="39" t="s">
        <v>9</v>
      </c>
    </row>
    <row r="2160" spans="1:20" x14ac:dyDescent="0.25">
      <c r="A2160" s="20">
        <v>42145</v>
      </c>
      <c r="B2160" s="183">
        <v>21734</v>
      </c>
      <c r="C2160" s="14" t="s">
        <v>854</v>
      </c>
      <c r="D2160" s="105">
        <v>5146</v>
      </c>
      <c r="E2160" s="23">
        <v>42147</v>
      </c>
      <c r="F2160" s="106">
        <v>5146</v>
      </c>
      <c r="G2160" s="31">
        <f t="shared" si="66"/>
        <v>0</v>
      </c>
      <c r="H2160" s="39" t="s">
        <v>9</v>
      </c>
      <c r="I2160" s="3"/>
      <c r="J2160" s="42"/>
      <c r="K2160" s="3"/>
      <c r="M2160" s="20">
        <v>42148</v>
      </c>
      <c r="N2160" s="183">
        <v>22122</v>
      </c>
      <c r="O2160" s="14" t="s">
        <v>136</v>
      </c>
      <c r="P2160" s="105">
        <v>37908.800000000003</v>
      </c>
      <c r="Q2160" s="65" t="s">
        <v>1432</v>
      </c>
      <c r="R2160" s="106">
        <f>8000+7000+22908.8</f>
        <v>37908.800000000003</v>
      </c>
      <c r="S2160" s="31">
        <f t="shared" si="67"/>
        <v>0</v>
      </c>
      <c r="T2160" s="39" t="s">
        <v>9</v>
      </c>
    </row>
    <row r="2161" spans="1:20" x14ac:dyDescent="0.25">
      <c r="A2161" s="20">
        <v>42145</v>
      </c>
      <c r="B2161" s="183">
        <v>21735</v>
      </c>
      <c r="C2161" s="15" t="s">
        <v>161</v>
      </c>
      <c r="D2161" s="122">
        <v>2754</v>
      </c>
      <c r="E2161" s="23">
        <v>42145</v>
      </c>
      <c r="F2161" s="118">
        <v>2754</v>
      </c>
      <c r="G2161" s="31">
        <f t="shared" si="66"/>
        <v>0</v>
      </c>
      <c r="H2161" s="68" t="s">
        <v>9</v>
      </c>
      <c r="I2161" s="3"/>
      <c r="J2161" s="42"/>
      <c r="K2161" s="3"/>
      <c r="M2161" s="20">
        <v>42149</v>
      </c>
      <c r="N2161" s="183">
        <v>22216</v>
      </c>
      <c r="O2161" s="14" t="s">
        <v>136</v>
      </c>
      <c r="P2161" s="105">
        <v>4180.8</v>
      </c>
      <c r="Q2161" s="65">
        <v>42149</v>
      </c>
      <c r="R2161" s="106">
        <v>4180.8</v>
      </c>
      <c r="S2161" s="31">
        <f t="shared" si="67"/>
        <v>0</v>
      </c>
      <c r="T2161" s="39" t="s">
        <v>9</v>
      </c>
    </row>
    <row r="2162" spans="1:20" x14ac:dyDescent="0.25">
      <c r="A2162" s="20">
        <v>42145</v>
      </c>
      <c r="B2162" s="183">
        <v>21736</v>
      </c>
      <c r="C2162" s="15" t="s">
        <v>1370</v>
      </c>
      <c r="D2162" s="122">
        <v>790.8</v>
      </c>
      <c r="E2162" s="23">
        <v>42145</v>
      </c>
      <c r="F2162" s="106">
        <v>790.8</v>
      </c>
      <c r="G2162" s="31">
        <f t="shared" si="66"/>
        <v>0</v>
      </c>
      <c r="H2162" s="68" t="s">
        <v>9</v>
      </c>
      <c r="I2162" s="3"/>
      <c r="J2162" s="42"/>
      <c r="K2162" s="3"/>
      <c r="M2162" s="20">
        <v>42150</v>
      </c>
      <c r="N2162" s="183">
        <v>22315</v>
      </c>
      <c r="O2162" s="14" t="s">
        <v>136</v>
      </c>
      <c r="P2162" s="105">
        <v>15249</v>
      </c>
      <c r="Q2162" s="65">
        <v>42150</v>
      </c>
      <c r="R2162" s="106">
        <v>15249</v>
      </c>
      <c r="S2162" s="31">
        <f t="shared" si="67"/>
        <v>0</v>
      </c>
      <c r="T2162" s="39" t="s">
        <v>9</v>
      </c>
    </row>
    <row r="2163" spans="1:20" x14ac:dyDescent="0.25">
      <c r="A2163" s="20">
        <v>42145</v>
      </c>
      <c r="B2163" s="183">
        <v>21737</v>
      </c>
      <c r="C2163" s="15" t="s">
        <v>285</v>
      </c>
      <c r="D2163" s="122">
        <v>1169.4000000000001</v>
      </c>
      <c r="E2163" s="23">
        <v>42146</v>
      </c>
      <c r="F2163" s="106">
        <v>1169.4000000000001</v>
      </c>
      <c r="G2163" s="31">
        <f t="shared" si="66"/>
        <v>0</v>
      </c>
      <c r="H2163" s="68" t="s">
        <v>312</v>
      </c>
      <c r="I2163" s="3"/>
      <c r="J2163" s="42"/>
      <c r="K2163" s="3"/>
      <c r="M2163" s="20">
        <v>42151</v>
      </c>
      <c r="N2163" s="183">
        <v>22409</v>
      </c>
      <c r="O2163" s="14" t="s">
        <v>136</v>
      </c>
      <c r="P2163" s="105">
        <v>12113.4</v>
      </c>
      <c r="Q2163" s="23">
        <v>42151</v>
      </c>
      <c r="R2163" s="106">
        <v>12113.4</v>
      </c>
      <c r="S2163" s="31">
        <f t="shared" si="67"/>
        <v>0</v>
      </c>
      <c r="T2163" s="39" t="s">
        <v>9</v>
      </c>
    </row>
    <row r="2164" spans="1:20" x14ac:dyDescent="0.25">
      <c r="A2164" s="20">
        <v>42145</v>
      </c>
      <c r="B2164" s="183">
        <v>21738</v>
      </c>
      <c r="C2164" s="15" t="s">
        <v>151</v>
      </c>
      <c r="D2164" s="122">
        <v>2775.6</v>
      </c>
      <c r="E2164" s="23">
        <v>42146</v>
      </c>
      <c r="F2164" s="106">
        <v>2775.6</v>
      </c>
      <c r="G2164" s="31">
        <f t="shared" si="66"/>
        <v>0</v>
      </c>
      <c r="H2164" s="68" t="s">
        <v>9</v>
      </c>
      <c r="I2164" s="3"/>
      <c r="J2164" s="42"/>
      <c r="K2164" s="3"/>
      <c r="M2164" s="20">
        <v>42152</v>
      </c>
      <c r="N2164" s="183">
        <v>22502</v>
      </c>
      <c r="O2164" s="14" t="s">
        <v>136</v>
      </c>
      <c r="P2164" s="105">
        <v>20155.2</v>
      </c>
      <c r="Q2164" s="23">
        <v>42152</v>
      </c>
      <c r="R2164" s="106">
        <v>20155.2</v>
      </c>
      <c r="S2164" s="31">
        <f t="shared" si="67"/>
        <v>0</v>
      </c>
      <c r="T2164" s="39" t="s">
        <v>9</v>
      </c>
    </row>
    <row r="2165" spans="1:20" x14ac:dyDescent="0.25">
      <c r="A2165" s="20">
        <v>42145</v>
      </c>
      <c r="B2165" s="183">
        <v>21739</v>
      </c>
      <c r="C2165" s="15" t="s">
        <v>155</v>
      </c>
      <c r="D2165" s="122">
        <v>5239.8</v>
      </c>
      <c r="E2165" s="23">
        <v>42145</v>
      </c>
      <c r="F2165" s="106">
        <v>5239.8</v>
      </c>
      <c r="G2165" s="31">
        <f t="shared" si="66"/>
        <v>0</v>
      </c>
      <c r="H2165" s="68" t="s">
        <v>59</v>
      </c>
      <c r="I2165" s="3"/>
      <c r="J2165" s="42"/>
      <c r="K2165" s="3"/>
      <c r="M2165" s="20">
        <v>42153</v>
      </c>
      <c r="N2165" s="183">
        <v>22637</v>
      </c>
      <c r="O2165" s="14" t="s">
        <v>136</v>
      </c>
      <c r="P2165" s="105">
        <v>19679.400000000001</v>
      </c>
      <c r="Q2165" s="23">
        <v>42153</v>
      </c>
      <c r="R2165" s="106">
        <v>19679.400000000001</v>
      </c>
      <c r="S2165" s="31">
        <f t="shared" si="67"/>
        <v>0</v>
      </c>
      <c r="T2165" s="39" t="s">
        <v>9</v>
      </c>
    </row>
    <row r="2166" spans="1:20" x14ac:dyDescent="0.25">
      <c r="A2166" s="20">
        <v>42145</v>
      </c>
      <c r="B2166" s="183">
        <v>21740</v>
      </c>
      <c r="C2166" s="15" t="s">
        <v>91</v>
      </c>
      <c r="D2166" s="122">
        <v>23593.279999999999</v>
      </c>
      <c r="E2166" s="23">
        <v>42145</v>
      </c>
      <c r="F2166" s="106">
        <v>23593.279999999999</v>
      </c>
      <c r="G2166" s="31">
        <f t="shared" si="66"/>
        <v>0</v>
      </c>
      <c r="H2166" s="68" t="s">
        <v>59</v>
      </c>
      <c r="I2166" s="3"/>
      <c r="J2166" s="42"/>
      <c r="K2166" s="3"/>
      <c r="M2166" s="20">
        <v>42154</v>
      </c>
      <c r="N2166" s="183">
        <v>22779</v>
      </c>
      <c r="O2166" s="14" t="s">
        <v>136</v>
      </c>
      <c r="P2166" s="105">
        <v>33602.400000000001</v>
      </c>
      <c r="Q2166" s="23"/>
      <c r="R2166" s="106"/>
      <c r="S2166" s="31">
        <f t="shared" si="67"/>
        <v>33602.400000000001</v>
      </c>
      <c r="T2166" s="39" t="s">
        <v>9</v>
      </c>
    </row>
    <row r="2167" spans="1:20" x14ac:dyDescent="0.25">
      <c r="A2167" s="20">
        <v>42145</v>
      </c>
      <c r="B2167" s="183">
        <v>21741</v>
      </c>
      <c r="C2167" s="15" t="s">
        <v>1406</v>
      </c>
      <c r="D2167" s="122">
        <v>6153.63</v>
      </c>
      <c r="E2167" s="23">
        <v>42145</v>
      </c>
      <c r="F2167" s="118">
        <v>6153.63</v>
      </c>
      <c r="G2167" s="31">
        <f t="shared" si="66"/>
        <v>0</v>
      </c>
      <c r="H2167" s="68" t="s">
        <v>9</v>
      </c>
      <c r="I2167" s="3"/>
      <c r="J2167" s="42"/>
      <c r="K2167" s="3"/>
      <c r="M2167" s="20">
        <v>42155</v>
      </c>
      <c r="N2167" s="183">
        <v>22843</v>
      </c>
      <c r="O2167" s="14" t="s">
        <v>136</v>
      </c>
      <c r="P2167" s="105">
        <v>4586.3999999999996</v>
      </c>
      <c r="Q2167" s="23">
        <v>42155</v>
      </c>
      <c r="R2167" s="106">
        <v>4586.3999999999996</v>
      </c>
      <c r="S2167" s="31">
        <f t="shared" si="67"/>
        <v>0</v>
      </c>
      <c r="T2167" s="39" t="s">
        <v>9</v>
      </c>
    </row>
    <row r="2168" spans="1:20" x14ac:dyDescent="0.25">
      <c r="A2168" s="20">
        <v>42145</v>
      </c>
      <c r="B2168" s="183">
        <v>21742</v>
      </c>
      <c r="C2168" s="15" t="s">
        <v>169</v>
      </c>
      <c r="D2168" s="122">
        <v>3001.2</v>
      </c>
      <c r="E2168" s="23">
        <v>42145</v>
      </c>
      <c r="F2168" s="118">
        <v>3001.2</v>
      </c>
      <c r="G2168" s="31">
        <f t="shared" si="66"/>
        <v>0</v>
      </c>
      <c r="H2168" s="68" t="s">
        <v>59</v>
      </c>
      <c r="I2168" s="3"/>
      <c r="J2168" s="42"/>
      <c r="K2168" s="3"/>
      <c r="M2168" s="20">
        <v>42153</v>
      </c>
      <c r="N2168" s="183">
        <v>22611</v>
      </c>
      <c r="O2168" s="14" t="s">
        <v>361</v>
      </c>
      <c r="P2168" s="105">
        <v>13869.6</v>
      </c>
      <c r="Q2168" s="23">
        <v>42154</v>
      </c>
      <c r="R2168" s="106">
        <v>13869.6</v>
      </c>
      <c r="S2168" s="31">
        <f t="shared" si="67"/>
        <v>0</v>
      </c>
      <c r="T2168" s="39" t="s">
        <v>94</v>
      </c>
    </row>
    <row r="2169" spans="1:20" x14ac:dyDescent="0.25">
      <c r="A2169" s="20">
        <v>42145</v>
      </c>
      <c r="B2169" s="183">
        <v>21743</v>
      </c>
      <c r="C2169" s="15" t="s">
        <v>82</v>
      </c>
      <c r="D2169" s="122">
        <v>3406.4</v>
      </c>
      <c r="E2169" s="23">
        <v>42145</v>
      </c>
      <c r="F2169" s="106">
        <v>3406.4</v>
      </c>
      <c r="G2169" s="31">
        <f t="shared" si="66"/>
        <v>0</v>
      </c>
      <c r="H2169" s="68" t="s">
        <v>59</v>
      </c>
      <c r="I2169" s="3"/>
      <c r="J2169" s="42"/>
      <c r="K2169" s="3"/>
      <c r="M2169" s="20">
        <v>42145</v>
      </c>
      <c r="N2169" s="183">
        <v>21789</v>
      </c>
      <c r="O2169" s="15" t="s">
        <v>192</v>
      </c>
      <c r="P2169" s="122">
        <v>388.8</v>
      </c>
      <c r="Q2169" s="23">
        <v>42145</v>
      </c>
      <c r="R2169" s="118">
        <v>388.8</v>
      </c>
      <c r="S2169" s="31">
        <f t="shared" si="67"/>
        <v>0</v>
      </c>
      <c r="T2169" s="68" t="s">
        <v>9</v>
      </c>
    </row>
    <row r="2170" spans="1:20" x14ac:dyDescent="0.25">
      <c r="A2170" s="20">
        <v>42145</v>
      </c>
      <c r="B2170" s="183">
        <v>21744</v>
      </c>
      <c r="C2170" s="203">
        <v>105</v>
      </c>
      <c r="D2170" s="122">
        <v>1786</v>
      </c>
      <c r="E2170" s="23">
        <v>42146</v>
      </c>
      <c r="F2170" s="106">
        <v>1786</v>
      </c>
      <c r="G2170" s="31">
        <f t="shared" si="66"/>
        <v>0</v>
      </c>
      <c r="H2170" s="68" t="s">
        <v>59</v>
      </c>
      <c r="I2170" s="3"/>
      <c r="J2170" s="42"/>
      <c r="K2170" s="3"/>
      <c r="M2170" s="20">
        <v>42125</v>
      </c>
      <c r="N2170" s="183">
        <v>19695</v>
      </c>
      <c r="O2170" s="14" t="s">
        <v>1276</v>
      </c>
      <c r="P2170" s="105">
        <v>5043.6000000000004</v>
      </c>
      <c r="Q2170" s="23">
        <v>42125</v>
      </c>
      <c r="R2170" s="106">
        <v>5043.6000000000004</v>
      </c>
      <c r="S2170" s="25">
        <f t="shared" si="67"/>
        <v>0</v>
      </c>
      <c r="T2170" s="39" t="s">
        <v>9</v>
      </c>
    </row>
    <row r="2171" spans="1:20" x14ac:dyDescent="0.25">
      <c r="A2171" s="20">
        <v>42145</v>
      </c>
      <c r="B2171" s="183">
        <v>21745</v>
      </c>
      <c r="C2171" s="15" t="s">
        <v>604</v>
      </c>
      <c r="D2171" s="122">
        <v>2715</v>
      </c>
      <c r="E2171" s="23">
        <v>42145</v>
      </c>
      <c r="F2171" s="106">
        <v>2715</v>
      </c>
      <c r="G2171" s="31">
        <f t="shared" si="66"/>
        <v>0</v>
      </c>
      <c r="H2171" s="68" t="s">
        <v>9</v>
      </c>
      <c r="I2171" s="3"/>
      <c r="J2171" s="42"/>
      <c r="K2171" s="3"/>
      <c r="M2171" s="20">
        <v>42138</v>
      </c>
      <c r="N2171" s="183">
        <v>21048</v>
      </c>
      <c r="O2171" s="14" t="s">
        <v>210</v>
      </c>
      <c r="P2171" s="105">
        <v>4417.2</v>
      </c>
      <c r="Q2171" s="23">
        <v>42140</v>
      </c>
      <c r="R2171" s="106">
        <v>4417.2</v>
      </c>
      <c r="S2171" s="48">
        <f t="shared" si="67"/>
        <v>0</v>
      </c>
      <c r="T2171" s="39" t="s">
        <v>149</v>
      </c>
    </row>
    <row r="2172" spans="1:20" x14ac:dyDescent="0.25">
      <c r="A2172" s="20">
        <v>42145</v>
      </c>
      <c r="B2172" s="183">
        <v>21746</v>
      </c>
      <c r="C2172" s="15" t="s">
        <v>121</v>
      </c>
      <c r="D2172" s="122">
        <v>1083.5999999999999</v>
      </c>
      <c r="E2172" s="23">
        <v>42145</v>
      </c>
      <c r="F2172" s="106">
        <v>1083.5999999999999</v>
      </c>
      <c r="G2172" s="31">
        <f t="shared" si="66"/>
        <v>0</v>
      </c>
      <c r="H2172" s="68" t="s">
        <v>9</v>
      </c>
      <c r="I2172" s="3"/>
      <c r="J2172" s="42"/>
      <c r="K2172" s="3"/>
      <c r="M2172" s="20">
        <v>42134</v>
      </c>
      <c r="N2172" s="183">
        <v>20617</v>
      </c>
      <c r="O2172" s="14" t="s">
        <v>399</v>
      </c>
      <c r="P2172" s="105">
        <v>401.2</v>
      </c>
      <c r="Q2172" s="23">
        <v>42134</v>
      </c>
      <c r="R2172" s="118">
        <v>401.2</v>
      </c>
      <c r="S2172" s="31">
        <f t="shared" si="67"/>
        <v>0</v>
      </c>
      <c r="T2172" s="56" t="s">
        <v>1257</v>
      </c>
    </row>
    <row r="2173" spans="1:20" x14ac:dyDescent="0.25">
      <c r="A2173" s="20">
        <v>42145</v>
      </c>
      <c r="B2173" s="183">
        <v>21747</v>
      </c>
      <c r="C2173" s="15" t="s">
        <v>83</v>
      </c>
      <c r="D2173" s="122">
        <v>7156.8</v>
      </c>
      <c r="E2173" s="23">
        <v>42145</v>
      </c>
      <c r="F2173" s="118">
        <v>7156.8</v>
      </c>
      <c r="G2173" s="31">
        <f t="shared" si="66"/>
        <v>0</v>
      </c>
      <c r="H2173" s="68" t="s">
        <v>59</v>
      </c>
      <c r="I2173" s="3"/>
      <c r="J2173" s="42"/>
      <c r="K2173" s="3"/>
      <c r="M2173" s="20">
        <v>42144</v>
      </c>
      <c r="N2173" s="183">
        <v>21703</v>
      </c>
      <c r="O2173" s="150" t="s">
        <v>827</v>
      </c>
      <c r="P2173" s="105">
        <v>1843.2</v>
      </c>
      <c r="Q2173" s="23">
        <v>42145</v>
      </c>
      <c r="R2173" s="106">
        <v>1843.2</v>
      </c>
      <c r="S2173" s="31">
        <f t="shared" si="67"/>
        <v>0</v>
      </c>
      <c r="T2173" s="39" t="s">
        <v>94</v>
      </c>
    </row>
    <row r="2174" spans="1:20" x14ac:dyDescent="0.25">
      <c r="A2174" s="20">
        <v>42145</v>
      </c>
      <c r="B2174" s="183">
        <v>21748</v>
      </c>
      <c r="C2174" s="15" t="s">
        <v>53</v>
      </c>
      <c r="D2174" s="122">
        <v>673.4</v>
      </c>
      <c r="E2174" s="23">
        <v>42145</v>
      </c>
      <c r="F2174" s="106">
        <v>673.4</v>
      </c>
      <c r="G2174" s="31">
        <f t="shared" si="66"/>
        <v>0</v>
      </c>
      <c r="H2174" s="68" t="s">
        <v>59</v>
      </c>
      <c r="I2174" s="3"/>
      <c r="J2174" s="42"/>
      <c r="K2174" s="3"/>
      <c r="M2174" s="20">
        <v>42130</v>
      </c>
      <c r="N2174" s="183">
        <v>20199</v>
      </c>
      <c r="O2174" s="14" t="s">
        <v>463</v>
      </c>
      <c r="P2174" s="105">
        <v>1783.2</v>
      </c>
      <c r="Q2174" s="23">
        <v>42131</v>
      </c>
      <c r="R2174" s="106">
        <v>1783.2</v>
      </c>
      <c r="S2174" s="31">
        <f t="shared" si="67"/>
        <v>0</v>
      </c>
      <c r="T2174" s="39" t="s">
        <v>41</v>
      </c>
    </row>
    <row r="2175" spans="1:20" x14ac:dyDescent="0.25">
      <c r="A2175" s="20">
        <v>42145</v>
      </c>
      <c r="B2175" s="183">
        <v>21749</v>
      </c>
      <c r="C2175" s="15" t="s">
        <v>81</v>
      </c>
      <c r="D2175" s="122">
        <v>1794</v>
      </c>
      <c r="E2175" s="23">
        <v>42145</v>
      </c>
      <c r="F2175" s="106">
        <v>1794</v>
      </c>
      <c r="G2175" s="31">
        <f t="shared" si="66"/>
        <v>0</v>
      </c>
      <c r="H2175" s="68" t="s">
        <v>59</v>
      </c>
      <c r="I2175" s="3"/>
      <c r="J2175" s="42"/>
      <c r="K2175" s="3"/>
      <c r="M2175" s="20">
        <v>42127</v>
      </c>
      <c r="N2175" s="183">
        <v>19884</v>
      </c>
      <c r="O2175" s="150" t="s">
        <v>454</v>
      </c>
      <c r="P2175" s="105">
        <v>652.79999999999995</v>
      </c>
      <c r="Q2175" s="23">
        <v>42129</v>
      </c>
      <c r="R2175" s="106">
        <v>652.79999999999995</v>
      </c>
      <c r="S2175" s="31">
        <f t="shared" si="67"/>
        <v>0</v>
      </c>
      <c r="T2175" s="19" t="s">
        <v>62</v>
      </c>
    </row>
    <row r="2176" spans="1:20" x14ac:dyDescent="0.25">
      <c r="A2176" s="20">
        <v>42145</v>
      </c>
      <c r="B2176" s="183">
        <v>21750</v>
      </c>
      <c r="C2176" s="15" t="s">
        <v>57</v>
      </c>
      <c r="D2176" s="122">
        <v>1634</v>
      </c>
      <c r="E2176" s="23">
        <v>42145</v>
      </c>
      <c r="F2176" s="118">
        <v>1634</v>
      </c>
      <c r="G2176" s="31">
        <f t="shared" si="66"/>
        <v>0</v>
      </c>
      <c r="H2176" s="68" t="s">
        <v>59</v>
      </c>
      <c r="I2176" s="3"/>
      <c r="J2176" s="42"/>
      <c r="K2176" s="3"/>
      <c r="M2176" s="20">
        <v>42128</v>
      </c>
      <c r="N2176" s="183">
        <v>20000</v>
      </c>
      <c r="O2176" s="14" t="s">
        <v>454</v>
      </c>
      <c r="P2176" s="105">
        <v>1693.2</v>
      </c>
      <c r="Q2176" s="23">
        <v>42129</v>
      </c>
      <c r="R2176" s="106">
        <v>1693.2</v>
      </c>
      <c r="S2176" s="31">
        <f t="shared" si="67"/>
        <v>0</v>
      </c>
      <c r="T2176" s="19" t="s">
        <v>41</v>
      </c>
    </row>
    <row r="2177" spans="1:20" x14ac:dyDescent="0.25">
      <c r="A2177" s="20">
        <v>42145</v>
      </c>
      <c r="B2177" s="183">
        <v>21751</v>
      </c>
      <c r="C2177" s="70" t="s">
        <v>218</v>
      </c>
      <c r="D2177" s="128">
        <v>0</v>
      </c>
      <c r="E2177" s="23"/>
      <c r="F2177" s="118"/>
      <c r="G2177" s="31">
        <f t="shared" si="66"/>
        <v>0</v>
      </c>
      <c r="H2177" s="68" t="s">
        <v>13</v>
      </c>
      <c r="I2177" s="3"/>
      <c r="J2177" s="42"/>
      <c r="K2177" s="3"/>
      <c r="M2177" s="20">
        <v>42128</v>
      </c>
      <c r="N2177" s="183">
        <v>20001</v>
      </c>
      <c r="O2177" s="14" t="s">
        <v>454</v>
      </c>
      <c r="P2177" s="105">
        <v>93.6</v>
      </c>
      <c r="Q2177" s="23">
        <v>42129</v>
      </c>
      <c r="R2177" s="106">
        <v>93.6</v>
      </c>
      <c r="S2177" s="31">
        <f t="shared" si="67"/>
        <v>0</v>
      </c>
      <c r="T2177" s="19" t="s">
        <v>41</v>
      </c>
    </row>
    <row r="2178" spans="1:20" x14ac:dyDescent="0.25">
      <c r="A2178" s="20">
        <v>42145</v>
      </c>
      <c r="B2178" s="183">
        <v>21752</v>
      </c>
      <c r="C2178" s="15" t="s">
        <v>1338</v>
      </c>
      <c r="D2178" s="122">
        <v>11177.6</v>
      </c>
      <c r="E2178" s="23">
        <v>42153</v>
      </c>
      <c r="F2178" s="118">
        <v>11177.6</v>
      </c>
      <c r="G2178" s="31">
        <f t="shared" si="66"/>
        <v>0</v>
      </c>
      <c r="H2178" s="68" t="s">
        <v>59</v>
      </c>
      <c r="I2178" s="3"/>
      <c r="J2178" s="42"/>
      <c r="K2178" s="3"/>
      <c r="M2178" s="20">
        <v>42129</v>
      </c>
      <c r="N2178" s="183">
        <v>20103</v>
      </c>
      <c r="O2178" s="14" t="s">
        <v>454</v>
      </c>
      <c r="P2178" s="105">
        <v>2040</v>
      </c>
      <c r="Q2178" s="23">
        <v>42131</v>
      </c>
      <c r="R2178" s="106">
        <v>2040</v>
      </c>
      <c r="S2178" s="31">
        <f t="shared" si="67"/>
        <v>0</v>
      </c>
      <c r="T2178" s="39" t="s">
        <v>59</v>
      </c>
    </row>
    <row r="2179" spans="1:20" x14ac:dyDescent="0.25">
      <c r="A2179" s="20">
        <v>42145</v>
      </c>
      <c r="B2179" s="183">
        <v>21753</v>
      </c>
      <c r="C2179" s="15" t="s">
        <v>1406</v>
      </c>
      <c r="D2179" s="122">
        <v>3957.4</v>
      </c>
      <c r="E2179" s="23">
        <v>42145</v>
      </c>
      <c r="F2179" s="118">
        <v>3957.4</v>
      </c>
      <c r="G2179" s="31">
        <f t="shared" ref="G2179:G2242" si="68">D2179-F2179</f>
        <v>0</v>
      </c>
      <c r="H2179" s="68" t="s">
        <v>9</v>
      </c>
      <c r="I2179" s="3"/>
      <c r="J2179" s="42"/>
      <c r="K2179" s="3"/>
      <c r="M2179" s="20">
        <v>42135</v>
      </c>
      <c r="N2179" s="183">
        <v>20787</v>
      </c>
      <c r="O2179" s="14" t="s">
        <v>454</v>
      </c>
      <c r="P2179" s="105">
        <v>3576.8</v>
      </c>
      <c r="Q2179" s="23">
        <v>42136</v>
      </c>
      <c r="R2179" s="106">
        <v>3576.8</v>
      </c>
      <c r="S2179" s="31">
        <f t="shared" ref="S2179:S2242" si="69">P2179-R2179</f>
        <v>0</v>
      </c>
      <c r="T2179" s="19" t="s">
        <v>41</v>
      </c>
    </row>
    <row r="2180" spans="1:20" x14ac:dyDescent="0.25">
      <c r="A2180" s="20">
        <v>42145</v>
      </c>
      <c r="B2180" s="183">
        <v>21754</v>
      </c>
      <c r="C2180" s="15" t="s">
        <v>35</v>
      </c>
      <c r="D2180" s="122">
        <v>27008.15</v>
      </c>
      <c r="E2180" s="23">
        <v>42146</v>
      </c>
      <c r="F2180" s="118">
        <v>27008.15</v>
      </c>
      <c r="G2180" s="31">
        <f t="shared" si="68"/>
        <v>0</v>
      </c>
      <c r="H2180" s="68" t="s">
        <v>773</v>
      </c>
      <c r="I2180" s="3"/>
      <c r="J2180" s="42"/>
      <c r="K2180" s="3"/>
      <c r="M2180" s="20">
        <v>42137</v>
      </c>
      <c r="N2180" s="183">
        <v>20955</v>
      </c>
      <c r="O2180" s="14" t="s">
        <v>454</v>
      </c>
      <c r="P2180" s="105">
        <v>2101.1999999999998</v>
      </c>
      <c r="Q2180" s="23">
        <v>42138</v>
      </c>
      <c r="R2180" s="106">
        <v>2101.1999999999998</v>
      </c>
      <c r="S2180" s="31">
        <f t="shared" si="69"/>
        <v>0</v>
      </c>
      <c r="T2180" s="19" t="s">
        <v>1257</v>
      </c>
    </row>
    <row r="2181" spans="1:20" x14ac:dyDescent="0.25">
      <c r="A2181" s="20">
        <v>42145</v>
      </c>
      <c r="B2181" s="183">
        <v>21755</v>
      </c>
      <c r="C2181" s="15" t="s">
        <v>47</v>
      </c>
      <c r="D2181" s="122">
        <v>18456.8</v>
      </c>
      <c r="E2181" s="23">
        <v>42148</v>
      </c>
      <c r="F2181" s="118">
        <v>18456.8</v>
      </c>
      <c r="G2181" s="31">
        <f t="shared" si="68"/>
        <v>0</v>
      </c>
      <c r="H2181" s="68" t="s">
        <v>773</v>
      </c>
      <c r="I2181" s="3"/>
      <c r="J2181" s="42"/>
      <c r="K2181" s="3"/>
      <c r="M2181" s="20">
        <v>42142</v>
      </c>
      <c r="N2181" s="183">
        <v>21425</v>
      </c>
      <c r="O2181" s="14" t="s">
        <v>454</v>
      </c>
      <c r="P2181" s="105">
        <v>3732.6</v>
      </c>
      <c r="Q2181" s="23">
        <v>42143</v>
      </c>
      <c r="R2181" s="118">
        <v>3732.6</v>
      </c>
      <c r="S2181" s="31">
        <f t="shared" si="69"/>
        <v>0</v>
      </c>
      <c r="T2181" s="56" t="s">
        <v>94</v>
      </c>
    </row>
    <row r="2182" spans="1:20" x14ac:dyDescent="0.25">
      <c r="A2182" s="20">
        <v>42145</v>
      </c>
      <c r="B2182" s="183">
        <v>21756</v>
      </c>
      <c r="C2182" s="15" t="s">
        <v>256</v>
      </c>
      <c r="D2182" s="122">
        <v>4736.3999999999996</v>
      </c>
      <c r="E2182" s="23">
        <v>42146</v>
      </c>
      <c r="F2182" s="118">
        <v>4736.3999999999996</v>
      </c>
      <c r="G2182" s="31">
        <f t="shared" si="68"/>
        <v>0</v>
      </c>
      <c r="H2182" s="68" t="s">
        <v>773</v>
      </c>
      <c r="I2182" s="3"/>
      <c r="J2182" s="42"/>
      <c r="K2182" s="3"/>
      <c r="M2182" s="20">
        <v>42146</v>
      </c>
      <c r="N2182" s="183">
        <v>21956</v>
      </c>
      <c r="O2182" s="14" t="s">
        <v>454</v>
      </c>
      <c r="P2182" s="105">
        <v>1252.8</v>
      </c>
      <c r="Q2182" s="65">
        <v>42147</v>
      </c>
      <c r="R2182" s="106">
        <v>1252.8</v>
      </c>
      <c r="S2182" s="31">
        <f t="shared" si="69"/>
        <v>0</v>
      </c>
      <c r="T2182" s="39" t="s">
        <v>94</v>
      </c>
    </row>
    <row r="2183" spans="1:20" x14ac:dyDescent="0.25">
      <c r="A2183" s="20">
        <v>42145</v>
      </c>
      <c r="B2183" s="183">
        <v>21757</v>
      </c>
      <c r="C2183" s="26" t="s">
        <v>218</v>
      </c>
      <c r="D2183" s="108">
        <v>0</v>
      </c>
      <c r="E2183" s="23"/>
      <c r="F2183" s="106"/>
      <c r="G2183" s="31">
        <f t="shared" si="68"/>
        <v>0</v>
      </c>
      <c r="H2183" s="39" t="s">
        <v>13</v>
      </c>
      <c r="I2183" s="3"/>
      <c r="J2183" s="42"/>
      <c r="K2183" s="3"/>
      <c r="M2183" s="20">
        <v>42149</v>
      </c>
      <c r="N2183" s="183">
        <v>22242</v>
      </c>
      <c r="O2183" s="14" t="s">
        <v>454</v>
      </c>
      <c r="P2183" s="105">
        <v>1857.6</v>
      </c>
      <c r="Q2183" s="65">
        <v>42150</v>
      </c>
      <c r="R2183" s="106">
        <v>1857.6</v>
      </c>
      <c r="S2183" s="31">
        <f t="shared" si="69"/>
        <v>0</v>
      </c>
      <c r="T2183" s="39" t="s">
        <v>1257</v>
      </c>
    </row>
    <row r="2184" spans="1:20" x14ac:dyDescent="0.25">
      <c r="A2184" s="20">
        <v>42145</v>
      </c>
      <c r="B2184" s="183">
        <v>21758</v>
      </c>
      <c r="C2184" s="15" t="s">
        <v>37</v>
      </c>
      <c r="D2184" s="122">
        <v>47874.86</v>
      </c>
      <c r="E2184" s="23">
        <v>42152</v>
      </c>
      <c r="F2184" s="118">
        <v>47874.86</v>
      </c>
      <c r="G2184" s="31">
        <f t="shared" si="68"/>
        <v>0</v>
      </c>
      <c r="H2184" s="68" t="s">
        <v>773</v>
      </c>
      <c r="I2184" s="3"/>
      <c r="J2184" s="42"/>
      <c r="K2184" s="3"/>
      <c r="M2184" s="20">
        <v>42150</v>
      </c>
      <c r="N2184" s="183">
        <v>22328</v>
      </c>
      <c r="O2184" s="14" t="s">
        <v>454</v>
      </c>
      <c r="P2184" s="105">
        <v>1961</v>
      </c>
      <c r="Q2184" s="65">
        <v>42152</v>
      </c>
      <c r="R2184" s="106">
        <v>1961</v>
      </c>
      <c r="S2184" s="31">
        <f t="shared" si="69"/>
        <v>0</v>
      </c>
      <c r="T2184" s="39" t="s">
        <v>59</v>
      </c>
    </row>
    <row r="2185" spans="1:20" x14ac:dyDescent="0.25">
      <c r="A2185" s="20">
        <v>42145</v>
      </c>
      <c r="B2185" s="183">
        <v>21759</v>
      </c>
      <c r="C2185" s="15" t="s">
        <v>55</v>
      </c>
      <c r="D2185" s="122">
        <v>24402.84</v>
      </c>
      <c r="E2185" s="23">
        <v>42146</v>
      </c>
      <c r="F2185" s="118">
        <v>24402.84</v>
      </c>
      <c r="G2185" s="31">
        <f t="shared" si="68"/>
        <v>0</v>
      </c>
      <c r="H2185" s="68" t="s">
        <v>773</v>
      </c>
      <c r="I2185" s="3"/>
      <c r="J2185" s="42"/>
      <c r="K2185" s="3"/>
      <c r="M2185" s="20">
        <v>42154</v>
      </c>
      <c r="N2185" s="183">
        <v>22701</v>
      </c>
      <c r="O2185" s="14" t="s">
        <v>454</v>
      </c>
      <c r="P2185" s="105">
        <v>777</v>
      </c>
      <c r="Q2185" s="23">
        <v>42154</v>
      </c>
      <c r="R2185" s="106">
        <v>777</v>
      </c>
      <c r="S2185" s="31">
        <f t="shared" si="69"/>
        <v>0</v>
      </c>
      <c r="T2185" s="39" t="s">
        <v>94</v>
      </c>
    </row>
    <row r="2186" spans="1:20" x14ac:dyDescent="0.25">
      <c r="A2186" s="20">
        <v>42145</v>
      </c>
      <c r="B2186" s="183">
        <v>21760</v>
      </c>
      <c r="C2186" s="15" t="s">
        <v>375</v>
      </c>
      <c r="D2186" s="122">
        <v>4116.3999999999996</v>
      </c>
      <c r="E2186" s="23">
        <v>42145</v>
      </c>
      <c r="F2186" s="118">
        <v>4116.3999999999996</v>
      </c>
      <c r="G2186" s="31">
        <f t="shared" si="68"/>
        <v>0</v>
      </c>
      <c r="H2186" s="68" t="s">
        <v>9</v>
      </c>
      <c r="I2186" s="3"/>
      <c r="J2186" s="42"/>
      <c r="K2186" s="3"/>
      <c r="M2186" s="20">
        <v>42135</v>
      </c>
      <c r="N2186" s="183">
        <v>20718</v>
      </c>
      <c r="O2186" s="14" t="s">
        <v>178</v>
      </c>
      <c r="P2186" s="105">
        <v>997.6</v>
      </c>
      <c r="Q2186" s="23">
        <v>42136</v>
      </c>
      <c r="R2186" s="106">
        <v>997.6</v>
      </c>
      <c r="S2186" s="48">
        <f t="shared" si="69"/>
        <v>0</v>
      </c>
      <c r="T2186" s="19" t="s">
        <v>62</v>
      </c>
    </row>
    <row r="2187" spans="1:20" x14ac:dyDescent="0.25">
      <c r="A2187" s="20">
        <v>42145</v>
      </c>
      <c r="B2187" s="183">
        <v>21761</v>
      </c>
      <c r="C2187" s="15" t="s">
        <v>213</v>
      </c>
      <c r="D2187" s="122">
        <v>6878</v>
      </c>
      <c r="E2187" s="23">
        <v>42145</v>
      </c>
      <c r="F2187" s="118">
        <v>6878</v>
      </c>
      <c r="G2187" s="31">
        <f t="shared" si="68"/>
        <v>0</v>
      </c>
      <c r="H2187" s="68" t="s">
        <v>62</v>
      </c>
      <c r="I2187" s="3"/>
      <c r="J2187" s="42"/>
      <c r="K2187" s="3"/>
      <c r="M2187" s="20">
        <v>42135</v>
      </c>
      <c r="N2187" s="183">
        <v>20719</v>
      </c>
      <c r="O2187" s="14" t="s">
        <v>178</v>
      </c>
      <c r="P2187" s="105">
        <v>1921.6</v>
      </c>
      <c r="Q2187" s="23">
        <v>42136</v>
      </c>
      <c r="R2187" s="106">
        <v>1921.6</v>
      </c>
      <c r="S2187" s="31">
        <f t="shared" si="69"/>
        <v>0</v>
      </c>
      <c r="T2187" s="19" t="s">
        <v>62</v>
      </c>
    </row>
    <row r="2188" spans="1:20" x14ac:dyDescent="0.25">
      <c r="A2188" s="20">
        <v>42145</v>
      </c>
      <c r="B2188" s="183">
        <v>21762</v>
      </c>
      <c r="C2188" s="15" t="s">
        <v>247</v>
      </c>
      <c r="D2188" s="122">
        <v>7992</v>
      </c>
      <c r="E2188" s="23">
        <v>42145</v>
      </c>
      <c r="F2188" s="118">
        <v>7992</v>
      </c>
      <c r="G2188" s="31">
        <f t="shared" si="68"/>
        <v>0</v>
      </c>
      <c r="H2188" s="68" t="s">
        <v>62</v>
      </c>
      <c r="I2188" s="3"/>
      <c r="J2188" s="42"/>
      <c r="K2188" s="3"/>
      <c r="M2188" s="20">
        <v>42137</v>
      </c>
      <c r="N2188" s="183">
        <v>20927</v>
      </c>
      <c r="O2188" s="14" t="s">
        <v>178</v>
      </c>
      <c r="P2188" s="105">
        <v>800.4</v>
      </c>
      <c r="Q2188" s="23">
        <v>42138</v>
      </c>
      <c r="R2188" s="106">
        <v>800.4</v>
      </c>
      <c r="S2188" s="31">
        <f t="shared" si="69"/>
        <v>0</v>
      </c>
      <c r="T2188" s="19" t="s">
        <v>62</v>
      </c>
    </row>
    <row r="2189" spans="1:20" x14ac:dyDescent="0.25">
      <c r="A2189" s="20">
        <v>42145</v>
      </c>
      <c r="B2189" s="183">
        <v>21763</v>
      </c>
      <c r="C2189" s="15" t="s">
        <v>233</v>
      </c>
      <c r="D2189" s="122">
        <v>17411</v>
      </c>
      <c r="E2189" s="23">
        <v>42146</v>
      </c>
      <c r="F2189" s="118">
        <v>17411</v>
      </c>
      <c r="G2189" s="31">
        <f t="shared" si="68"/>
        <v>0</v>
      </c>
      <c r="H2189" s="68" t="s">
        <v>773</v>
      </c>
      <c r="I2189" s="3"/>
      <c r="J2189" s="42"/>
      <c r="K2189" s="3"/>
      <c r="M2189" s="20">
        <v>42126</v>
      </c>
      <c r="N2189" s="183">
        <v>19725</v>
      </c>
      <c r="O2189" s="40" t="s">
        <v>225</v>
      </c>
      <c r="P2189" s="105">
        <v>2563.6</v>
      </c>
      <c r="Q2189" s="23">
        <v>42126</v>
      </c>
      <c r="R2189" s="106">
        <v>2563.6</v>
      </c>
      <c r="S2189" s="25">
        <f t="shared" si="69"/>
        <v>0</v>
      </c>
      <c r="T2189" s="41" t="s">
        <v>9</v>
      </c>
    </row>
    <row r="2190" spans="1:20" x14ac:dyDescent="0.25">
      <c r="A2190" s="20">
        <v>42145</v>
      </c>
      <c r="B2190" s="183">
        <v>21764</v>
      </c>
      <c r="C2190" s="15" t="s">
        <v>334</v>
      </c>
      <c r="D2190" s="122">
        <v>2516.8000000000002</v>
      </c>
      <c r="E2190" s="69">
        <v>42146</v>
      </c>
      <c r="F2190" s="118">
        <v>2516.8000000000002</v>
      </c>
      <c r="G2190" s="31">
        <f t="shared" si="68"/>
        <v>0</v>
      </c>
      <c r="H2190" s="68" t="s">
        <v>773</v>
      </c>
      <c r="I2190" s="3"/>
      <c r="J2190" s="42"/>
      <c r="K2190" s="3"/>
      <c r="M2190" s="20">
        <v>42128</v>
      </c>
      <c r="N2190" s="183">
        <v>19949</v>
      </c>
      <c r="O2190" s="14" t="s">
        <v>225</v>
      </c>
      <c r="P2190" s="105">
        <v>2305.1999999999998</v>
      </c>
      <c r="Q2190" s="23">
        <v>42128</v>
      </c>
      <c r="R2190" s="106">
        <v>2305.1999999999998</v>
      </c>
      <c r="S2190" s="31">
        <f t="shared" si="69"/>
        <v>0</v>
      </c>
      <c r="T2190" s="19" t="s">
        <v>9</v>
      </c>
    </row>
    <row r="2191" spans="1:20" x14ac:dyDescent="0.25">
      <c r="A2191" s="20">
        <v>42145</v>
      </c>
      <c r="B2191" s="183">
        <v>21765</v>
      </c>
      <c r="C2191" s="15" t="s">
        <v>131</v>
      </c>
      <c r="D2191" s="122">
        <v>11017.8</v>
      </c>
      <c r="E2191" s="23">
        <v>42149</v>
      </c>
      <c r="F2191" s="118">
        <v>11017.8</v>
      </c>
      <c r="G2191" s="31">
        <f t="shared" si="68"/>
        <v>0</v>
      </c>
      <c r="H2191" s="68" t="s">
        <v>9</v>
      </c>
      <c r="I2191" s="3"/>
      <c r="J2191" s="42"/>
      <c r="K2191" s="3"/>
      <c r="M2191" s="20">
        <v>42130</v>
      </c>
      <c r="N2191" s="183">
        <v>20140</v>
      </c>
      <c r="O2191" s="14" t="s">
        <v>225</v>
      </c>
      <c r="P2191" s="105">
        <v>2713.2</v>
      </c>
      <c r="Q2191" s="23">
        <v>42130</v>
      </c>
      <c r="R2191" s="106">
        <v>2713.2</v>
      </c>
      <c r="S2191" s="31">
        <f t="shared" si="69"/>
        <v>0</v>
      </c>
      <c r="T2191" s="39" t="s">
        <v>9</v>
      </c>
    </row>
    <row r="2192" spans="1:20" x14ac:dyDescent="0.25">
      <c r="A2192" s="20">
        <v>42145</v>
      </c>
      <c r="B2192" s="183">
        <v>21766</v>
      </c>
      <c r="C2192" s="15" t="s">
        <v>125</v>
      </c>
      <c r="D2192" s="122">
        <v>9947.4</v>
      </c>
      <c r="E2192" s="23">
        <v>42152</v>
      </c>
      <c r="F2192" s="118">
        <v>9947.4</v>
      </c>
      <c r="G2192" s="31">
        <f t="shared" si="68"/>
        <v>0</v>
      </c>
      <c r="H2192" s="68" t="s">
        <v>94</v>
      </c>
      <c r="I2192" s="3"/>
      <c r="J2192" s="42"/>
      <c r="K2192" s="3"/>
      <c r="M2192" s="20">
        <v>42133</v>
      </c>
      <c r="N2192" s="183">
        <v>20504</v>
      </c>
      <c r="O2192" s="14" t="s">
        <v>225</v>
      </c>
      <c r="P2192" s="105">
        <v>2526.1999999999998</v>
      </c>
      <c r="Q2192" s="23">
        <v>42133</v>
      </c>
      <c r="R2192" s="106">
        <v>2526.1999999999998</v>
      </c>
      <c r="S2192" s="31">
        <f t="shared" si="69"/>
        <v>0</v>
      </c>
      <c r="T2192" s="19" t="s">
        <v>9</v>
      </c>
    </row>
    <row r="2193" spans="1:20" x14ac:dyDescent="0.25">
      <c r="A2193" s="20">
        <v>42145</v>
      </c>
      <c r="B2193" s="183">
        <v>21767</v>
      </c>
      <c r="C2193" s="15" t="s">
        <v>130</v>
      </c>
      <c r="D2193" s="122">
        <v>1900.4</v>
      </c>
      <c r="E2193" s="23">
        <v>42145</v>
      </c>
      <c r="F2193" s="118">
        <v>1900.4</v>
      </c>
      <c r="G2193" s="31">
        <f t="shared" si="68"/>
        <v>0</v>
      </c>
      <c r="H2193" s="68" t="s">
        <v>1257</v>
      </c>
      <c r="I2193" s="3"/>
      <c r="J2193" s="42"/>
      <c r="K2193" s="3"/>
      <c r="M2193" s="20">
        <v>42136</v>
      </c>
      <c r="N2193" s="183">
        <v>20822</v>
      </c>
      <c r="O2193" s="14" t="s">
        <v>225</v>
      </c>
      <c r="P2193" s="105">
        <v>2512.8000000000002</v>
      </c>
      <c r="Q2193" s="23">
        <v>42136</v>
      </c>
      <c r="R2193" s="106">
        <v>2512.8000000000002</v>
      </c>
      <c r="S2193" s="31">
        <f t="shared" si="69"/>
        <v>0</v>
      </c>
      <c r="T2193" s="39" t="s">
        <v>9</v>
      </c>
    </row>
    <row r="2194" spans="1:20" x14ac:dyDescent="0.25">
      <c r="A2194" s="20">
        <v>42145</v>
      </c>
      <c r="B2194" s="183">
        <v>21768</v>
      </c>
      <c r="C2194" s="15" t="s">
        <v>48</v>
      </c>
      <c r="D2194" s="122">
        <v>1574.4</v>
      </c>
      <c r="E2194" s="23">
        <v>42145</v>
      </c>
      <c r="F2194" s="118">
        <v>1574.4</v>
      </c>
      <c r="G2194" s="31">
        <f t="shared" si="68"/>
        <v>0</v>
      </c>
      <c r="H2194" s="68" t="s">
        <v>94</v>
      </c>
      <c r="I2194" s="3"/>
      <c r="J2194" s="42"/>
      <c r="K2194" s="3"/>
      <c r="M2194" s="20">
        <v>42139</v>
      </c>
      <c r="N2194" s="183">
        <v>21133</v>
      </c>
      <c r="O2194" s="14" t="s">
        <v>225</v>
      </c>
      <c r="P2194" s="105">
        <v>2574</v>
      </c>
      <c r="Q2194" s="23">
        <v>42139</v>
      </c>
      <c r="R2194" s="106">
        <v>2574</v>
      </c>
      <c r="S2194" s="48">
        <f t="shared" si="69"/>
        <v>0</v>
      </c>
      <c r="T2194" s="39" t="s">
        <v>9</v>
      </c>
    </row>
    <row r="2195" spans="1:20" x14ac:dyDescent="0.25">
      <c r="A2195" s="20">
        <v>42145</v>
      </c>
      <c r="B2195" s="183">
        <v>21769</v>
      </c>
      <c r="C2195" s="207" t="s">
        <v>143</v>
      </c>
      <c r="D2195" s="122">
        <v>2018.48</v>
      </c>
      <c r="E2195" s="23">
        <v>42145</v>
      </c>
      <c r="F2195" s="118">
        <v>2018.48</v>
      </c>
      <c r="G2195" s="31">
        <f t="shared" si="68"/>
        <v>0</v>
      </c>
      <c r="H2195" s="68" t="s">
        <v>1257</v>
      </c>
      <c r="I2195" s="3"/>
      <c r="J2195" s="42"/>
      <c r="K2195" s="3"/>
      <c r="M2195" s="20">
        <v>42141</v>
      </c>
      <c r="N2195" s="183">
        <v>21354</v>
      </c>
      <c r="O2195" s="14" t="s">
        <v>225</v>
      </c>
      <c r="P2195" s="105">
        <v>2318.4</v>
      </c>
      <c r="Q2195" s="23">
        <v>42141</v>
      </c>
      <c r="R2195" s="118">
        <v>2318.4</v>
      </c>
      <c r="S2195" s="31">
        <f t="shared" si="69"/>
        <v>0</v>
      </c>
      <c r="T2195" s="62" t="s">
        <v>9</v>
      </c>
    </row>
    <row r="2196" spans="1:20" x14ac:dyDescent="0.25">
      <c r="A2196" s="20">
        <v>42145</v>
      </c>
      <c r="B2196" s="183">
        <v>21770</v>
      </c>
      <c r="C2196" s="207" t="s">
        <v>128</v>
      </c>
      <c r="D2196" s="122">
        <v>10464</v>
      </c>
      <c r="E2196" s="23">
        <v>42145</v>
      </c>
      <c r="F2196" s="118">
        <v>10464</v>
      </c>
      <c r="G2196" s="31">
        <f t="shared" si="68"/>
        <v>0</v>
      </c>
      <c r="H2196" s="68" t="s">
        <v>1257</v>
      </c>
      <c r="I2196" s="3"/>
      <c r="J2196" s="42"/>
      <c r="K2196" s="3"/>
      <c r="M2196" s="20">
        <v>42144</v>
      </c>
      <c r="N2196" s="183">
        <v>21656</v>
      </c>
      <c r="O2196" s="150" t="s">
        <v>225</v>
      </c>
      <c r="P2196" s="105">
        <v>2815.7</v>
      </c>
      <c r="Q2196" s="23">
        <v>42144</v>
      </c>
      <c r="R2196" s="118">
        <v>2815.7</v>
      </c>
      <c r="S2196" s="31">
        <f t="shared" si="69"/>
        <v>0</v>
      </c>
      <c r="T2196" s="62" t="s">
        <v>9</v>
      </c>
    </row>
    <row r="2197" spans="1:20" x14ac:dyDescent="0.25">
      <c r="A2197" s="20">
        <v>42145</v>
      </c>
      <c r="B2197" s="183">
        <v>21771</v>
      </c>
      <c r="C2197" s="15" t="s">
        <v>723</v>
      </c>
      <c r="D2197" s="122">
        <v>2433.9</v>
      </c>
      <c r="E2197" s="23">
        <v>42145</v>
      </c>
      <c r="F2197" s="118">
        <v>2433.9</v>
      </c>
      <c r="G2197" s="31">
        <f t="shared" si="68"/>
        <v>0</v>
      </c>
      <c r="H2197" s="68" t="s">
        <v>1257</v>
      </c>
      <c r="I2197" s="3"/>
      <c r="J2197" s="42"/>
      <c r="K2197" s="3"/>
      <c r="M2197" s="20">
        <v>42147</v>
      </c>
      <c r="N2197" s="183">
        <v>22017</v>
      </c>
      <c r="O2197" s="14" t="s">
        <v>225</v>
      </c>
      <c r="P2197" s="105">
        <v>3068.8</v>
      </c>
      <c r="Q2197" s="65">
        <v>42147</v>
      </c>
      <c r="R2197" s="106">
        <v>3068.8</v>
      </c>
      <c r="S2197" s="31">
        <f t="shared" si="69"/>
        <v>0</v>
      </c>
      <c r="T2197" s="39" t="s">
        <v>9</v>
      </c>
    </row>
    <row r="2198" spans="1:20" x14ac:dyDescent="0.25">
      <c r="A2198" s="20">
        <v>42145</v>
      </c>
      <c r="B2198" s="183">
        <v>21772</v>
      </c>
      <c r="C2198" s="15" t="s">
        <v>28</v>
      </c>
      <c r="D2198" s="122">
        <v>423.2</v>
      </c>
      <c r="E2198" s="23">
        <v>42145</v>
      </c>
      <c r="F2198" s="118">
        <v>423.2</v>
      </c>
      <c r="G2198" s="31">
        <f t="shared" si="68"/>
        <v>0</v>
      </c>
      <c r="H2198" s="68" t="s">
        <v>9</v>
      </c>
      <c r="I2198" s="3"/>
      <c r="J2198" s="42"/>
      <c r="K2198" s="3"/>
      <c r="M2198" s="20">
        <v>42150</v>
      </c>
      <c r="N2198" s="183">
        <v>22302</v>
      </c>
      <c r="O2198" s="14" t="s">
        <v>225</v>
      </c>
      <c r="P2198" s="105">
        <v>3161.4</v>
      </c>
      <c r="Q2198" s="65">
        <v>42150</v>
      </c>
      <c r="R2198" s="106">
        <v>3161.4</v>
      </c>
      <c r="S2198" s="31">
        <f t="shared" si="69"/>
        <v>0</v>
      </c>
      <c r="T2198" s="39" t="s">
        <v>9</v>
      </c>
    </row>
    <row r="2199" spans="1:20" x14ac:dyDescent="0.25">
      <c r="A2199" s="20">
        <v>42145</v>
      </c>
      <c r="B2199" s="183">
        <v>21773</v>
      </c>
      <c r="C2199" s="15" t="s">
        <v>24</v>
      </c>
      <c r="D2199" s="122">
        <v>7376.4</v>
      </c>
      <c r="E2199" s="30">
        <v>42165</v>
      </c>
      <c r="F2199" s="145">
        <v>7376.4</v>
      </c>
      <c r="G2199" s="31">
        <f t="shared" si="68"/>
        <v>0</v>
      </c>
      <c r="H2199" s="68" t="s">
        <v>62</v>
      </c>
      <c r="I2199" s="3"/>
      <c r="J2199" s="42"/>
      <c r="K2199" s="3"/>
      <c r="M2199" s="20">
        <v>42152</v>
      </c>
      <c r="N2199" s="183">
        <v>22458</v>
      </c>
      <c r="O2199" s="14" t="s">
        <v>225</v>
      </c>
      <c r="P2199" s="105">
        <v>3003</v>
      </c>
      <c r="Q2199" s="23">
        <v>42152</v>
      </c>
      <c r="R2199" s="106">
        <v>3003</v>
      </c>
      <c r="S2199" s="31">
        <f t="shared" si="69"/>
        <v>0</v>
      </c>
      <c r="T2199" s="39" t="s">
        <v>9</v>
      </c>
    </row>
    <row r="2200" spans="1:20" x14ac:dyDescent="0.25">
      <c r="A2200" s="20">
        <v>42145</v>
      </c>
      <c r="B2200" s="183">
        <v>21774</v>
      </c>
      <c r="C2200" s="15" t="s">
        <v>89</v>
      </c>
      <c r="D2200" s="122">
        <v>2916.5</v>
      </c>
      <c r="E2200" s="23">
        <v>42145</v>
      </c>
      <c r="F2200" s="118">
        <v>2916.5</v>
      </c>
      <c r="G2200" s="31">
        <f t="shared" si="68"/>
        <v>0</v>
      </c>
      <c r="H2200" s="68" t="s">
        <v>9</v>
      </c>
      <c r="I2200" s="3"/>
      <c r="J2200" s="42"/>
      <c r="K2200" s="3"/>
      <c r="M2200" s="20">
        <v>42125</v>
      </c>
      <c r="N2200" s="183">
        <v>19656</v>
      </c>
      <c r="O2200" s="34" t="s">
        <v>88</v>
      </c>
      <c r="P2200" s="37">
        <v>1396.3</v>
      </c>
      <c r="Q2200" s="23">
        <v>42125</v>
      </c>
      <c r="R2200" s="109">
        <v>1396.3</v>
      </c>
      <c r="S2200" s="25">
        <f t="shared" si="69"/>
        <v>0</v>
      </c>
      <c r="T2200" s="19" t="s">
        <v>9</v>
      </c>
    </row>
    <row r="2201" spans="1:20" x14ac:dyDescent="0.25">
      <c r="A2201" s="20">
        <v>42145</v>
      </c>
      <c r="B2201" s="183">
        <v>21775</v>
      </c>
      <c r="C2201" s="15" t="s">
        <v>251</v>
      </c>
      <c r="D2201" s="122">
        <v>25172</v>
      </c>
      <c r="E2201" s="23">
        <v>42146</v>
      </c>
      <c r="F2201" s="118">
        <v>25172</v>
      </c>
      <c r="G2201" s="31">
        <f t="shared" si="68"/>
        <v>0</v>
      </c>
      <c r="H2201" s="68" t="s">
        <v>1273</v>
      </c>
      <c r="I2201" s="3"/>
      <c r="J2201" s="42"/>
      <c r="K2201" s="3"/>
      <c r="M2201" s="20">
        <v>42132</v>
      </c>
      <c r="N2201" s="183">
        <v>20337</v>
      </c>
      <c r="O2201" s="14" t="s">
        <v>88</v>
      </c>
      <c r="P2201" s="105">
        <v>2453.1</v>
      </c>
      <c r="Q2201" s="23">
        <v>42132</v>
      </c>
      <c r="R2201" s="106">
        <v>2453.1</v>
      </c>
      <c r="S2201" s="31">
        <f t="shared" si="69"/>
        <v>0</v>
      </c>
      <c r="T2201" s="19" t="s">
        <v>9</v>
      </c>
    </row>
    <row r="2202" spans="1:20" x14ac:dyDescent="0.25">
      <c r="A2202" s="20">
        <v>42145</v>
      </c>
      <c r="B2202" s="183">
        <v>21776</v>
      </c>
      <c r="C2202" s="15" t="s">
        <v>159</v>
      </c>
      <c r="D2202" s="122">
        <v>6874</v>
      </c>
      <c r="E2202" s="23">
        <v>42145</v>
      </c>
      <c r="F2202" s="118">
        <v>6874</v>
      </c>
      <c r="G2202" s="31">
        <f t="shared" si="68"/>
        <v>0</v>
      </c>
      <c r="H2202" s="68" t="s">
        <v>9</v>
      </c>
      <c r="I2202" s="3"/>
      <c r="J2202" s="42"/>
      <c r="K2202" s="3"/>
      <c r="M2202" s="20">
        <v>42134</v>
      </c>
      <c r="N2202" s="183">
        <v>20597</v>
      </c>
      <c r="O2202" s="14" t="s">
        <v>88</v>
      </c>
      <c r="P2202" s="105">
        <v>513.4</v>
      </c>
      <c r="Q2202" s="23">
        <v>42134</v>
      </c>
      <c r="R2202" s="106">
        <v>513.4</v>
      </c>
      <c r="S2202" s="31">
        <f t="shared" si="69"/>
        <v>0</v>
      </c>
      <c r="T2202" s="56" t="s">
        <v>9</v>
      </c>
    </row>
    <row r="2203" spans="1:20" x14ac:dyDescent="0.25">
      <c r="A2203" s="20">
        <v>42145</v>
      </c>
      <c r="B2203" s="183">
        <v>21777</v>
      </c>
      <c r="C2203" s="15" t="s">
        <v>111</v>
      </c>
      <c r="D2203" s="122">
        <v>180600</v>
      </c>
      <c r="E2203" s="72">
        <v>42147</v>
      </c>
      <c r="F2203" s="118">
        <v>180600</v>
      </c>
      <c r="G2203" s="31">
        <f t="shared" si="68"/>
        <v>0</v>
      </c>
      <c r="H2203" s="68" t="s">
        <v>9</v>
      </c>
      <c r="I2203" s="3"/>
      <c r="J2203" s="42"/>
      <c r="K2203" s="3"/>
      <c r="M2203" s="20">
        <v>42140</v>
      </c>
      <c r="N2203" s="183">
        <v>21244</v>
      </c>
      <c r="O2203" s="14" t="s">
        <v>88</v>
      </c>
      <c r="P2203" s="105">
        <v>1064.2</v>
      </c>
      <c r="Q2203" s="23">
        <v>42140</v>
      </c>
      <c r="R2203" s="106">
        <v>1064.2</v>
      </c>
      <c r="S2203" s="48">
        <f t="shared" si="69"/>
        <v>0</v>
      </c>
      <c r="T2203" s="19" t="s">
        <v>9</v>
      </c>
    </row>
    <row r="2204" spans="1:20" x14ac:dyDescent="0.25">
      <c r="A2204" s="20">
        <v>42145</v>
      </c>
      <c r="B2204" s="183">
        <v>21778</v>
      </c>
      <c r="C2204" s="15" t="s">
        <v>1297</v>
      </c>
      <c r="D2204" s="122">
        <v>2703.2</v>
      </c>
      <c r="E2204" s="23">
        <v>42145</v>
      </c>
      <c r="F2204" s="118">
        <v>2703.2</v>
      </c>
      <c r="G2204" s="31">
        <f t="shared" si="68"/>
        <v>0</v>
      </c>
      <c r="H2204" s="68" t="s">
        <v>9</v>
      </c>
      <c r="I2204" s="3"/>
      <c r="J2204" s="42"/>
      <c r="K2204" s="3"/>
      <c r="M2204" s="20">
        <v>42140</v>
      </c>
      <c r="N2204" s="183">
        <v>21245</v>
      </c>
      <c r="O2204" s="14" t="s">
        <v>88</v>
      </c>
      <c r="P2204" s="105">
        <v>723.1</v>
      </c>
      <c r="Q2204" s="23">
        <v>42140</v>
      </c>
      <c r="R2204" s="106">
        <v>723.1</v>
      </c>
      <c r="S2204" s="48">
        <f t="shared" si="69"/>
        <v>0</v>
      </c>
      <c r="T2204" s="19" t="s">
        <v>9</v>
      </c>
    </row>
    <row r="2205" spans="1:20" x14ac:dyDescent="0.25">
      <c r="A2205" s="20">
        <v>42145</v>
      </c>
      <c r="B2205" s="183">
        <v>21779</v>
      </c>
      <c r="C2205" s="15" t="s">
        <v>1433</v>
      </c>
      <c r="D2205" s="122">
        <v>4572</v>
      </c>
      <c r="E2205" s="23">
        <v>42145</v>
      </c>
      <c r="F2205" s="118">
        <v>4572</v>
      </c>
      <c r="G2205" s="31">
        <f t="shared" si="68"/>
        <v>0</v>
      </c>
      <c r="H2205" s="68" t="s">
        <v>9</v>
      </c>
      <c r="I2205" s="3"/>
      <c r="J2205" s="42"/>
      <c r="K2205" s="3"/>
      <c r="M2205" s="20">
        <v>42147</v>
      </c>
      <c r="N2205" s="183">
        <v>22014</v>
      </c>
      <c r="O2205" s="14" t="s">
        <v>88</v>
      </c>
      <c r="P2205" s="105">
        <v>1823.4</v>
      </c>
      <c r="Q2205" s="65">
        <v>42147</v>
      </c>
      <c r="R2205" s="106">
        <v>1823.4</v>
      </c>
      <c r="S2205" s="31">
        <f t="shared" si="69"/>
        <v>0</v>
      </c>
      <c r="T2205" s="39" t="s">
        <v>9</v>
      </c>
    </row>
    <row r="2206" spans="1:20" x14ac:dyDescent="0.25">
      <c r="A2206" s="20">
        <v>42145</v>
      </c>
      <c r="B2206" s="183">
        <v>21780</v>
      </c>
      <c r="C2206" s="15" t="s">
        <v>190</v>
      </c>
      <c r="D2206" s="122">
        <v>3270</v>
      </c>
      <c r="E2206" s="23">
        <v>42145</v>
      </c>
      <c r="F2206" s="118">
        <v>3270</v>
      </c>
      <c r="G2206" s="31">
        <f t="shared" si="68"/>
        <v>0</v>
      </c>
      <c r="H2206" s="68" t="s">
        <v>62</v>
      </c>
      <c r="I2206" s="3"/>
      <c r="J2206" s="42"/>
      <c r="K2206" s="3"/>
      <c r="M2206" s="20">
        <v>42154</v>
      </c>
      <c r="N2206" s="183">
        <v>22708</v>
      </c>
      <c r="O2206" s="14" t="s">
        <v>88</v>
      </c>
      <c r="P2206" s="105">
        <v>1698.4</v>
      </c>
      <c r="Q2206" s="23">
        <v>42154</v>
      </c>
      <c r="R2206" s="106">
        <v>1698.4</v>
      </c>
      <c r="S2206" s="31">
        <f t="shared" si="69"/>
        <v>0</v>
      </c>
      <c r="T2206" s="39" t="s">
        <v>9</v>
      </c>
    </row>
    <row r="2207" spans="1:20" x14ac:dyDescent="0.25">
      <c r="A2207" s="20">
        <v>42145</v>
      </c>
      <c r="B2207" s="183">
        <v>21781</v>
      </c>
      <c r="C2207" s="15" t="s">
        <v>93</v>
      </c>
      <c r="D2207" s="122">
        <v>2042.4</v>
      </c>
      <c r="E2207" s="23">
        <v>42145</v>
      </c>
      <c r="F2207" s="118">
        <v>2042.4</v>
      </c>
      <c r="G2207" s="31">
        <f t="shared" si="68"/>
        <v>0</v>
      </c>
      <c r="H2207" s="68" t="s">
        <v>62</v>
      </c>
      <c r="I2207" s="3"/>
      <c r="J2207" s="42"/>
      <c r="K2207" s="3"/>
      <c r="M2207" s="20">
        <v>42153</v>
      </c>
      <c r="N2207" s="183">
        <v>22594</v>
      </c>
      <c r="O2207" s="14" t="s">
        <v>1434</v>
      </c>
      <c r="P2207" s="105">
        <v>996</v>
      </c>
      <c r="Q2207" s="23">
        <v>42153</v>
      </c>
      <c r="R2207" s="106">
        <v>996</v>
      </c>
      <c r="S2207" s="31">
        <f t="shared" si="69"/>
        <v>0</v>
      </c>
      <c r="T2207" s="39" t="s">
        <v>9</v>
      </c>
    </row>
    <row r="2208" spans="1:20" x14ac:dyDescent="0.25">
      <c r="A2208" s="20">
        <v>42145</v>
      </c>
      <c r="B2208" s="183">
        <v>21782</v>
      </c>
      <c r="C2208" s="15" t="s">
        <v>95</v>
      </c>
      <c r="D2208" s="122">
        <v>2149.6999999999998</v>
      </c>
      <c r="E2208" s="23">
        <v>42145</v>
      </c>
      <c r="F2208" s="118">
        <v>2149.6999999999998</v>
      </c>
      <c r="G2208" s="31">
        <f t="shared" si="68"/>
        <v>0</v>
      </c>
      <c r="H2208" s="68" t="s">
        <v>62</v>
      </c>
      <c r="I2208" s="3"/>
      <c r="J2208" s="42"/>
      <c r="K2208" s="3"/>
      <c r="M2208" s="20">
        <v>42129</v>
      </c>
      <c r="N2208" s="183">
        <v>20046</v>
      </c>
      <c r="O2208" s="14" t="s">
        <v>63</v>
      </c>
      <c r="P2208" s="105">
        <v>2889.6</v>
      </c>
      <c r="Q2208" s="23">
        <v>42129</v>
      </c>
      <c r="R2208" s="106">
        <v>2889.6</v>
      </c>
      <c r="S2208" s="31">
        <f t="shared" si="69"/>
        <v>0</v>
      </c>
      <c r="T2208" s="39" t="s">
        <v>9</v>
      </c>
    </row>
    <row r="2209" spans="1:20" x14ac:dyDescent="0.25">
      <c r="A2209" s="20">
        <v>42145</v>
      </c>
      <c r="B2209" s="183">
        <v>21783</v>
      </c>
      <c r="C2209" s="15" t="s">
        <v>49</v>
      </c>
      <c r="D2209" s="122">
        <v>489.96</v>
      </c>
      <c r="E2209" s="23">
        <v>42145</v>
      </c>
      <c r="F2209" s="118">
        <v>489.96</v>
      </c>
      <c r="G2209" s="31">
        <f t="shared" si="68"/>
        <v>0</v>
      </c>
      <c r="H2209" s="68" t="s">
        <v>62</v>
      </c>
      <c r="I2209" s="3"/>
      <c r="J2209" s="42"/>
      <c r="K2209" s="3"/>
      <c r="M2209" s="20">
        <v>42133</v>
      </c>
      <c r="N2209" s="183">
        <v>20518</v>
      </c>
      <c r="O2209" s="14" t="s">
        <v>63</v>
      </c>
      <c r="P2209" s="105">
        <v>2958.3</v>
      </c>
      <c r="Q2209" s="23">
        <v>42135</v>
      </c>
      <c r="R2209" s="106">
        <v>2958.3</v>
      </c>
      <c r="S2209" s="31">
        <f t="shared" si="69"/>
        <v>0</v>
      </c>
      <c r="T2209" s="19" t="s">
        <v>773</v>
      </c>
    </row>
    <row r="2210" spans="1:20" x14ac:dyDescent="0.25">
      <c r="A2210" s="20">
        <v>42145</v>
      </c>
      <c r="B2210" s="183">
        <v>21784</v>
      </c>
      <c r="C2210" s="15" t="s">
        <v>106</v>
      </c>
      <c r="D2210" s="122">
        <v>31185.200000000001</v>
      </c>
      <c r="E2210" s="23">
        <v>42147</v>
      </c>
      <c r="F2210" s="118">
        <v>31185.200000000001</v>
      </c>
      <c r="G2210" s="31">
        <f t="shared" si="68"/>
        <v>0</v>
      </c>
      <c r="H2210" s="68" t="s">
        <v>1273</v>
      </c>
      <c r="I2210" s="3"/>
      <c r="J2210" s="42"/>
      <c r="K2210" s="3"/>
      <c r="M2210" s="20">
        <v>42141</v>
      </c>
      <c r="N2210" s="183">
        <v>21348</v>
      </c>
      <c r="O2210" s="14" t="s">
        <v>63</v>
      </c>
      <c r="P2210" s="105">
        <v>2684.5</v>
      </c>
      <c r="Q2210" s="23">
        <v>42142</v>
      </c>
      <c r="R2210" s="118">
        <v>2684.5</v>
      </c>
      <c r="S2210" s="31">
        <f t="shared" si="69"/>
        <v>0</v>
      </c>
      <c r="T2210" s="62" t="s">
        <v>773</v>
      </c>
    </row>
    <row r="2211" spans="1:20" x14ac:dyDescent="0.25">
      <c r="A2211" s="20">
        <v>42145</v>
      </c>
      <c r="B2211" s="183">
        <v>21785</v>
      </c>
      <c r="C2211" s="15" t="s">
        <v>1267</v>
      </c>
      <c r="D2211" s="122">
        <v>1000</v>
      </c>
      <c r="E2211" s="23">
        <v>42145</v>
      </c>
      <c r="F2211" s="118">
        <v>1000</v>
      </c>
      <c r="G2211" s="31">
        <f t="shared" si="68"/>
        <v>0</v>
      </c>
      <c r="H2211" s="68" t="s">
        <v>62</v>
      </c>
      <c r="I2211" s="3"/>
      <c r="J2211" s="42"/>
      <c r="K2211" s="3"/>
      <c r="M2211" s="20">
        <v>42143</v>
      </c>
      <c r="N2211" s="183">
        <v>21550</v>
      </c>
      <c r="O2211" s="14" t="s">
        <v>63</v>
      </c>
      <c r="P2211" s="105">
        <v>2230.1999999999998</v>
      </c>
      <c r="Q2211" s="23">
        <v>42143</v>
      </c>
      <c r="R2211" s="118">
        <v>2230.1999999999998</v>
      </c>
      <c r="S2211" s="31">
        <f t="shared" si="69"/>
        <v>0</v>
      </c>
      <c r="T2211" s="56" t="s">
        <v>94</v>
      </c>
    </row>
    <row r="2212" spans="1:20" x14ac:dyDescent="0.25">
      <c r="A2212" s="20">
        <v>42145</v>
      </c>
      <c r="B2212" s="183">
        <v>21786</v>
      </c>
      <c r="C2212" s="15" t="s">
        <v>1262</v>
      </c>
      <c r="D2212" s="122">
        <v>37543.64</v>
      </c>
      <c r="E2212" s="23" t="s">
        <v>1348</v>
      </c>
      <c r="F2212" s="118">
        <f>35923.64+1620</f>
        <v>37543.64</v>
      </c>
      <c r="G2212" s="31">
        <f t="shared" si="68"/>
        <v>0</v>
      </c>
      <c r="H2212" s="68" t="s">
        <v>94</v>
      </c>
      <c r="I2212" s="3"/>
      <c r="J2212" s="42"/>
      <c r="K2212" s="3"/>
      <c r="M2212" s="20">
        <v>42125</v>
      </c>
      <c r="N2212" s="183">
        <v>19663</v>
      </c>
      <c r="O2212" s="14" t="s">
        <v>128</v>
      </c>
      <c r="P2212" s="105">
        <v>5271.6</v>
      </c>
      <c r="Q2212" s="23">
        <v>42125</v>
      </c>
      <c r="R2212" s="106">
        <v>5271.6</v>
      </c>
      <c r="S2212" s="25">
        <f t="shared" si="69"/>
        <v>0</v>
      </c>
      <c r="T2212" s="39" t="s">
        <v>94</v>
      </c>
    </row>
    <row r="2213" spans="1:20" x14ac:dyDescent="0.25">
      <c r="A2213" s="20">
        <v>42145</v>
      </c>
      <c r="B2213" s="183">
        <v>21787</v>
      </c>
      <c r="C2213" s="15" t="s">
        <v>161</v>
      </c>
      <c r="D2213" s="122">
        <v>25103.8</v>
      </c>
      <c r="E2213" s="23">
        <v>42145</v>
      </c>
      <c r="F2213" s="118">
        <v>25103.8</v>
      </c>
      <c r="G2213" s="31">
        <f t="shared" si="68"/>
        <v>0</v>
      </c>
      <c r="H2213" s="68" t="s">
        <v>9</v>
      </c>
      <c r="I2213" s="3"/>
      <c r="J2213" s="42"/>
      <c r="K2213" s="3"/>
      <c r="M2213" s="20">
        <v>42128</v>
      </c>
      <c r="N2213" s="183">
        <v>19962</v>
      </c>
      <c r="O2213" s="14" t="s">
        <v>128</v>
      </c>
      <c r="P2213" s="105">
        <v>4075.6</v>
      </c>
      <c r="Q2213" s="23">
        <v>42128</v>
      </c>
      <c r="R2213" s="106">
        <v>4075.6</v>
      </c>
      <c r="S2213" s="31">
        <f t="shared" si="69"/>
        <v>0</v>
      </c>
      <c r="T2213" s="19" t="s">
        <v>41</v>
      </c>
    </row>
    <row r="2214" spans="1:20" x14ac:dyDescent="0.25">
      <c r="A2214" s="20">
        <v>42145</v>
      </c>
      <c r="B2214" s="183">
        <v>21788</v>
      </c>
      <c r="C2214" s="15" t="s">
        <v>589</v>
      </c>
      <c r="D2214" s="122">
        <v>25848.28</v>
      </c>
      <c r="E2214" s="23">
        <v>42145</v>
      </c>
      <c r="F2214" s="118">
        <v>25848.28</v>
      </c>
      <c r="G2214" s="31">
        <f t="shared" si="68"/>
        <v>0</v>
      </c>
      <c r="H2214" s="68" t="s">
        <v>1257</v>
      </c>
      <c r="I2214" s="3"/>
      <c r="J2214" s="42"/>
      <c r="K2214" s="3"/>
      <c r="M2214" s="20">
        <v>42130</v>
      </c>
      <c r="N2214" s="183">
        <v>20168</v>
      </c>
      <c r="O2214" s="14" t="s">
        <v>128</v>
      </c>
      <c r="P2214" s="105">
        <v>7709.6</v>
      </c>
      <c r="Q2214" s="23">
        <v>42130</v>
      </c>
      <c r="R2214" s="106">
        <v>7709.6</v>
      </c>
      <c r="S2214" s="31">
        <f t="shared" si="69"/>
        <v>0</v>
      </c>
      <c r="T2214" s="39" t="s">
        <v>41</v>
      </c>
    </row>
    <row r="2215" spans="1:20" x14ac:dyDescent="0.25">
      <c r="A2215" s="20">
        <v>42145</v>
      </c>
      <c r="B2215" s="183">
        <v>21789</v>
      </c>
      <c r="C2215" s="15" t="s">
        <v>192</v>
      </c>
      <c r="D2215" s="122">
        <v>388.8</v>
      </c>
      <c r="E2215" s="23">
        <v>42145</v>
      </c>
      <c r="F2215" s="118">
        <v>388.8</v>
      </c>
      <c r="G2215" s="31">
        <f t="shared" si="68"/>
        <v>0</v>
      </c>
      <c r="H2215" s="68" t="s">
        <v>9</v>
      </c>
      <c r="I2215" s="3"/>
      <c r="J2215" s="42"/>
      <c r="K2215" s="3"/>
      <c r="M2215" s="20">
        <v>42131</v>
      </c>
      <c r="N2215" s="183">
        <v>20263</v>
      </c>
      <c r="O2215" s="14" t="s">
        <v>128</v>
      </c>
      <c r="P2215" s="105">
        <v>8234</v>
      </c>
      <c r="Q2215" s="23">
        <v>42131</v>
      </c>
      <c r="R2215" s="106">
        <v>8234</v>
      </c>
      <c r="S2215" s="31">
        <f t="shared" si="69"/>
        <v>0</v>
      </c>
      <c r="T2215" s="19" t="s">
        <v>1257</v>
      </c>
    </row>
    <row r="2216" spans="1:20" x14ac:dyDescent="0.25">
      <c r="A2216" s="20">
        <v>42145</v>
      </c>
      <c r="B2216" s="183">
        <v>21790</v>
      </c>
      <c r="C2216" s="15" t="s">
        <v>1142</v>
      </c>
      <c r="D2216" s="122">
        <v>2694</v>
      </c>
      <c r="E2216" s="23">
        <v>42145</v>
      </c>
      <c r="F2216" s="118">
        <v>2694</v>
      </c>
      <c r="G2216" s="31">
        <f t="shared" si="68"/>
        <v>0</v>
      </c>
      <c r="H2216" s="68" t="s">
        <v>62</v>
      </c>
      <c r="I2216" s="3"/>
      <c r="J2216" s="42"/>
      <c r="K2216" s="3"/>
      <c r="M2216" s="20">
        <v>42132</v>
      </c>
      <c r="N2216" s="183">
        <v>20391</v>
      </c>
      <c r="O2216" s="150" t="s">
        <v>128</v>
      </c>
      <c r="P2216" s="105">
        <v>7856.8</v>
      </c>
      <c r="Q2216" s="23">
        <v>42132</v>
      </c>
      <c r="R2216" s="106">
        <v>7856.8</v>
      </c>
      <c r="S2216" s="31">
        <f t="shared" si="69"/>
        <v>0</v>
      </c>
      <c r="T2216" s="19" t="s">
        <v>1257</v>
      </c>
    </row>
    <row r="2217" spans="1:20" x14ac:dyDescent="0.25">
      <c r="A2217" s="20">
        <v>42145</v>
      </c>
      <c r="B2217" s="183">
        <v>21791</v>
      </c>
      <c r="C2217" s="15" t="s">
        <v>90</v>
      </c>
      <c r="D2217" s="122">
        <v>356.4</v>
      </c>
      <c r="E2217" s="23">
        <v>42145</v>
      </c>
      <c r="F2217" s="118">
        <v>356.4</v>
      </c>
      <c r="G2217" s="31">
        <f t="shared" si="68"/>
        <v>0</v>
      </c>
      <c r="H2217" s="68" t="s">
        <v>9</v>
      </c>
      <c r="I2217" s="3"/>
      <c r="J2217" s="42"/>
      <c r="K2217" s="3"/>
      <c r="M2217" s="20">
        <v>42133</v>
      </c>
      <c r="N2217" s="183">
        <v>20540</v>
      </c>
      <c r="O2217" s="14" t="s">
        <v>128</v>
      </c>
      <c r="P2217" s="105">
        <v>3431.6</v>
      </c>
      <c r="Q2217" s="23">
        <v>42133</v>
      </c>
      <c r="R2217" s="106">
        <v>3431.6</v>
      </c>
      <c r="S2217" s="31">
        <f t="shared" si="69"/>
        <v>0</v>
      </c>
      <c r="T2217" s="19" t="s">
        <v>9</v>
      </c>
    </row>
    <row r="2218" spans="1:20" x14ac:dyDescent="0.25">
      <c r="A2218" s="20">
        <v>42145</v>
      </c>
      <c r="B2218" s="183">
        <v>21792</v>
      </c>
      <c r="C2218" s="15" t="s">
        <v>236</v>
      </c>
      <c r="D2218" s="122">
        <v>3433.4</v>
      </c>
      <c r="E2218" s="23">
        <v>42153</v>
      </c>
      <c r="F2218" s="118">
        <v>3433.4</v>
      </c>
      <c r="G2218" s="31">
        <f t="shared" si="68"/>
        <v>0</v>
      </c>
      <c r="H2218" s="68" t="s">
        <v>94</v>
      </c>
      <c r="I2218" s="3"/>
      <c r="J2218" s="42"/>
      <c r="K2218" s="3"/>
      <c r="M2218" s="20">
        <v>42135</v>
      </c>
      <c r="N2218" s="183">
        <v>20710</v>
      </c>
      <c r="O2218" s="14" t="s">
        <v>128</v>
      </c>
      <c r="P2218" s="105">
        <v>11092</v>
      </c>
      <c r="Q2218" s="23">
        <v>42137</v>
      </c>
      <c r="R2218" s="106">
        <v>11092</v>
      </c>
      <c r="S2218" s="31">
        <f t="shared" si="69"/>
        <v>0</v>
      </c>
      <c r="T2218" s="19" t="s">
        <v>1257</v>
      </c>
    </row>
    <row r="2219" spans="1:20" x14ac:dyDescent="0.25">
      <c r="A2219" s="20">
        <v>42145</v>
      </c>
      <c r="B2219" s="183">
        <v>21793</v>
      </c>
      <c r="C2219" s="70" t="s">
        <v>218</v>
      </c>
      <c r="D2219" s="128">
        <v>0</v>
      </c>
      <c r="E2219" s="23"/>
      <c r="F2219" s="118"/>
      <c r="G2219" s="31">
        <f t="shared" si="68"/>
        <v>0</v>
      </c>
      <c r="H2219" s="68" t="s">
        <v>13</v>
      </c>
      <c r="I2219" s="3"/>
      <c r="J2219" s="42"/>
      <c r="K2219" s="3"/>
      <c r="M2219" s="20">
        <v>42137</v>
      </c>
      <c r="N2219" s="183">
        <v>20913</v>
      </c>
      <c r="O2219" s="14" t="s">
        <v>128</v>
      </c>
      <c r="P2219" s="105">
        <v>6345</v>
      </c>
      <c r="Q2219" s="23">
        <v>42138</v>
      </c>
      <c r="R2219" s="106">
        <v>6345</v>
      </c>
      <c r="S2219" s="31">
        <f t="shared" si="69"/>
        <v>0</v>
      </c>
      <c r="T2219" s="19" t="s">
        <v>1257</v>
      </c>
    </row>
    <row r="2220" spans="1:20" x14ac:dyDescent="0.25">
      <c r="A2220" s="20">
        <v>42145</v>
      </c>
      <c r="B2220" s="183">
        <v>21794</v>
      </c>
      <c r="C2220" s="15" t="s">
        <v>107</v>
      </c>
      <c r="D2220" s="122">
        <v>3733.8</v>
      </c>
      <c r="E2220" s="23">
        <v>42145</v>
      </c>
      <c r="F2220" s="118">
        <v>3733.8</v>
      </c>
      <c r="G2220" s="31">
        <f t="shared" si="68"/>
        <v>0</v>
      </c>
      <c r="H2220" s="68" t="s">
        <v>9</v>
      </c>
      <c r="I2220" s="3"/>
      <c r="J2220" s="42"/>
      <c r="K2220" s="3"/>
      <c r="M2220" s="20">
        <v>42138</v>
      </c>
      <c r="N2220" s="183">
        <v>21011</v>
      </c>
      <c r="O2220" s="14" t="s">
        <v>128</v>
      </c>
      <c r="P2220" s="105">
        <v>5696.4</v>
      </c>
      <c r="Q2220" s="23">
        <v>42138</v>
      </c>
      <c r="R2220" s="106">
        <v>5696.4</v>
      </c>
      <c r="S2220" s="48">
        <f t="shared" si="69"/>
        <v>0</v>
      </c>
      <c r="T2220" s="19" t="s">
        <v>1257</v>
      </c>
    </row>
    <row r="2221" spans="1:20" x14ac:dyDescent="0.25">
      <c r="A2221" s="20">
        <v>42145</v>
      </c>
      <c r="B2221" s="183">
        <v>21795</v>
      </c>
      <c r="C2221" s="15" t="s">
        <v>24</v>
      </c>
      <c r="D2221" s="122">
        <v>246805.93</v>
      </c>
      <c r="E2221" s="30">
        <v>42165</v>
      </c>
      <c r="F2221" s="145">
        <v>246805.93</v>
      </c>
      <c r="G2221" s="31">
        <f t="shared" si="68"/>
        <v>0</v>
      </c>
      <c r="H2221" s="68" t="s">
        <v>46</v>
      </c>
      <c r="I2221" s="3"/>
      <c r="J2221" s="42"/>
      <c r="K2221" s="3"/>
      <c r="M2221" s="20">
        <v>42139</v>
      </c>
      <c r="N2221" s="183">
        <v>21151</v>
      </c>
      <c r="O2221" s="14" t="s">
        <v>128</v>
      </c>
      <c r="P2221" s="105">
        <v>6128.8</v>
      </c>
      <c r="Q2221" s="23">
        <v>42139</v>
      </c>
      <c r="R2221" s="106">
        <v>6128.8</v>
      </c>
      <c r="S2221" s="48">
        <f t="shared" si="69"/>
        <v>0</v>
      </c>
      <c r="T2221" s="39" t="s">
        <v>1257</v>
      </c>
    </row>
    <row r="2222" spans="1:20" x14ac:dyDescent="0.25">
      <c r="A2222" s="20">
        <v>42145</v>
      </c>
      <c r="B2222" s="183">
        <v>21796</v>
      </c>
      <c r="C2222" s="15" t="s">
        <v>1182</v>
      </c>
      <c r="D2222" s="122">
        <v>13</v>
      </c>
      <c r="E2222" s="23">
        <v>42145</v>
      </c>
      <c r="F2222" s="118">
        <v>13</v>
      </c>
      <c r="G2222" s="31">
        <f t="shared" si="68"/>
        <v>0</v>
      </c>
      <c r="H2222" s="68" t="s">
        <v>9</v>
      </c>
      <c r="I2222" s="3"/>
      <c r="J2222" s="42"/>
      <c r="K2222" s="3"/>
      <c r="M2222" s="20">
        <v>42140</v>
      </c>
      <c r="N2222" s="183">
        <v>21298</v>
      </c>
      <c r="O2222" s="14" t="s">
        <v>128</v>
      </c>
      <c r="P2222" s="105">
        <v>6363.8</v>
      </c>
      <c r="Q2222" s="23">
        <v>42142</v>
      </c>
      <c r="R2222" s="118">
        <v>6363.8</v>
      </c>
      <c r="S2222" s="31">
        <f t="shared" si="69"/>
        <v>0</v>
      </c>
      <c r="T2222" s="62" t="s">
        <v>1257</v>
      </c>
    </row>
    <row r="2223" spans="1:20" x14ac:dyDescent="0.25">
      <c r="A2223" s="20">
        <v>42145</v>
      </c>
      <c r="B2223" s="183">
        <v>21797</v>
      </c>
      <c r="C2223" s="15" t="s">
        <v>24</v>
      </c>
      <c r="D2223" s="122">
        <v>78103.600000000006</v>
      </c>
      <c r="E2223" s="30">
        <v>42165</v>
      </c>
      <c r="F2223" s="145">
        <v>78103.600000000006</v>
      </c>
      <c r="G2223" s="31">
        <f t="shared" si="68"/>
        <v>0</v>
      </c>
      <c r="H2223" s="68" t="s">
        <v>46</v>
      </c>
      <c r="I2223" s="3"/>
      <c r="J2223" s="42"/>
      <c r="K2223" s="3"/>
      <c r="M2223" s="20">
        <v>42142</v>
      </c>
      <c r="N2223" s="183">
        <v>21423</v>
      </c>
      <c r="O2223" s="14" t="s">
        <v>128</v>
      </c>
      <c r="P2223" s="105">
        <v>6956</v>
      </c>
      <c r="Q2223" s="23">
        <v>42142</v>
      </c>
      <c r="R2223" s="118">
        <v>6956</v>
      </c>
      <c r="S2223" s="31">
        <f t="shared" si="69"/>
        <v>0</v>
      </c>
      <c r="T2223" s="56" t="s">
        <v>1257</v>
      </c>
    </row>
    <row r="2224" spans="1:20" x14ac:dyDescent="0.25">
      <c r="A2224" s="20">
        <v>42145</v>
      </c>
      <c r="B2224" s="183">
        <v>21798</v>
      </c>
      <c r="C2224" s="15" t="s">
        <v>733</v>
      </c>
      <c r="D2224" s="122">
        <v>4420.8</v>
      </c>
      <c r="E2224" s="23">
        <v>42149</v>
      </c>
      <c r="F2224" s="118">
        <v>4420.8</v>
      </c>
      <c r="G2224" s="31">
        <f t="shared" si="68"/>
        <v>0</v>
      </c>
      <c r="H2224" s="68" t="s">
        <v>149</v>
      </c>
      <c r="I2224" s="3"/>
      <c r="J2224" s="42"/>
      <c r="K2224" s="3"/>
      <c r="M2224" s="20">
        <v>42143</v>
      </c>
      <c r="N2224" s="183">
        <v>21582</v>
      </c>
      <c r="O2224" s="14" t="s">
        <v>128</v>
      </c>
      <c r="P2224" s="105">
        <v>8716.7999999999993</v>
      </c>
      <c r="Q2224" s="23">
        <v>42143</v>
      </c>
      <c r="R2224" s="106">
        <v>8716.7999999999993</v>
      </c>
      <c r="S2224" s="31">
        <f t="shared" si="69"/>
        <v>0</v>
      </c>
      <c r="T2224" s="56" t="s">
        <v>1257</v>
      </c>
    </row>
    <row r="2225" spans="1:20" x14ac:dyDescent="0.25">
      <c r="A2225" s="20">
        <v>42145</v>
      </c>
      <c r="B2225" s="183">
        <v>21799</v>
      </c>
      <c r="C2225" s="15" t="s">
        <v>206</v>
      </c>
      <c r="D2225" s="122">
        <v>29192.87</v>
      </c>
      <c r="E2225" s="23">
        <v>42151</v>
      </c>
      <c r="F2225" s="118">
        <v>29192.87</v>
      </c>
      <c r="G2225" s="31">
        <f t="shared" si="68"/>
        <v>0</v>
      </c>
      <c r="H2225" s="68" t="s">
        <v>149</v>
      </c>
      <c r="I2225" s="3"/>
      <c r="J2225" s="42"/>
      <c r="K2225" s="3"/>
      <c r="M2225" s="20">
        <v>42144</v>
      </c>
      <c r="N2225" s="183">
        <v>21682</v>
      </c>
      <c r="O2225" s="14" t="s">
        <v>128</v>
      </c>
      <c r="P2225" s="105">
        <v>11577.6</v>
      </c>
      <c r="Q2225" s="23">
        <v>42144</v>
      </c>
      <c r="R2225" s="118">
        <v>11577.6</v>
      </c>
      <c r="S2225" s="31">
        <f t="shared" si="69"/>
        <v>0</v>
      </c>
      <c r="T2225" s="56" t="s">
        <v>1013</v>
      </c>
    </row>
    <row r="2226" spans="1:20" x14ac:dyDescent="0.25">
      <c r="A2226" s="20">
        <v>42145</v>
      </c>
      <c r="B2226" s="183">
        <v>21800</v>
      </c>
      <c r="C2226" s="15" t="s">
        <v>1275</v>
      </c>
      <c r="D2226" s="122">
        <v>1680</v>
      </c>
      <c r="E2226" s="23">
        <v>42149</v>
      </c>
      <c r="F2226" s="118">
        <v>1680</v>
      </c>
      <c r="G2226" s="31">
        <f t="shared" si="68"/>
        <v>0</v>
      </c>
      <c r="H2226" s="68" t="s">
        <v>149</v>
      </c>
      <c r="I2226" s="3"/>
      <c r="J2226" s="42"/>
      <c r="K2226" s="3"/>
      <c r="M2226" s="20">
        <v>42145</v>
      </c>
      <c r="N2226" s="183">
        <v>21770</v>
      </c>
      <c r="O2226" s="207" t="s">
        <v>128</v>
      </c>
      <c r="P2226" s="122">
        <v>10464</v>
      </c>
      <c r="Q2226" s="23">
        <v>42145</v>
      </c>
      <c r="R2226" s="118">
        <v>10464</v>
      </c>
      <c r="S2226" s="31">
        <f t="shared" si="69"/>
        <v>0</v>
      </c>
      <c r="T2226" s="68" t="s">
        <v>1257</v>
      </c>
    </row>
    <row r="2227" spans="1:20" x14ac:dyDescent="0.25">
      <c r="A2227" s="20">
        <v>42145</v>
      </c>
      <c r="B2227" s="183">
        <v>21801</v>
      </c>
      <c r="C2227" s="15" t="s">
        <v>204</v>
      </c>
      <c r="D2227" s="122">
        <v>5083.7</v>
      </c>
      <c r="E2227" s="23">
        <v>42149</v>
      </c>
      <c r="F2227" s="118">
        <v>5083.7</v>
      </c>
      <c r="G2227" s="31">
        <f t="shared" si="68"/>
        <v>0</v>
      </c>
      <c r="H2227" s="68" t="s">
        <v>149</v>
      </c>
      <c r="I2227" s="3"/>
      <c r="J2227" s="42"/>
      <c r="K2227" s="3"/>
      <c r="M2227" s="20">
        <v>42146</v>
      </c>
      <c r="N2227" s="183">
        <v>21862</v>
      </c>
      <c r="O2227" s="14" t="s">
        <v>128</v>
      </c>
      <c r="P2227" s="105">
        <v>6288</v>
      </c>
      <c r="Q2227" s="23">
        <v>42147</v>
      </c>
      <c r="R2227" s="106">
        <v>6288</v>
      </c>
      <c r="S2227" s="31">
        <f t="shared" si="69"/>
        <v>0</v>
      </c>
      <c r="T2227" s="39" t="s">
        <v>1257</v>
      </c>
    </row>
    <row r="2228" spans="1:20" x14ac:dyDescent="0.25">
      <c r="A2228" s="20">
        <v>42145</v>
      </c>
      <c r="B2228" s="183">
        <v>21802</v>
      </c>
      <c r="C2228" s="15" t="s">
        <v>262</v>
      </c>
      <c r="D2228" s="122">
        <v>37684.9</v>
      </c>
      <c r="E2228" s="212" t="s">
        <v>1448</v>
      </c>
      <c r="F2228" s="145">
        <f>22000+15684.9</f>
        <v>37684.9</v>
      </c>
      <c r="G2228" s="31">
        <f t="shared" si="68"/>
        <v>0</v>
      </c>
      <c r="H2228" s="68" t="s">
        <v>149</v>
      </c>
      <c r="I2228" s="3"/>
      <c r="J2228" s="42"/>
      <c r="K2228" s="3"/>
      <c r="M2228" s="20">
        <v>42147</v>
      </c>
      <c r="N2228" s="183">
        <v>22055</v>
      </c>
      <c r="O2228" s="14" t="s">
        <v>128</v>
      </c>
      <c r="P2228" s="105">
        <v>9721.6</v>
      </c>
      <c r="Q2228" s="65">
        <v>42149</v>
      </c>
      <c r="R2228" s="106">
        <v>9721.6</v>
      </c>
      <c r="S2228" s="31">
        <f t="shared" si="69"/>
        <v>0</v>
      </c>
      <c r="T2228" s="39" t="s">
        <v>1257</v>
      </c>
    </row>
    <row r="2229" spans="1:20" x14ac:dyDescent="0.25">
      <c r="A2229" s="20">
        <v>42145</v>
      </c>
      <c r="B2229" s="183">
        <v>21803</v>
      </c>
      <c r="C2229" s="15" t="s">
        <v>1101</v>
      </c>
      <c r="D2229" s="122">
        <v>384</v>
      </c>
      <c r="E2229" s="23">
        <v>42145</v>
      </c>
      <c r="F2229" s="118">
        <v>384</v>
      </c>
      <c r="G2229" s="31">
        <f t="shared" si="68"/>
        <v>0</v>
      </c>
      <c r="H2229" s="68" t="s">
        <v>9</v>
      </c>
      <c r="I2229" s="3"/>
      <c r="J2229" s="42"/>
      <c r="K2229" s="3"/>
      <c r="M2229" s="20">
        <v>42149</v>
      </c>
      <c r="N2229" s="183">
        <v>22176</v>
      </c>
      <c r="O2229" s="14" t="s">
        <v>128</v>
      </c>
      <c r="P2229" s="105">
        <v>6742.4</v>
      </c>
      <c r="Q2229" s="65">
        <v>42149</v>
      </c>
      <c r="R2229" s="106">
        <v>6742.4</v>
      </c>
      <c r="S2229" s="31">
        <f t="shared" si="69"/>
        <v>0</v>
      </c>
      <c r="T2229" s="39" t="s">
        <v>1257</v>
      </c>
    </row>
    <row r="2230" spans="1:20" x14ac:dyDescent="0.25">
      <c r="A2230" s="20">
        <v>42145</v>
      </c>
      <c r="B2230" s="183">
        <v>21804</v>
      </c>
      <c r="C2230" s="15" t="s">
        <v>574</v>
      </c>
      <c r="D2230" s="122">
        <v>22336.6</v>
      </c>
      <c r="E2230" s="23">
        <v>42149</v>
      </c>
      <c r="F2230" s="118">
        <v>22336.6</v>
      </c>
      <c r="G2230" s="31">
        <f t="shared" si="68"/>
        <v>0</v>
      </c>
      <c r="H2230" s="68" t="s">
        <v>9</v>
      </c>
      <c r="I2230" s="3"/>
      <c r="J2230" s="42"/>
      <c r="K2230" s="3"/>
      <c r="M2230" s="20">
        <v>42150</v>
      </c>
      <c r="N2230" s="183">
        <v>22293</v>
      </c>
      <c r="O2230" s="14" t="s">
        <v>128</v>
      </c>
      <c r="P2230" s="105">
        <v>5253</v>
      </c>
      <c r="Q2230" s="65">
        <v>42151</v>
      </c>
      <c r="R2230" s="106">
        <v>5253</v>
      </c>
      <c r="S2230" s="31">
        <f t="shared" si="69"/>
        <v>0</v>
      </c>
      <c r="T2230" s="39" t="s">
        <v>9</v>
      </c>
    </row>
    <row r="2231" spans="1:20" x14ac:dyDescent="0.25">
      <c r="A2231" s="20">
        <v>42145</v>
      </c>
      <c r="B2231" s="183">
        <v>21805</v>
      </c>
      <c r="C2231" s="15" t="s">
        <v>215</v>
      </c>
      <c r="D2231" s="122">
        <v>22881.3</v>
      </c>
      <c r="E2231" s="23">
        <v>42145</v>
      </c>
      <c r="F2231" s="118">
        <v>22881.3</v>
      </c>
      <c r="G2231" s="31">
        <f t="shared" si="68"/>
        <v>0</v>
      </c>
      <c r="H2231" s="68" t="s">
        <v>9</v>
      </c>
      <c r="I2231" s="3"/>
      <c r="J2231" s="42"/>
      <c r="K2231" s="3"/>
      <c r="M2231" s="20">
        <v>42151</v>
      </c>
      <c r="N2231" s="183">
        <v>22358</v>
      </c>
      <c r="O2231" s="14" t="s">
        <v>128</v>
      </c>
      <c r="P2231" s="105">
        <v>6470</v>
      </c>
      <c r="Q2231" s="65">
        <v>42151</v>
      </c>
      <c r="R2231" s="106">
        <v>6470</v>
      </c>
      <c r="S2231" s="31">
        <f t="shared" si="69"/>
        <v>0</v>
      </c>
      <c r="T2231" s="39" t="s">
        <v>9</v>
      </c>
    </row>
    <row r="2232" spans="1:20" x14ac:dyDescent="0.25">
      <c r="A2232" s="20">
        <v>42145</v>
      </c>
      <c r="B2232" s="183">
        <v>21806</v>
      </c>
      <c r="C2232" s="15" t="s">
        <v>574</v>
      </c>
      <c r="D2232" s="122">
        <v>26717.200000000001</v>
      </c>
      <c r="E2232" s="23">
        <v>42149</v>
      </c>
      <c r="F2232" s="118">
        <v>26717.200000000001</v>
      </c>
      <c r="G2232" s="31">
        <f t="shared" si="68"/>
        <v>0</v>
      </c>
      <c r="H2232" s="68" t="s">
        <v>149</v>
      </c>
      <c r="I2232" s="3"/>
      <c r="J2232" s="42"/>
      <c r="K2232" s="3"/>
      <c r="M2232" s="20">
        <v>42153</v>
      </c>
      <c r="N2232" s="183">
        <v>22573</v>
      </c>
      <c r="O2232" s="14" t="s">
        <v>128</v>
      </c>
      <c r="P2232" s="105">
        <v>8050</v>
      </c>
      <c r="Q2232" s="23">
        <v>42153</v>
      </c>
      <c r="R2232" s="106">
        <v>8050</v>
      </c>
      <c r="S2232" s="31">
        <f t="shared" si="69"/>
        <v>0</v>
      </c>
      <c r="T2232" s="39" t="s">
        <v>1257</v>
      </c>
    </row>
    <row r="2233" spans="1:20" x14ac:dyDescent="0.25">
      <c r="A2233" s="20">
        <v>42145</v>
      </c>
      <c r="B2233" s="183">
        <v>21807</v>
      </c>
      <c r="C2233" s="15" t="s">
        <v>205</v>
      </c>
      <c r="D2233" s="122">
        <v>6740.2</v>
      </c>
      <c r="E2233" s="30">
        <v>42158</v>
      </c>
      <c r="F2233" s="145">
        <v>6740.2</v>
      </c>
      <c r="G2233" s="31">
        <f t="shared" si="68"/>
        <v>0</v>
      </c>
      <c r="H2233" s="68" t="s">
        <v>149</v>
      </c>
      <c r="I2233" s="3"/>
      <c r="J2233" s="42"/>
      <c r="K2233" s="3"/>
      <c r="M2233" s="20">
        <v>42154</v>
      </c>
      <c r="N2233" s="183">
        <v>22738</v>
      </c>
      <c r="O2233" s="14" t="s">
        <v>128</v>
      </c>
      <c r="P2233" s="105">
        <v>7770</v>
      </c>
      <c r="Q2233" s="23"/>
      <c r="R2233" s="106"/>
      <c r="S2233" s="31">
        <f t="shared" si="69"/>
        <v>7770</v>
      </c>
      <c r="T2233" s="39" t="s">
        <v>9</v>
      </c>
    </row>
    <row r="2234" spans="1:20" x14ac:dyDescent="0.25">
      <c r="A2234" s="20">
        <v>42145</v>
      </c>
      <c r="B2234" s="183">
        <v>21808</v>
      </c>
      <c r="C2234" s="15" t="s">
        <v>1384</v>
      </c>
      <c r="D2234" s="122">
        <v>41131.43</v>
      </c>
      <c r="E2234" s="23">
        <v>42151</v>
      </c>
      <c r="F2234" s="118">
        <v>41131.43</v>
      </c>
      <c r="G2234" s="31">
        <f t="shared" si="68"/>
        <v>0</v>
      </c>
      <c r="H2234" s="68" t="s">
        <v>149</v>
      </c>
      <c r="I2234" s="3"/>
      <c r="J2234" s="42"/>
      <c r="K2234" s="3"/>
      <c r="M2234" s="20">
        <v>42127</v>
      </c>
      <c r="N2234" s="183">
        <v>19814</v>
      </c>
      <c r="O2234" s="40" t="s">
        <v>74</v>
      </c>
      <c r="P2234" s="105">
        <v>1403</v>
      </c>
      <c r="Q2234" s="23">
        <v>42127</v>
      </c>
      <c r="R2234" s="106">
        <v>1403</v>
      </c>
      <c r="S2234" s="31">
        <f t="shared" si="69"/>
        <v>0</v>
      </c>
      <c r="T2234" s="41" t="s">
        <v>9</v>
      </c>
    </row>
    <row r="2235" spans="1:20" x14ac:dyDescent="0.25">
      <c r="A2235" s="20">
        <v>42145</v>
      </c>
      <c r="B2235" s="183">
        <v>21809</v>
      </c>
      <c r="C2235" s="15" t="s">
        <v>198</v>
      </c>
      <c r="D2235" s="122">
        <v>10582</v>
      </c>
      <c r="E2235" s="23">
        <v>42149</v>
      </c>
      <c r="F2235" s="118">
        <v>10582</v>
      </c>
      <c r="G2235" s="31">
        <f t="shared" si="68"/>
        <v>0</v>
      </c>
      <c r="H2235" s="68" t="s">
        <v>149</v>
      </c>
      <c r="I2235" s="3"/>
      <c r="J2235" s="42"/>
      <c r="K2235" s="3"/>
      <c r="M2235" s="20">
        <v>42131</v>
      </c>
      <c r="N2235" s="183">
        <v>20276</v>
      </c>
      <c r="O2235" s="14" t="s">
        <v>74</v>
      </c>
      <c r="P2235" s="105">
        <v>1338.6</v>
      </c>
      <c r="Q2235" s="23">
        <v>42131</v>
      </c>
      <c r="R2235" s="106">
        <v>1338.6</v>
      </c>
      <c r="S2235" s="31">
        <f t="shared" si="69"/>
        <v>0</v>
      </c>
      <c r="T2235" s="19" t="s">
        <v>9</v>
      </c>
    </row>
    <row r="2236" spans="1:20" x14ac:dyDescent="0.25">
      <c r="A2236" s="20">
        <v>42145</v>
      </c>
      <c r="B2236" s="183">
        <v>21810</v>
      </c>
      <c r="C2236" s="15" t="s">
        <v>353</v>
      </c>
      <c r="D2236" s="122">
        <v>1207.2</v>
      </c>
      <c r="E2236" s="23">
        <v>42145</v>
      </c>
      <c r="F2236" s="118">
        <v>1207.2</v>
      </c>
      <c r="G2236" s="31">
        <f t="shared" si="68"/>
        <v>0</v>
      </c>
      <c r="H2236" s="68" t="s">
        <v>9</v>
      </c>
      <c r="I2236" s="3"/>
      <c r="J2236" s="42"/>
      <c r="K2236" s="3"/>
      <c r="M2236" s="20">
        <v>42140</v>
      </c>
      <c r="N2236" s="183">
        <v>21314</v>
      </c>
      <c r="O2236" s="14" t="s">
        <v>74</v>
      </c>
      <c r="P2236" s="105">
        <v>699.2</v>
      </c>
      <c r="Q2236" s="23">
        <v>42140</v>
      </c>
      <c r="R2236" s="118">
        <v>699.2</v>
      </c>
      <c r="S2236" s="31">
        <f t="shared" si="69"/>
        <v>0</v>
      </c>
      <c r="T2236" s="62" t="s">
        <v>9</v>
      </c>
    </row>
    <row r="2237" spans="1:20" x14ac:dyDescent="0.25">
      <c r="A2237" s="20">
        <v>42145</v>
      </c>
      <c r="B2237" s="183">
        <v>21811</v>
      </c>
      <c r="C2237" s="15" t="s">
        <v>265</v>
      </c>
      <c r="D2237" s="122">
        <v>4452</v>
      </c>
      <c r="E2237" s="23">
        <v>42145</v>
      </c>
      <c r="F2237" s="118">
        <v>4452</v>
      </c>
      <c r="G2237" s="31">
        <f t="shared" si="68"/>
        <v>0</v>
      </c>
      <c r="H2237" s="68" t="s">
        <v>9</v>
      </c>
      <c r="I2237" s="3"/>
      <c r="J2237" s="42"/>
      <c r="K2237" s="3"/>
      <c r="M2237" s="20">
        <v>42125</v>
      </c>
      <c r="N2237" s="183">
        <v>19639</v>
      </c>
      <c r="O2237" s="14" t="s">
        <v>25</v>
      </c>
      <c r="P2237" s="105">
        <v>2820</v>
      </c>
      <c r="Q2237" s="23">
        <v>42125</v>
      </c>
      <c r="R2237" s="106">
        <v>2820</v>
      </c>
      <c r="S2237" s="25">
        <f t="shared" si="69"/>
        <v>0</v>
      </c>
      <c r="T2237" s="19" t="s">
        <v>9</v>
      </c>
    </row>
    <row r="2238" spans="1:20" x14ac:dyDescent="0.25">
      <c r="A2238" s="20">
        <v>42145</v>
      </c>
      <c r="B2238" s="183">
        <v>21812</v>
      </c>
      <c r="C2238" s="15" t="s">
        <v>1020</v>
      </c>
      <c r="D2238" s="122">
        <v>3015.48</v>
      </c>
      <c r="E2238" s="23">
        <v>42145</v>
      </c>
      <c r="F2238" s="118">
        <v>3015.48</v>
      </c>
      <c r="G2238" s="31">
        <f t="shared" si="68"/>
        <v>0</v>
      </c>
      <c r="H2238" s="68" t="s">
        <v>9</v>
      </c>
      <c r="I2238" s="3"/>
      <c r="J2238" s="42"/>
      <c r="K2238" s="3"/>
      <c r="M2238" s="20">
        <v>42132</v>
      </c>
      <c r="N2238" s="183">
        <v>20342</v>
      </c>
      <c r="O2238" s="14" t="s">
        <v>25</v>
      </c>
      <c r="P2238" s="105">
        <v>667</v>
      </c>
      <c r="Q2238" s="23">
        <v>42132</v>
      </c>
      <c r="R2238" s="106">
        <v>667</v>
      </c>
      <c r="S2238" s="31">
        <f t="shared" si="69"/>
        <v>0</v>
      </c>
      <c r="T2238" s="19" t="s">
        <v>9</v>
      </c>
    </row>
    <row r="2239" spans="1:20" x14ac:dyDescent="0.25">
      <c r="A2239" s="20">
        <v>42145</v>
      </c>
      <c r="B2239" s="183">
        <v>21813</v>
      </c>
      <c r="C2239" s="15" t="s">
        <v>406</v>
      </c>
      <c r="D2239" s="122">
        <v>17685.23</v>
      </c>
      <c r="E2239" s="23">
        <v>42147</v>
      </c>
      <c r="F2239" s="118">
        <v>17685.23</v>
      </c>
      <c r="G2239" s="31">
        <f t="shared" si="68"/>
        <v>0</v>
      </c>
      <c r="H2239" s="68" t="s">
        <v>1257</v>
      </c>
      <c r="I2239" s="3"/>
      <c r="J2239" s="42"/>
      <c r="K2239" s="3"/>
      <c r="M2239" s="20">
        <v>42135</v>
      </c>
      <c r="N2239" s="183">
        <v>20704</v>
      </c>
      <c r="O2239" s="14" t="s">
        <v>25</v>
      </c>
      <c r="P2239" s="105">
        <v>809.6</v>
      </c>
      <c r="Q2239" s="23">
        <v>42135</v>
      </c>
      <c r="R2239" s="106">
        <v>809.6</v>
      </c>
      <c r="S2239" s="31">
        <f t="shared" si="69"/>
        <v>0</v>
      </c>
      <c r="T2239" s="39" t="s">
        <v>9</v>
      </c>
    </row>
    <row r="2240" spans="1:20" x14ac:dyDescent="0.25">
      <c r="A2240" s="20">
        <v>42145</v>
      </c>
      <c r="B2240" s="183">
        <v>21814</v>
      </c>
      <c r="C2240" s="15" t="s">
        <v>32</v>
      </c>
      <c r="D2240" s="122">
        <v>5004</v>
      </c>
      <c r="E2240" s="30">
        <v>42171</v>
      </c>
      <c r="F2240" s="145">
        <v>5004</v>
      </c>
      <c r="G2240" s="31">
        <f t="shared" si="68"/>
        <v>0</v>
      </c>
      <c r="H2240" s="68" t="s">
        <v>9</v>
      </c>
      <c r="I2240" s="3"/>
      <c r="J2240" s="42"/>
      <c r="K2240" s="3"/>
      <c r="M2240" s="20">
        <v>42139</v>
      </c>
      <c r="N2240" s="183">
        <v>21139</v>
      </c>
      <c r="O2240" s="14" t="s">
        <v>25</v>
      </c>
      <c r="P2240" s="105">
        <v>891</v>
      </c>
      <c r="Q2240" s="23">
        <v>42139</v>
      </c>
      <c r="R2240" s="106">
        <v>891</v>
      </c>
      <c r="S2240" s="48">
        <f t="shared" si="69"/>
        <v>0</v>
      </c>
      <c r="T2240" s="39" t="s">
        <v>9</v>
      </c>
    </row>
    <row r="2241" spans="1:20" x14ac:dyDescent="0.25">
      <c r="A2241" s="20">
        <v>42145</v>
      </c>
      <c r="B2241" s="183">
        <v>21815</v>
      </c>
      <c r="C2241" s="15" t="s">
        <v>158</v>
      </c>
      <c r="D2241" s="122">
        <v>2513.1999999999998</v>
      </c>
      <c r="E2241" s="23">
        <v>42145</v>
      </c>
      <c r="F2241" s="118">
        <v>2513.1999999999998</v>
      </c>
      <c r="G2241" s="31">
        <f t="shared" si="68"/>
        <v>0</v>
      </c>
      <c r="H2241" s="68" t="s">
        <v>9</v>
      </c>
      <c r="I2241" s="3"/>
      <c r="J2241" s="42"/>
      <c r="K2241" s="3"/>
      <c r="M2241" s="20">
        <v>42141</v>
      </c>
      <c r="N2241" s="183">
        <v>21370</v>
      </c>
      <c r="O2241" s="14" t="s">
        <v>25</v>
      </c>
      <c r="P2241" s="105">
        <v>1118.8</v>
      </c>
      <c r="Q2241" s="23">
        <v>42141</v>
      </c>
      <c r="R2241" s="118">
        <v>1118.8</v>
      </c>
      <c r="S2241" s="31">
        <f t="shared" si="69"/>
        <v>0</v>
      </c>
      <c r="T2241" s="56" t="s">
        <v>9</v>
      </c>
    </row>
    <row r="2242" spans="1:20" x14ac:dyDescent="0.25">
      <c r="A2242" s="20">
        <v>42145</v>
      </c>
      <c r="B2242" s="183">
        <v>21816</v>
      </c>
      <c r="C2242" s="15" t="s">
        <v>1287</v>
      </c>
      <c r="D2242" s="122">
        <v>7038</v>
      </c>
      <c r="E2242" s="23">
        <v>42153</v>
      </c>
      <c r="F2242" s="118">
        <v>7038</v>
      </c>
      <c r="G2242" s="31">
        <f t="shared" si="68"/>
        <v>0</v>
      </c>
      <c r="H2242" s="68" t="s">
        <v>9</v>
      </c>
      <c r="I2242" s="3"/>
      <c r="J2242" s="42"/>
      <c r="K2242" s="3"/>
      <c r="M2242" s="20">
        <v>42146</v>
      </c>
      <c r="N2242" s="183">
        <v>21845</v>
      </c>
      <c r="O2242" s="14" t="s">
        <v>25</v>
      </c>
      <c r="P2242" s="105">
        <v>1521.4</v>
      </c>
      <c r="Q2242" s="23">
        <v>42146</v>
      </c>
      <c r="R2242" s="106">
        <v>1521.4</v>
      </c>
      <c r="S2242" s="31">
        <f t="shared" si="69"/>
        <v>0</v>
      </c>
      <c r="T2242" s="39" t="s">
        <v>9</v>
      </c>
    </row>
    <row r="2243" spans="1:20" x14ac:dyDescent="0.25">
      <c r="A2243" s="20">
        <v>42145</v>
      </c>
      <c r="B2243" s="183">
        <v>21817</v>
      </c>
      <c r="C2243" s="15" t="s">
        <v>1288</v>
      </c>
      <c r="D2243" s="122">
        <v>20215.099999999999</v>
      </c>
      <c r="E2243" s="23">
        <v>42153</v>
      </c>
      <c r="F2243" s="118">
        <v>20215.099999999999</v>
      </c>
      <c r="G2243" s="31">
        <f t="shared" ref="G2243:G2306" si="70">D2243-F2243</f>
        <v>0</v>
      </c>
      <c r="H2243" s="68" t="s">
        <v>9</v>
      </c>
      <c r="I2243" s="3"/>
      <c r="J2243" s="42"/>
      <c r="K2243" s="3"/>
      <c r="M2243" s="20">
        <v>42152</v>
      </c>
      <c r="N2243" s="183">
        <v>22481</v>
      </c>
      <c r="O2243" s="14" t="s">
        <v>25</v>
      </c>
      <c r="P2243" s="105">
        <v>294</v>
      </c>
      <c r="Q2243" s="23">
        <v>42152</v>
      </c>
      <c r="R2243" s="106">
        <v>294</v>
      </c>
      <c r="S2243" s="31">
        <f t="shared" ref="S2243:S2306" si="71">P2243-R2243</f>
        <v>0</v>
      </c>
      <c r="T2243" s="39" t="s">
        <v>9</v>
      </c>
    </row>
    <row r="2244" spans="1:20" x14ac:dyDescent="0.25">
      <c r="A2244" s="20">
        <v>42145</v>
      </c>
      <c r="B2244" s="183">
        <v>21818</v>
      </c>
      <c r="C2244" s="15" t="s">
        <v>196</v>
      </c>
      <c r="D2244" s="122">
        <v>10322.92</v>
      </c>
      <c r="E2244" s="23">
        <v>42149</v>
      </c>
      <c r="F2244" s="118">
        <v>10322.92</v>
      </c>
      <c r="G2244" s="31">
        <f t="shared" si="70"/>
        <v>0</v>
      </c>
      <c r="H2244" s="68" t="s">
        <v>149</v>
      </c>
      <c r="I2244" s="3"/>
      <c r="J2244" s="42"/>
      <c r="K2244" s="3"/>
      <c r="M2244" s="20">
        <v>42152</v>
      </c>
      <c r="N2244" s="183">
        <v>22516</v>
      </c>
      <c r="O2244" s="14" t="s">
        <v>25</v>
      </c>
      <c r="P2244" s="105">
        <v>1008</v>
      </c>
      <c r="Q2244" s="23">
        <v>42152</v>
      </c>
      <c r="R2244" s="106">
        <v>1008</v>
      </c>
      <c r="S2244" s="31">
        <f t="shared" si="71"/>
        <v>0</v>
      </c>
      <c r="T2244" s="39" t="s">
        <v>9</v>
      </c>
    </row>
    <row r="2245" spans="1:20" x14ac:dyDescent="0.25">
      <c r="A2245" s="20">
        <v>42145</v>
      </c>
      <c r="B2245" s="183">
        <v>21819</v>
      </c>
      <c r="C2245" s="15" t="s">
        <v>1288</v>
      </c>
      <c r="D2245" s="122">
        <v>14650.6</v>
      </c>
      <c r="E2245" s="23">
        <v>42153</v>
      </c>
      <c r="F2245" s="118">
        <v>14650.6</v>
      </c>
      <c r="G2245" s="31">
        <f t="shared" si="70"/>
        <v>0</v>
      </c>
      <c r="H2245" s="68" t="s">
        <v>9</v>
      </c>
      <c r="I2245" s="3"/>
      <c r="J2245" s="42"/>
      <c r="K2245" s="3"/>
      <c r="M2245" s="20">
        <v>42155</v>
      </c>
      <c r="N2245" s="183">
        <v>22828</v>
      </c>
      <c r="O2245" s="14" t="s">
        <v>25</v>
      </c>
      <c r="P2245" s="105">
        <v>104</v>
      </c>
      <c r="Q2245" s="23">
        <v>42155</v>
      </c>
      <c r="R2245" s="106">
        <v>104</v>
      </c>
      <c r="S2245" s="31">
        <f t="shared" si="71"/>
        <v>0</v>
      </c>
      <c r="T2245" s="39" t="s">
        <v>9</v>
      </c>
    </row>
    <row r="2246" spans="1:20" x14ac:dyDescent="0.25">
      <c r="A2246" s="20">
        <v>42145</v>
      </c>
      <c r="B2246" s="183">
        <v>21820</v>
      </c>
      <c r="C2246" s="15" t="s">
        <v>102</v>
      </c>
      <c r="D2246" s="122">
        <v>2479.1999999999998</v>
      </c>
      <c r="E2246" s="23">
        <v>42145</v>
      </c>
      <c r="F2246" s="118">
        <v>2479.1999999999998</v>
      </c>
      <c r="G2246" s="31">
        <f t="shared" si="70"/>
        <v>0</v>
      </c>
      <c r="H2246" s="68" t="s">
        <v>9</v>
      </c>
      <c r="I2246" s="3"/>
      <c r="J2246" s="42"/>
      <c r="K2246" s="3"/>
      <c r="M2246" s="20">
        <v>42133</v>
      </c>
      <c r="N2246" s="183">
        <v>20547</v>
      </c>
      <c r="O2246" s="14" t="s">
        <v>1357</v>
      </c>
      <c r="P2246" s="105">
        <v>3944.4</v>
      </c>
      <c r="Q2246" s="23">
        <v>42135</v>
      </c>
      <c r="R2246" s="106">
        <v>3944.4</v>
      </c>
      <c r="S2246" s="31">
        <f t="shared" si="71"/>
        <v>0</v>
      </c>
      <c r="T2246" s="19" t="s">
        <v>94</v>
      </c>
    </row>
    <row r="2247" spans="1:20" x14ac:dyDescent="0.25">
      <c r="A2247" s="20">
        <v>42145</v>
      </c>
      <c r="B2247" s="183">
        <v>21821</v>
      </c>
      <c r="C2247" s="15" t="s">
        <v>1103</v>
      </c>
      <c r="D2247" s="122">
        <v>23674.6</v>
      </c>
      <c r="E2247" s="23">
        <v>42149</v>
      </c>
      <c r="F2247" s="118">
        <v>23674.6</v>
      </c>
      <c r="G2247" s="31">
        <f t="shared" si="70"/>
        <v>0</v>
      </c>
      <c r="H2247" s="68" t="s">
        <v>149</v>
      </c>
      <c r="I2247" s="3"/>
      <c r="J2247" s="42"/>
      <c r="K2247" s="3"/>
      <c r="M2247" s="20">
        <v>42146</v>
      </c>
      <c r="N2247" s="183">
        <v>21936</v>
      </c>
      <c r="O2247" s="14" t="s">
        <v>1357</v>
      </c>
      <c r="P2247" s="105">
        <v>3993.6</v>
      </c>
      <c r="Q2247" s="23">
        <v>42147</v>
      </c>
      <c r="R2247" s="106">
        <v>3993.6</v>
      </c>
      <c r="S2247" s="31">
        <f t="shared" si="71"/>
        <v>0</v>
      </c>
      <c r="T2247" s="39" t="s">
        <v>9</v>
      </c>
    </row>
    <row r="2248" spans="1:20" x14ac:dyDescent="0.25">
      <c r="A2248" s="20">
        <v>42145</v>
      </c>
      <c r="B2248" s="183">
        <v>21822</v>
      </c>
      <c r="C2248" s="15" t="s">
        <v>1275</v>
      </c>
      <c r="D2248" s="122">
        <v>15423</v>
      </c>
      <c r="E2248" s="23">
        <v>42149</v>
      </c>
      <c r="F2248" s="118">
        <v>15423</v>
      </c>
      <c r="G2248" s="31">
        <f t="shared" si="70"/>
        <v>0</v>
      </c>
      <c r="H2248" s="68" t="s">
        <v>149</v>
      </c>
      <c r="I2248" s="3"/>
      <c r="J2248" s="42"/>
      <c r="K2248" s="3"/>
      <c r="M2248" s="20">
        <v>42127</v>
      </c>
      <c r="N2248" s="183">
        <v>19883</v>
      </c>
      <c r="O2248" s="14" t="s">
        <v>834</v>
      </c>
      <c r="P2248" s="105">
        <v>6399.3</v>
      </c>
      <c r="Q2248" s="23">
        <v>42127</v>
      </c>
      <c r="R2248" s="106">
        <v>6399.3</v>
      </c>
      <c r="S2248" s="31">
        <f t="shared" si="71"/>
        <v>0</v>
      </c>
      <c r="T2248" s="19" t="s">
        <v>9</v>
      </c>
    </row>
    <row r="2249" spans="1:20" x14ac:dyDescent="0.25">
      <c r="A2249" s="20">
        <v>42145</v>
      </c>
      <c r="B2249" s="183">
        <v>21823</v>
      </c>
      <c r="C2249" s="15" t="s">
        <v>203</v>
      </c>
      <c r="D2249" s="122">
        <v>3805</v>
      </c>
      <c r="E2249" s="23">
        <v>42154</v>
      </c>
      <c r="F2249" s="118">
        <v>3805</v>
      </c>
      <c r="G2249" s="31">
        <f t="shared" si="70"/>
        <v>0</v>
      </c>
      <c r="H2249" s="68" t="s">
        <v>149</v>
      </c>
      <c r="I2249" s="3"/>
      <c r="J2249" s="42"/>
      <c r="K2249" s="3"/>
      <c r="M2249" s="20">
        <v>42128</v>
      </c>
      <c r="N2249" s="183">
        <v>20003</v>
      </c>
      <c r="O2249" s="14" t="s">
        <v>834</v>
      </c>
      <c r="P2249" s="105">
        <v>3864.6</v>
      </c>
      <c r="Q2249" s="23">
        <v>42128</v>
      </c>
      <c r="R2249" s="106">
        <v>3864.6</v>
      </c>
      <c r="S2249" s="31">
        <f t="shared" si="71"/>
        <v>0</v>
      </c>
      <c r="T2249" s="19" t="s">
        <v>9</v>
      </c>
    </row>
    <row r="2250" spans="1:20" x14ac:dyDescent="0.25">
      <c r="A2250" s="20">
        <v>42145</v>
      </c>
      <c r="B2250" s="183">
        <v>21824</v>
      </c>
      <c r="C2250" s="15" t="s">
        <v>420</v>
      </c>
      <c r="D2250" s="122">
        <v>9668.4</v>
      </c>
      <c r="E2250" s="23">
        <v>42149</v>
      </c>
      <c r="F2250" s="118">
        <v>9668.4</v>
      </c>
      <c r="G2250" s="31">
        <f t="shared" si="70"/>
        <v>0</v>
      </c>
      <c r="H2250" s="68" t="s">
        <v>149</v>
      </c>
      <c r="I2250" s="3"/>
      <c r="J2250" s="42"/>
      <c r="K2250" s="3"/>
      <c r="M2250" s="20">
        <v>42150</v>
      </c>
      <c r="N2250" s="183">
        <v>22266</v>
      </c>
      <c r="O2250" s="14" t="s">
        <v>1435</v>
      </c>
      <c r="P2250" s="105">
        <v>4677</v>
      </c>
      <c r="Q2250" s="65">
        <v>42150</v>
      </c>
      <c r="R2250" s="106">
        <v>4677</v>
      </c>
      <c r="S2250" s="31">
        <f t="shared" si="71"/>
        <v>0</v>
      </c>
      <c r="T2250" s="39" t="s">
        <v>9</v>
      </c>
    </row>
    <row r="2251" spans="1:20" x14ac:dyDescent="0.25">
      <c r="A2251" s="20">
        <v>42145</v>
      </c>
      <c r="B2251" s="183">
        <v>21825</v>
      </c>
      <c r="C2251" s="15" t="s">
        <v>350</v>
      </c>
      <c r="D2251" s="122">
        <v>2607</v>
      </c>
      <c r="E2251" s="23">
        <v>42149</v>
      </c>
      <c r="F2251" s="118">
        <v>2607</v>
      </c>
      <c r="G2251" s="31">
        <f t="shared" si="70"/>
        <v>0</v>
      </c>
      <c r="H2251" s="68" t="s">
        <v>149</v>
      </c>
      <c r="I2251" s="3"/>
      <c r="J2251" s="42"/>
      <c r="K2251" s="3"/>
      <c r="M2251" s="20">
        <v>42141</v>
      </c>
      <c r="N2251" s="183">
        <v>21322</v>
      </c>
      <c r="O2251" s="14" t="s">
        <v>1406</v>
      </c>
      <c r="P2251" s="105">
        <v>1801.4</v>
      </c>
      <c r="Q2251" s="23">
        <v>42141</v>
      </c>
      <c r="R2251" s="118">
        <v>1801.4</v>
      </c>
      <c r="S2251" s="31">
        <f t="shared" si="71"/>
        <v>0</v>
      </c>
      <c r="T2251" s="62" t="s">
        <v>9</v>
      </c>
    </row>
    <row r="2252" spans="1:20" x14ac:dyDescent="0.25">
      <c r="A2252" s="20">
        <v>42145</v>
      </c>
      <c r="B2252" s="183">
        <v>21826</v>
      </c>
      <c r="C2252" s="15" t="s">
        <v>68</v>
      </c>
      <c r="D2252" s="122">
        <v>1858.9</v>
      </c>
      <c r="E2252" s="23">
        <v>42149</v>
      </c>
      <c r="F2252" s="118">
        <v>1858.9</v>
      </c>
      <c r="G2252" s="31">
        <f t="shared" si="70"/>
        <v>0</v>
      </c>
      <c r="H2252" s="68" t="s">
        <v>149</v>
      </c>
      <c r="I2252" s="3"/>
      <c r="J2252" s="42"/>
      <c r="K2252" s="3"/>
      <c r="M2252" s="20">
        <v>42141</v>
      </c>
      <c r="N2252" s="183">
        <v>21361</v>
      </c>
      <c r="O2252" s="14" t="s">
        <v>1406</v>
      </c>
      <c r="P2252" s="105">
        <v>4296.5</v>
      </c>
      <c r="Q2252" s="23">
        <v>42141</v>
      </c>
      <c r="R2252" s="118">
        <v>4296.5</v>
      </c>
      <c r="S2252" s="31">
        <f t="shared" si="71"/>
        <v>0</v>
      </c>
      <c r="T2252" s="56" t="s">
        <v>9</v>
      </c>
    </row>
    <row r="2253" spans="1:20" x14ac:dyDescent="0.25">
      <c r="A2253" s="20">
        <v>42145</v>
      </c>
      <c r="B2253" s="183">
        <v>21827</v>
      </c>
      <c r="C2253" s="15" t="s">
        <v>24</v>
      </c>
      <c r="D2253" s="122">
        <v>6000</v>
      </c>
      <c r="E2253" s="30">
        <v>42165</v>
      </c>
      <c r="F2253" s="145">
        <v>6000</v>
      </c>
      <c r="G2253" s="31">
        <f t="shared" si="70"/>
        <v>0</v>
      </c>
      <c r="H2253" s="68" t="s">
        <v>9</v>
      </c>
      <c r="I2253" s="3"/>
      <c r="J2253" s="42"/>
      <c r="K2253" s="3"/>
      <c r="M2253" s="20">
        <v>42142</v>
      </c>
      <c r="N2253" s="183">
        <v>21487</v>
      </c>
      <c r="O2253" s="14" t="s">
        <v>1406</v>
      </c>
      <c r="P2253" s="105">
        <v>626.05999999999995</v>
      </c>
      <c r="Q2253" s="65">
        <v>42143</v>
      </c>
      <c r="R2253" s="106">
        <v>626.05999999999995</v>
      </c>
      <c r="S2253" s="31">
        <f t="shared" si="71"/>
        <v>0</v>
      </c>
      <c r="T2253" s="19" t="s">
        <v>1273</v>
      </c>
    </row>
    <row r="2254" spans="1:20" x14ac:dyDescent="0.25">
      <c r="A2254" s="20">
        <v>42145</v>
      </c>
      <c r="B2254" s="183">
        <v>21828</v>
      </c>
      <c r="C2254" s="15" t="s">
        <v>732</v>
      </c>
      <c r="D2254" s="122">
        <v>30028.2</v>
      </c>
      <c r="E2254" s="23">
        <v>42149</v>
      </c>
      <c r="F2254" s="118">
        <v>30028.2</v>
      </c>
      <c r="G2254" s="31">
        <f t="shared" si="70"/>
        <v>0</v>
      </c>
      <c r="H2254" s="68" t="s">
        <v>149</v>
      </c>
      <c r="I2254" s="3"/>
      <c r="J2254" s="42"/>
      <c r="K2254" s="3"/>
      <c r="M2254" s="20">
        <v>42145</v>
      </c>
      <c r="N2254" s="183">
        <v>21741</v>
      </c>
      <c r="O2254" s="15" t="s">
        <v>1406</v>
      </c>
      <c r="P2254" s="122">
        <v>6153.63</v>
      </c>
      <c r="Q2254" s="23">
        <v>42145</v>
      </c>
      <c r="R2254" s="118">
        <v>6153.63</v>
      </c>
      <c r="S2254" s="31">
        <f t="shared" si="71"/>
        <v>0</v>
      </c>
      <c r="T2254" s="68" t="s">
        <v>9</v>
      </c>
    </row>
    <row r="2255" spans="1:20" x14ac:dyDescent="0.25">
      <c r="A2255" s="20">
        <v>42145</v>
      </c>
      <c r="B2255" s="183">
        <v>21829</v>
      </c>
      <c r="C2255" s="15" t="s">
        <v>195</v>
      </c>
      <c r="D2255" s="122">
        <v>135955.53</v>
      </c>
      <c r="E2255" s="23">
        <v>42149</v>
      </c>
      <c r="F2255" s="118">
        <v>135955.53</v>
      </c>
      <c r="G2255" s="31">
        <f t="shared" si="70"/>
        <v>0</v>
      </c>
      <c r="H2255" s="68" t="s">
        <v>149</v>
      </c>
      <c r="I2255" s="3"/>
      <c r="J2255" s="42"/>
      <c r="K2255" s="3"/>
      <c r="M2255" s="20">
        <v>42145</v>
      </c>
      <c r="N2255" s="183">
        <v>21753</v>
      </c>
      <c r="O2255" s="15" t="s">
        <v>1406</v>
      </c>
      <c r="P2255" s="122">
        <v>3957.4</v>
      </c>
      <c r="Q2255" s="23">
        <v>42145</v>
      </c>
      <c r="R2255" s="118">
        <v>3957.4</v>
      </c>
      <c r="S2255" s="31">
        <f t="shared" si="71"/>
        <v>0</v>
      </c>
      <c r="T2255" s="68" t="s">
        <v>9</v>
      </c>
    </row>
    <row r="2256" spans="1:20" x14ac:dyDescent="0.25">
      <c r="A2256" s="20">
        <v>42145</v>
      </c>
      <c r="B2256" s="183">
        <v>21830</v>
      </c>
      <c r="C2256" s="15" t="s">
        <v>851</v>
      </c>
      <c r="D2256" s="122">
        <v>1209.5999999999999</v>
      </c>
      <c r="E2256" s="23">
        <v>42146</v>
      </c>
      <c r="F2256" s="118">
        <v>1209.5999999999999</v>
      </c>
      <c r="G2256" s="31">
        <f t="shared" si="70"/>
        <v>0</v>
      </c>
      <c r="H2256" s="68" t="s">
        <v>59</v>
      </c>
      <c r="I2256" s="3"/>
      <c r="J2256" s="42"/>
      <c r="K2256" s="3"/>
      <c r="M2256" s="20">
        <v>42127</v>
      </c>
      <c r="N2256" s="183">
        <v>19812</v>
      </c>
      <c r="O2256" s="40" t="s">
        <v>229</v>
      </c>
      <c r="P2256" s="105">
        <v>1700.19</v>
      </c>
      <c r="Q2256" s="23">
        <v>42127</v>
      </c>
      <c r="R2256" s="106">
        <v>1700.19</v>
      </c>
      <c r="S2256" s="31">
        <f t="shared" si="71"/>
        <v>0</v>
      </c>
      <c r="T2256" s="41" t="s">
        <v>9</v>
      </c>
    </row>
    <row r="2257" spans="1:20" x14ac:dyDescent="0.25">
      <c r="A2257" s="20">
        <v>42145</v>
      </c>
      <c r="B2257" s="183">
        <v>21831</v>
      </c>
      <c r="C2257" s="15" t="s">
        <v>68</v>
      </c>
      <c r="D2257" s="122">
        <v>2433</v>
      </c>
      <c r="E2257" s="23">
        <v>42149</v>
      </c>
      <c r="F2257" s="118">
        <v>2433</v>
      </c>
      <c r="G2257" s="31">
        <f t="shared" si="70"/>
        <v>0</v>
      </c>
      <c r="H2257" s="68" t="s">
        <v>149</v>
      </c>
      <c r="I2257" s="3"/>
      <c r="J2257" s="42"/>
      <c r="K2257" s="3"/>
      <c r="M2257" s="20">
        <v>42127</v>
      </c>
      <c r="N2257" s="183">
        <v>19861</v>
      </c>
      <c r="O2257" s="40" t="s">
        <v>229</v>
      </c>
      <c r="P2257" s="105">
        <v>4904.18</v>
      </c>
      <c r="Q2257" s="23">
        <v>42127</v>
      </c>
      <c r="R2257" s="106">
        <v>4904.18</v>
      </c>
      <c r="S2257" s="31">
        <f t="shared" si="71"/>
        <v>0</v>
      </c>
      <c r="T2257" s="41" t="s">
        <v>9</v>
      </c>
    </row>
    <row r="2258" spans="1:20" x14ac:dyDescent="0.25">
      <c r="A2258" s="20">
        <v>42145</v>
      </c>
      <c r="B2258" s="183">
        <v>21832</v>
      </c>
      <c r="C2258" s="15" t="s">
        <v>32</v>
      </c>
      <c r="D2258" s="122">
        <v>138498</v>
      </c>
      <c r="E2258" s="30">
        <v>42171</v>
      </c>
      <c r="F2258" s="145">
        <v>138498</v>
      </c>
      <c r="G2258" s="31">
        <f t="shared" si="70"/>
        <v>0</v>
      </c>
      <c r="H2258" s="68" t="s">
        <v>1273</v>
      </c>
      <c r="I2258" s="3"/>
      <c r="J2258" s="42"/>
      <c r="K2258" s="3"/>
      <c r="M2258" s="20">
        <v>42129</v>
      </c>
      <c r="N2258" s="183">
        <v>20076</v>
      </c>
      <c r="O2258" s="14" t="s">
        <v>229</v>
      </c>
      <c r="P2258" s="105">
        <v>4303.26</v>
      </c>
      <c r="Q2258" s="23">
        <v>42129</v>
      </c>
      <c r="R2258" s="106">
        <v>4303.26</v>
      </c>
      <c r="S2258" s="31">
        <f t="shared" si="71"/>
        <v>0</v>
      </c>
      <c r="T2258" s="39" t="s">
        <v>9</v>
      </c>
    </row>
    <row r="2259" spans="1:20" x14ac:dyDescent="0.25">
      <c r="A2259" s="20">
        <v>42146</v>
      </c>
      <c r="B2259" s="183">
        <v>21833</v>
      </c>
      <c r="C2259" s="15" t="s">
        <v>1279</v>
      </c>
      <c r="D2259" s="122">
        <v>27576.6</v>
      </c>
      <c r="E2259" s="23">
        <v>42146</v>
      </c>
      <c r="F2259" s="118">
        <v>27576.6</v>
      </c>
      <c r="G2259" s="31">
        <f t="shared" si="70"/>
        <v>0</v>
      </c>
      <c r="H2259" s="68" t="s">
        <v>773</v>
      </c>
      <c r="I2259" s="3"/>
      <c r="J2259" s="42"/>
      <c r="K2259" s="3"/>
      <c r="M2259" s="20">
        <v>42131</v>
      </c>
      <c r="N2259" s="183">
        <v>20298</v>
      </c>
      <c r="O2259" s="14" t="s">
        <v>229</v>
      </c>
      <c r="P2259" s="105">
        <v>1116.02</v>
      </c>
      <c r="Q2259" s="23">
        <v>42131</v>
      </c>
      <c r="R2259" s="106">
        <v>1116.02</v>
      </c>
      <c r="S2259" s="31">
        <f t="shared" si="71"/>
        <v>0</v>
      </c>
      <c r="T2259" s="19" t="s">
        <v>1257</v>
      </c>
    </row>
    <row r="2260" spans="1:20" x14ac:dyDescent="0.25">
      <c r="A2260" s="20">
        <v>42146</v>
      </c>
      <c r="B2260" s="183">
        <v>21834</v>
      </c>
      <c r="C2260" s="15" t="s">
        <v>195</v>
      </c>
      <c r="D2260" s="122">
        <v>20398</v>
      </c>
      <c r="E2260" s="23">
        <v>42149</v>
      </c>
      <c r="F2260" s="118">
        <v>20398</v>
      </c>
      <c r="G2260" s="31">
        <f t="shared" si="70"/>
        <v>0</v>
      </c>
      <c r="H2260" s="68" t="s">
        <v>773</v>
      </c>
      <c r="I2260" s="3"/>
      <c r="J2260" s="42"/>
      <c r="K2260" s="3"/>
      <c r="M2260" s="20">
        <v>42132</v>
      </c>
      <c r="N2260" s="183">
        <v>20451</v>
      </c>
      <c r="O2260" s="14" t="s">
        <v>229</v>
      </c>
      <c r="P2260" s="105">
        <v>2297.52</v>
      </c>
      <c r="Q2260" s="23">
        <v>42132</v>
      </c>
      <c r="R2260" s="106">
        <v>2297.52</v>
      </c>
      <c r="S2260" s="31">
        <f t="shared" si="71"/>
        <v>0</v>
      </c>
      <c r="T2260" s="19" t="s">
        <v>9</v>
      </c>
    </row>
    <row r="2261" spans="1:20" x14ac:dyDescent="0.25">
      <c r="A2261" s="20">
        <v>42146</v>
      </c>
      <c r="B2261" s="183">
        <v>21835</v>
      </c>
      <c r="C2261" s="15" t="s">
        <v>1256</v>
      </c>
      <c r="D2261" s="122">
        <v>5684.4</v>
      </c>
      <c r="E2261" s="23">
        <v>42146</v>
      </c>
      <c r="F2261" s="118">
        <v>5684.4</v>
      </c>
      <c r="G2261" s="31">
        <f t="shared" si="70"/>
        <v>0</v>
      </c>
      <c r="H2261" s="68" t="s">
        <v>1273</v>
      </c>
      <c r="I2261" s="3"/>
      <c r="J2261" s="42"/>
      <c r="K2261" s="3"/>
      <c r="M2261" s="20">
        <v>42134</v>
      </c>
      <c r="N2261" s="183">
        <v>20637</v>
      </c>
      <c r="O2261" s="14" t="s">
        <v>229</v>
      </c>
      <c r="P2261" s="105">
        <v>1768</v>
      </c>
      <c r="Q2261" s="51">
        <v>42134</v>
      </c>
      <c r="R2261" s="118">
        <v>1768</v>
      </c>
      <c r="S2261" s="31">
        <f t="shared" si="71"/>
        <v>0</v>
      </c>
      <c r="T2261" s="56" t="s">
        <v>9</v>
      </c>
    </row>
    <row r="2262" spans="1:20" x14ac:dyDescent="0.25">
      <c r="A2262" s="20">
        <v>42146</v>
      </c>
      <c r="B2262" s="183">
        <v>21836</v>
      </c>
      <c r="C2262" s="15" t="s">
        <v>720</v>
      </c>
      <c r="D2262" s="122">
        <v>5896.95</v>
      </c>
      <c r="E2262" s="23">
        <v>42146</v>
      </c>
      <c r="F2262" s="118">
        <v>5896.95</v>
      </c>
      <c r="G2262" s="31">
        <f t="shared" si="70"/>
        <v>0</v>
      </c>
      <c r="H2262" s="68" t="s">
        <v>9</v>
      </c>
      <c r="I2262" s="3"/>
      <c r="J2262" s="42"/>
      <c r="K2262" s="3"/>
      <c r="M2262" s="20">
        <v>42134</v>
      </c>
      <c r="N2262" s="183">
        <v>20650</v>
      </c>
      <c r="O2262" s="14" t="s">
        <v>229</v>
      </c>
      <c r="P2262" s="105">
        <v>3197.76</v>
      </c>
      <c r="Q2262" s="23">
        <v>42134</v>
      </c>
      <c r="R2262" s="106">
        <v>3197.76</v>
      </c>
      <c r="S2262" s="31">
        <f t="shared" si="71"/>
        <v>0</v>
      </c>
      <c r="T2262" s="39" t="s">
        <v>9</v>
      </c>
    </row>
    <row r="2263" spans="1:20" x14ac:dyDescent="0.25">
      <c r="A2263" s="20">
        <v>42146</v>
      </c>
      <c r="B2263" s="183">
        <v>21837</v>
      </c>
      <c r="C2263" s="15" t="s">
        <v>383</v>
      </c>
      <c r="D2263" s="122">
        <v>3635.1</v>
      </c>
      <c r="E2263" s="23">
        <v>42146</v>
      </c>
      <c r="F2263" s="118">
        <v>3635.1</v>
      </c>
      <c r="G2263" s="31">
        <f t="shared" si="70"/>
        <v>0</v>
      </c>
      <c r="H2263" s="68" t="s">
        <v>9</v>
      </c>
      <c r="I2263" s="3"/>
      <c r="J2263" s="42"/>
      <c r="K2263" s="3"/>
      <c r="M2263" s="20">
        <v>42135</v>
      </c>
      <c r="N2263" s="183">
        <v>20731</v>
      </c>
      <c r="O2263" s="14" t="s">
        <v>229</v>
      </c>
      <c r="P2263" s="105">
        <v>296</v>
      </c>
      <c r="Q2263" s="23">
        <v>42136</v>
      </c>
      <c r="R2263" s="106">
        <v>296</v>
      </c>
      <c r="S2263" s="31">
        <f t="shared" si="71"/>
        <v>0</v>
      </c>
      <c r="T2263" s="19" t="s">
        <v>9</v>
      </c>
    </row>
    <row r="2264" spans="1:20" x14ac:dyDescent="0.25">
      <c r="A2264" s="20">
        <v>42146</v>
      </c>
      <c r="B2264" s="183">
        <v>21838</v>
      </c>
      <c r="C2264" s="15" t="s">
        <v>14</v>
      </c>
      <c r="D2264" s="122">
        <v>2997.5</v>
      </c>
      <c r="E2264" s="23">
        <v>42153</v>
      </c>
      <c r="F2264" s="118">
        <v>2997.5</v>
      </c>
      <c r="G2264" s="31">
        <f t="shared" si="70"/>
        <v>0</v>
      </c>
      <c r="H2264" s="68" t="s">
        <v>15</v>
      </c>
      <c r="I2264" s="3"/>
      <c r="J2264" s="42"/>
      <c r="K2264" s="3"/>
      <c r="M2264" s="20">
        <v>42136</v>
      </c>
      <c r="N2264" s="183">
        <v>20789</v>
      </c>
      <c r="O2264" s="14" t="s">
        <v>229</v>
      </c>
      <c r="P2264" s="105">
        <v>1021.5</v>
      </c>
      <c r="Q2264" s="23">
        <v>42136</v>
      </c>
      <c r="R2264" s="106">
        <v>1021.5</v>
      </c>
      <c r="S2264" s="31">
        <f t="shared" si="71"/>
        <v>0</v>
      </c>
      <c r="T2264" s="19" t="s">
        <v>9</v>
      </c>
    </row>
    <row r="2265" spans="1:20" x14ac:dyDescent="0.25">
      <c r="A2265" s="20">
        <v>42146</v>
      </c>
      <c r="B2265" s="183">
        <v>21839</v>
      </c>
      <c r="C2265" s="15" t="s">
        <v>863</v>
      </c>
      <c r="D2265" s="122">
        <v>8845.5</v>
      </c>
      <c r="E2265" s="23">
        <v>42146</v>
      </c>
      <c r="F2265" s="118">
        <v>8845.5</v>
      </c>
      <c r="G2265" s="31">
        <f t="shared" si="70"/>
        <v>0</v>
      </c>
      <c r="H2265" s="68" t="s">
        <v>9</v>
      </c>
      <c r="I2265" s="3"/>
      <c r="J2265" s="42"/>
      <c r="K2265" s="3"/>
      <c r="M2265" s="20">
        <v>42136</v>
      </c>
      <c r="N2265" s="183">
        <v>20850</v>
      </c>
      <c r="O2265" s="14" t="s">
        <v>229</v>
      </c>
      <c r="P2265" s="105">
        <v>563.20000000000005</v>
      </c>
      <c r="Q2265" s="23">
        <v>42136</v>
      </c>
      <c r="R2265" s="106">
        <v>563.20000000000005</v>
      </c>
      <c r="S2265" s="31">
        <f t="shared" si="71"/>
        <v>0</v>
      </c>
      <c r="T2265" s="39" t="s">
        <v>9</v>
      </c>
    </row>
    <row r="2266" spans="1:20" x14ac:dyDescent="0.25">
      <c r="A2266" s="20">
        <v>42146</v>
      </c>
      <c r="B2266" s="183">
        <v>21840</v>
      </c>
      <c r="C2266" s="15" t="s">
        <v>18</v>
      </c>
      <c r="D2266" s="122">
        <v>6009.6</v>
      </c>
      <c r="E2266" s="23">
        <v>42146</v>
      </c>
      <c r="F2266" s="118">
        <v>6009.6</v>
      </c>
      <c r="G2266" s="31">
        <f t="shared" si="70"/>
        <v>0</v>
      </c>
      <c r="H2266" s="68" t="s">
        <v>9</v>
      </c>
      <c r="I2266" s="3"/>
      <c r="J2266" s="42"/>
      <c r="K2266" s="3"/>
      <c r="M2266" s="20">
        <v>42138</v>
      </c>
      <c r="N2266" s="183">
        <v>20988</v>
      </c>
      <c r="O2266" s="14" t="s">
        <v>229</v>
      </c>
      <c r="P2266" s="105">
        <v>2313.5700000000002</v>
      </c>
      <c r="Q2266" s="23">
        <v>42138</v>
      </c>
      <c r="R2266" s="106">
        <v>2313.5700000000002</v>
      </c>
      <c r="S2266" s="31">
        <f t="shared" si="71"/>
        <v>0</v>
      </c>
      <c r="T2266" s="19" t="s">
        <v>9</v>
      </c>
    </row>
    <row r="2267" spans="1:20" x14ac:dyDescent="0.25">
      <c r="A2267" s="20">
        <v>42146</v>
      </c>
      <c r="B2267" s="183">
        <v>21841</v>
      </c>
      <c r="C2267" s="15" t="s">
        <v>383</v>
      </c>
      <c r="D2267" s="122">
        <v>3114</v>
      </c>
      <c r="E2267" s="23">
        <v>42146</v>
      </c>
      <c r="F2267" s="118">
        <v>3114</v>
      </c>
      <c r="G2267" s="31">
        <f t="shared" si="70"/>
        <v>0</v>
      </c>
      <c r="H2267" s="68" t="s">
        <v>9</v>
      </c>
      <c r="I2267" s="3"/>
      <c r="J2267" s="42"/>
      <c r="K2267" s="3"/>
      <c r="M2267" s="20">
        <v>42148</v>
      </c>
      <c r="N2267" s="183">
        <v>22112</v>
      </c>
      <c r="O2267" s="14" t="s">
        <v>229</v>
      </c>
      <c r="P2267" s="105">
        <v>5602.6</v>
      </c>
      <c r="Q2267" s="65">
        <v>42148</v>
      </c>
      <c r="R2267" s="106">
        <v>5602.6</v>
      </c>
      <c r="S2267" s="31">
        <f t="shared" si="71"/>
        <v>0</v>
      </c>
      <c r="T2267" s="39" t="s">
        <v>9</v>
      </c>
    </row>
    <row r="2268" spans="1:20" x14ac:dyDescent="0.25">
      <c r="A2268" s="20">
        <v>42146</v>
      </c>
      <c r="B2268" s="183">
        <v>21842</v>
      </c>
      <c r="C2268" s="15" t="s">
        <v>137</v>
      </c>
      <c r="D2268" s="122">
        <v>500.4</v>
      </c>
      <c r="E2268" s="23">
        <v>42146</v>
      </c>
      <c r="F2268" s="118">
        <v>500.4</v>
      </c>
      <c r="G2268" s="31">
        <f t="shared" si="70"/>
        <v>0</v>
      </c>
      <c r="H2268" s="68" t="s">
        <v>9</v>
      </c>
      <c r="I2268" s="3"/>
      <c r="J2268" s="42"/>
      <c r="K2268" s="3"/>
      <c r="M2268" s="20">
        <v>42148</v>
      </c>
      <c r="N2268" s="183">
        <v>22125</v>
      </c>
      <c r="O2268" s="14" t="s">
        <v>229</v>
      </c>
      <c r="P2268" s="105">
        <v>3370.43</v>
      </c>
      <c r="Q2268" s="65">
        <v>42148</v>
      </c>
      <c r="R2268" s="106">
        <v>3370.43</v>
      </c>
      <c r="S2268" s="31">
        <f t="shared" si="71"/>
        <v>0</v>
      </c>
      <c r="T2268" s="39" t="s">
        <v>9</v>
      </c>
    </row>
    <row r="2269" spans="1:20" x14ac:dyDescent="0.25">
      <c r="A2269" s="20">
        <v>42146</v>
      </c>
      <c r="B2269" s="183">
        <v>21843</v>
      </c>
      <c r="C2269" s="15" t="s">
        <v>125</v>
      </c>
      <c r="D2269" s="122">
        <v>19878</v>
      </c>
      <c r="E2269" s="30">
        <v>42160</v>
      </c>
      <c r="F2269" s="145">
        <v>19878</v>
      </c>
      <c r="G2269" s="31">
        <f t="shared" si="70"/>
        <v>0</v>
      </c>
      <c r="H2269" s="68" t="s">
        <v>94</v>
      </c>
      <c r="I2269" s="3"/>
      <c r="J2269" s="42"/>
      <c r="K2269" s="3"/>
      <c r="M2269" s="20">
        <v>42152</v>
      </c>
      <c r="N2269" s="183">
        <v>22461</v>
      </c>
      <c r="O2269" s="14" t="s">
        <v>229</v>
      </c>
      <c r="P2269" s="105">
        <v>6119.2</v>
      </c>
      <c r="Q2269" s="23">
        <v>42152</v>
      </c>
      <c r="R2269" s="106">
        <v>6119.2</v>
      </c>
      <c r="S2269" s="31">
        <f t="shared" si="71"/>
        <v>0</v>
      </c>
      <c r="T2269" s="39" t="s">
        <v>9</v>
      </c>
    </row>
    <row r="2270" spans="1:20" x14ac:dyDescent="0.25">
      <c r="A2270" s="20">
        <v>42146</v>
      </c>
      <c r="B2270" s="183">
        <v>21844</v>
      </c>
      <c r="C2270" s="15" t="s">
        <v>151</v>
      </c>
      <c r="D2270" s="122">
        <v>3488.8</v>
      </c>
      <c r="E2270" s="23">
        <v>42147</v>
      </c>
      <c r="F2270" s="118">
        <v>3488.8</v>
      </c>
      <c r="G2270" s="31">
        <f t="shared" si="70"/>
        <v>0</v>
      </c>
      <c r="H2270" s="68" t="s">
        <v>9</v>
      </c>
      <c r="I2270" s="3"/>
      <c r="J2270" s="42"/>
      <c r="K2270" s="3"/>
      <c r="M2270" s="20">
        <v>42155</v>
      </c>
      <c r="N2270" s="183">
        <v>22816</v>
      </c>
      <c r="O2270" s="14" t="s">
        <v>229</v>
      </c>
      <c r="P2270" s="105">
        <v>5541.5</v>
      </c>
      <c r="Q2270" s="23">
        <v>42155</v>
      </c>
      <c r="R2270" s="106">
        <v>5541.5</v>
      </c>
      <c r="S2270" s="31">
        <f t="shared" si="71"/>
        <v>0</v>
      </c>
      <c r="T2270" s="39" t="s">
        <v>9</v>
      </c>
    </row>
    <row r="2271" spans="1:20" x14ac:dyDescent="0.25">
      <c r="A2271" s="20">
        <v>42146</v>
      </c>
      <c r="B2271" s="183">
        <v>21845</v>
      </c>
      <c r="C2271" s="14" t="s">
        <v>25</v>
      </c>
      <c r="D2271" s="105">
        <v>1521.4</v>
      </c>
      <c r="E2271" s="23">
        <v>42146</v>
      </c>
      <c r="F2271" s="106">
        <v>1521.4</v>
      </c>
      <c r="G2271" s="31">
        <f t="shared" si="70"/>
        <v>0</v>
      </c>
      <c r="H2271" s="39" t="s">
        <v>9</v>
      </c>
      <c r="I2271" s="3"/>
      <c r="J2271" s="42"/>
      <c r="K2271" s="3"/>
      <c r="M2271" s="20">
        <v>42125</v>
      </c>
      <c r="N2271" s="183">
        <v>19677</v>
      </c>
      <c r="O2271" s="14" t="s">
        <v>1270</v>
      </c>
      <c r="P2271" s="105">
        <v>3265.2</v>
      </c>
      <c r="Q2271" s="23">
        <v>42125</v>
      </c>
      <c r="R2271" s="106">
        <v>3265.2</v>
      </c>
      <c r="S2271" s="25">
        <f t="shared" si="71"/>
        <v>0</v>
      </c>
      <c r="T2271" s="39" t="s">
        <v>9</v>
      </c>
    </row>
    <row r="2272" spans="1:20" x14ac:dyDescent="0.25">
      <c r="A2272" s="20">
        <v>42146</v>
      </c>
      <c r="B2272" s="183">
        <v>21846</v>
      </c>
      <c r="C2272" s="14" t="s">
        <v>906</v>
      </c>
      <c r="D2272" s="105">
        <v>1084.0999999999999</v>
      </c>
      <c r="E2272" s="23">
        <v>42146</v>
      </c>
      <c r="F2272" s="106">
        <v>1084.0999999999999</v>
      </c>
      <c r="G2272" s="31">
        <f t="shared" si="70"/>
        <v>0</v>
      </c>
      <c r="H2272" s="39" t="s">
        <v>94</v>
      </c>
      <c r="I2272" s="3"/>
      <c r="J2272" s="42"/>
      <c r="K2272" s="3"/>
      <c r="M2272" s="20">
        <v>42128</v>
      </c>
      <c r="N2272" s="183">
        <v>19892</v>
      </c>
      <c r="O2272" s="14" t="s">
        <v>1270</v>
      </c>
      <c r="P2272" s="105">
        <v>5577.2</v>
      </c>
      <c r="Q2272" s="23">
        <v>42128</v>
      </c>
      <c r="R2272" s="106">
        <v>5577.2</v>
      </c>
      <c r="S2272" s="31">
        <f t="shared" si="71"/>
        <v>0</v>
      </c>
      <c r="T2272" s="19" t="s">
        <v>9</v>
      </c>
    </row>
    <row r="2273" spans="1:20" x14ac:dyDescent="0.25">
      <c r="A2273" s="20">
        <v>42146</v>
      </c>
      <c r="B2273" s="183">
        <v>21847</v>
      </c>
      <c r="C2273" s="14" t="s">
        <v>102</v>
      </c>
      <c r="D2273" s="105">
        <v>2879.1</v>
      </c>
      <c r="E2273" s="23">
        <v>42146</v>
      </c>
      <c r="F2273" s="106">
        <v>2879.1</v>
      </c>
      <c r="G2273" s="31">
        <f t="shared" si="70"/>
        <v>0</v>
      </c>
      <c r="H2273" s="39" t="s">
        <v>9</v>
      </c>
      <c r="I2273" s="3"/>
      <c r="J2273" s="42"/>
      <c r="K2273" s="3"/>
      <c r="M2273" s="20">
        <v>42131</v>
      </c>
      <c r="N2273" s="183">
        <v>20226</v>
      </c>
      <c r="O2273" s="14" t="s">
        <v>431</v>
      </c>
      <c r="P2273" s="105">
        <v>4587.3999999999996</v>
      </c>
      <c r="Q2273" s="23">
        <v>42131</v>
      </c>
      <c r="R2273" s="106">
        <v>4587.3999999999996</v>
      </c>
      <c r="S2273" s="31">
        <f t="shared" si="71"/>
        <v>0</v>
      </c>
      <c r="T2273" s="39" t="s">
        <v>9</v>
      </c>
    </row>
    <row r="2274" spans="1:20" x14ac:dyDescent="0.25">
      <c r="A2274" s="20">
        <v>42146</v>
      </c>
      <c r="B2274" s="183">
        <v>21848</v>
      </c>
      <c r="C2274" s="14" t="s">
        <v>49</v>
      </c>
      <c r="D2274" s="105">
        <v>1512</v>
      </c>
      <c r="E2274" s="23">
        <v>42146</v>
      </c>
      <c r="F2274" s="106">
        <v>1512</v>
      </c>
      <c r="G2274" s="31">
        <f t="shared" si="70"/>
        <v>0</v>
      </c>
      <c r="H2274" s="39" t="s">
        <v>94</v>
      </c>
      <c r="I2274" s="3"/>
      <c r="J2274" s="42"/>
      <c r="K2274" s="3"/>
      <c r="M2274" s="20">
        <v>42134</v>
      </c>
      <c r="N2274" s="183">
        <v>20634</v>
      </c>
      <c r="O2274" s="14" t="s">
        <v>431</v>
      </c>
      <c r="P2274" s="105">
        <v>2844.3</v>
      </c>
      <c r="Q2274" s="23">
        <v>42134</v>
      </c>
      <c r="R2274" s="118">
        <v>2844.3</v>
      </c>
      <c r="S2274" s="31">
        <f t="shared" si="71"/>
        <v>0</v>
      </c>
      <c r="T2274" s="56" t="s">
        <v>9</v>
      </c>
    </row>
    <row r="2275" spans="1:20" x14ac:dyDescent="0.25">
      <c r="A2275" s="20">
        <v>42146</v>
      </c>
      <c r="B2275" s="183">
        <v>21849</v>
      </c>
      <c r="C2275" s="14" t="s">
        <v>99</v>
      </c>
      <c r="D2275" s="105">
        <v>1152.2</v>
      </c>
      <c r="E2275" s="23">
        <v>42146</v>
      </c>
      <c r="F2275" s="106">
        <v>1152.2</v>
      </c>
      <c r="G2275" s="31">
        <f t="shared" si="70"/>
        <v>0</v>
      </c>
      <c r="H2275" s="39" t="s">
        <v>94</v>
      </c>
      <c r="I2275" s="3"/>
      <c r="J2275" s="42"/>
      <c r="K2275" s="3"/>
      <c r="M2275" s="20">
        <v>42137</v>
      </c>
      <c r="N2275" s="183">
        <v>20918</v>
      </c>
      <c r="O2275" s="14" t="s">
        <v>431</v>
      </c>
      <c r="P2275" s="105">
        <v>3579.8</v>
      </c>
      <c r="Q2275" s="23">
        <v>42137</v>
      </c>
      <c r="R2275" s="106">
        <v>3579.8</v>
      </c>
      <c r="S2275" s="31">
        <f t="shared" si="71"/>
        <v>0</v>
      </c>
      <c r="T2275" s="19" t="s">
        <v>9</v>
      </c>
    </row>
    <row r="2276" spans="1:20" x14ac:dyDescent="0.25">
      <c r="A2276" s="20">
        <v>42146</v>
      </c>
      <c r="B2276" s="183">
        <v>21850</v>
      </c>
      <c r="C2276" s="14" t="s">
        <v>1262</v>
      </c>
      <c r="D2276" s="105">
        <v>95594.240000000005</v>
      </c>
      <c r="E2276" s="23">
        <v>42153</v>
      </c>
      <c r="F2276" s="106">
        <v>95594.240000000005</v>
      </c>
      <c r="G2276" s="31">
        <f t="shared" si="70"/>
        <v>0</v>
      </c>
      <c r="H2276" s="39" t="s">
        <v>187</v>
      </c>
      <c r="I2276" s="3"/>
      <c r="J2276" s="42"/>
      <c r="K2276" s="3"/>
      <c r="M2276" s="20">
        <v>42142</v>
      </c>
      <c r="N2276" s="183">
        <v>21397</v>
      </c>
      <c r="O2276" s="14" t="s">
        <v>431</v>
      </c>
      <c r="P2276" s="105">
        <v>4390.8</v>
      </c>
      <c r="Q2276" s="23">
        <v>42142</v>
      </c>
      <c r="R2276" s="118">
        <v>4390.8</v>
      </c>
      <c r="S2276" s="31">
        <f t="shared" si="71"/>
        <v>0</v>
      </c>
      <c r="T2276" s="56" t="s">
        <v>9</v>
      </c>
    </row>
    <row r="2277" spans="1:20" x14ac:dyDescent="0.25">
      <c r="A2277" s="20">
        <v>42146</v>
      </c>
      <c r="B2277" s="183">
        <v>21851</v>
      </c>
      <c r="C2277" s="14" t="s">
        <v>114</v>
      </c>
      <c r="D2277" s="105">
        <v>2820</v>
      </c>
      <c r="E2277" s="23">
        <v>42146</v>
      </c>
      <c r="F2277" s="106">
        <v>2820</v>
      </c>
      <c r="G2277" s="31">
        <f t="shared" si="70"/>
        <v>0</v>
      </c>
      <c r="H2277" s="39" t="s">
        <v>9</v>
      </c>
      <c r="I2277" s="3"/>
      <c r="J2277" s="42"/>
      <c r="K2277" s="3"/>
      <c r="M2277" s="20">
        <v>42148</v>
      </c>
      <c r="N2277" s="183">
        <v>22090</v>
      </c>
      <c r="O2277" s="14" t="s">
        <v>900</v>
      </c>
      <c r="P2277" s="105">
        <v>3978</v>
      </c>
      <c r="Q2277" s="65">
        <v>42148</v>
      </c>
      <c r="R2277" s="106">
        <v>3978</v>
      </c>
      <c r="S2277" s="31">
        <f t="shared" si="71"/>
        <v>0</v>
      </c>
      <c r="T2277" s="39" t="s">
        <v>9</v>
      </c>
    </row>
    <row r="2278" spans="1:20" x14ac:dyDescent="0.25">
      <c r="A2278" s="20">
        <v>42146</v>
      </c>
      <c r="B2278" s="183">
        <v>21852</v>
      </c>
      <c r="C2278" s="26" t="s">
        <v>218</v>
      </c>
      <c r="D2278" s="108">
        <v>0</v>
      </c>
      <c r="E2278" s="23"/>
      <c r="F2278" s="106"/>
      <c r="G2278" s="31">
        <f t="shared" si="70"/>
        <v>0</v>
      </c>
      <c r="H2278" s="39" t="s">
        <v>13</v>
      </c>
      <c r="I2278" s="3"/>
      <c r="J2278" s="42"/>
      <c r="K2278" s="3"/>
      <c r="M2278" s="20">
        <v>42153</v>
      </c>
      <c r="N2278" s="183">
        <v>22595</v>
      </c>
      <c r="O2278" s="14" t="s">
        <v>900</v>
      </c>
      <c r="P2278" s="105">
        <v>4829</v>
      </c>
      <c r="Q2278" s="23">
        <v>42153</v>
      </c>
      <c r="R2278" s="106">
        <v>4829</v>
      </c>
      <c r="S2278" s="31">
        <f t="shared" si="71"/>
        <v>0</v>
      </c>
      <c r="T2278" s="39" t="s">
        <v>9</v>
      </c>
    </row>
    <row r="2279" spans="1:20" x14ac:dyDescent="0.25">
      <c r="A2279" s="20">
        <v>42146</v>
      </c>
      <c r="B2279" s="183">
        <v>21853</v>
      </c>
      <c r="C2279" s="14" t="s">
        <v>294</v>
      </c>
      <c r="D2279" s="105">
        <v>4064.1</v>
      </c>
      <c r="E2279" s="23">
        <v>42146</v>
      </c>
      <c r="F2279" s="106">
        <v>4064.1</v>
      </c>
      <c r="G2279" s="31">
        <f t="shared" si="70"/>
        <v>0</v>
      </c>
      <c r="H2279" s="39" t="s">
        <v>9</v>
      </c>
      <c r="I2279" s="3"/>
      <c r="J2279" s="42"/>
      <c r="K2279" s="3"/>
      <c r="M2279" s="20">
        <v>42153</v>
      </c>
      <c r="N2279" s="183">
        <v>22596</v>
      </c>
      <c r="O2279" s="14" t="s">
        <v>900</v>
      </c>
      <c r="P2279" s="105">
        <v>462</v>
      </c>
      <c r="Q2279" s="23">
        <v>42153</v>
      </c>
      <c r="R2279" s="106">
        <v>462</v>
      </c>
      <c r="S2279" s="31">
        <f t="shared" si="71"/>
        <v>0</v>
      </c>
      <c r="T2279" s="39" t="s">
        <v>9</v>
      </c>
    </row>
    <row r="2280" spans="1:20" x14ac:dyDescent="0.25">
      <c r="A2280" s="20">
        <v>42146</v>
      </c>
      <c r="B2280" s="183">
        <v>21854</v>
      </c>
      <c r="C2280" s="14" t="s">
        <v>926</v>
      </c>
      <c r="D2280" s="105">
        <v>8874</v>
      </c>
      <c r="E2280" s="23">
        <v>42147</v>
      </c>
      <c r="F2280" s="106">
        <v>8874</v>
      </c>
      <c r="G2280" s="31">
        <f t="shared" si="70"/>
        <v>0</v>
      </c>
      <c r="H2280" s="39" t="s">
        <v>587</v>
      </c>
      <c r="I2280" s="3"/>
      <c r="J2280" s="42"/>
      <c r="K2280" s="3"/>
      <c r="M2280" s="20">
        <v>42154</v>
      </c>
      <c r="N2280" s="183">
        <v>22760</v>
      </c>
      <c r="O2280" s="14" t="s">
        <v>900</v>
      </c>
      <c r="P2280" s="105">
        <v>1246.4000000000001</v>
      </c>
      <c r="Q2280" s="23">
        <v>42154</v>
      </c>
      <c r="R2280" s="106">
        <v>1246.4000000000001</v>
      </c>
      <c r="S2280" s="31">
        <f t="shared" si="71"/>
        <v>0</v>
      </c>
      <c r="T2280" s="39" t="s">
        <v>9</v>
      </c>
    </row>
    <row r="2281" spans="1:20" x14ac:dyDescent="0.25">
      <c r="A2281" s="20">
        <v>42146</v>
      </c>
      <c r="B2281" s="183">
        <v>21855</v>
      </c>
      <c r="C2281" s="14" t="s">
        <v>294</v>
      </c>
      <c r="D2281" s="105">
        <v>516.79999999999995</v>
      </c>
      <c r="E2281" s="23">
        <v>42146</v>
      </c>
      <c r="F2281" s="106">
        <v>516.79999999999995</v>
      </c>
      <c r="G2281" s="31">
        <f t="shared" si="70"/>
        <v>0</v>
      </c>
      <c r="H2281" s="39" t="s">
        <v>9</v>
      </c>
      <c r="I2281" s="3"/>
      <c r="J2281" s="42"/>
      <c r="K2281" s="3"/>
      <c r="M2281" s="20">
        <v>42154</v>
      </c>
      <c r="N2281" s="183">
        <v>22761</v>
      </c>
      <c r="O2281" s="14" t="s">
        <v>900</v>
      </c>
      <c r="P2281" s="105">
        <v>556.20000000000005</v>
      </c>
      <c r="Q2281" s="23">
        <v>42154</v>
      </c>
      <c r="R2281" s="106">
        <v>556.20000000000005</v>
      </c>
      <c r="S2281" s="31">
        <f t="shared" si="71"/>
        <v>0</v>
      </c>
      <c r="T2281" s="39" t="s">
        <v>9</v>
      </c>
    </row>
    <row r="2282" spans="1:20" x14ac:dyDescent="0.25">
      <c r="A2282" s="20">
        <v>42146</v>
      </c>
      <c r="B2282" s="183">
        <v>21856</v>
      </c>
      <c r="C2282" s="14" t="s">
        <v>1175</v>
      </c>
      <c r="D2282" s="105">
        <v>40512</v>
      </c>
      <c r="E2282" s="23">
        <v>42147</v>
      </c>
      <c r="F2282" s="106">
        <v>40512</v>
      </c>
      <c r="G2282" s="31">
        <f t="shared" si="70"/>
        <v>0</v>
      </c>
      <c r="H2282" s="39" t="s">
        <v>587</v>
      </c>
      <c r="I2282" s="3"/>
      <c r="J2282" s="42"/>
      <c r="K2282" s="3"/>
      <c r="M2282" s="20">
        <v>42155</v>
      </c>
      <c r="N2282" s="183">
        <v>22831</v>
      </c>
      <c r="O2282" s="14" t="s">
        <v>900</v>
      </c>
      <c r="P2282" s="105">
        <v>3527</v>
      </c>
      <c r="Q2282" s="23">
        <v>42155</v>
      </c>
      <c r="R2282" s="106">
        <v>3527</v>
      </c>
      <c r="S2282" s="31">
        <f t="shared" si="71"/>
        <v>0</v>
      </c>
      <c r="T2282" s="39" t="s">
        <v>9</v>
      </c>
    </row>
    <row r="2283" spans="1:20" x14ac:dyDescent="0.25">
      <c r="A2283" s="20">
        <v>42146</v>
      </c>
      <c r="B2283" s="183">
        <v>21857</v>
      </c>
      <c r="C2283" s="14" t="s">
        <v>1186</v>
      </c>
      <c r="D2283" s="105">
        <v>27992.799999999999</v>
      </c>
      <c r="E2283" s="23">
        <v>42147</v>
      </c>
      <c r="F2283" s="106">
        <v>27992.799999999999</v>
      </c>
      <c r="G2283" s="31">
        <f t="shared" si="70"/>
        <v>0</v>
      </c>
      <c r="H2283" s="39" t="s">
        <v>587</v>
      </c>
      <c r="I2283" s="3"/>
      <c r="J2283" s="42"/>
      <c r="K2283" s="3"/>
      <c r="M2283" s="20">
        <v>42125</v>
      </c>
      <c r="N2283" s="183">
        <v>19622</v>
      </c>
      <c r="O2283" s="14" t="s">
        <v>158</v>
      </c>
      <c r="P2283" s="105">
        <v>2318.75</v>
      </c>
      <c r="Q2283" s="23">
        <v>42125</v>
      </c>
      <c r="R2283" s="106">
        <v>2318.75</v>
      </c>
      <c r="S2283" s="25">
        <f t="shared" si="71"/>
        <v>0</v>
      </c>
      <c r="T2283" s="19" t="s">
        <v>9</v>
      </c>
    </row>
    <row r="2284" spans="1:20" x14ac:dyDescent="0.25">
      <c r="A2284" s="20">
        <v>42146</v>
      </c>
      <c r="B2284" s="183">
        <v>21858</v>
      </c>
      <c r="C2284" s="14" t="s">
        <v>1290</v>
      </c>
      <c r="D2284" s="105">
        <v>38913</v>
      </c>
      <c r="E2284" s="23">
        <v>42147</v>
      </c>
      <c r="F2284" s="106">
        <v>38913</v>
      </c>
      <c r="G2284" s="31">
        <f t="shared" si="70"/>
        <v>0</v>
      </c>
      <c r="H2284" s="39" t="s">
        <v>587</v>
      </c>
      <c r="I2284" s="3"/>
      <c r="J2284" s="42"/>
      <c r="K2284" s="3"/>
      <c r="M2284" s="20">
        <v>42126</v>
      </c>
      <c r="N2284" s="183">
        <v>19795</v>
      </c>
      <c r="O2284" s="40" t="s">
        <v>158</v>
      </c>
      <c r="P2284" s="105">
        <v>2160.1999999999998</v>
      </c>
      <c r="Q2284" s="23">
        <v>42126</v>
      </c>
      <c r="R2284" s="106">
        <v>2160.1999999999998</v>
      </c>
      <c r="S2284" s="31">
        <f t="shared" si="71"/>
        <v>0</v>
      </c>
      <c r="T2284" s="41" t="s">
        <v>9</v>
      </c>
    </row>
    <row r="2285" spans="1:20" x14ac:dyDescent="0.25">
      <c r="A2285" s="20">
        <v>42146</v>
      </c>
      <c r="B2285" s="183">
        <v>21859</v>
      </c>
      <c r="C2285" s="14" t="s">
        <v>1172</v>
      </c>
      <c r="D2285" s="105">
        <v>14072.6</v>
      </c>
      <c r="E2285" s="23">
        <v>42147</v>
      </c>
      <c r="F2285" s="106">
        <v>14072.6</v>
      </c>
      <c r="G2285" s="31">
        <f t="shared" si="70"/>
        <v>0</v>
      </c>
      <c r="H2285" s="39" t="s">
        <v>587</v>
      </c>
      <c r="I2285" s="3"/>
      <c r="J2285" s="42"/>
      <c r="K2285" s="3"/>
      <c r="M2285" s="20">
        <v>42127</v>
      </c>
      <c r="N2285" s="183">
        <v>19875</v>
      </c>
      <c r="O2285" s="14" t="s">
        <v>158</v>
      </c>
      <c r="P2285" s="105">
        <v>1030.2</v>
      </c>
      <c r="Q2285" s="23">
        <v>42127</v>
      </c>
      <c r="R2285" s="106">
        <v>1030.2</v>
      </c>
      <c r="S2285" s="31">
        <f t="shared" si="71"/>
        <v>0</v>
      </c>
      <c r="T2285" s="19" t="s">
        <v>9</v>
      </c>
    </row>
    <row r="2286" spans="1:20" x14ac:dyDescent="0.25">
      <c r="A2286" s="20">
        <v>42146</v>
      </c>
      <c r="B2286" s="183">
        <v>21860</v>
      </c>
      <c r="C2286" s="14" t="s">
        <v>1261</v>
      </c>
      <c r="D2286" s="105">
        <v>2932</v>
      </c>
      <c r="E2286" s="23">
        <v>42147</v>
      </c>
      <c r="F2286" s="106">
        <v>2932</v>
      </c>
      <c r="G2286" s="31">
        <f t="shared" si="70"/>
        <v>0</v>
      </c>
      <c r="H2286" s="39" t="s">
        <v>587</v>
      </c>
      <c r="I2286" s="3"/>
      <c r="J2286" s="42"/>
      <c r="K2286" s="3"/>
      <c r="M2286" s="20">
        <v>42129</v>
      </c>
      <c r="N2286" s="183">
        <v>20048</v>
      </c>
      <c r="O2286" s="14" t="s">
        <v>158</v>
      </c>
      <c r="P2286" s="105">
        <v>4268</v>
      </c>
      <c r="Q2286" s="23">
        <v>42129</v>
      </c>
      <c r="R2286" s="106">
        <v>4268</v>
      </c>
      <c r="S2286" s="31">
        <f t="shared" si="71"/>
        <v>0</v>
      </c>
      <c r="T2286" s="39" t="s">
        <v>9</v>
      </c>
    </row>
    <row r="2287" spans="1:20" x14ac:dyDescent="0.25">
      <c r="A2287" s="20">
        <v>42146</v>
      </c>
      <c r="B2287" s="183">
        <v>21861</v>
      </c>
      <c r="C2287" s="14" t="s">
        <v>135</v>
      </c>
      <c r="D2287" s="105">
        <v>16571.099999999999</v>
      </c>
      <c r="E2287" s="23">
        <v>42146</v>
      </c>
      <c r="F2287" s="106">
        <v>16571.099999999999</v>
      </c>
      <c r="G2287" s="31">
        <f t="shared" si="70"/>
        <v>0</v>
      </c>
      <c r="H2287" s="39" t="s">
        <v>9</v>
      </c>
      <c r="I2287" s="3"/>
      <c r="J2287" s="42"/>
      <c r="K2287" s="3"/>
      <c r="M2287" s="20">
        <v>42131</v>
      </c>
      <c r="N2287" s="183">
        <v>20306</v>
      </c>
      <c r="O2287" s="14" t="s">
        <v>158</v>
      </c>
      <c r="P2287" s="105">
        <v>2295</v>
      </c>
      <c r="Q2287" s="23">
        <v>42131</v>
      </c>
      <c r="R2287" s="106">
        <v>2295</v>
      </c>
      <c r="S2287" s="31">
        <f t="shared" si="71"/>
        <v>0</v>
      </c>
      <c r="T2287" s="39" t="s">
        <v>9</v>
      </c>
    </row>
    <row r="2288" spans="1:20" x14ac:dyDescent="0.25">
      <c r="A2288" s="20">
        <v>42146</v>
      </c>
      <c r="B2288" s="183">
        <v>21862</v>
      </c>
      <c r="C2288" s="14" t="s">
        <v>128</v>
      </c>
      <c r="D2288" s="105">
        <v>6288</v>
      </c>
      <c r="E2288" s="23">
        <v>42147</v>
      </c>
      <c r="F2288" s="106">
        <v>6288</v>
      </c>
      <c r="G2288" s="31">
        <f t="shared" si="70"/>
        <v>0</v>
      </c>
      <c r="H2288" s="39" t="s">
        <v>1257</v>
      </c>
      <c r="I2288" s="3"/>
      <c r="J2288" s="42"/>
      <c r="K2288" s="3"/>
      <c r="M2288" s="20">
        <v>42134</v>
      </c>
      <c r="N2288" s="183">
        <v>20648</v>
      </c>
      <c r="O2288" s="14" t="s">
        <v>158</v>
      </c>
      <c r="P2288" s="105">
        <v>1623.6</v>
      </c>
      <c r="Q2288" s="23">
        <v>42134</v>
      </c>
      <c r="R2288" s="106">
        <v>1623.6</v>
      </c>
      <c r="S2288" s="31">
        <f t="shared" si="71"/>
        <v>0</v>
      </c>
      <c r="T2288" s="39" t="s">
        <v>9</v>
      </c>
    </row>
    <row r="2289" spans="1:20" x14ac:dyDescent="0.25">
      <c r="A2289" s="20">
        <v>42146</v>
      </c>
      <c r="B2289" s="183">
        <v>21863</v>
      </c>
      <c r="C2289" s="14" t="s">
        <v>131</v>
      </c>
      <c r="D2289" s="105">
        <v>4867.5</v>
      </c>
      <c r="E2289" s="23">
        <v>42147</v>
      </c>
      <c r="F2289" s="106">
        <v>4867.5</v>
      </c>
      <c r="G2289" s="31">
        <f t="shared" si="70"/>
        <v>0</v>
      </c>
      <c r="H2289" s="39" t="s">
        <v>1257</v>
      </c>
      <c r="I2289" s="3"/>
      <c r="J2289" s="42"/>
      <c r="K2289" s="3"/>
      <c r="M2289" s="20">
        <v>42139</v>
      </c>
      <c r="N2289" s="183">
        <v>21147</v>
      </c>
      <c r="O2289" s="14" t="s">
        <v>158</v>
      </c>
      <c r="P2289" s="105">
        <v>1920</v>
      </c>
      <c r="Q2289" s="23">
        <v>42139</v>
      </c>
      <c r="R2289" s="106">
        <v>1920</v>
      </c>
      <c r="S2289" s="48">
        <f t="shared" si="71"/>
        <v>0</v>
      </c>
      <c r="T2289" s="39" t="s">
        <v>9</v>
      </c>
    </row>
    <row r="2290" spans="1:20" x14ac:dyDescent="0.25">
      <c r="A2290" s="20">
        <v>42146</v>
      </c>
      <c r="B2290" s="183">
        <v>21864</v>
      </c>
      <c r="C2290" s="14" t="s">
        <v>118</v>
      </c>
      <c r="D2290" s="105">
        <v>1443.2</v>
      </c>
      <c r="E2290" s="30">
        <v>42157</v>
      </c>
      <c r="F2290" s="144">
        <v>1443.2</v>
      </c>
      <c r="G2290" s="31">
        <f t="shared" si="70"/>
        <v>0</v>
      </c>
      <c r="H2290" s="39" t="s">
        <v>59</v>
      </c>
      <c r="I2290" s="3"/>
      <c r="J2290" s="42"/>
      <c r="K2290" s="3"/>
      <c r="M2290" s="20">
        <v>42142</v>
      </c>
      <c r="N2290" s="183">
        <v>21418</v>
      </c>
      <c r="O2290" s="14" t="s">
        <v>158</v>
      </c>
      <c r="P2290" s="105">
        <v>2633.2</v>
      </c>
      <c r="Q2290" s="23">
        <v>42142</v>
      </c>
      <c r="R2290" s="118">
        <v>2633.2</v>
      </c>
      <c r="S2290" s="31">
        <f t="shared" si="71"/>
        <v>0</v>
      </c>
      <c r="T2290" s="56" t="s">
        <v>9</v>
      </c>
    </row>
    <row r="2291" spans="1:20" x14ac:dyDescent="0.25">
      <c r="A2291" s="20">
        <v>42146</v>
      </c>
      <c r="B2291" s="183">
        <v>21865</v>
      </c>
      <c r="C2291" s="14" t="s">
        <v>56</v>
      </c>
      <c r="D2291" s="105">
        <v>10112</v>
      </c>
      <c r="E2291" s="23">
        <v>42146</v>
      </c>
      <c r="F2291" s="106">
        <v>10112</v>
      </c>
      <c r="G2291" s="31">
        <f t="shared" si="70"/>
        <v>0</v>
      </c>
      <c r="H2291" s="39" t="s">
        <v>1013</v>
      </c>
      <c r="I2291" s="3"/>
      <c r="J2291" s="42"/>
      <c r="K2291" s="3"/>
      <c r="M2291" s="20">
        <v>42144</v>
      </c>
      <c r="N2291" s="183">
        <v>21693</v>
      </c>
      <c r="O2291" s="14" t="s">
        <v>158</v>
      </c>
      <c r="P2291" s="105">
        <v>1908</v>
      </c>
      <c r="Q2291" s="23">
        <v>42144</v>
      </c>
      <c r="R2291" s="106">
        <v>1908</v>
      </c>
      <c r="S2291" s="31">
        <f t="shared" si="71"/>
        <v>0</v>
      </c>
      <c r="T2291" s="39" t="s">
        <v>9</v>
      </c>
    </row>
    <row r="2292" spans="1:20" x14ac:dyDescent="0.25">
      <c r="A2292" s="20">
        <v>42146</v>
      </c>
      <c r="B2292" s="183">
        <v>21866</v>
      </c>
      <c r="C2292" s="14" t="s">
        <v>130</v>
      </c>
      <c r="D2292" s="105">
        <v>3407</v>
      </c>
      <c r="E2292" s="23">
        <v>42150</v>
      </c>
      <c r="F2292" s="106">
        <v>3407</v>
      </c>
      <c r="G2292" s="31">
        <f t="shared" si="70"/>
        <v>0</v>
      </c>
      <c r="H2292" s="39" t="s">
        <v>94</v>
      </c>
      <c r="I2292" s="3"/>
      <c r="J2292" s="42"/>
      <c r="K2292" s="3"/>
      <c r="M2292" s="20">
        <v>42145</v>
      </c>
      <c r="N2292" s="183">
        <v>21718</v>
      </c>
      <c r="O2292" s="14" t="s">
        <v>158</v>
      </c>
      <c r="P2292" s="105">
        <v>7379.6</v>
      </c>
      <c r="Q2292" s="23">
        <v>42145</v>
      </c>
      <c r="R2292" s="106">
        <v>7379.6</v>
      </c>
      <c r="S2292" s="31">
        <f t="shared" si="71"/>
        <v>0</v>
      </c>
      <c r="T2292" s="39" t="s">
        <v>9</v>
      </c>
    </row>
    <row r="2293" spans="1:20" x14ac:dyDescent="0.25">
      <c r="A2293" s="20">
        <v>42146</v>
      </c>
      <c r="B2293" s="183">
        <v>21867</v>
      </c>
      <c r="C2293" s="14" t="s">
        <v>940</v>
      </c>
      <c r="D2293" s="105">
        <v>4338.34</v>
      </c>
      <c r="E2293" s="23">
        <v>42147</v>
      </c>
      <c r="F2293" s="106">
        <v>4338.34</v>
      </c>
      <c r="G2293" s="31">
        <f t="shared" si="70"/>
        <v>0</v>
      </c>
      <c r="H2293" s="39" t="s">
        <v>587</v>
      </c>
      <c r="I2293" s="3"/>
      <c r="J2293" s="42"/>
      <c r="K2293" s="3"/>
      <c r="M2293" s="20">
        <v>42145</v>
      </c>
      <c r="N2293" s="183">
        <v>21815</v>
      </c>
      <c r="O2293" s="15" t="s">
        <v>158</v>
      </c>
      <c r="P2293" s="122">
        <v>2513.1999999999998</v>
      </c>
      <c r="Q2293" s="23">
        <v>42145</v>
      </c>
      <c r="R2293" s="118">
        <v>2513.1999999999998</v>
      </c>
      <c r="S2293" s="31">
        <f t="shared" si="71"/>
        <v>0</v>
      </c>
      <c r="T2293" s="68" t="s">
        <v>9</v>
      </c>
    </row>
    <row r="2294" spans="1:20" x14ac:dyDescent="0.25">
      <c r="A2294" s="20">
        <v>42146</v>
      </c>
      <c r="B2294" s="183">
        <v>21868</v>
      </c>
      <c r="C2294" s="14" t="s">
        <v>86</v>
      </c>
      <c r="D2294" s="105">
        <v>533.29999999999995</v>
      </c>
      <c r="E2294" s="23">
        <v>42146</v>
      </c>
      <c r="F2294" s="106">
        <v>533.29999999999995</v>
      </c>
      <c r="G2294" s="31">
        <f t="shared" si="70"/>
        <v>0</v>
      </c>
      <c r="H2294" s="39" t="s">
        <v>9</v>
      </c>
      <c r="I2294" s="3"/>
      <c r="J2294" s="42"/>
      <c r="K2294" s="3"/>
      <c r="M2294" s="20">
        <v>42147</v>
      </c>
      <c r="N2294" s="183">
        <v>22027</v>
      </c>
      <c r="O2294" s="14" t="s">
        <v>158</v>
      </c>
      <c r="P2294" s="105">
        <v>3683.95</v>
      </c>
      <c r="Q2294" s="65">
        <v>42147</v>
      </c>
      <c r="R2294" s="106">
        <v>3683.95</v>
      </c>
      <c r="S2294" s="31">
        <f t="shared" si="71"/>
        <v>0</v>
      </c>
      <c r="T2294" s="39" t="s">
        <v>9</v>
      </c>
    </row>
    <row r="2295" spans="1:20" x14ac:dyDescent="0.25">
      <c r="A2295" s="20">
        <v>42146</v>
      </c>
      <c r="B2295" s="183">
        <v>21869</v>
      </c>
      <c r="C2295" s="14" t="s">
        <v>238</v>
      </c>
      <c r="D2295" s="105">
        <v>758.8</v>
      </c>
      <c r="E2295" s="23">
        <v>42146</v>
      </c>
      <c r="F2295" s="106">
        <v>758.8</v>
      </c>
      <c r="G2295" s="31">
        <f t="shared" si="70"/>
        <v>0</v>
      </c>
      <c r="H2295" s="39" t="s">
        <v>59</v>
      </c>
      <c r="I2295" s="3"/>
      <c r="J2295" s="42"/>
      <c r="K2295" s="3"/>
      <c r="M2295" s="20">
        <v>42148</v>
      </c>
      <c r="N2295" s="183">
        <v>22127</v>
      </c>
      <c r="O2295" s="14" t="s">
        <v>158</v>
      </c>
      <c r="P2295" s="105">
        <v>336.2</v>
      </c>
      <c r="Q2295" s="65">
        <v>42148</v>
      </c>
      <c r="R2295" s="106">
        <v>336.2</v>
      </c>
      <c r="S2295" s="31">
        <f t="shared" si="71"/>
        <v>0</v>
      </c>
      <c r="T2295" s="39" t="s">
        <v>9</v>
      </c>
    </row>
    <row r="2296" spans="1:20" x14ac:dyDescent="0.25">
      <c r="A2296" s="20">
        <v>42146</v>
      </c>
      <c r="B2296" s="183">
        <v>21870</v>
      </c>
      <c r="C2296" s="14" t="s">
        <v>81</v>
      </c>
      <c r="D2296" s="105">
        <v>3309</v>
      </c>
      <c r="E2296" s="23">
        <v>42146</v>
      </c>
      <c r="F2296" s="106">
        <v>3309</v>
      </c>
      <c r="G2296" s="31">
        <f t="shared" si="70"/>
        <v>0</v>
      </c>
      <c r="H2296" s="39" t="s">
        <v>59</v>
      </c>
      <c r="I2296" s="3"/>
      <c r="J2296" s="42"/>
      <c r="K2296" s="3"/>
      <c r="M2296" s="20">
        <v>42149</v>
      </c>
      <c r="N2296" s="183">
        <v>22170</v>
      </c>
      <c r="O2296" s="14" t="s">
        <v>158</v>
      </c>
      <c r="P2296" s="105">
        <v>7635.2</v>
      </c>
      <c r="Q2296" s="65">
        <v>42149</v>
      </c>
      <c r="R2296" s="106">
        <v>7635.2</v>
      </c>
      <c r="S2296" s="31">
        <f t="shared" si="71"/>
        <v>0</v>
      </c>
      <c r="T2296" s="39" t="s">
        <v>9</v>
      </c>
    </row>
    <row r="2297" spans="1:20" x14ac:dyDescent="0.25">
      <c r="A2297" s="20">
        <v>42146</v>
      </c>
      <c r="B2297" s="183">
        <v>21871</v>
      </c>
      <c r="C2297" s="14" t="s">
        <v>1187</v>
      </c>
      <c r="D2297" s="105">
        <v>2430</v>
      </c>
      <c r="E2297" s="23">
        <v>42147</v>
      </c>
      <c r="F2297" s="106">
        <v>2430</v>
      </c>
      <c r="G2297" s="31">
        <f t="shared" si="70"/>
        <v>0</v>
      </c>
      <c r="H2297" s="39" t="s">
        <v>59</v>
      </c>
      <c r="I2297" s="3"/>
      <c r="J2297" s="42"/>
      <c r="K2297" s="3"/>
      <c r="M2297" s="20">
        <v>42151</v>
      </c>
      <c r="N2297" s="183">
        <v>22349</v>
      </c>
      <c r="O2297" s="14" t="s">
        <v>158</v>
      </c>
      <c r="P2297" s="105">
        <v>2916</v>
      </c>
      <c r="Q2297" s="65">
        <v>42151</v>
      </c>
      <c r="R2297" s="106">
        <v>2916</v>
      </c>
      <c r="S2297" s="31">
        <f t="shared" si="71"/>
        <v>0</v>
      </c>
      <c r="T2297" s="39" t="s">
        <v>9</v>
      </c>
    </row>
    <row r="2298" spans="1:20" x14ac:dyDescent="0.25">
      <c r="A2298" s="20">
        <v>42146</v>
      </c>
      <c r="B2298" s="183">
        <v>21872</v>
      </c>
      <c r="C2298" s="14" t="s">
        <v>292</v>
      </c>
      <c r="D2298" s="105">
        <v>3066.8</v>
      </c>
      <c r="E2298" s="23">
        <v>42146</v>
      </c>
      <c r="F2298" s="106">
        <v>3066.8</v>
      </c>
      <c r="G2298" s="31">
        <f t="shared" si="70"/>
        <v>0</v>
      </c>
      <c r="H2298" s="39" t="s">
        <v>59</v>
      </c>
      <c r="I2298" s="3"/>
      <c r="J2298" s="42"/>
      <c r="K2298" s="3"/>
      <c r="M2298" s="20">
        <v>42151</v>
      </c>
      <c r="N2298" s="183">
        <v>22407</v>
      </c>
      <c r="O2298" s="14" t="s">
        <v>158</v>
      </c>
      <c r="P2298" s="105">
        <v>2948.4</v>
      </c>
      <c r="Q2298" s="23">
        <v>42151</v>
      </c>
      <c r="R2298" s="106">
        <v>2948.4</v>
      </c>
      <c r="S2298" s="31">
        <f t="shared" si="71"/>
        <v>0</v>
      </c>
      <c r="T2298" s="39" t="s">
        <v>9</v>
      </c>
    </row>
    <row r="2299" spans="1:20" x14ac:dyDescent="0.25">
      <c r="A2299" s="20">
        <v>42146</v>
      </c>
      <c r="B2299" s="183">
        <v>21873</v>
      </c>
      <c r="C2299" s="14" t="s">
        <v>167</v>
      </c>
      <c r="D2299" s="105">
        <v>552</v>
      </c>
      <c r="E2299" s="23">
        <v>42146</v>
      </c>
      <c r="F2299" s="106">
        <v>552</v>
      </c>
      <c r="G2299" s="31">
        <f t="shared" si="70"/>
        <v>0</v>
      </c>
      <c r="H2299" s="39" t="s">
        <v>59</v>
      </c>
      <c r="I2299" s="3"/>
      <c r="J2299" s="42"/>
      <c r="K2299" s="3"/>
      <c r="M2299" s="20">
        <v>42152</v>
      </c>
      <c r="N2299" s="183">
        <v>22505</v>
      </c>
      <c r="O2299" s="14" t="s">
        <v>158</v>
      </c>
      <c r="P2299" s="105">
        <v>3138.4</v>
      </c>
      <c r="Q2299" s="23">
        <v>42152</v>
      </c>
      <c r="R2299" s="106">
        <v>3138.4</v>
      </c>
      <c r="S2299" s="31">
        <f t="shared" si="71"/>
        <v>0</v>
      </c>
      <c r="T2299" s="39" t="s">
        <v>9</v>
      </c>
    </row>
    <row r="2300" spans="1:20" x14ac:dyDescent="0.25">
      <c r="A2300" s="20">
        <v>42146</v>
      </c>
      <c r="B2300" s="183">
        <v>21874</v>
      </c>
      <c r="C2300" s="14" t="s">
        <v>53</v>
      </c>
      <c r="D2300" s="105">
        <v>1361.6</v>
      </c>
      <c r="E2300" s="23">
        <v>42146</v>
      </c>
      <c r="F2300" s="106">
        <v>1361.6</v>
      </c>
      <c r="G2300" s="31">
        <f t="shared" si="70"/>
        <v>0</v>
      </c>
      <c r="H2300" s="39" t="s">
        <v>59</v>
      </c>
      <c r="I2300" s="3"/>
      <c r="J2300" s="42"/>
      <c r="K2300" s="3"/>
      <c r="M2300" s="20">
        <v>42152</v>
      </c>
      <c r="N2300" s="183">
        <v>22532</v>
      </c>
      <c r="O2300" s="14" t="s">
        <v>158</v>
      </c>
      <c r="P2300" s="105">
        <v>2983.2</v>
      </c>
      <c r="Q2300" s="23">
        <v>42152</v>
      </c>
      <c r="R2300" s="106">
        <v>2983.2</v>
      </c>
      <c r="S2300" s="31">
        <f t="shared" si="71"/>
        <v>0</v>
      </c>
      <c r="T2300" s="39" t="s">
        <v>9</v>
      </c>
    </row>
    <row r="2301" spans="1:20" x14ac:dyDescent="0.25">
      <c r="A2301" s="20">
        <v>42146</v>
      </c>
      <c r="B2301" s="183">
        <v>21875</v>
      </c>
      <c r="C2301" s="14" t="s">
        <v>82</v>
      </c>
      <c r="D2301" s="105">
        <v>1464.4</v>
      </c>
      <c r="E2301" s="23">
        <v>42146</v>
      </c>
      <c r="F2301" s="106">
        <v>1464.4</v>
      </c>
      <c r="G2301" s="31">
        <f t="shared" si="70"/>
        <v>0</v>
      </c>
      <c r="H2301" s="39" t="s">
        <v>9</v>
      </c>
      <c r="I2301" s="3"/>
      <c r="J2301" s="42"/>
      <c r="K2301" s="3"/>
      <c r="M2301" s="20">
        <v>42154</v>
      </c>
      <c r="N2301" s="183">
        <v>22671</v>
      </c>
      <c r="O2301" s="14" t="s">
        <v>158</v>
      </c>
      <c r="P2301" s="105">
        <v>3427.2</v>
      </c>
      <c r="Q2301" s="23">
        <v>42154</v>
      </c>
      <c r="R2301" s="106">
        <v>3427.2</v>
      </c>
      <c r="S2301" s="31">
        <f t="shared" si="71"/>
        <v>0</v>
      </c>
      <c r="T2301" s="39" t="s">
        <v>9</v>
      </c>
    </row>
    <row r="2302" spans="1:20" x14ac:dyDescent="0.25">
      <c r="A2302" s="20">
        <v>42146</v>
      </c>
      <c r="B2302" s="183">
        <v>21876</v>
      </c>
      <c r="C2302" s="14" t="s">
        <v>464</v>
      </c>
      <c r="D2302" s="105">
        <v>3126</v>
      </c>
      <c r="E2302" s="23">
        <v>42146</v>
      </c>
      <c r="F2302" s="106">
        <v>3126</v>
      </c>
      <c r="G2302" s="31">
        <f t="shared" si="70"/>
        <v>0</v>
      </c>
      <c r="H2302" s="39" t="s">
        <v>9</v>
      </c>
      <c r="I2302" s="3"/>
      <c r="J2302" s="42"/>
      <c r="K2302" s="3"/>
      <c r="M2302" s="20">
        <v>42154</v>
      </c>
      <c r="N2302" s="183">
        <v>22770</v>
      </c>
      <c r="O2302" s="14" t="s">
        <v>158</v>
      </c>
      <c r="P2302" s="105">
        <v>198</v>
      </c>
      <c r="Q2302" s="23">
        <v>42154</v>
      </c>
      <c r="R2302" s="106">
        <v>198</v>
      </c>
      <c r="S2302" s="31">
        <f t="shared" si="71"/>
        <v>0</v>
      </c>
      <c r="T2302" s="39" t="s">
        <v>9</v>
      </c>
    </row>
    <row r="2303" spans="1:20" x14ac:dyDescent="0.25">
      <c r="A2303" s="20">
        <v>42146</v>
      </c>
      <c r="B2303" s="183">
        <v>21877</v>
      </c>
      <c r="C2303" s="14" t="s">
        <v>915</v>
      </c>
      <c r="D2303" s="105">
        <v>1291.2</v>
      </c>
      <c r="E2303" s="23">
        <v>42146</v>
      </c>
      <c r="F2303" s="106">
        <v>1291.2</v>
      </c>
      <c r="G2303" s="31">
        <f t="shared" si="70"/>
        <v>0</v>
      </c>
      <c r="H2303" s="39" t="s">
        <v>59</v>
      </c>
      <c r="I2303" s="3"/>
      <c r="J2303" s="42"/>
      <c r="K2303" s="3"/>
      <c r="M2303" s="20">
        <v>42155</v>
      </c>
      <c r="N2303" s="183">
        <v>22841</v>
      </c>
      <c r="O2303" s="14" t="s">
        <v>158</v>
      </c>
      <c r="P2303" s="105">
        <v>1515.7</v>
      </c>
      <c r="Q2303" s="23">
        <v>42155</v>
      </c>
      <c r="R2303" s="106">
        <v>1515.7</v>
      </c>
      <c r="S2303" s="31">
        <f t="shared" si="71"/>
        <v>0</v>
      </c>
      <c r="T2303" s="39" t="s">
        <v>9</v>
      </c>
    </row>
    <row r="2304" spans="1:20" x14ac:dyDescent="0.25">
      <c r="A2304" s="20">
        <v>42146</v>
      </c>
      <c r="B2304" s="183">
        <v>21878</v>
      </c>
      <c r="C2304" s="14" t="s">
        <v>155</v>
      </c>
      <c r="D2304" s="105">
        <v>1411.2</v>
      </c>
      <c r="E2304" s="23">
        <v>42146</v>
      </c>
      <c r="F2304" s="106">
        <v>1411.2</v>
      </c>
      <c r="G2304" s="31">
        <f t="shared" si="70"/>
        <v>0</v>
      </c>
      <c r="H2304" s="39" t="s">
        <v>59</v>
      </c>
      <c r="I2304" s="3"/>
      <c r="J2304" s="42"/>
      <c r="K2304" s="3"/>
      <c r="M2304" s="20">
        <v>42155</v>
      </c>
      <c r="N2304" s="183">
        <v>22850</v>
      </c>
      <c r="O2304" s="14" t="s">
        <v>158</v>
      </c>
      <c r="P2304" s="105">
        <v>2822.4</v>
      </c>
      <c r="Q2304" s="23">
        <v>42155</v>
      </c>
      <c r="R2304" s="106">
        <v>2822.4</v>
      </c>
      <c r="S2304" s="31">
        <f t="shared" si="71"/>
        <v>0</v>
      </c>
      <c r="T2304" s="39" t="s">
        <v>9</v>
      </c>
    </row>
    <row r="2305" spans="1:20" x14ac:dyDescent="0.25">
      <c r="A2305" s="20">
        <v>42146</v>
      </c>
      <c r="B2305" s="183">
        <v>21879</v>
      </c>
      <c r="C2305" s="14" t="s">
        <v>57</v>
      </c>
      <c r="D2305" s="105">
        <v>2014</v>
      </c>
      <c r="E2305" s="23">
        <v>42146</v>
      </c>
      <c r="F2305" s="106">
        <v>2014</v>
      </c>
      <c r="G2305" s="31">
        <f t="shared" si="70"/>
        <v>0</v>
      </c>
      <c r="H2305" s="39" t="s">
        <v>59</v>
      </c>
      <c r="I2305" s="3"/>
      <c r="J2305" s="42"/>
      <c r="K2305" s="3"/>
      <c r="M2305" s="20">
        <v>42138</v>
      </c>
      <c r="N2305" s="183">
        <v>21069</v>
      </c>
      <c r="O2305" s="14" t="s">
        <v>823</v>
      </c>
      <c r="P2305" s="105">
        <v>188.8</v>
      </c>
      <c r="Q2305" s="23">
        <v>42138</v>
      </c>
      <c r="R2305" s="106">
        <v>188.8</v>
      </c>
      <c r="S2305" s="48">
        <f t="shared" si="71"/>
        <v>0</v>
      </c>
      <c r="T2305" s="39" t="s">
        <v>9</v>
      </c>
    </row>
    <row r="2306" spans="1:20" x14ac:dyDescent="0.25">
      <c r="A2306" s="20">
        <v>42146</v>
      </c>
      <c r="B2306" s="183">
        <v>21880</v>
      </c>
      <c r="C2306" s="14" t="s">
        <v>375</v>
      </c>
      <c r="D2306" s="105">
        <v>5570.7</v>
      </c>
      <c r="E2306" s="23">
        <v>42147</v>
      </c>
      <c r="F2306" s="106">
        <v>5570.7</v>
      </c>
      <c r="G2306" s="31">
        <f t="shared" si="70"/>
        <v>0</v>
      </c>
      <c r="H2306" s="39" t="s">
        <v>9</v>
      </c>
      <c r="I2306" s="3"/>
      <c r="J2306" s="42"/>
      <c r="K2306" s="3"/>
      <c r="M2306" s="20">
        <v>42128</v>
      </c>
      <c r="N2306" s="183">
        <v>19975</v>
      </c>
      <c r="O2306" s="14" t="s">
        <v>1101</v>
      </c>
      <c r="P2306" s="105">
        <v>421.6</v>
      </c>
      <c r="Q2306" s="23">
        <v>42128</v>
      </c>
      <c r="R2306" s="106">
        <v>421.6</v>
      </c>
      <c r="S2306" s="31">
        <f t="shared" si="71"/>
        <v>0</v>
      </c>
      <c r="T2306" s="19" t="s">
        <v>9</v>
      </c>
    </row>
    <row r="2307" spans="1:20" x14ac:dyDescent="0.25">
      <c r="A2307" s="20">
        <v>42146</v>
      </c>
      <c r="B2307" s="183">
        <v>21881</v>
      </c>
      <c r="C2307" s="14" t="s">
        <v>375</v>
      </c>
      <c r="D2307" s="105">
        <v>2204</v>
      </c>
      <c r="E2307" s="23">
        <v>42146</v>
      </c>
      <c r="F2307" s="106">
        <v>2204</v>
      </c>
      <c r="G2307" s="31">
        <f t="shared" ref="G2307:G2370" si="72">D2307-F2307</f>
        <v>0</v>
      </c>
      <c r="H2307" s="39" t="s">
        <v>9</v>
      </c>
      <c r="I2307" s="3"/>
      <c r="J2307" s="42"/>
      <c r="K2307" s="3"/>
      <c r="M2307" s="20">
        <v>42131</v>
      </c>
      <c r="N2307" s="183">
        <v>20320</v>
      </c>
      <c r="O2307" s="14" t="s">
        <v>1101</v>
      </c>
      <c r="P2307" s="105">
        <v>431</v>
      </c>
      <c r="Q2307" s="23"/>
      <c r="R2307" s="106"/>
      <c r="S2307" s="31">
        <f t="shared" ref="S2307:S2370" si="73">P2307-R2307</f>
        <v>431</v>
      </c>
      <c r="T2307" s="39" t="s">
        <v>9</v>
      </c>
    </row>
    <row r="2308" spans="1:20" x14ac:dyDescent="0.25">
      <c r="A2308" s="20">
        <v>42146</v>
      </c>
      <c r="B2308" s="183">
        <v>21882</v>
      </c>
      <c r="C2308" s="110">
        <v>105</v>
      </c>
      <c r="D2308" s="105">
        <v>1900</v>
      </c>
      <c r="E2308" s="23">
        <v>42150</v>
      </c>
      <c r="F2308" s="106">
        <v>1900</v>
      </c>
      <c r="G2308" s="31">
        <f t="shared" si="72"/>
        <v>0</v>
      </c>
      <c r="H2308" s="39" t="s">
        <v>9</v>
      </c>
      <c r="I2308" s="3"/>
      <c r="J2308" s="42"/>
      <c r="K2308" s="3"/>
      <c r="M2308" s="20">
        <v>42132</v>
      </c>
      <c r="N2308" s="183">
        <v>20465</v>
      </c>
      <c r="O2308" s="14" t="s">
        <v>1101</v>
      </c>
      <c r="P2308" s="105">
        <v>387.6</v>
      </c>
      <c r="Q2308" s="23">
        <v>42133</v>
      </c>
      <c r="R2308" s="106">
        <v>387.6</v>
      </c>
      <c r="S2308" s="31">
        <f t="shared" si="73"/>
        <v>0</v>
      </c>
      <c r="T2308" s="19" t="s">
        <v>9</v>
      </c>
    </row>
    <row r="2309" spans="1:20" x14ac:dyDescent="0.25">
      <c r="A2309" s="20">
        <v>42146</v>
      </c>
      <c r="B2309" s="183">
        <v>21883</v>
      </c>
      <c r="C2309" s="14" t="s">
        <v>135</v>
      </c>
      <c r="D2309" s="105">
        <v>1267.2</v>
      </c>
      <c r="E2309" s="23">
        <v>42146</v>
      </c>
      <c r="F2309" s="106">
        <v>1267.2</v>
      </c>
      <c r="G2309" s="31">
        <f t="shared" si="72"/>
        <v>0</v>
      </c>
      <c r="H2309" s="39" t="s">
        <v>9</v>
      </c>
      <c r="I2309" s="3"/>
      <c r="J2309" s="42"/>
      <c r="K2309" s="3"/>
      <c r="M2309" s="20">
        <v>42134</v>
      </c>
      <c r="N2309" s="183">
        <v>20590</v>
      </c>
      <c r="O2309" s="14" t="s">
        <v>1101</v>
      </c>
      <c r="P2309" s="105">
        <v>421.6</v>
      </c>
      <c r="Q2309" s="51">
        <v>42134</v>
      </c>
      <c r="R2309" s="106">
        <v>421.6</v>
      </c>
      <c r="S2309" s="31">
        <f t="shared" si="73"/>
        <v>0</v>
      </c>
      <c r="T2309" s="39" t="s">
        <v>9</v>
      </c>
    </row>
    <row r="2310" spans="1:20" x14ac:dyDescent="0.25">
      <c r="A2310" s="20">
        <v>42146</v>
      </c>
      <c r="B2310" s="183">
        <v>21884</v>
      </c>
      <c r="C2310" s="14" t="s">
        <v>133</v>
      </c>
      <c r="D2310" s="105">
        <v>36840.339999999997</v>
      </c>
      <c r="E2310" s="23">
        <v>42146</v>
      </c>
      <c r="F2310" s="106">
        <v>36840.339999999997</v>
      </c>
      <c r="G2310" s="31">
        <f t="shared" si="72"/>
        <v>0</v>
      </c>
      <c r="H2310" s="39" t="s">
        <v>9</v>
      </c>
      <c r="I2310" s="3"/>
      <c r="J2310" s="42"/>
      <c r="K2310" s="3"/>
      <c r="M2310" s="20">
        <v>42134</v>
      </c>
      <c r="N2310" s="183">
        <v>20664</v>
      </c>
      <c r="O2310" s="14" t="s">
        <v>1101</v>
      </c>
      <c r="P2310" s="105">
        <v>500</v>
      </c>
      <c r="Q2310" s="23">
        <v>42134</v>
      </c>
      <c r="R2310" s="106">
        <v>500</v>
      </c>
      <c r="S2310" s="31">
        <f t="shared" si="73"/>
        <v>0</v>
      </c>
      <c r="T2310" s="39" t="s">
        <v>9</v>
      </c>
    </row>
    <row r="2311" spans="1:20" x14ac:dyDescent="0.25">
      <c r="A2311" s="20">
        <v>42146</v>
      </c>
      <c r="B2311" s="183">
        <v>21885</v>
      </c>
      <c r="C2311" s="14" t="s">
        <v>133</v>
      </c>
      <c r="D2311" s="105">
        <v>5283.82</v>
      </c>
      <c r="E2311" s="23">
        <v>42146</v>
      </c>
      <c r="F2311" s="106">
        <v>5283.82</v>
      </c>
      <c r="G2311" s="31">
        <f t="shared" si="72"/>
        <v>0</v>
      </c>
      <c r="H2311" s="39" t="s">
        <v>9</v>
      </c>
      <c r="I2311" s="3"/>
      <c r="J2311" s="42"/>
      <c r="K2311" s="3"/>
      <c r="M2311" s="20">
        <v>42135</v>
      </c>
      <c r="N2311" s="183">
        <v>20758</v>
      </c>
      <c r="O2311" s="14" t="s">
        <v>1101</v>
      </c>
      <c r="P2311" s="105">
        <v>162.4</v>
      </c>
      <c r="Q2311" s="23">
        <v>42135</v>
      </c>
      <c r="R2311" s="106">
        <v>162.4</v>
      </c>
      <c r="S2311" s="31">
        <f t="shared" si="73"/>
        <v>0</v>
      </c>
      <c r="T2311" s="19" t="s">
        <v>9</v>
      </c>
    </row>
    <row r="2312" spans="1:20" x14ac:dyDescent="0.25">
      <c r="A2312" s="20">
        <v>42146</v>
      </c>
      <c r="B2312" s="183">
        <v>21886</v>
      </c>
      <c r="C2312" s="14" t="s">
        <v>78</v>
      </c>
      <c r="D2312" s="105">
        <v>10134.6</v>
      </c>
      <c r="E2312" s="23">
        <v>42148</v>
      </c>
      <c r="F2312" s="106">
        <v>10134.6</v>
      </c>
      <c r="G2312" s="31">
        <f t="shared" si="72"/>
        <v>0</v>
      </c>
      <c r="H2312" s="39" t="s">
        <v>62</v>
      </c>
      <c r="I2312" s="3"/>
      <c r="J2312" s="42"/>
      <c r="K2312" s="3"/>
      <c r="M2312" s="20">
        <v>42136</v>
      </c>
      <c r="N2312" s="183">
        <v>20867</v>
      </c>
      <c r="O2312" s="14" t="s">
        <v>1101</v>
      </c>
      <c r="P2312" s="105">
        <v>836.4</v>
      </c>
      <c r="Q2312" s="23">
        <v>42136</v>
      </c>
      <c r="R2312" s="106">
        <v>836.4</v>
      </c>
      <c r="S2312" s="31">
        <f t="shared" si="73"/>
        <v>0</v>
      </c>
      <c r="T2312" s="39" t="s">
        <v>9</v>
      </c>
    </row>
    <row r="2313" spans="1:20" x14ac:dyDescent="0.25">
      <c r="A2313" s="20">
        <v>42146</v>
      </c>
      <c r="B2313" s="183">
        <v>21887</v>
      </c>
      <c r="C2313" s="14" t="s">
        <v>67</v>
      </c>
      <c r="D2313" s="105">
        <v>4557</v>
      </c>
      <c r="E2313" s="23">
        <v>42148</v>
      </c>
      <c r="F2313" s="106">
        <v>4557</v>
      </c>
      <c r="G2313" s="31">
        <f t="shared" si="72"/>
        <v>0</v>
      </c>
      <c r="H2313" s="39" t="s">
        <v>62</v>
      </c>
      <c r="I2313" s="3"/>
      <c r="J2313" s="42"/>
      <c r="K2313" s="3"/>
      <c r="M2313" s="20">
        <v>42137</v>
      </c>
      <c r="N2313" s="183">
        <v>20958</v>
      </c>
      <c r="O2313" s="14" t="s">
        <v>1101</v>
      </c>
      <c r="P2313" s="105">
        <v>448</v>
      </c>
      <c r="Q2313" s="23">
        <v>42137</v>
      </c>
      <c r="R2313" s="106">
        <v>448</v>
      </c>
      <c r="S2313" s="31">
        <f t="shared" si="73"/>
        <v>0</v>
      </c>
      <c r="T2313" s="19" t="s">
        <v>9</v>
      </c>
    </row>
    <row r="2314" spans="1:20" x14ac:dyDescent="0.25">
      <c r="A2314" s="20">
        <v>42146</v>
      </c>
      <c r="B2314" s="183">
        <v>21888</v>
      </c>
      <c r="C2314" s="14" t="s">
        <v>170</v>
      </c>
      <c r="D2314" s="105">
        <v>6167.6</v>
      </c>
      <c r="E2314" s="23">
        <v>42148</v>
      </c>
      <c r="F2314" s="106">
        <v>6167.6</v>
      </c>
      <c r="G2314" s="31">
        <f t="shared" si="72"/>
        <v>0</v>
      </c>
      <c r="H2314" s="39" t="s">
        <v>62</v>
      </c>
      <c r="I2314" s="3"/>
      <c r="J2314" s="42"/>
      <c r="K2314" s="3"/>
      <c r="M2314" s="20">
        <v>42138</v>
      </c>
      <c r="N2314" s="183">
        <v>21075</v>
      </c>
      <c r="O2314" s="14" t="s">
        <v>1101</v>
      </c>
      <c r="P2314" s="105">
        <v>411.4</v>
      </c>
      <c r="Q2314" s="23">
        <v>42138</v>
      </c>
      <c r="R2314" s="106">
        <v>411.4</v>
      </c>
      <c r="S2314" s="48">
        <f t="shared" si="73"/>
        <v>0</v>
      </c>
      <c r="T2314" s="39" t="s">
        <v>9</v>
      </c>
    </row>
    <row r="2315" spans="1:20" x14ac:dyDescent="0.25">
      <c r="A2315" s="20">
        <v>42146</v>
      </c>
      <c r="B2315" s="183">
        <v>21889</v>
      </c>
      <c r="C2315" s="14" t="s">
        <v>24</v>
      </c>
      <c r="D2315" s="105">
        <v>15016.05</v>
      </c>
      <c r="E2315" s="30">
        <v>42165</v>
      </c>
      <c r="F2315" s="144">
        <v>15016.05</v>
      </c>
      <c r="G2315" s="31">
        <f t="shared" si="72"/>
        <v>0</v>
      </c>
      <c r="H2315" s="39" t="s">
        <v>312</v>
      </c>
      <c r="I2315" s="3"/>
      <c r="J2315" s="42"/>
      <c r="K2315" s="3"/>
      <c r="M2315" s="20">
        <v>42142</v>
      </c>
      <c r="N2315" s="183">
        <v>21528</v>
      </c>
      <c r="O2315" s="14" t="s">
        <v>1101</v>
      </c>
      <c r="P2315" s="105">
        <v>356.4</v>
      </c>
      <c r="Q2315" s="23">
        <v>42142</v>
      </c>
      <c r="R2315" s="118">
        <v>356.4</v>
      </c>
      <c r="S2315" s="31">
        <f t="shared" si="73"/>
        <v>0</v>
      </c>
      <c r="T2315" s="56" t="s">
        <v>9</v>
      </c>
    </row>
    <row r="2316" spans="1:20" x14ac:dyDescent="0.25">
      <c r="A2316" s="20">
        <v>42146</v>
      </c>
      <c r="B2316" s="183">
        <v>21890</v>
      </c>
      <c r="C2316" s="14" t="s">
        <v>145</v>
      </c>
      <c r="D2316" s="105">
        <v>3675.6</v>
      </c>
      <c r="E2316" s="23">
        <v>42146</v>
      </c>
      <c r="F2316" s="106">
        <v>3675.6</v>
      </c>
      <c r="G2316" s="31">
        <f t="shared" si="72"/>
        <v>0</v>
      </c>
      <c r="H2316" s="39" t="s">
        <v>9</v>
      </c>
      <c r="I2316" s="3"/>
      <c r="J2316" s="42"/>
      <c r="K2316" s="3"/>
      <c r="M2316" s="20">
        <v>42143</v>
      </c>
      <c r="N2316" s="183">
        <v>21610</v>
      </c>
      <c r="O2316" s="14" t="s">
        <v>1101</v>
      </c>
      <c r="P2316" s="105">
        <v>515.6</v>
      </c>
      <c r="Q2316" s="23">
        <v>42144</v>
      </c>
      <c r="R2316" s="118">
        <v>515.6</v>
      </c>
      <c r="S2316" s="31">
        <f t="shared" si="73"/>
        <v>0</v>
      </c>
      <c r="T2316" s="56" t="s">
        <v>9</v>
      </c>
    </row>
    <row r="2317" spans="1:20" x14ac:dyDescent="0.25">
      <c r="A2317" s="20">
        <v>42146</v>
      </c>
      <c r="B2317" s="183">
        <v>21891</v>
      </c>
      <c r="C2317" s="14" t="s">
        <v>112</v>
      </c>
      <c r="D2317" s="105">
        <v>27092.16</v>
      </c>
      <c r="E2317" s="23">
        <v>42150</v>
      </c>
      <c r="F2317" s="106">
        <v>27092.16</v>
      </c>
      <c r="G2317" s="31">
        <f t="shared" si="72"/>
        <v>0</v>
      </c>
      <c r="H2317" s="39" t="s">
        <v>9</v>
      </c>
      <c r="I2317" s="3"/>
      <c r="J2317" s="42"/>
      <c r="K2317" s="3"/>
      <c r="M2317" s="20">
        <v>42145</v>
      </c>
      <c r="N2317" s="183">
        <v>21803</v>
      </c>
      <c r="O2317" s="15" t="s">
        <v>1101</v>
      </c>
      <c r="P2317" s="122">
        <v>384</v>
      </c>
      <c r="Q2317" s="23">
        <v>42145</v>
      </c>
      <c r="R2317" s="118">
        <v>384</v>
      </c>
      <c r="S2317" s="31">
        <f t="shared" si="73"/>
        <v>0</v>
      </c>
      <c r="T2317" s="68" t="s">
        <v>9</v>
      </c>
    </row>
    <row r="2318" spans="1:20" x14ac:dyDescent="0.25">
      <c r="A2318" s="20">
        <v>42146</v>
      </c>
      <c r="B2318" s="183">
        <v>21892</v>
      </c>
      <c r="C2318" s="14" t="s">
        <v>435</v>
      </c>
      <c r="D2318" s="105">
        <v>640.32000000000005</v>
      </c>
      <c r="E2318" s="23">
        <v>42146</v>
      </c>
      <c r="F2318" s="106">
        <v>640.32000000000005</v>
      </c>
      <c r="G2318" s="31">
        <f t="shared" si="72"/>
        <v>0</v>
      </c>
      <c r="H2318" s="39" t="s">
        <v>9</v>
      </c>
      <c r="I2318" s="3"/>
      <c r="J2318" s="42"/>
      <c r="K2318" s="3"/>
      <c r="M2318" s="20">
        <v>42146</v>
      </c>
      <c r="N2318" s="183">
        <v>21954</v>
      </c>
      <c r="O2318" s="14" t="s">
        <v>1101</v>
      </c>
      <c r="P2318" s="105">
        <v>393</v>
      </c>
      <c r="Q2318" s="23">
        <v>42146</v>
      </c>
      <c r="R2318" s="106">
        <v>393</v>
      </c>
      <c r="S2318" s="31">
        <f t="shared" si="73"/>
        <v>0</v>
      </c>
      <c r="T2318" s="39" t="s">
        <v>9</v>
      </c>
    </row>
    <row r="2319" spans="1:20" x14ac:dyDescent="0.25">
      <c r="A2319" s="20">
        <v>42146</v>
      </c>
      <c r="B2319" s="183">
        <v>21893</v>
      </c>
      <c r="C2319" s="14" t="s">
        <v>1058</v>
      </c>
      <c r="D2319" s="105">
        <v>5030.3999999999996</v>
      </c>
      <c r="E2319" s="23">
        <v>42146</v>
      </c>
      <c r="F2319" s="106">
        <v>5030.3999999999996</v>
      </c>
      <c r="G2319" s="31">
        <f t="shared" si="72"/>
        <v>0</v>
      </c>
      <c r="H2319" s="39" t="s">
        <v>9</v>
      </c>
      <c r="I2319" s="3"/>
      <c r="J2319" s="42"/>
      <c r="K2319" s="3"/>
      <c r="M2319" s="20">
        <v>42155</v>
      </c>
      <c r="N2319" s="183">
        <v>22851</v>
      </c>
      <c r="O2319" s="14" t="s">
        <v>1101</v>
      </c>
      <c r="P2319" s="105">
        <v>353.8</v>
      </c>
      <c r="Q2319" s="23">
        <v>42155</v>
      </c>
      <c r="R2319" s="106">
        <v>353.8</v>
      </c>
      <c r="S2319" s="31">
        <f t="shared" si="73"/>
        <v>0</v>
      </c>
      <c r="T2319" s="39" t="s">
        <v>9</v>
      </c>
    </row>
    <row r="2320" spans="1:20" x14ac:dyDescent="0.25">
      <c r="A2320" s="20">
        <v>42146</v>
      </c>
      <c r="B2320" s="183">
        <v>21894</v>
      </c>
      <c r="C2320" s="14" t="s">
        <v>1058</v>
      </c>
      <c r="D2320" s="105">
        <v>1324.6</v>
      </c>
      <c r="E2320" s="23">
        <v>42146</v>
      </c>
      <c r="F2320" s="106">
        <v>1324.6</v>
      </c>
      <c r="G2320" s="31">
        <f t="shared" si="72"/>
        <v>0</v>
      </c>
      <c r="H2320" s="39" t="s">
        <v>9</v>
      </c>
      <c r="I2320" s="3"/>
      <c r="J2320" s="42"/>
      <c r="K2320" s="3"/>
      <c r="M2320" s="20">
        <v>42130</v>
      </c>
      <c r="N2320" s="183">
        <v>20119</v>
      </c>
      <c r="O2320" s="14" t="s">
        <v>1319</v>
      </c>
      <c r="P2320" s="105">
        <v>2173.4</v>
      </c>
      <c r="Q2320" s="23">
        <v>42131</v>
      </c>
      <c r="R2320" s="106">
        <v>2173.4</v>
      </c>
      <c r="S2320" s="31">
        <f t="shared" si="73"/>
        <v>0</v>
      </c>
      <c r="T2320" s="39" t="s">
        <v>9</v>
      </c>
    </row>
    <row r="2321" spans="1:20" x14ac:dyDescent="0.25">
      <c r="A2321" s="20">
        <v>42146</v>
      </c>
      <c r="B2321" s="183">
        <v>21895</v>
      </c>
      <c r="C2321" s="14" t="s">
        <v>173</v>
      </c>
      <c r="D2321" s="105">
        <v>31417.7</v>
      </c>
      <c r="E2321" s="30" t="s">
        <v>1450</v>
      </c>
      <c r="F2321" s="106">
        <v>31417.7</v>
      </c>
      <c r="G2321" s="31">
        <f t="shared" si="72"/>
        <v>0</v>
      </c>
      <c r="H2321" s="39" t="s">
        <v>62</v>
      </c>
      <c r="I2321" s="3"/>
      <c r="J2321" s="42"/>
      <c r="K2321" s="3"/>
      <c r="M2321" s="20">
        <v>42138</v>
      </c>
      <c r="N2321" s="183">
        <v>20970</v>
      </c>
      <c r="O2321" s="14" t="s">
        <v>1319</v>
      </c>
      <c r="P2321" s="105">
        <v>2627</v>
      </c>
      <c r="Q2321" s="23">
        <v>42139</v>
      </c>
      <c r="R2321" s="106">
        <v>2627</v>
      </c>
      <c r="S2321" s="31">
        <f t="shared" si="73"/>
        <v>0</v>
      </c>
      <c r="T2321" s="19" t="s">
        <v>312</v>
      </c>
    </row>
    <row r="2322" spans="1:20" x14ac:dyDescent="0.25">
      <c r="A2322" s="20">
        <v>42146</v>
      </c>
      <c r="B2322" s="183">
        <v>21896</v>
      </c>
      <c r="C2322" s="14" t="s">
        <v>84</v>
      </c>
      <c r="D2322" s="105">
        <v>50099.65</v>
      </c>
      <c r="E2322" s="30" t="s">
        <v>1436</v>
      </c>
      <c r="F2322" s="106">
        <v>50099.65</v>
      </c>
      <c r="G2322" s="31">
        <f t="shared" si="72"/>
        <v>0</v>
      </c>
      <c r="H2322" s="39" t="s">
        <v>62</v>
      </c>
      <c r="I2322" s="3"/>
      <c r="J2322" s="42"/>
      <c r="K2322" s="3"/>
      <c r="M2322" s="20">
        <v>42128</v>
      </c>
      <c r="N2322" s="183">
        <v>20019</v>
      </c>
      <c r="O2322" s="14" t="s">
        <v>198</v>
      </c>
      <c r="P2322" s="105">
        <v>8937.06</v>
      </c>
      <c r="Q2322" s="23">
        <v>42130</v>
      </c>
      <c r="R2322" s="106">
        <v>8937.06</v>
      </c>
      <c r="S2322" s="31">
        <f t="shared" si="73"/>
        <v>0</v>
      </c>
      <c r="T2322" s="19" t="s">
        <v>149</v>
      </c>
    </row>
    <row r="2323" spans="1:20" x14ac:dyDescent="0.25">
      <c r="A2323" s="20">
        <v>42146</v>
      </c>
      <c r="B2323" s="183">
        <v>21897</v>
      </c>
      <c r="C2323" s="14" t="s">
        <v>422</v>
      </c>
      <c r="D2323" s="105">
        <v>496.8</v>
      </c>
      <c r="E2323" s="23">
        <v>42146</v>
      </c>
      <c r="F2323" s="106">
        <v>496.8</v>
      </c>
      <c r="G2323" s="31">
        <f t="shared" si="72"/>
        <v>0</v>
      </c>
      <c r="H2323" s="39" t="s">
        <v>9</v>
      </c>
      <c r="I2323" s="3"/>
      <c r="J2323" s="42"/>
      <c r="K2323" s="3"/>
      <c r="M2323" s="20">
        <v>42131</v>
      </c>
      <c r="N2323" s="183">
        <v>20319</v>
      </c>
      <c r="O2323" s="14" t="s">
        <v>198</v>
      </c>
      <c r="P2323" s="105">
        <v>23837.200000000001</v>
      </c>
      <c r="Q2323" s="23">
        <v>42133</v>
      </c>
      <c r="R2323" s="106">
        <v>23837.200000000001</v>
      </c>
      <c r="S2323" s="31">
        <f t="shared" si="73"/>
        <v>0</v>
      </c>
      <c r="T2323" s="39" t="s">
        <v>149</v>
      </c>
    </row>
    <row r="2324" spans="1:20" x14ac:dyDescent="0.25">
      <c r="A2324" s="20">
        <v>42146</v>
      </c>
      <c r="B2324" s="183">
        <v>21898</v>
      </c>
      <c r="C2324" s="14" t="s">
        <v>444</v>
      </c>
      <c r="D2324" s="105">
        <v>1252.1199999999999</v>
      </c>
      <c r="E2324" s="23">
        <v>42148</v>
      </c>
      <c r="F2324" s="106">
        <v>1252.1199999999999</v>
      </c>
      <c r="G2324" s="31">
        <f t="shared" si="72"/>
        <v>0</v>
      </c>
      <c r="H2324" s="39" t="s">
        <v>62</v>
      </c>
      <c r="I2324" s="3"/>
      <c r="J2324" s="42"/>
      <c r="K2324" s="3"/>
      <c r="M2324" s="20">
        <v>42135</v>
      </c>
      <c r="N2324" s="183">
        <v>20781</v>
      </c>
      <c r="O2324" s="14" t="s">
        <v>198</v>
      </c>
      <c r="P2324" s="105">
        <v>14758.32</v>
      </c>
      <c r="Q2324" s="23">
        <v>42137</v>
      </c>
      <c r="R2324" s="106">
        <v>14758.32</v>
      </c>
      <c r="S2324" s="31">
        <f t="shared" si="73"/>
        <v>0</v>
      </c>
      <c r="T2324" s="19" t="s">
        <v>149</v>
      </c>
    </row>
    <row r="2325" spans="1:20" x14ac:dyDescent="0.25">
      <c r="A2325" s="20">
        <v>42146</v>
      </c>
      <c r="B2325" s="183">
        <v>21899</v>
      </c>
      <c r="C2325" s="14" t="s">
        <v>43</v>
      </c>
      <c r="D2325" s="105">
        <v>5376.22</v>
      </c>
      <c r="E2325" s="23">
        <v>42146</v>
      </c>
      <c r="F2325" s="106">
        <v>5376.22</v>
      </c>
      <c r="G2325" s="31">
        <f t="shared" si="72"/>
        <v>0</v>
      </c>
      <c r="H2325" s="39" t="s">
        <v>9</v>
      </c>
      <c r="I2325" s="3"/>
      <c r="J2325" s="42"/>
      <c r="K2325" s="3"/>
      <c r="M2325" s="20">
        <v>42138</v>
      </c>
      <c r="N2325" s="183">
        <v>21050</v>
      </c>
      <c r="O2325" s="14" t="s">
        <v>198</v>
      </c>
      <c r="P2325" s="105">
        <v>26169.200000000001</v>
      </c>
      <c r="Q2325" s="23">
        <v>42140</v>
      </c>
      <c r="R2325" s="106">
        <v>26169.200000000001</v>
      </c>
      <c r="S2325" s="48">
        <f t="shared" si="73"/>
        <v>0</v>
      </c>
      <c r="T2325" s="39" t="s">
        <v>149</v>
      </c>
    </row>
    <row r="2326" spans="1:20" x14ac:dyDescent="0.25">
      <c r="A2326" s="20">
        <v>42146</v>
      </c>
      <c r="B2326" s="183">
        <v>21900</v>
      </c>
      <c r="C2326" s="14" t="s">
        <v>89</v>
      </c>
      <c r="D2326" s="105">
        <v>941.6</v>
      </c>
      <c r="E2326" s="23">
        <v>42146</v>
      </c>
      <c r="F2326" s="106">
        <v>941.6</v>
      </c>
      <c r="G2326" s="31">
        <f t="shared" si="72"/>
        <v>0</v>
      </c>
      <c r="H2326" s="39" t="s">
        <v>9</v>
      </c>
      <c r="I2326" s="3"/>
      <c r="J2326" s="42"/>
      <c r="K2326" s="3"/>
      <c r="M2326" s="20">
        <v>42142</v>
      </c>
      <c r="N2326" s="183">
        <v>21508</v>
      </c>
      <c r="O2326" s="14" t="s">
        <v>198</v>
      </c>
      <c r="P2326" s="105">
        <v>21326.77</v>
      </c>
      <c r="Q2326" s="23">
        <v>42145</v>
      </c>
      <c r="R2326" s="106">
        <v>21326.77</v>
      </c>
      <c r="S2326" s="31">
        <f t="shared" si="73"/>
        <v>0</v>
      </c>
      <c r="T2326" s="39" t="s">
        <v>149</v>
      </c>
    </row>
    <row r="2327" spans="1:20" x14ac:dyDescent="0.25">
      <c r="A2327" s="20">
        <v>42146</v>
      </c>
      <c r="B2327" s="183">
        <v>21901</v>
      </c>
      <c r="C2327" s="14" t="s">
        <v>549</v>
      </c>
      <c r="D2327" s="105">
        <v>11358.2</v>
      </c>
      <c r="E2327" s="23">
        <v>42146</v>
      </c>
      <c r="F2327" s="106">
        <v>11358.2</v>
      </c>
      <c r="G2327" s="31">
        <f t="shared" si="72"/>
        <v>0</v>
      </c>
      <c r="H2327" s="39" t="s">
        <v>1273</v>
      </c>
      <c r="I2327" s="3"/>
      <c r="J2327" s="42"/>
      <c r="K2327" s="3"/>
      <c r="M2327" s="20">
        <v>42145</v>
      </c>
      <c r="N2327" s="183">
        <v>21809</v>
      </c>
      <c r="O2327" s="15" t="s">
        <v>198</v>
      </c>
      <c r="P2327" s="122">
        <v>10582</v>
      </c>
      <c r="Q2327" s="23">
        <v>42149</v>
      </c>
      <c r="R2327" s="118">
        <v>10582</v>
      </c>
      <c r="S2327" s="31">
        <f t="shared" si="73"/>
        <v>0</v>
      </c>
      <c r="T2327" s="68" t="s">
        <v>149</v>
      </c>
    </row>
    <row r="2328" spans="1:20" x14ac:dyDescent="0.25">
      <c r="A2328" s="20">
        <v>42146</v>
      </c>
      <c r="B2328" s="183">
        <v>21902</v>
      </c>
      <c r="C2328" s="14" t="s">
        <v>75</v>
      </c>
      <c r="D2328" s="105">
        <v>19381.400000000001</v>
      </c>
      <c r="E2328" s="23">
        <v>42148</v>
      </c>
      <c r="F2328" s="106">
        <v>19381.400000000001</v>
      </c>
      <c r="G2328" s="31">
        <f t="shared" si="72"/>
        <v>0</v>
      </c>
      <c r="H2328" s="39" t="s">
        <v>62</v>
      </c>
      <c r="I2328" s="3"/>
      <c r="J2328" s="42"/>
      <c r="K2328" s="3"/>
      <c r="M2328" s="20">
        <v>42149</v>
      </c>
      <c r="N2328" s="183">
        <v>22241</v>
      </c>
      <c r="O2328" s="14" t="s">
        <v>198</v>
      </c>
      <c r="P2328" s="105">
        <v>23275.72</v>
      </c>
      <c r="Q2328" s="65">
        <v>42151</v>
      </c>
      <c r="R2328" s="106">
        <v>23275.72</v>
      </c>
      <c r="S2328" s="31">
        <f t="shared" si="73"/>
        <v>0</v>
      </c>
      <c r="T2328" s="39" t="s">
        <v>149</v>
      </c>
    </row>
    <row r="2329" spans="1:20" x14ac:dyDescent="0.25">
      <c r="A2329" s="20">
        <v>42146</v>
      </c>
      <c r="B2329" s="183">
        <v>21903</v>
      </c>
      <c r="C2329" s="150" t="s">
        <v>75</v>
      </c>
      <c r="D2329" s="105">
        <v>1079.7</v>
      </c>
      <c r="E2329" s="23">
        <v>42148</v>
      </c>
      <c r="F2329" s="106">
        <v>1079.7</v>
      </c>
      <c r="G2329" s="31">
        <f t="shared" si="72"/>
        <v>0</v>
      </c>
      <c r="H2329" s="39" t="s">
        <v>62</v>
      </c>
      <c r="I2329" s="3"/>
      <c r="J2329" s="42"/>
      <c r="K2329" s="3"/>
      <c r="M2329" s="20">
        <v>42152</v>
      </c>
      <c r="N2329" s="183">
        <v>22530</v>
      </c>
      <c r="O2329" s="14" t="s">
        <v>198</v>
      </c>
      <c r="P2329" s="105">
        <v>15279</v>
      </c>
      <c r="Q2329" s="23">
        <v>42154</v>
      </c>
      <c r="R2329" s="106">
        <v>15279</v>
      </c>
      <c r="S2329" s="31">
        <f t="shared" si="73"/>
        <v>0</v>
      </c>
      <c r="T2329" s="39" t="s">
        <v>149</v>
      </c>
    </row>
    <row r="2330" spans="1:20" x14ac:dyDescent="0.25">
      <c r="A2330" s="20">
        <v>42146</v>
      </c>
      <c r="B2330" s="183">
        <v>21904</v>
      </c>
      <c r="C2330" s="14" t="s">
        <v>179</v>
      </c>
      <c r="D2330" s="105">
        <v>4183.1000000000004</v>
      </c>
      <c r="E2330" s="23">
        <v>42146</v>
      </c>
      <c r="F2330" s="106">
        <v>4183.1000000000004</v>
      </c>
      <c r="G2330" s="31">
        <f t="shared" si="72"/>
        <v>0</v>
      </c>
      <c r="H2330" s="39" t="s">
        <v>15</v>
      </c>
      <c r="I2330" s="3"/>
      <c r="J2330" s="42"/>
      <c r="K2330" s="3"/>
      <c r="M2330" s="20">
        <v>42125</v>
      </c>
      <c r="N2330" s="183">
        <v>19620</v>
      </c>
      <c r="O2330" s="14" t="s">
        <v>120</v>
      </c>
      <c r="P2330" s="105">
        <v>1357.2</v>
      </c>
      <c r="Q2330" s="23">
        <v>42125</v>
      </c>
      <c r="R2330" s="106">
        <v>1357.2</v>
      </c>
      <c r="S2330" s="25">
        <f t="shared" si="73"/>
        <v>0</v>
      </c>
      <c r="T2330" s="19" t="s">
        <v>59</v>
      </c>
    </row>
    <row r="2331" spans="1:20" x14ac:dyDescent="0.25">
      <c r="A2331" s="20">
        <v>42146</v>
      </c>
      <c r="B2331" s="183">
        <v>21905</v>
      </c>
      <c r="C2331" s="150" t="s">
        <v>224</v>
      </c>
      <c r="D2331" s="105">
        <v>3375.4</v>
      </c>
      <c r="E2331" s="23">
        <v>42146</v>
      </c>
      <c r="F2331" s="106">
        <v>3375.4</v>
      </c>
      <c r="G2331" s="31">
        <f t="shared" si="72"/>
        <v>0</v>
      </c>
      <c r="H2331" s="39" t="s">
        <v>1013</v>
      </c>
      <c r="I2331" s="3"/>
      <c r="J2331" s="42"/>
      <c r="K2331" s="3"/>
      <c r="M2331" s="20">
        <v>42126</v>
      </c>
      <c r="N2331" s="183">
        <v>19765</v>
      </c>
      <c r="O2331" s="40" t="s">
        <v>120</v>
      </c>
      <c r="P2331" s="105">
        <v>1488</v>
      </c>
      <c r="Q2331" s="23">
        <v>42127</v>
      </c>
      <c r="R2331" s="106">
        <v>1488</v>
      </c>
      <c r="S2331" s="25">
        <f t="shared" si="73"/>
        <v>0</v>
      </c>
      <c r="T2331" s="41" t="s">
        <v>59</v>
      </c>
    </row>
    <row r="2332" spans="1:20" x14ac:dyDescent="0.25">
      <c r="A2332" s="20">
        <v>42146</v>
      </c>
      <c r="B2332" s="183">
        <v>21906</v>
      </c>
      <c r="C2332" s="14" t="s">
        <v>305</v>
      </c>
      <c r="D2332" s="105">
        <v>2698.2</v>
      </c>
      <c r="E2332" s="23">
        <v>42146</v>
      </c>
      <c r="F2332" s="106">
        <v>2698.2</v>
      </c>
      <c r="G2332" s="31">
        <f t="shared" si="72"/>
        <v>0</v>
      </c>
      <c r="H2332" s="39" t="s">
        <v>9</v>
      </c>
      <c r="I2332" s="3"/>
      <c r="J2332" s="42"/>
      <c r="K2332" s="3"/>
      <c r="M2332" s="20">
        <v>42127</v>
      </c>
      <c r="N2332" s="183">
        <v>19847</v>
      </c>
      <c r="O2332" s="40" t="s">
        <v>120</v>
      </c>
      <c r="P2332" s="105">
        <v>1427.4</v>
      </c>
      <c r="Q2332" s="23">
        <v>42127</v>
      </c>
      <c r="R2332" s="106">
        <v>1427.4</v>
      </c>
      <c r="S2332" s="31">
        <f t="shared" si="73"/>
        <v>0</v>
      </c>
      <c r="T2332" s="41" t="s">
        <v>59</v>
      </c>
    </row>
    <row r="2333" spans="1:20" x14ac:dyDescent="0.25">
      <c r="A2333" s="20">
        <v>42146</v>
      </c>
      <c r="B2333" s="183">
        <v>21907</v>
      </c>
      <c r="C2333" s="14" t="s">
        <v>285</v>
      </c>
      <c r="D2333" s="105">
        <v>708</v>
      </c>
      <c r="E2333" s="23">
        <v>42146</v>
      </c>
      <c r="F2333" s="106">
        <v>708</v>
      </c>
      <c r="G2333" s="31">
        <f t="shared" si="72"/>
        <v>0</v>
      </c>
      <c r="H2333" s="39" t="s">
        <v>1013</v>
      </c>
      <c r="I2333" s="3"/>
      <c r="J2333" s="42"/>
      <c r="K2333" s="3"/>
      <c r="M2333" s="20">
        <v>42128</v>
      </c>
      <c r="N2333" s="183">
        <v>19930</v>
      </c>
      <c r="O2333" s="14" t="s">
        <v>120</v>
      </c>
      <c r="P2333" s="105">
        <v>1485.9</v>
      </c>
      <c r="Q2333" s="23">
        <v>42128</v>
      </c>
      <c r="R2333" s="106">
        <v>1485.9</v>
      </c>
      <c r="S2333" s="31">
        <f t="shared" si="73"/>
        <v>0</v>
      </c>
      <c r="T2333" s="19" t="s">
        <v>59</v>
      </c>
    </row>
    <row r="2334" spans="1:20" x14ac:dyDescent="0.25">
      <c r="A2334" s="20">
        <v>42146</v>
      </c>
      <c r="B2334" s="183">
        <v>21908</v>
      </c>
      <c r="C2334" s="14" t="s">
        <v>14</v>
      </c>
      <c r="D2334" s="105">
        <v>4191</v>
      </c>
      <c r="E2334" s="23">
        <v>42153</v>
      </c>
      <c r="F2334" s="106">
        <v>4191</v>
      </c>
      <c r="G2334" s="31">
        <f t="shared" si="72"/>
        <v>0</v>
      </c>
      <c r="H2334" s="39" t="s">
        <v>15</v>
      </c>
      <c r="I2334" s="3"/>
      <c r="J2334" s="42"/>
      <c r="K2334" s="3"/>
      <c r="M2334" s="20">
        <v>42132</v>
      </c>
      <c r="N2334" s="183">
        <v>20378</v>
      </c>
      <c r="O2334" s="14" t="s">
        <v>120</v>
      </c>
      <c r="P2334" s="105">
        <v>1170</v>
      </c>
      <c r="Q2334" s="23">
        <v>42133</v>
      </c>
      <c r="R2334" s="106">
        <v>1170</v>
      </c>
      <c r="S2334" s="31">
        <f t="shared" si="73"/>
        <v>0</v>
      </c>
      <c r="T2334" s="19" t="s">
        <v>59</v>
      </c>
    </row>
    <row r="2335" spans="1:20" x14ac:dyDescent="0.25">
      <c r="A2335" s="20">
        <v>42146</v>
      </c>
      <c r="B2335" s="183">
        <v>21909</v>
      </c>
      <c r="C2335" s="14" t="s">
        <v>71</v>
      </c>
      <c r="D2335" s="105">
        <v>5984.28</v>
      </c>
      <c r="E2335" s="23">
        <v>42146</v>
      </c>
      <c r="F2335" s="106">
        <v>5984.28</v>
      </c>
      <c r="G2335" s="31">
        <f t="shared" si="72"/>
        <v>0</v>
      </c>
      <c r="H2335" s="39" t="s">
        <v>9</v>
      </c>
      <c r="I2335" s="3"/>
      <c r="J2335" s="42"/>
      <c r="K2335" s="3"/>
      <c r="M2335" s="20">
        <v>42133</v>
      </c>
      <c r="N2335" s="183">
        <v>20512</v>
      </c>
      <c r="O2335" s="14" t="s">
        <v>120</v>
      </c>
      <c r="P2335" s="105">
        <v>1177.8</v>
      </c>
      <c r="Q2335" s="23">
        <v>42134</v>
      </c>
      <c r="R2335" s="106">
        <v>1177.8</v>
      </c>
      <c r="S2335" s="31">
        <f t="shared" si="73"/>
        <v>0</v>
      </c>
      <c r="T2335" s="19" t="s">
        <v>59</v>
      </c>
    </row>
    <row r="2336" spans="1:20" x14ac:dyDescent="0.25">
      <c r="A2336" s="20">
        <v>42146</v>
      </c>
      <c r="B2336" s="183">
        <v>21910</v>
      </c>
      <c r="C2336" s="14" t="s">
        <v>579</v>
      </c>
      <c r="D2336" s="105">
        <v>1994.6</v>
      </c>
      <c r="E2336" s="23">
        <v>42146</v>
      </c>
      <c r="F2336" s="106">
        <v>1994.6</v>
      </c>
      <c r="G2336" s="31">
        <f t="shared" si="72"/>
        <v>0</v>
      </c>
      <c r="H2336" s="39" t="s">
        <v>9</v>
      </c>
      <c r="I2336" s="3"/>
      <c r="J2336" s="42"/>
      <c r="K2336" s="3"/>
      <c r="M2336" s="20">
        <v>42138</v>
      </c>
      <c r="N2336" s="183">
        <v>20996</v>
      </c>
      <c r="O2336" s="14" t="s">
        <v>120</v>
      </c>
      <c r="P2336" s="105">
        <v>1279.2</v>
      </c>
      <c r="Q2336" s="23">
        <v>42138</v>
      </c>
      <c r="R2336" s="106">
        <v>1279.2</v>
      </c>
      <c r="S2336" s="31">
        <f t="shared" si="73"/>
        <v>0</v>
      </c>
      <c r="T2336" s="19" t="s">
        <v>59</v>
      </c>
    </row>
    <row r="2337" spans="1:20" x14ac:dyDescent="0.25">
      <c r="A2337" s="20">
        <v>42146</v>
      </c>
      <c r="B2337" s="183">
        <v>21911</v>
      </c>
      <c r="C2337" s="14" t="s">
        <v>111</v>
      </c>
      <c r="D2337" s="105">
        <v>10000</v>
      </c>
      <c r="E2337" s="23">
        <v>42147</v>
      </c>
      <c r="F2337" s="106">
        <v>10000</v>
      </c>
      <c r="G2337" s="31">
        <f t="shared" si="72"/>
        <v>0</v>
      </c>
      <c r="H2337" s="39" t="s">
        <v>9</v>
      </c>
      <c r="I2337" s="3"/>
      <c r="J2337" s="42"/>
      <c r="K2337" s="3"/>
      <c r="M2337" s="20">
        <v>42139</v>
      </c>
      <c r="N2337" s="183">
        <v>21124</v>
      </c>
      <c r="O2337" s="14" t="s">
        <v>120</v>
      </c>
      <c r="P2337" s="105">
        <v>1216.8</v>
      </c>
      <c r="Q2337" s="23">
        <v>42139</v>
      </c>
      <c r="R2337" s="106">
        <v>1216.8</v>
      </c>
      <c r="S2337" s="48">
        <f t="shared" si="73"/>
        <v>0</v>
      </c>
      <c r="T2337" s="39" t="s">
        <v>59</v>
      </c>
    </row>
    <row r="2338" spans="1:20" x14ac:dyDescent="0.25">
      <c r="A2338" s="20">
        <v>42146</v>
      </c>
      <c r="B2338" s="183">
        <v>21912</v>
      </c>
      <c r="C2338" s="14" t="s">
        <v>65</v>
      </c>
      <c r="D2338" s="105">
        <v>31245.8</v>
      </c>
      <c r="E2338" s="23">
        <v>42148</v>
      </c>
      <c r="F2338" s="106">
        <v>31245.8</v>
      </c>
      <c r="G2338" s="31">
        <f t="shared" si="72"/>
        <v>0</v>
      </c>
      <c r="H2338" s="39" t="s">
        <v>62</v>
      </c>
      <c r="I2338" s="3"/>
      <c r="J2338" s="42"/>
      <c r="K2338" s="3"/>
      <c r="M2338" s="20">
        <v>42140</v>
      </c>
      <c r="N2338" s="183">
        <v>21240</v>
      </c>
      <c r="O2338" s="14" t="s">
        <v>120</v>
      </c>
      <c r="P2338" s="105">
        <v>1288</v>
      </c>
      <c r="Q2338" s="51">
        <v>42140</v>
      </c>
      <c r="R2338" s="106">
        <v>1288</v>
      </c>
      <c r="S2338" s="48">
        <f t="shared" si="73"/>
        <v>0</v>
      </c>
      <c r="T2338" s="39" t="s">
        <v>59</v>
      </c>
    </row>
    <row r="2339" spans="1:20" x14ac:dyDescent="0.25">
      <c r="A2339" s="20">
        <v>42146</v>
      </c>
      <c r="B2339" s="183">
        <v>21913</v>
      </c>
      <c r="C2339" s="14" t="s">
        <v>226</v>
      </c>
      <c r="D2339" s="105">
        <v>2445.6999999999998</v>
      </c>
      <c r="E2339" s="23">
        <v>42146</v>
      </c>
      <c r="F2339" s="106">
        <v>2445.6999999999998</v>
      </c>
      <c r="G2339" s="31">
        <f t="shared" si="72"/>
        <v>0</v>
      </c>
      <c r="H2339" s="39" t="s">
        <v>9</v>
      </c>
      <c r="I2339" s="3"/>
      <c r="J2339" s="42"/>
      <c r="K2339" s="3"/>
      <c r="M2339" s="20">
        <v>42141</v>
      </c>
      <c r="N2339" s="183">
        <v>21332</v>
      </c>
      <c r="O2339" s="14" t="s">
        <v>120</v>
      </c>
      <c r="P2339" s="105">
        <v>3824</v>
      </c>
      <c r="Q2339" s="23">
        <v>42141</v>
      </c>
      <c r="R2339" s="118">
        <v>3824</v>
      </c>
      <c r="S2339" s="31">
        <f t="shared" si="73"/>
        <v>0</v>
      </c>
      <c r="T2339" s="62" t="s">
        <v>59</v>
      </c>
    </row>
    <row r="2340" spans="1:20" x14ac:dyDescent="0.25">
      <c r="A2340" s="20">
        <v>42146</v>
      </c>
      <c r="B2340" s="183">
        <v>21914</v>
      </c>
      <c r="C2340" s="14" t="s">
        <v>335</v>
      </c>
      <c r="D2340" s="105">
        <v>502.2</v>
      </c>
      <c r="E2340" s="23">
        <v>42146</v>
      </c>
      <c r="F2340" s="106">
        <v>502.2</v>
      </c>
      <c r="G2340" s="31">
        <f t="shared" si="72"/>
        <v>0</v>
      </c>
      <c r="H2340" s="39" t="s">
        <v>9</v>
      </c>
      <c r="I2340" s="3"/>
      <c r="J2340" s="42"/>
      <c r="K2340" s="3"/>
      <c r="M2340" s="20">
        <v>42141</v>
      </c>
      <c r="N2340" s="183">
        <v>21342</v>
      </c>
      <c r="O2340" s="14" t="s">
        <v>120</v>
      </c>
      <c r="P2340" s="105">
        <v>1180</v>
      </c>
      <c r="Q2340" s="23">
        <v>42142</v>
      </c>
      <c r="R2340" s="118">
        <v>1180</v>
      </c>
      <c r="S2340" s="31">
        <f t="shared" si="73"/>
        <v>0</v>
      </c>
      <c r="T2340" s="62" t="s">
        <v>59</v>
      </c>
    </row>
    <row r="2341" spans="1:20" x14ac:dyDescent="0.25">
      <c r="A2341" s="20">
        <v>42146</v>
      </c>
      <c r="B2341" s="183">
        <v>21915</v>
      </c>
      <c r="C2341" s="14" t="s">
        <v>65</v>
      </c>
      <c r="D2341" s="105">
        <v>1368.8</v>
      </c>
      <c r="E2341" s="23">
        <v>42148</v>
      </c>
      <c r="F2341" s="106">
        <v>1368.8</v>
      </c>
      <c r="G2341" s="31">
        <f t="shared" si="72"/>
        <v>0</v>
      </c>
      <c r="H2341" s="39" t="s">
        <v>62</v>
      </c>
      <c r="I2341" s="3"/>
      <c r="J2341" s="42"/>
      <c r="K2341" s="3"/>
      <c r="M2341" s="20">
        <v>42147</v>
      </c>
      <c r="N2341" s="183">
        <v>22016</v>
      </c>
      <c r="O2341" s="14" t="s">
        <v>120</v>
      </c>
      <c r="P2341" s="105">
        <v>1549.8</v>
      </c>
      <c r="Q2341" s="65">
        <v>42147</v>
      </c>
      <c r="R2341" s="106">
        <v>1549.8</v>
      </c>
      <c r="S2341" s="31">
        <f t="shared" si="73"/>
        <v>0</v>
      </c>
      <c r="T2341" s="39" t="s">
        <v>9</v>
      </c>
    </row>
    <row r="2342" spans="1:20" x14ac:dyDescent="0.25">
      <c r="A2342" s="20">
        <v>42146</v>
      </c>
      <c r="B2342" s="183">
        <v>21916</v>
      </c>
      <c r="C2342" s="14" t="s">
        <v>78</v>
      </c>
      <c r="D2342" s="105">
        <v>663</v>
      </c>
      <c r="E2342" s="23">
        <v>42148</v>
      </c>
      <c r="F2342" s="106">
        <v>663</v>
      </c>
      <c r="G2342" s="31">
        <f t="shared" si="72"/>
        <v>0</v>
      </c>
      <c r="H2342" s="39" t="s">
        <v>62</v>
      </c>
      <c r="I2342" s="3"/>
      <c r="J2342" s="42"/>
      <c r="K2342" s="3"/>
      <c r="M2342" s="20">
        <v>42148</v>
      </c>
      <c r="N2342" s="183">
        <v>22098</v>
      </c>
      <c r="O2342" s="14" t="s">
        <v>120</v>
      </c>
      <c r="P2342" s="105">
        <v>1297.8</v>
      </c>
      <c r="Q2342" s="65">
        <v>42148</v>
      </c>
      <c r="R2342" s="106">
        <v>1297.8</v>
      </c>
      <c r="S2342" s="31">
        <f t="shared" si="73"/>
        <v>0</v>
      </c>
      <c r="T2342" s="39" t="s">
        <v>59</v>
      </c>
    </row>
    <row r="2343" spans="1:20" x14ac:dyDescent="0.25">
      <c r="A2343" s="20">
        <v>42146</v>
      </c>
      <c r="B2343" s="183">
        <v>21917</v>
      </c>
      <c r="C2343" s="14" t="s">
        <v>268</v>
      </c>
      <c r="D2343" s="105">
        <v>17853.2</v>
      </c>
      <c r="E2343" s="23">
        <v>42148</v>
      </c>
      <c r="F2343" s="106">
        <v>17853.2</v>
      </c>
      <c r="G2343" s="31">
        <f t="shared" si="72"/>
        <v>0</v>
      </c>
      <c r="H2343" s="39" t="s">
        <v>62</v>
      </c>
      <c r="I2343" s="3"/>
      <c r="J2343" s="42"/>
      <c r="K2343" s="3"/>
      <c r="M2343" s="20">
        <v>42153</v>
      </c>
      <c r="N2343" s="183">
        <v>22562</v>
      </c>
      <c r="O2343" s="14" t="s">
        <v>120</v>
      </c>
      <c r="P2343" s="105">
        <v>1839.6</v>
      </c>
      <c r="Q2343" s="23">
        <v>42153</v>
      </c>
      <c r="R2343" s="106">
        <v>1839.6</v>
      </c>
      <c r="S2343" s="31">
        <f t="shared" si="73"/>
        <v>0</v>
      </c>
      <c r="T2343" s="39" t="s">
        <v>59</v>
      </c>
    </row>
    <row r="2344" spans="1:20" x14ac:dyDescent="0.25">
      <c r="A2344" s="20">
        <v>42146</v>
      </c>
      <c r="B2344" s="183">
        <v>21918</v>
      </c>
      <c r="C2344" s="14" t="s">
        <v>72</v>
      </c>
      <c r="D2344" s="105">
        <v>18141.400000000001</v>
      </c>
      <c r="E2344" s="30" t="s">
        <v>1451</v>
      </c>
      <c r="F2344" s="144">
        <v>18141.400000000001</v>
      </c>
      <c r="G2344" s="31">
        <f t="shared" si="72"/>
        <v>0</v>
      </c>
      <c r="H2344" s="39" t="s">
        <v>62</v>
      </c>
      <c r="I2344" s="3"/>
      <c r="J2344" s="42"/>
      <c r="K2344" s="3"/>
      <c r="M2344" s="20">
        <v>42154</v>
      </c>
      <c r="N2344" s="183">
        <v>22725</v>
      </c>
      <c r="O2344" s="14" t="s">
        <v>120</v>
      </c>
      <c r="P2344" s="105">
        <v>1730.4</v>
      </c>
      <c r="Q2344" s="23">
        <v>42154</v>
      </c>
      <c r="R2344" s="106">
        <v>1730.4</v>
      </c>
      <c r="S2344" s="31">
        <f t="shared" si="73"/>
        <v>0</v>
      </c>
      <c r="T2344" s="39" t="s">
        <v>59</v>
      </c>
    </row>
    <row r="2345" spans="1:20" x14ac:dyDescent="0.25">
      <c r="A2345" s="20">
        <v>42146</v>
      </c>
      <c r="B2345" s="183">
        <v>21919</v>
      </c>
      <c r="C2345" s="14" t="s">
        <v>176</v>
      </c>
      <c r="D2345" s="105">
        <v>7725.4</v>
      </c>
      <c r="E2345" s="30" t="s">
        <v>1437</v>
      </c>
      <c r="F2345" s="144">
        <v>7725.4</v>
      </c>
      <c r="G2345" s="31">
        <f t="shared" si="72"/>
        <v>0</v>
      </c>
      <c r="H2345" s="39" t="s">
        <v>62</v>
      </c>
      <c r="I2345" s="3"/>
      <c r="J2345" s="42"/>
      <c r="K2345" s="3"/>
      <c r="M2345" s="20">
        <v>42129</v>
      </c>
      <c r="N2345" s="183">
        <v>20086</v>
      </c>
      <c r="O2345" s="14" t="s">
        <v>1316</v>
      </c>
      <c r="P2345" s="105">
        <v>5085.6000000000004</v>
      </c>
      <c r="Q2345" s="23">
        <v>42129</v>
      </c>
      <c r="R2345" s="106">
        <v>5085.6000000000004</v>
      </c>
      <c r="S2345" s="31">
        <f t="shared" si="73"/>
        <v>0</v>
      </c>
      <c r="T2345" s="39" t="s">
        <v>9</v>
      </c>
    </row>
    <row r="2346" spans="1:20" x14ac:dyDescent="0.25">
      <c r="A2346" s="20">
        <v>42146</v>
      </c>
      <c r="B2346" s="183">
        <v>21920</v>
      </c>
      <c r="C2346" s="14" t="s">
        <v>35</v>
      </c>
      <c r="D2346" s="105">
        <v>26543.7</v>
      </c>
      <c r="E2346" s="23">
        <v>42147</v>
      </c>
      <c r="F2346" s="106">
        <v>26543.7</v>
      </c>
      <c r="G2346" s="31">
        <f t="shared" si="72"/>
        <v>0</v>
      </c>
      <c r="H2346" s="39" t="s">
        <v>1257</v>
      </c>
      <c r="I2346" s="3"/>
      <c r="J2346" s="42"/>
      <c r="K2346" s="3"/>
      <c r="M2346" s="20">
        <v>42129</v>
      </c>
      <c r="N2346" s="183">
        <v>20087</v>
      </c>
      <c r="O2346" s="14" t="s">
        <v>1316</v>
      </c>
      <c r="P2346" s="105">
        <v>319.2</v>
      </c>
      <c r="Q2346" s="23">
        <v>42129</v>
      </c>
      <c r="R2346" s="106">
        <v>319.2</v>
      </c>
      <c r="S2346" s="31">
        <f t="shared" si="73"/>
        <v>0</v>
      </c>
      <c r="T2346" s="39" t="s">
        <v>9</v>
      </c>
    </row>
    <row r="2347" spans="1:20" x14ac:dyDescent="0.25">
      <c r="A2347" s="20">
        <v>42146</v>
      </c>
      <c r="B2347" s="183">
        <v>21921</v>
      </c>
      <c r="C2347" s="14" t="s">
        <v>256</v>
      </c>
      <c r="D2347" s="105">
        <v>7514.4</v>
      </c>
      <c r="E2347" s="23">
        <v>42147</v>
      </c>
      <c r="F2347" s="106">
        <v>7514.4</v>
      </c>
      <c r="G2347" s="31">
        <f t="shared" si="72"/>
        <v>0</v>
      </c>
      <c r="H2347" s="39" t="s">
        <v>1257</v>
      </c>
      <c r="I2347" s="3"/>
      <c r="J2347" s="42"/>
      <c r="K2347" s="3"/>
      <c r="M2347" s="20">
        <v>42136</v>
      </c>
      <c r="N2347" s="183">
        <v>20846</v>
      </c>
      <c r="O2347" s="14" t="s">
        <v>180</v>
      </c>
      <c r="P2347" s="105">
        <v>2879.1</v>
      </c>
      <c r="Q2347" s="23">
        <v>42136</v>
      </c>
      <c r="R2347" s="106">
        <v>2879.1</v>
      </c>
      <c r="S2347" s="31">
        <f t="shared" si="73"/>
        <v>0</v>
      </c>
      <c r="T2347" s="39" t="s">
        <v>9</v>
      </c>
    </row>
    <row r="2348" spans="1:20" x14ac:dyDescent="0.25">
      <c r="A2348" s="20">
        <v>42146</v>
      </c>
      <c r="B2348" s="183">
        <v>21922</v>
      </c>
      <c r="C2348" s="14" t="s">
        <v>47</v>
      </c>
      <c r="D2348" s="105">
        <v>14663.2</v>
      </c>
      <c r="E2348" s="23">
        <v>42148</v>
      </c>
      <c r="F2348" s="106">
        <v>14663.2</v>
      </c>
      <c r="G2348" s="31">
        <f t="shared" si="72"/>
        <v>0</v>
      </c>
      <c r="H2348" s="39" t="s">
        <v>1257</v>
      </c>
      <c r="I2348" s="3"/>
      <c r="J2348" s="42"/>
      <c r="K2348" s="3"/>
      <c r="M2348" s="20">
        <v>42136</v>
      </c>
      <c r="N2348" s="183">
        <v>20858</v>
      </c>
      <c r="O2348" s="14" t="s">
        <v>180</v>
      </c>
      <c r="P2348" s="105">
        <v>2724</v>
      </c>
      <c r="Q2348" s="23">
        <v>42136</v>
      </c>
      <c r="R2348" s="106">
        <v>2724</v>
      </c>
      <c r="S2348" s="31">
        <f t="shared" si="73"/>
        <v>0</v>
      </c>
      <c r="T2348" s="39" t="s">
        <v>62</v>
      </c>
    </row>
    <row r="2349" spans="1:20" x14ac:dyDescent="0.25">
      <c r="A2349" s="20">
        <v>42146</v>
      </c>
      <c r="B2349" s="183">
        <v>21923</v>
      </c>
      <c r="C2349" s="26" t="s">
        <v>218</v>
      </c>
      <c r="D2349" s="108">
        <v>0</v>
      </c>
      <c r="E2349" s="23"/>
      <c r="F2349" s="106"/>
      <c r="G2349" s="31">
        <f t="shared" si="72"/>
        <v>0</v>
      </c>
      <c r="H2349" s="39" t="s">
        <v>13</v>
      </c>
      <c r="I2349" s="3"/>
      <c r="J2349" s="42"/>
      <c r="K2349" s="3"/>
      <c r="M2349" s="20">
        <v>42142</v>
      </c>
      <c r="N2349" s="183">
        <v>21468</v>
      </c>
      <c r="O2349" s="14" t="s">
        <v>180</v>
      </c>
      <c r="P2349" s="105">
        <v>5748.8</v>
      </c>
      <c r="Q2349" s="65">
        <v>42142</v>
      </c>
      <c r="R2349" s="106">
        <v>5748.8</v>
      </c>
      <c r="S2349" s="31">
        <f t="shared" si="73"/>
        <v>0</v>
      </c>
      <c r="T2349" s="19" t="s">
        <v>9</v>
      </c>
    </row>
    <row r="2350" spans="1:20" x14ac:dyDescent="0.25">
      <c r="A2350" s="20">
        <v>42146</v>
      </c>
      <c r="B2350" s="183">
        <v>21924</v>
      </c>
      <c r="C2350" s="14" t="s">
        <v>235</v>
      </c>
      <c r="D2350" s="105">
        <v>2394.4</v>
      </c>
      <c r="E2350" s="23">
        <v>42147</v>
      </c>
      <c r="F2350" s="106">
        <v>2394.4</v>
      </c>
      <c r="G2350" s="31">
        <f t="shared" si="72"/>
        <v>0</v>
      </c>
      <c r="H2350" s="39" t="s">
        <v>1257</v>
      </c>
      <c r="I2350" s="3"/>
      <c r="J2350" s="42"/>
      <c r="K2350" s="3"/>
      <c r="M2350" s="20">
        <v>42149</v>
      </c>
      <c r="N2350" s="183">
        <v>22210</v>
      </c>
      <c r="O2350" s="14" t="s">
        <v>180</v>
      </c>
      <c r="P2350" s="105">
        <v>6026.9</v>
      </c>
      <c r="Q2350" s="65">
        <v>42149</v>
      </c>
      <c r="R2350" s="106">
        <v>6026.9</v>
      </c>
      <c r="S2350" s="31">
        <f t="shared" si="73"/>
        <v>0</v>
      </c>
      <c r="T2350" s="39" t="s">
        <v>9</v>
      </c>
    </row>
    <row r="2351" spans="1:20" x14ac:dyDescent="0.25">
      <c r="A2351" s="20">
        <v>42146</v>
      </c>
      <c r="B2351" s="183">
        <v>21925</v>
      </c>
      <c r="C2351" s="14" t="s">
        <v>111</v>
      </c>
      <c r="D2351" s="105">
        <v>156325</v>
      </c>
      <c r="E2351" s="23">
        <v>42147</v>
      </c>
      <c r="F2351" s="106">
        <v>156325</v>
      </c>
      <c r="G2351" s="31">
        <f t="shared" si="72"/>
        <v>0</v>
      </c>
      <c r="H2351" s="39" t="s">
        <v>9</v>
      </c>
      <c r="I2351" s="3"/>
      <c r="J2351" s="42"/>
      <c r="K2351" s="3"/>
      <c r="M2351" s="20">
        <v>42126</v>
      </c>
      <c r="N2351" s="183">
        <v>19763</v>
      </c>
      <c r="O2351" s="40" t="s">
        <v>167</v>
      </c>
      <c r="P2351" s="105">
        <v>508.8</v>
      </c>
      <c r="Q2351" s="23">
        <v>42127</v>
      </c>
      <c r="R2351" s="106">
        <v>508.8</v>
      </c>
      <c r="S2351" s="25">
        <f t="shared" si="73"/>
        <v>0</v>
      </c>
      <c r="T2351" s="41" t="s">
        <v>59</v>
      </c>
    </row>
    <row r="2352" spans="1:20" x14ac:dyDescent="0.25">
      <c r="A2352" s="20">
        <v>42146</v>
      </c>
      <c r="B2352" s="183">
        <v>21926</v>
      </c>
      <c r="C2352" s="14" t="s">
        <v>213</v>
      </c>
      <c r="D2352" s="105">
        <v>10000</v>
      </c>
      <c r="E2352" s="30"/>
      <c r="F2352" s="144"/>
      <c r="G2352" s="31">
        <f t="shared" si="72"/>
        <v>10000</v>
      </c>
      <c r="H2352" s="39" t="s">
        <v>9</v>
      </c>
      <c r="I2352" s="3"/>
      <c r="J2352" s="42"/>
      <c r="K2352" s="3"/>
      <c r="M2352" s="20">
        <v>42129</v>
      </c>
      <c r="N2352" s="183">
        <v>20060</v>
      </c>
      <c r="O2352" s="14" t="s">
        <v>167</v>
      </c>
      <c r="P2352" s="105">
        <v>356.4</v>
      </c>
      <c r="Q2352" s="23">
        <v>42129</v>
      </c>
      <c r="R2352" s="106">
        <v>356.4</v>
      </c>
      <c r="S2352" s="31">
        <f t="shared" si="73"/>
        <v>0</v>
      </c>
      <c r="T2352" s="39" t="s">
        <v>59</v>
      </c>
    </row>
    <row r="2353" spans="1:20" x14ac:dyDescent="0.25">
      <c r="A2353" s="20">
        <v>42146</v>
      </c>
      <c r="B2353" s="183">
        <v>21927</v>
      </c>
      <c r="C2353" s="127" t="s">
        <v>1321</v>
      </c>
      <c r="D2353" s="105">
        <v>0</v>
      </c>
      <c r="E2353" s="23"/>
      <c r="F2353" s="106"/>
      <c r="G2353" s="31">
        <f t="shared" si="72"/>
        <v>0</v>
      </c>
      <c r="H2353" s="39" t="s">
        <v>13</v>
      </c>
      <c r="I2353" s="3"/>
      <c r="J2353" s="42"/>
      <c r="K2353" s="3"/>
      <c r="M2353" s="20">
        <v>42131</v>
      </c>
      <c r="N2353" s="183">
        <v>20290</v>
      </c>
      <c r="O2353" s="14" t="s">
        <v>167</v>
      </c>
      <c r="P2353" s="105">
        <v>492</v>
      </c>
      <c r="Q2353" s="23">
        <v>42132</v>
      </c>
      <c r="R2353" s="106">
        <v>492</v>
      </c>
      <c r="S2353" s="31">
        <f t="shared" si="73"/>
        <v>0</v>
      </c>
      <c r="T2353" s="19" t="s">
        <v>9</v>
      </c>
    </row>
    <row r="2354" spans="1:20" x14ac:dyDescent="0.25">
      <c r="A2354" s="20">
        <v>42146</v>
      </c>
      <c r="B2354" s="183">
        <v>21928</v>
      </c>
      <c r="C2354" s="14" t="s">
        <v>145</v>
      </c>
      <c r="D2354" s="105">
        <v>2196.25</v>
      </c>
      <c r="E2354" s="23">
        <v>42146</v>
      </c>
      <c r="F2354" s="106">
        <v>2196.25</v>
      </c>
      <c r="G2354" s="31">
        <f t="shared" si="72"/>
        <v>0</v>
      </c>
      <c r="H2354" s="39" t="s">
        <v>9</v>
      </c>
      <c r="I2354" s="3"/>
      <c r="J2354" s="42"/>
      <c r="K2354" s="3"/>
      <c r="M2354" s="20">
        <v>42135</v>
      </c>
      <c r="N2354" s="183">
        <v>20705</v>
      </c>
      <c r="O2354" s="14" t="s">
        <v>167</v>
      </c>
      <c r="P2354" s="105">
        <v>393.6</v>
      </c>
      <c r="Q2354" s="23">
        <v>42135</v>
      </c>
      <c r="R2354" s="106">
        <v>393.6</v>
      </c>
      <c r="S2354" s="31">
        <f t="shared" si="73"/>
        <v>0</v>
      </c>
      <c r="T2354" s="39" t="s">
        <v>59</v>
      </c>
    </row>
    <row r="2355" spans="1:20" x14ac:dyDescent="0.25">
      <c r="A2355" s="20">
        <v>42146</v>
      </c>
      <c r="B2355" s="183">
        <v>21929</v>
      </c>
      <c r="C2355" s="14" t="s">
        <v>1267</v>
      </c>
      <c r="D2355" s="105">
        <v>1200</v>
      </c>
      <c r="E2355" s="23">
        <v>42147</v>
      </c>
      <c r="F2355" s="106">
        <v>1200</v>
      </c>
      <c r="G2355" s="31">
        <f t="shared" si="72"/>
        <v>0</v>
      </c>
      <c r="H2355" s="39" t="s">
        <v>1273</v>
      </c>
      <c r="I2355" s="3"/>
      <c r="J2355" s="42"/>
      <c r="K2355" s="3"/>
      <c r="M2355" s="20">
        <v>42138</v>
      </c>
      <c r="N2355" s="183">
        <v>21008</v>
      </c>
      <c r="O2355" s="14" t="s">
        <v>167</v>
      </c>
      <c r="P2355" s="105">
        <v>547.20000000000005</v>
      </c>
      <c r="Q2355" s="23">
        <v>42138</v>
      </c>
      <c r="R2355" s="106">
        <v>547.20000000000005</v>
      </c>
      <c r="S2355" s="48">
        <f t="shared" si="73"/>
        <v>0</v>
      </c>
      <c r="T2355" s="19" t="s">
        <v>59</v>
      </c>
    </row>
    <row r="2356" spans="1:20" x14ac:dyDescent="0.25">
      <c r="A2356" s="20">
        <v>42146</v>
      </c>
      <c r="B2356" s="183">
        <v>21930</v>
      </c>
      <c r="C2356" s="14" t="s">
        <v>571</v>
      </c>
      <c r="D2356" s="105">
        <v>23411</v>
      </c>
      <c r="E2356" s="23">
        <v>42147</v>
      </c>
      <c r="F2356" s="106">
        <v>23411</v>
      </c>
      <c r="G2356" s="31">
        <f t="shared" si="72"/>
        <v>0</v>
      </c>
      <c r="H2356" s="39" t="s">
        <v>94</v>
      </c>
      <c r="I2356" s="3"/>
      <c r="J2356" s="42"/>
      <c r="K2356" s="3"/>
      <c r="M2356" s="20">
        <v>42140</v>
      </c>
      <c r="N2356" s="183">
        <v>21233</v>
      </c>
      <c r="O2356" s="14" t="s">
        <v>167</v>
      </c>
      <c r="P2356" s="105">
        <v>568.79999999999995</v>
      </c>
      <c r="Q2356" s="23">
        <v>42140</v>
      </c>
      <c r="R2356" s="106">
        <v>568.79999999999995</v>
      </c>
      <c r="S2356" s="48">
        <f t="shared" si="73"/>
        <v>0</v>
      </c>
      <c r="T2356" s="39" t="s">
        <v>59</v>
      </c>
    </row>
    <row r="2357" spans="1:20" x14ac:dyDescent="0.25">
      <c r="A2357" s="20">
        <v>42146</v>
      </c>
      <c r="B2357" s="183">
        <v>21931</v>
      </c>
      <c r="C2357" s="14" t="s">
        <v>50</v>
      </c>
      <c r="D2357" s="105">
        <v>2053.1999999999998</v>
      </c>
      <c r="E2357" s="23">
        <v>42147</v>
      </c>
      <c r="F2357" s="106">
        <v>2053.1999999999998</v>
      </c>
      <c r="G2357" s="31">
        <f t="shared" si="72"/>
        <v>0</v>
      </c>
      <c r="H2357" s="39" t="s">
        <v>94</v>
      </c>
      <c r="I2357" s="3"/>
      <c r="J2357" s="42"/>
      <c r="K2357" s="3"/>
      <c r="M2357" s="20">
        <v>42142</v>
      </c>
      <c r="N2357" s="183">
        <v>21435</v>
      </c>
      <c r="O2357" s="14" t="s">
        <v>167</v>
      </c>
      <c r="P2357" s="105">
        <v>512.6</v>
      </c>
      <c r="Q2357" s="23">
        <v>42142</v>
      </c>
      <c r="R2357" s="106">
        <v>512.6</v>
      </c>
      <c r="S2357" s="31">
        <f t="shared" si="73"/>
        <v>0</v>
      </c>
      <c r="T2357" s="39" t="s">
        <v>59</v>
      </c>
    </row>
    <row r="2358" spans="1:20" x14ac:dyDescent="0.25">
      <c r="A2358" s="20">
        <v>42146</v>
      </c>
      <c r="B2358" s="183">
        <v>21932</v>
      </c>
      <c r="C2358" s="14" t="s">
        <v>24</v>
      </c>
      <c r="D2358" s="105">
        <v>147208.70000000001</v>
      </c>
      <c r="E2358" s="30">
        <v>42165</v>
      </c>
      <c r="F2358" s="144">
        <v>147208.70000000001</v>
      </c>
      <c r="G2358" s="31">
        <f t="shared" si="72"/>
        <v>0</v>
      </c>
      <c r="H2358" s="39" t="s">
        <v>46</v>
      </c>
      <c r="I2358" s="3"/>
      <c r="J2358" s="42"/>
      <c r="K2358" s="3"/>
      <c r="M2358" s="20">
        <v>42144</v>
      </c>
      <c r="N2358" s="183">
        <v>21674</v>
      </c>
      <c r="O2358" s="14" t="s">
        <v>167</v>
      </c>
      <c r="P2358" s="105">
        <v>480</v>
      </c>
      <c r="Q2358" s="23">
        <v>42145</v>
      </c>
      <c r="R2358" s="118">
        <v>480</v>
      </c>
      <c r="S2358" s="31">
        <f t="shared" si="73"/>
        <v>0</v>
      </c>
      <c r="T2358" s="62" t="s">
        <v>1257</v>
      </c>
    </row>
    <row r="2359" spans="1:20" x14ac:dyDescent="0.25">
      <c r="A2359" s="20">
        <v>42146</v>
      </c>
      <c r="B2359" s="183">
        <v>21933</v>
      </c>
      <c r="C2359" s="14" t="s">
        <v>24</v>
      </c>
      <c r="D2359" s="105">
        <v>100985.3</v>
      </c>
      <c r="E2359" s="30">
        <v>42165</v>
      </c>
      <c r="F2359" s="144">
        <v>100985.3</v>
      </c>
      <c r="G2359" s="48">
        <f t="shared" si="72"/>
        <v>0</v>
      </c>
      <c r="H2359" s="39" t="s">
        <v>312</v>
      </c>
      <c r="I2359" s="3"/>
      <c r="J2359" s="42"/>
      <c r="K2359" s="3"/>
      <c r="M2359" s="20">
        <v>42146</v>
      </c>
      <c r="N2359" s="183">
        <v>21873</v>
      </c>
      <c r="O2359" s="14" t="s">
        <v>167</v>
      </c>
      <c r="P2359" s="105">
        <v>552</v>
      </c>
      <c r="Q2359" s="23">
        <v>42146</v>
      </c>
      <c r="R2359" s="106">
        <v>552</v>
      </c>
      <c r="S2359" s="31">
        <f t="shared" si="73"/>
        <v>0</v>
      </c>
      <c r="T2359" s="39" t="s">
        <v>59</v>
      </c>
    </row>
    <row r="2360" spans="1:20" x14ac:dyDescent="0.25">
      <c r="A2360" s="20">
        <v>42146</v>
      </c>
      <c r="B2360" s="183">
        <v>21934</v>
      </c>
      <c r="C2360" s="14" t="s">
        <v>98</v>
      </c>
      <c r="D2360" s="105">
        <v>3598.8</v>
      </c>
      <c r="E2360" s="23">
        <v>42147</v>
      </c>
      <c r="F2360" s="106">
        <v>3598.8</v>
      </c>
      <c r="G2360" s="31">
        <f t="shared" si="72"/>
        <v>0</v>
      </c>
      <c r="H2360" s="39" t="s">
        <v>1273</v>
      </c>
      <c r="I2360" s="3"/>
      <c r="J2360" s="42"/>
      <c r="K2360" s="3"/>
      <c r="M2360" s="20">
        <v>42149</v>
      </c>
      <c r="N2360" s="183">
        <v>22147</v>
      </c>
      <c r="O2360" s="14" t="s">
        <v>167</v>
      </c>
      <c r="P2360" s="105">
        <v>578.4</v>
      </c>
      <c r="Q2360" s="65">
        <v>42149</v>
      </c>
      <c r="R2360" s="106">
        <v>578.4</v>
      </c>
      <c r="S2360" s="31">
        <f t="shared" si="73"/>
        <v>0</v>
      </c>
      <c r="T2360" s="39" t="s">
        <v>59</v>
      </c>
    </row>
    <row r="2361" spans="1:20" x14ac:dyDescent="0.25">
      <c r="A2361" s="20">
        <v>42146</v>
      </c>
      <c r="B2361" s="183">
        <v>21935</v>
      </c>
      <c r="C2361" s="14" t="s">
        <v>106</v>
      </c>
      <c r="D2361" s="105">
        <v>19796.8</v>
      </c>
      <c r="E2361" s="23">
        <v>42147</v>
      </c>
      <c r="F2361" s="106">
        <v>19796.8</v>
      </c>
      <c r="G2361" s="31">
        <f t="shared" si="72"/>
        <v>0</v>
      </c>
      <c r="H2361" s="39" t="s">
        <v>1273</v>
      </c>
      <c r="I2361" s="3"/>
      <c r="J2361" s="42"/>
      <c r="K2361" s="3"/>
      <c r="M2361" s="20">
        <v>42151</v>
      </c>
      <c r="N2361" s="183">
        <v>22375</v>
      </c>
      <c r="O2361" s="14" t="s">
        <v>167</v>
      </c>
      <c r="P2361" s="105">
        <v>429.6</v>
      </c>
      <c r="Q2361" s="23">
        <v>42151</v>
      </c>
      <c r="R2361" s="106">
        <v>429.6</v>
      </c>
      <c r="S2361" s="31">
        <f t="shared" si="73"/>
        <v>0</v>
      </c>
      <c r="T2361" s="39" t="s">
        <v>1257</v>
      </c>
    </row>
    <row r="2362" spans="1:20" x14ac:dyDescent="0.25">
      <c r="A2362" s="20">
        <v>42146</v>
      </c>
      <c r="B2362" s="183">
        <v>21936</v>
      </c>
      <c r="C2362" s="14" t="s">
        <v>1357</v>
      </c>
      <c r="D2362" s="105">
        <v>3993.6</v>
      </c>
      <c r="E2362" s="23">
        <v>42147</v>
      </c>
      <c r="F2362" s="106">
        <v>3993.6</v>
      </c>
      <c r="G2362" s="31">
        <f t="shared" si="72"/>
        <v>0</v>
      </c>
      <c r="H2362" s="39" t="s">
        <v>9</v>
      </c>
      <c r="I2362" s="3"/>
      <c r="J2362" s="42"/>
      <c r="K2362" s="3"/>
      <c r="M2362" s="20">
        <v>42153</v>
      </c>
      <c r="N2362" s="183">
        <v>22548</v>
      </c>
      <c r="O2362" s="14" t="s">
        <v>167</v>
      </c>
      <c r="P2362" s="105">
        <v>552</v>
      </c>
      <c r="Q2362" s="23">
        <v>42153</v>
      </c>
      <c r="R2362" s="106">
        <v>552</v>
      </c>
      <c r="S2362" s="31">
        <f t="shared" si="73"/>
        <v>0</v>
      </c>
      <c r="T2362" s="39" t="s">
        <v>59</v>
      </c>
    </row>
    <row r="2363" spans="1:20" x14ac:dyDescent="0.25">
      <c r="A2363" s="20">
        <v>42146</v>
      </c>
      <c r="B2363" s="183">
        <v>21937</v>
      </c>
      <c r="C2363" s="14" t="s">
        <v>93</v>
      </c>
      <c r="D2363" s="105">
        <v>2982.2</v>
      </c>
      <c r="E2363" s="23">
        <v>42147</v>
      </c>
      <c r="F2363" s="106">
        <v>2982.2</v>
      </c>
      <c r="G2363" s="31">
        <f t="shared" si="72"/>
        <v>0</v>
      </c>
      <c r="H2363" s="39" t="s">
        <v>1273</v>
      </c>
      <c r="I2363" s="3"/>
      <c r="J2363" s="42"/>
      <c r="K2363" s="3"/>
      <c r="M2363" s="20">
        <v>42154</v>
      </c>
      <c r="N2363" s="183">
        <v>22724</v>
      </c>
      <c r="O2363" s="14" t="s">
        <v>167</v>
      </c>
      <c r="P2363" s="105">
        <v>628.79999999999995</v>
      </c>
      <c r="Q2363" s="23">
        <v>42155</v>
      </c>
      <c r="R2363" s="106">
        <v>628.79999999999995</v>
      </c>
      <c r="S2363" s="31">
        <f t="shared" si="73"/>
        <v>0</v>
      </c>
      <c r="T2363" s="39" t="s">
        <v>59</v>
      </c>
    </row>
    <row r="2364" spans="1:20" x14ac:dyDescent="0.25">
      <c r="A2364" s="20">
        <v>42146</v>
      </c>
      <c r="B2364" s="183">
        <v>21938</v>
      </c>
      <c r="C2364" s="14" t="s">
        <v>95</v>
      </c>
      <c r="D2364" s="105">
        <v>1931.4</v>
      </c>
      <c r="E2364" s="23">
        <v>42147</v>
      </c>
      <c r="F2364" s="106">
        <v>1931.4</v>
      </c>
      <c r="G2364" s="31">
        <f t="shared" si="72"/>
        <v>0</v>
      </c>
      <c r="H2364" s="39" t="s">
        <v>1273</v>
      </c>
      <c r="I2364" s="3"/>
      <c r="J2364" s="42"/>
      <c r="K2364" s="3"/>
      <c r="M2364" s="20">
        <v>42125</v>
      </c>
      <c r="N2364" s="183">
        <v>19625</v>
      </c>
      <c r="O2364" s="14" t="s">
        <v>164</v>
      </c>
      <c r="P2364" s="105">
        <v>2860.2</v>
      </c>
      <c r="Q2364" s="23">
        <v>42125</v>
      </c>
      <c r="R2364" s="106">
        <v>2860.2</v>
      </c>
      <c r="S2364" s="25">
        <f t="shared" si="73"/>
        <v>0</v>
      </c>
      <c r="T2364" s="19" t="s">
        <v>9</v>
      </c>
    </row>
    <row r="2365" spans="1:20" x14ac:dyDescent="0.25">
      <c r="A2365" s="20">
        <v>42146</v>
      </c>
      <c r="B2365" s="183">
        <v>21939</v>
      </c>
      <c r="C2365" s="14" t="s">
        <v>104</v>
      </c>
      <c r="D2365" s="105">
        <v>5212.2</v>
      </c>
      <c r="E2365" s="23">
        <v>42147</v>
      </c>
      <c r="F2365" s="106">
        <v>5212.2</v>
      </c>
      <c r="G2365" s="31">
        <f t="shared" si="72"/>
        <v>0</v>
      </c>
      <c r="H2365" s="39" t="s">
        <v>1273</v>
      </c>
      <c r="I2365" s="3"/>
      <c r="J2365" s="42"/>
      <c r="K2365" s="3"/>
      <c r="M2365" s="20">
        <v>42125</v>
      </c>
      <c r="N2365" s="183">
        <v>19687</v>
      </c>
      <c r="O2365" s="14" t="s">
        <v>164</v>
      </c>
      <c r="P2365" s="105">
        <v>80</v>
      </c>
      <c r="Q2365" s="23">
        <v>42125</v>
      </c>
      <c r="R2365" s="106">
        <v>80</v>
      </c>
      <c r="S2365" s="25">
        <f t="shared" si="73"/>
        <v>0</v>
      </c>
      <c r="T2365" s="39" t="s">
        <v>9</v>
      </c>
    </row>
    <row r="2366" spans="1:20" x14ac:dyDescent="0.25">
      <c r="A2366" s="20">
        <v>42146</v>
      </c>
      <c r="B2366" s="183">
        <v>21940</v>
      </c>
      <c r="C2366" s="14" t="s">
        <v>136</v>
      </c>
      <c r="D2366" s="105">
        <v>36430.6</v>
      </c>
      <c r="E2366" s="12" t="s">
        <v>1426</v>
      </c>
      <c r="F2366" s="106">
        <f>24100+12330.6</f>
        <v>36430.6</v>
      </c>
      <c r="G2366" s="31">
        <f t="shared" si="72"/>
        <v>0</v>
      </c>
      <c r="H2366" s="39" t="s">
        <v>9</v>
      </c>
      <c r="I2366" s="3"/>
      <c r="J2366" s="42"/>
      <c r="K2366" s="3"/>
      <c r="M2366" s="20">
        <v>42126</v>
      </c>
      <c r="N2366" s="183">
        <v>19731</v>
      </c>
      <c r="O2366" s="40" t="s">
        <v>164</v>
      </c>
      <c r="P2366" s="105">
        <v>4190</v>
      </c>
      <c r="Q2366" s="23">
        <v>42126</v>
      </c>
      <c r="R2366" s="106">
        <v>4190</v>
      </c>
      <c r="S2366" s="25">
        <f t="shared" si="73"/>
        <v>0</v>
      </c>
      <c r="T2366" s="41" t="s">
        <v>9</v>
      </c>
    </row>
    <row r="2367" spans="1:20" x14ac:dyDescent="0.25">
      <c r="A2367" s="20">
        <v>42146</v>
      </c>
      <c r="B2367" s="183">
        <v>21941</v>
      </c>
      <c r="C2367" s="14" t="s">
        <v>121</v>
      </c>
      <c r="D2367" s="105">
        <v>2863.25</v>
      </c>
      <c r="E2367" s="23">
        <v>42146</v>
      </c>
      <c r="F2367" s="106">
        <v>2863.25</v>
      </c>
      <c r="G2367" s="31">
        <f t="shared" si="72"/>
        <v>0</v>
      </c>
      <c r="H2367" s="39" t="s">
        <v>9</v>
      </c>
      <c r="I2367" s="3"/>
      <c r="J2367" s="42"/>
      <c r="K2367" s="3"/>
      <c r="M2367" s="20">
        <v>42130</v>
      </c>
      <c r="N2367" s="183">
        <v>20141</v>
      </c>
      <c r="O2367" s="14" t="s">
        <v>164</v>
      </c>
      <c r="P2367" s="105">
        <v>2158.6</v>
      </c>
      <c r="Q2367" s="23">
        <v>42130</v>
      </c>
      <c r="R2367" s="106">
        <v>2158.6</v>
      </c>
      <c r="S2367" s="31">
        <f t="shared" si="73"/>
        <v>0</v>
      </c>
      <c r="T2367" s="39" t="s">
        <v>9</v>
      </c>
    </row>
    <row r="2368" spans="1:20" x14ac:dyDescent="0.25">
      <c r="A2368" s="20">
        <v>42146</v>
      </c>
      <c r="B2368" s="183">
        <v>21942</v>
      </c>
      <c r="C2368" s="14" t="s">
        <v>360</v>
      </c>
      <c r="D2368" s="105">
        <v>66.7</v>
      </c>
      <c r="E2368" s="23">
        <v>42146</v>
      </c>
      <c r="F2368" s="106">
        <v>66.7</v>
      </c>
      <c r="G2368" s="31">
        <f t="shared" si="72"/>
        <v>0</v>
      </c>
      <c r="H2368" s="39" t="s">
        <v>9</v>
      </c>
      <c r="I2368" s="3"/>
      <c r="J2368" s="42"/>
      <c r="K2368" s="3"/>
      <c r="M2368" s="20">
        <v>42134</v>
      </c>
      <c r="N2368" s="183">
        <v>20620</v>
      </c>
      <c r="O2368" s="14" t="s">
        <v>164</v>
      </c>
      <c r="P2368" s="105">
        <v>2631</v>
      </c>
      <c r="Q2368" s="23">
        <v>42134</v>
      </c>
      <c r="R2368" s="118">
        <v>2631</v>
      </c>
      <c r="S2368" s="31">
        <f t="shared" si="73"/>
        <v>0</v>
      </c>
      <c r="T2368" s="56" t="s">
        <v>9</v>
      </c>
    </row>
    <row r="2369" spans="1:20" x14ac:dyDescent="0.25">
      <c r="A2369" s="20">
        <v>42146</v>
      </c>
      <c r="B2369" s="183">
        <v>21943</v>
      </c>
      <c r="C2369" s="14" t="s">
        <v>100</v>
      </c>
      <c r="D2369" s="105">
        <v>2753.1</v>
      </c>
      <c r="E2369" s="23">
        <v>42146</v>
      </c>
      <c r="F2369" s="106">
        <v>2753.1</v>
      </c>
      <c r="G2369" s="31">
        <f t="shared" si="72"/>
        <v>0</v>
      </c>
      <c r="H2369" s="39" t="s">
        <v>9</v>
      </c>
      <c r="I2369" s="3"/>
      <c r="J2369" s="42"/>
      <c r="K2369" s="3"/>
      <c r="M2369" s="20">
        <v>42135</v>
      </c>
      <c r="N2369" s="183">
        <v>20712</v>
      </c>
      <c r="O2369" s="14" t="s">
        <v>164</v>
      </c>
      <c r="P2369" s="105">
        <v>675.5</v>
      </c>
      <c r="Q2369" s="23">
        <v>42135</v>
      </c>
      <c r="R2369" s="106">
        <v>675.5</v>
      </c>
      <c r="S2369" s="31">
        <f t="shared" si="73"/>
        <v>0</v>
      </c>
      <c r="T2369" s="19" t="s">
        <v>9</v>
      </c>
    </row>
    <row r="2370" spans="1:20" x14ac:dyDescent="0.25">
      <c r="A2370" s="20">
        <v>42146</v>
      </c>
      <c r="B2370" s="183">
        <v>21944</v>
      </c>
      <c r="C2370" s="14" t="s">
        <v>336</v>
      </c>
      <c r="D2370" s="105">
        <v>2601.6</v>
      </c>
      <c r="E2370" s="23">
        <v>42146</v>
      </c>
      <c r="F2370" s="106">
        <v>2601.6</v>
      </c>
      <c r="G2370" s="31">
        <f t="shared" si="72"/>
        <v>0</v>
      </c>
      <c r="H2370" s="39" t="s">
        <v>9</v>
      </c>
      <c r="I2370" s="3"/>
      <c r="J2370" s="42"/>
      <c r="K2370" s="3"/>
      <c r="M2370" s="20">
        <v>42139</v>
      </c>
      <c r="N2370" s="183">
        <v>21130</v>
      </c>
      <c r="O2370" s="14" t="s">
        <v>164</v>
      </c>
      <c r="P2370" s="105">
        <v>3326.2</v>
      </c>
      <c r="Q2370" s="23">
        <v>42139</v>
      </c>
      <c r="R2370" s="106">
        <v>3326.2</v>
      </c>
      <c r="S2370" s="48">
        <f t="shared" si="73"/>
        <v>0</v>
      </c>
      <c r="T2370" s="39" t="s">
        <v>9</v>
      </c>
    </row>
    <row r="2371" spans="1:20" x14ac:dyDescent="0.25">
      <c r="A2371" s="20">
        <v>42146</v>
      </c>
      <c r="B2371" s="183">
        <v>21945</v>
      </c>
      <c r="C2371" s="14" t="s">
        <v>1174</v>
      </c>
      <c r="D2371" s="105">
        <v>8101.2</v>
      </c>
      <c r="E2371" s="72">
        <v>42147</v>
      </c>
      <c r="F2371" s="106">
        <v>8101.2</v>
      </c>
      <c r="G2371" s="31">
        <f t="shared" ref="G2371:G2434" si="74">D2371-F2371</f>
        <v>0</v>
      </c>
      <c r="H2371" s="39" t="s">
        <v>587</v>
      </c>
      <c r="I2371" s="3"/>
      <c r="J2371" s="42"/>
      <c r="K2371" s="3"/>
      <c r="M2371" s="20">
        <v>42142</v>
      </c>
      <c r="N2371" s="183">
        <v>21428</v>
      </c>
      <c r="O2371" s="14" t="s">
        <v>164</v>
      </c>
      <c r="P2371" s="105">
        <v>2468</v>
      </c>
      <c r="Q2371" s="23">
        <v>42142</v>
      </c>
      <c r="R2371" s="118">
        <v>2468</v>
      </c>
      <c r="S2371" s="31">
        <f t="shared" ref="S2371:S2434" si="75">P2371-R2371</f>
        <v>0</v>
      </c>
      <c r="T2371" s="56" t="s">
        <v>9</v>
      </c>
    </row>
    <row r="2372" spans="1:20" x14ac:dyDescent="0.25">
      <c r="A2372" s="20">
        <v>42146</v>
      </c>
      <c r="B2372" s="183">
        <v>21946</v>
      </c>
      <c r="C2372" s="14" t="s">
        <v>1191</v>
      </c>
      <c r="D2372" s="105">
        <v>5448</v>
      </c>
      <c r="E2372" s="23">
        <v>42147</v>
      </c>
      <c r="F2372" s="106">
        <v>5448</v>
      </c>
      <c r="G2372" s="31">
        <f t="shared" si="74"/>
        <v>0</v>
      </c>
      <c r="H2372" s="39" t="s">
        <v>587</v>
      </c>
      <c r="I2372" s="3"/>
      <c r="J2372" s="42"/>
      <c r="K2372" s="3"/>
      <c r="M2372" s="20">
        <v>42149</v>
      </c>
      <c r="N2372" s="183">
        <v>22183</v>
      </c>
      <c r="O2372" s="14" t="s">
        <v>164</v>
      </c>
      <c r="P2372" s="105">
        <v>717.6</v>
      </c>
      <c r="Q2372" s="65">
        <v>42149</v>
      </c>
      <c r="R2372" s="106">
        <v>717.6</v>
      </c>
      <c r="S2372" s="31">
        <f t="shared" si="75"/>
        <v>0</v>
      </c>
      <c r="T2372" s="39" t="s">
        <v>9</v>
      </c>
    </row>
    <row r="2373" spans="1:20" x14ac:dyDescent="0.25">
      <c r="A2373" s="20">
        <v>42146</v>
      </c>
      <c r="B2373" s="183">
        <v>21947</v>
      </c>
      <c r="C2373" s="14" t="s">
        <v>694</v>
      </c>
      <c r="D2373" s="105">
        <v>1456</v>
      </c>
      <c r="E2373" s="23">
        <v>42146</v>
      </c>
      <c r="F2373" s="106">
        <v>1456</v>
      </c>
      <c r="G2373" s="31">
        <f t="shared" si="74"/>
        <v>0</v>
      </c>
      <c r="H2373" s="39" t="s">
        <v>9</v>
      </c>
      <c r="I2373" s="3"/>
      <c r="J2373" s="42"/>
      <c r="K2373" s="3"/>
      <c r="M2373" s="20">
        <v>42150</v>
      </c>
      <c r="N2373" s="183">
        <v>22283</v>
      </c>
      <c r="O2373" s="14" t="s">
        <v>164</v>
      </c>
      <c r="P2373" s="105">
        <v>1156.5</v>
      </c>
      <c r="Q2373" s="65">
        <v>42150</v>
      </c>
      <c r="R2373" s="106">
        <v>1156.5</v>
      </c>
      <c r="S2373" s="31">
        <f t="shared" si="75"/>
        <v>0</v>
      </c>
      <c r="T2373" s="39" t="s">
        <v>9</v>
      </c>
    </row>
    <row r="2374" spans="1:20" x14ac:dyDescent="0.25">
      <c r="A2374" s="20">
        <v>42146</v>
      </c>
      <c r="B2374" s="183">
        <v>21948</v>
      </c>
      <c r="C2374" s="14" t="s">
        <v>143</v>
      </c>
      <c r="D2374" s="105">
        <v>13390.6</v>
      </c>
      <c r="E2374" s="23">
        <v>42149</v>
      </c>
      <c r="F2374" s="106">
        <v>13390.6</v>
      </c>
      <c r="G2374" s="31">
        <f t="shared" si="74"/>
        <v>0</v>
      </c>
      <c r="H2374" s="39" t="s">
        <v>59</v>
      </c>
      <c r="I2374" s="3"/>
      <c r="J2374" s="42"/>
      <c r="K2374" s="3"/>
      <c r="M2374" s="20">
        <v>42152</v>
      </c>
      <c r="N2374" s="183">
        <v>22482</v>
      </c>
      <c r="O2374" s="14" t="s">
        <v>164</v>
      </c>
      <c r="P2374" s="105">
        <v>1120.5</v>
      </c>
      <c r="Q2374" s="23">
        <v>42152</v>
      </c>
      <c r="R2374" s="106">
        <v>1120.5</v>
      </c>
      <c r="S2374" s="31">
        <f t="shared" si="75"/>
        <v>0</v>
      </c>
      <c r="T2374" s="39" t="s">
        <v>9</v>
      </c>
    </row>
    <row r="2375" spans="1:20" x14ac:dyDescent="0.25">
      <c r="A2375" s="20">
        <v>42146</v>
      </c>
      <c r="B2375" s="183">
        <v>21949</v>
      </c>
      <c r="C2375" s="150" t="s">
        <v>296</v>
      </c>
      <c r="D2375" s="105">
        <v>2032</v>
      </c>
      <c r="E2375" s="23">
        <v>42146</v>
      </c>
      <c r="F2375" s="106">
        <v>2032</v>
      </c>
      <c r="G2375" s="31">
        <f t="shared" si="74"/>
        <v>0</v>
      </c>
      <c r="H2375" s="39" t="s">
        <v>9</v>
      </c>
      <c r="I2375" s="3"/>
      <c r="J2375" s="42"/>
      <c r="K2375" s="3"/>
      <c r="M2375" s="20">
        <v>42155</v>
      </c>
      <c r="N2375" s="183">
        <v>22814</v>
      </c>
      <c r="O2375" s="14" t="s">
        <v>164</v>
      </c>
      <c r="P2375" s="105">
        <v>2443</v>
      </c>
      <c r="Q2375" s="23">
        <v>42155</v>
      </c>
      <c r="R2375" s="106">
        <v>2443</v>
      </c>
      <c r="S2375" s="31">
        <f t="shared" si="75"/>
        <v>0</v>
      </c>
      <c r="T2375" s="39" t="s">
        <v>9</v>
      </c>
    </row>
    <row r="2376" spans="1:20" x14ac:dyDescent="0.25">
      <c r="A2376" s="20">
        <v>42146</v>
      </c>
      <c r="B2376" s="183">
        <v>21950</v>
      </c>
      <c r="C2376" s="14" t="s">
        <v>1338</v>
      </c>
      <c r="D2376" s="105">
        <v>103027.99</v>
      </c>
      <c r="E2376" s="23">
        <v>42153</v>
      </c>
      <c r="F2376" s="106">
        <v>103027.99</v>
      </c>
      <c r="G2376" s="31">
        <f t="shared" si="74"/>
        <v>0</v>
      </c>
      <c r="H2376" s="39" t="s">
        <v>1013</v>
      </c>
      <c r="I2376" s="3"/>
      <c r="J2376" s="42"/>
      <c r="K2376" s="3"/>
      <c r="M2376" s="20">
        <v>42125</v>
      </c>
      <c r="N2376" s="183">
        <v>19648</v>
      </c>
      <c r="O2376" s="14" t="s">
        <v>1264</v>
      </c>
      <c r="P2376" s="105">
        <v>2281.4</v>
      </c>
      <c r="Q2376" s="23">
        <v>42125</v>
      </c>
      <c r="R2376" s="106">
        <v>2281.4</v>
      </c>
      <c r="S2376" s="25">
        <f t="shared" si="75"/>
        <v>0</v>
      </c>
      <c r="T2376" s="19" t="s">
        <v>9</v>
      </c>
    </row>
    <row r="2377" spans="1:20" x14ac:dyDescent="0.25">
      <c r="A2377" s="20">
        <v>42146</v>
      </c>
      <c r="B2377" s="183">
        <v>21951</v>
      </c>
      <c r="C2377" s="14" t="s">
        <v>112</v>
      </c>
      <c r="D2377" s="105">
        <v>17263</v>
      </c>
      <c r="E2377" s="23">
        <v>42146</v>
      </c>
      <c r="F2377" s="106">
        <v>17263</v>
      </c>
      <c r="G2377" s="31">
        <f t="shared" si="74"/>
        <v>0</v>
      </c>
      <c r="H2377" s="39" t="s">
        <v>9</v>
      </c>
      <c r="I2377" s="3"/>
      <c r="J2377" s="42"/>
      <c r="K2377" s="3"/>
      <c r="M2377" s="20">
        <v>42126</v>
      </c>
      <c r="N2377" s="183">
        <v>19751</v>
      </c>
      <c r="O2377" s="40" t="s">
        <v>1058</v>
      </c>
      <c r="P2377" s="105">
        <v>4381.7</v>
      </c>
      <c r="Q2377" s="23">
        <v>42126</v>
      </c>
      <c r="R2377" s="106">
        <v>4381.7</v>
      </c>
      <c r="S2377" s="25">
        <f t="shared" si="75"/>
        <v>0</v>
      </c>
      <c r="T2377" s="41" t="s">
        <v>9</v>
      </c>
    </row>
    <row r="2378" spans="1:20" x14ac:dyDescent="0.25">
      <c r="A2378" s="20">
        <v>42146</v>
      </c>
      <c r="B2378" s="183">
        <v>21952</v>
      </c>
      <c r="C2378" s="14" t="s">
        <v>112</v>
      </c>
      <c r="D2378" s="105">
        <v>2492.4</v>
      </c>
      <c r="E2378" s="23">
        <v>42146</v>
      </c>
      <c r="F2378" s="106">
        <v>2492.4</v>
      </c>
      <c r="G2378" s="31">
        <f t="shared" si="74"/>
        <v>0</v>
      </c>
      <c r="H2378" s="39" t="s">
        <v>9</v>
      </c>
      <c r="I2378" s="3"/>
      <c r="J2378" s="42"/>
      <c r="K2378" s="3"/>
      <c r="M2378" s="20">
        <v>42127</v>
      </c>
      <c r="N2378" s="183">
        <v>19837</v>
      </c>
      <c r="O2378" s="40" t="s">
        <v>1058</v>
      </c>
      <c r="P2378" s="105">
        <v>2257.6</v>
      </c>
      <c r="Q2378" s="23">
        <v>42127</v>
      </c>
      <c r="R2378" s="106">
        <v>2257.6</v>
      </c>
      <c r="S2378" s="31">
        <f t="shared" si="75"/>
        <v>0</v>
      </c>
      <c r="T2378" s="41" t="s">
        <v>9</v>
      </c>
    </row>
    <row r="2379" spans="1:20" x14ac:dyDescent="0.25">
      <c r="A2379" s="20">
        <v>42146</v>
      </c>
      <c r="B2379" s="183">
        <v>21953</v>
      </c>
      <c r="C2379" s="14" t="s">
        <v>24</v>
      </c>
      <c r="D2379" s="105">
        <v>100893.7</v>
      </c>
      <c r="E2379" s="30">
        <v>42165</v>
      </c>
      <c r="F2379" s="144">
        <v>100893.7</v>
      </c>
      <c r="G2379" s="31">
        <f t="shared" si="74"/>
        <v>0</v>
      </c>
      <c r="H2379" s="39" t="s">
        <v>9</v>
      </c>
      <c r="I2379" s="3"/>
      <c r="J2379" s="42"/>
      <c r="K2379" s="3"/>
      <c r="M2379" s="20">
        <v>42127</v>
      </c>
      <c r="N2379" s="183">
        <v>19887</v>
      </c>
      <c r="O2379" s="14" t="s">
        <v>1058</v>
      </c>
      <c r="P2379" s="105">
        <v>91.2</v>
      </c>
      <c r="Q2379" s="23">
        <v>42131</v>
      </c>
      <c r="R2379" s="106">
        <v>91.2</v>
      </c>
      <c r="S2379" s="31">
        <f t="shared" si="75"/>
        <v>0</v>
      </c>
      <c r="T2379" s="19" t="s">
        <v>9</v>
      </c>
    </row>
    <row r="2380" spans="1:20" x14ac:dyDescent="0.25">
      <c r="A2380" s="20">
        <v>42146</v>
      </c>
      <c r="B2380" s="183">
        <v>21954</v>
      </c>
      <c r="C2380" s="14" t="s">
        <v>1101</v>
      </c>
      <c r="D2380" s="105">
        <v>393</v>
      </c>
      <c r="E2380" s="23">
        <v>42146</v>
      </c>
      <c r="F2380" s="106">
        <v>393</v>
      </c>
      <c r="G2380" s="31">
        <f t="shared" si="74"/>
        <v>0</v>
      </c>
      <c r="H2380" s="39" t="s">
        <v>9</v>
      </c>
      <c r="I2380" s="3"/>
      <c r="J2380" s="42"/>
      <c r="K2380" s="3"/>
      <c r="M2380" s="20">
        <v>42129</v>
      </c>
      <c r="N2380" s="183">
        <v>20070</v>
      </c>
      <c r="O2380" s="14" t="s">
        <v>1058</v>
      </c>
      <c r="P2380" s="105">
        <v>3189.2</v>
      </c>
      <c r="Q2380" s="23">
        <v>42129</v>
      </c>
      <c r="R2380" s="106">
        <v>3189.2</v>
      </c>
      <c r="S2380" s="31">
        <f t="shared" si="75"/>
        <v>0</v>
      </c>
      <c r="T2380" s="39" t="s">
        <v>9</v>
      </c>
    </row>
    <row r="2381" spans="1:20" x14ac:dyDescent="0.25">
      <c r="A2381" s="20">
        <v>42146</v>
      </c>
      <c r="B2381" s="183">
        <v>21955</v>
      </c>
      <c r="C2381" s="14" t="s">
        <v>111</v>
      </c>
      <c r="D2381" s="105">
        <v>1174.8</v>
      </c>
      <c r="E2381" s="23">
        <v>42147</v>
      </c>
      <c r="F2381" s="106">
        <v>1174.8</v>
      </c>
      <c r="G2381" s="31">
        <f t="shared" si="74"/>
        <v>0</v>
      </c>
      <c r="H2381" s="39" t="s">
        <v>9</v>
      </c>
      <c r="I2381" s="3"/>
      <c r="J2381" s="42"/>
      <c r="K2381" s="3"/>
      <c r="M2381" s="20">
        <v>42130</v>
      </c>
      <c r="N2381" s="183">
        <v>20142</v>
      </c>
      <c r="O2381" s="14" t="s">
        <v>1058</v>
      </c>
      <c r="P2381" s="105">
        <v>3680</v>
      </c>
      <c r="Q2381" s="23">
        <v>42130</v>
      </c>
      <c r="R2381" s="106">
        <v>3680</v>
      </c>
      <c r="S2381" s="31">
        <f t="shared" si="75"/>
        <v>0</v>
      </c>
      <c r="T2381" s="39" t="s">
        <v>9</v>
      </c>
    </row>
    <row r="2382" spans="1:20" x14ac:dyDescent="0.25">
      <c r="A2382" s="20">
        <v>42146</v>
      </c>
      <c r="B2382" s="183">
        <v>21956</v>
      </c>
      <c r="C2382" s="14" t="s">
        <v>454</v>
      </c>
      <c r="D2382" s="105">
        <v>1252.8</v>
      </c>
      <c r="E2382" s="65">
        <v>42147</v>
      </c>
      <c r="F2382" s="106">
        <v>1252.8</v>
      </c>
      <c r="G2382" s="31">
        <f t="shared" si="74"/>
        <v>0</v>
      </c>
      <c r="H2382" s="39" t="s">
        <v>94</v>
      </c>
      <c r="I2382" s="3"/>
      <c r="J2382" s="42"/>
      <c r="K2382" s="3"/>
      <c r="M2382" s="20">
        <v>42130</v>
      </c>
      <c r="N2382" s="183">
        <v>20143</v>
      </c>
      <c r="O2382" s="14" t="s">
        <v>1058</v>
      </c>
      <c r="P2382" s="105">
        <v>934.8</v>
      </c>
      <c r="Q2382" s="23">
        <v>42130</v>
      </c>
      <c r="R2382" s="106">
        <v>934.8</v>
      </c>
      <c r="S2382" s="31">
        <f t="shared" si="75"/>
        <v>0</v>
      </c>
      <c r="T2382" s="39" t="s">
        <v>9</v>
      </c>
    </row>
    <row r="2383" spans="1:20" x14ac:dyDescent="0.25">
      <c r="A2383" s="20">
        <v>42146</v>
      </c>
      <c r="B2383" s="183">
        <v>21957</v>
      </c>
      <c r="C2383" s="14" t="s">
        <v>1182</v>
      </c>
      <c r="D2383" s="105">
        <v>32</v>
      </c>
      <c r="E2383" s="65">
        <v>42126</v>
      </c>
      <c r="F2383" s="106">
        <v>32</v>
      </c>
      <c r="G2383" s="31">
        <f t="shared" si="74"/>
        <v>0</v>
      </c>
      <c r="H2383" s="39" t="s">
        <v>9</v>
      </c>
      <c r="I2383" s="3"/>
      <c r="J2383" s="42"/>
      <c r="K2383" s="3"/>
      <c r="M2383" s="20">
        <v>42132</v>
      </c>
      <c r="N2383" s="183">
        <v>20437</v>
      </c>
      <c r="O2383" s="14" t="s">
        <v>1058</v>
      </c>
      <c r="P2383" s="105">
        <v>646</v>
      </c>
      <c r="Q2383" s="23">
        <v>42132</v>
      </c>
      <c r="R2383" s="106">
        <v>646</v>
      </c>
      <c r="S2383" s="31">
        <f t="shared" si="75"/>
        <v>0</v>
      </c>
      <c r="T2383" s="19" t="s">
        <v>9</v>
      </c>
    </row>
    <row r="2384" spans="1:20" x14ac:dyDescent="0.25">
      <c r="A2384" s="20">
        <v>42146</v>
      </c>
      <c r="B2384" s="183">
        <v>21958</v>
      </c>
      <c r="C2384" s="14" t="s">
        <v>90</v>
      </c>
      <c r="D2384" s="105">
        <v>1420</v>
      </c>
      <c r="E2384" s="65">
        <v>42146</v>
      </c>
      <c r="F2384" s="106">
        <v>1420</v>
      </c>
      <c r="G2384" s="31">
        <f t="shared" si="74"/>
        <v>0</v>
      </c>
      <c r="H2384" s="39" t="s">
        <v>9</v>
      </c>
      <c r="I2384" s="3"/>
      <c r="J2384" s="42"/>
      <c r="K2384" s="3"/>
      <c r="M2384" s="20">
        <v>42133</v>
      </c>
      <c r="N2384" s="183">
        <v>20492</v>
      </c>
      <c r="O2384" s="14" t="s">
        <v>1058</v>
      </c>
      <c r="P2384" s="105">
        <v>7168.4</v>
      </c>
      <c r="Q2384" s="23">
        <v>42133</v>
      </c>
      <c r="R2384" s="106">
        <v>7168.4</v>
      </c>
      <c r="S2384" s="31">
        <f t="shared" si="75"/>
        <v>0</v>
      </c>
      <c r="T2384" s="19" t="s">
        <v>9</v>
      </c>
    </row>
    <row r="2385" spans="1:20" x14ac:dyDescent="0.25">
      <c r="A2385" s="20">
        <v>42146</v>
      </c>
      <c r="B2385" s="183">
        <v>21959</v>
      </c>
      <c r="C2385" s="14" t="s">
        <v>1020</v>
      </c>
      <c r="D2385" s="105">
        <v>4037.28</v>
      </c>
      <c r="E2385" s="65">
        <v>42147</v>
      </c>
      <c r="F2385" s="106">
        <v>4037.28</v>
      </c>
      <c r="G2385" s="48">
        <f t="shared" si="74"/>
        <v>0</v>
      </c>
      <c r="H2385" s="39" t="s">
        <v>9</v>
      </c>
      <c r="I2385" s="3"/>
      <c r="J2385" s="42"/>
      <c r="K2385" s="3"/>
      <c r="M2385" s="20">
        <v>42134</v>
      </c>
      <c r="N2385" s="183">
        <v>20604</v>
      </c>
      <c r="O2385" s="14" t="s">
        <v>1058</v>
      </c>
      <c r="P2385" s="105">
        <v>4746</v>
      </c>
      <c r="Q2385" s="23">
        <v>42134</v>
      </c>
      <c r="R2385" s="118">
        <v>4746</v>
      </c>
      <c r="S2385" s="31">
        <f t="shared" si="75"/>
        <v>0</v>
      </c>
      <c r="T2385" s="56" t="s">
        <v>9</v>
      </c>
    </row>
    <row r="2386" spans="1:20" x14ac:dyDescent="0.25">
      <c r="A2386" s="20">
        <v>42146</v>
      </c>
      <c r="B2386" s="183">
        <v>21960</v>
      </c>
      <c r="C2386" s="14" t="s">
        <v>1182</v>
      </c>
      <c r="D2386" s="105">
        <v>91.2</v>
      </c>
      <c r="E2386" s="65">
        <v>42147</v>
      </c>
      <c r="F2386" s="106">
        <v>91.2</v>
      </c>
      <c r="G2386" s="31">
        <f t="shared" si="74"/>
        <v>0</v>
      </c>
      <c r="H2386" s="39" t="s">
        <v>9</v>
      </c>
      <c r="I2386" s="3"/>
      <c r="J2386" s="42"/>
      <c r="K2386" s="3"/>
      <c r="M2386" s="20">
        <v>42136</v>
      </c>
      <c r="N2386" s="183">
        <v>20828</v>
      </c>
      <c r="O2386" s="14" t="s">
        <v>1058</v>
      </c>
      <c r="P2386" s="105">
        <v>4944</v>
      </c>
      <c r="Q2386" s="23">
        <v>42136</v>
      </c>
      <c r="R2386" s="106">
        <v>4944</v>
      </c>
      <c r="S2386" s="31">
        <f t="shared" si="75"/>
        <v>0</v>
      </c>
      <c r="T2386" s="39" t="s">
        <v>9</v>
      </c>
    </row>
    <row r="2387" spans="1:20" x14ac:dyDescent="0.25">
      <c r="A2387" s="20">
        <v>42146</v>
      </c>
      <c r="B2387" s="183">
        <v>21961</v>
      </c>
      <c r="C2387" s="14" t="s">
        <v>1182</v>
      </c>
      <c r="D2387" s="105">
        <v>88.8</v>
      </c>
      <c r="E2387" s="65">
        <v>42147</v>
      </c>
      <c r="F2387" s="106">
        <v>88.8</v>
      </c>
      <c r="G2387" s="31">
        <f t="shared" si="74"/>
        <v>0</v>
      </c>
      <c r="H2387" s="39" t="s">
        <v>9</v>
      </c>
      <c r="I2387" s="3"/>
      <c r="J2387" s="42"/>
      <c r="K2387" s="3"/>
      <c r="M2387" s="20">
        <v>42136</v>
      </c>
      <c r="N2387" s="183">
        <v>20830</v>
      </c>
      <c r="O2387" s="14" t="s">
        <v>1058</v>
      </c>
      <c r="P2387" s="105">
        <v>40</v>
      </c>
      <c r="Q2387" s="23">
        <v>42136</v>
      </c>
      <c r="R2387" s="106">
        <v>40</v>
      </c>
      <c r="S2387" s="31">
        <f t="shared" si="75"/>
        <v>0</v>
      </c>
      <c r="T2387" s="39" t="s">
        <v>9</v>
      </c>
    </row>
    <row r="2388" spans="1:20" x14ac:dyDescent="0.25">
      <c r="A2388" s="20">
        <v>42146</v>
      </c>
      <c r="B2388" s="183">
        <v>21962</v>
      </c>
      <c r="C2388" s="14" t="s">
        <v>1182</v>
      </c>
      <c r="D2388" s="105">
        <v>52.8</v>
      </c>
      <c r="E2388" s="65">
        <v>42147</v>
      </c>
      <c r="F2388" s="106">
        <v>52.8</v>
      </c>
      <c r="G2388" s="31">
        <f t="shared" si="74"/>
        <v>0</v>
      </c>
      <c r="H2388" s="39" t="s">
        <v>9</v>
      </c>
      <c r="I2388" s="3"/>
      <c r="J2388" s="42"/>
      <c r="K2388" s="3"/>
      <c r="M2388" s="20">
        <v>42137</v>
      </c>
      <c r="N2388" s="183">
        <v>20883</v>
      </c>
      <c r="O2388" s="14" t="s">
        <v>1058</v>
      </c>
      <c r="P2388" s="105">
        <v>2208</v>
      </c>
      <c r="Q2388" s="23">
        <v>42137</v>
      </c>
      <c r="R2388" s="106">
        <v>2208</v>
      </c>
      <c r="S2388" s="31">
        <f t="shared" si="75"/>
        <v>0</v>
      </c>
      <c r="T2388" s="39" t="s">
        <v>9</v>
      </c>
    </row>
    <row r="2389" spans="1:20" x14ac:dyDescent="0.25">
      <c r="A2389" s="20">
        <v>42146</v>
      </c>
      <c r="B2389" s="183">
        <v>21963</v>
      </c>
      <c r="C2389" s="14" t="s">
        <v>32</v>
      </c>
      <c r="D2389" s="105">
        <v>140239</v>
      </c>
      <c r="E2389" s="74">
        <v>42171</v>
      </c>
      <c r="F2389" s="144">
        <v>140239</v>
      </c>
      <c r="G2389" s="31">
        <f t="shared" si="74"/>
        <v>0</v>
      </c>
      <c r="H2389" s="39" t="s">
        <v>9</v>
      </c>
      <c r="I2389" s="3"/>
      <c r="J2389" s="42"/>
      <c r="K2389" s="3"/>
      <c r="M2389" s="20">
        <v>42139</v>
      </c>
      <c r="N2389" s="183">
        <v>21146</v>
      </c>
      <c r="O2389" s="14" t="s">
        <v>1058</v>
      </c>
      <c r="P2389" s="105">
        <v>1512.8</v>
      </c>
      <c r="Q2389" s="23">
        <v>42139</v>
      </c>
      <c r="R2389" s="106">
        <v>1512.8</v>
      </c>
      <c r="S2389" s="48">
        <f t="shared" si="75"/>
        <v>0</v>
      </c>
      <c r="T2389" s="39" t="s">
        <v>9</v>
      </c>
    </row>
    <row r="2390" spans="1:20" x14ac:dyDescent="0.25">
      <c r="A2390" s="20">
        <v>42146</v>
      </c>
      <c r="B2390" s="183">
        <v>21964</v>
      </c>
      <c r="C2390" s="14" t="s">
        <v>102</v>
      </c>
      <c r="D2390" s="105">
        <v>5160.6000000000004</v>
      </c>
      <c r="E2390" s="65">
        <v>42147</v>
      </c>
      <c r="F2390" s="106">
        <v>5160.6000000000004</v>
      </c>
      <c r="G2390" s="31">
        <f t="shared" si="74"/>
        <v>0</v>
      </c>
      <c r="H2390" s="39" t="s">
        <v>9</v>
      </c>
      <c r="I2390" s="3"/>
      <c r="J2390" s="42"/>
      <c r="K2390" s="3"/>
      <c r="M2390" s="20">
        <v>42142</v>
      </c>
      <c r="N2390" s="183">
        <v>21446</v>
      </c>
      <c r="O2390" s="14" t="s">
        <v>1058</v>
      </c>
      <c r="P2390" s="105">
        <v>3103.2</v>
      </c>
      <c r="Q2390" s="65">
        <v>42142</v>
      </c>
      <c r="R2390" s="106">
        <v>3103.2</v>
      </c>
      <c r="S2390" s="31">
        <f t="shared" si="75"/>
        <v>0</v>
      </c>
      <c r="T2390" s="19" t="s">
        <v>9</v>
      </c>
    </row>
    <row r="2391" spans="1:20" x14ac:dyDescent="0.25">
      <c r="A2391" s="20">
        <v>42146</v>
      </c>
      <c r="B2391" s="183">
        <v>21965</v>
      </c>
      <c r="C2391" s="14" t="s">
        <v>24</v>
      </c>
      <c r="D2391" s="105">
        <v>17721.8</v>
      </c>
      <c r="E2391" s="74">
        <v>42165</v>
      </c>
      <c r="F2391" s="144">
        <v>17721.8</v>
      </c>
      <c r="G2391" s="31">
        <f t="shared" si="74"/>
        <v>0</v>
      </c>
      <c r="H2391" s="39" t="s">
        <v>9</v>
      </c>
      <c r="I2391" s="3"/>
      <c r="J2391" s="42"/>
      <c r="K2391" s="3"/>
      <c r="M2391" s="20">
        <v>42143</v>
      </c>
      <c r="N2391" s="183">
        <v>21573</v>
      </c>
      <c r="O2391" s="14" t="s">
        <v>1058</v>
      </c>
      <c r="P2391" s="105">
        <v>2848.6</v>
      </c>
      <c r="Q2391" s="23">
        <v>42143</v>
      </c>
      <c r="R2391" s="118">
        <v>2848.6</v>
      </c>
      <c r="S2391" s="31">
        <f t="shared" si="75"/>
        <v>0</v>
      </c>
      <c r="T2391" s="56" t="s">
        <v>9</v>
      </c>
    </row>
    <row r="2392" spans="1:20" x14ac:dyDescent="0.25">
      <c r="A2392" s="20">
        <v>42146</v>
      </c>
      <c r="B2392" s="183">
        <v>21966</v>
      </c>
      <c r="C2392" s="14" t="s">
        <v>375</v>
      </c>
      <c r="D2392" s="105">
        <v>22191.8</v>
      </c>
      <c r="E2392" s="65" t="s">
        <v>1409</v>
      </c>
      <c r="F2392" s="106">
        <f>13000+5000+4191.8</f>
        <v>22191.8</v>
      </c>
      <c r="G2392" s="31">
        <f t="shared" si="74"/>
        <v>0</v>
      </c>
      <c r="H2392" s="39" t="s">
        <v>9</v>
      </c>
      <c r="I2392" s="3"/>
      <c r="J2392" s="42"/>
      <c r="K2392" s="3"/>
      <c r="M2392" s="20">
        <v>42144</v>
      </c>
      <c r="N2392" s="183">
        <v>21669</v>
      </c>
      <c r="O2392" s="14" t="s">
        <v>1058</v>
      </c>
      <c r="P2392" s="105">
        <v>2610.1999999999998</v>
      </c>
      <c r="Q2392" s="23">
        <v>42144</v>
      </c>
      <c r="R2392" s="118">
        <v>2610.1999999999998</v>
      </c>
      <c r="S2392" s="31">
        <f t="shared" si="75"/>
        <v>0</v>
      </c>
      <c r="T2392" s="62" t="s">
        <v>9</v>
      </c>
    </row>
    <row r="2393" spans="1:20" x14ac:dyDescent="0.25">
      <c r="A2393" s="20">
        <v>42147</v>
      </c>
      <c r="B2393" s="183">
        <v>21967</v>
      </c>
      <c r="C2393" s="14" t="s">
        <v>1338</v>
      </c>
      <c r="D2393" s="105">
        <v>40574.800000000003</v>
      </c>
      <c r="E2393" s="65">
        <v>42153</v>
      </c>
      <c r="F2393" s="106">
        <v>40574.800000000003</v>
      </c>
      <c r="G2393" s="31">
        <f t="shared" si="74"/>
        <v>0</v>
      </c>
      <c r="H2393" s="39" t="s">
        <v>1273</v>
      </c>
      <c r="I2393" s="3"/>
      <c r="J2393" s="42"/>
      <c r="K2393" s="3"/>
      <c r="M2393" s="20">
        <v>42146</v>
      </c>
      <c r="N2393" s="183">
        <v>21893</v>
      </c>
      <c r="O2393" s="14" t="s">
        <v>1058</v>
      </c>
      <c r="P2393" s="105">
        <v>5030.3999999999996</v>
      </c>
      <c r="Q2393" s="23">
        <v>42146</v>
      </c>
      <c r="R2393" s="106">
        <v>5030.3999999999996</v>
      </c>
      <c r="S2393" s="31">
        <f t="shared" si="75"/>
        <v>0</v>
      </c>
      <c r="T2393" s="39" t="s">
        <v>9</v>
      </c>
    </row>
    <row r="2394" spans="1:20" x14ac:dyDescent="0.25">
      <c r="A2394" s="20">
        <v>42147</v>
      </c>
      <c r="B2394" s="183">
        <v>21968</v>
      </c>
      <c r="C2394" s="26" t="s">
        <v>218</v>
      </c>
      <c r="D2394" s="108">
        <v>0</v>
      </c>
      <c r="E2394" s="65"/>
      <c r="F2394" s="106"/>
      <c r="G2394" s="31">
        <f t="shared" si="74"/>
        <v>0</v>
      </c>
      <c r="H2394" s="39" t="s">
        <v>13</v>
      </c>
      <c r="I2394" s="3"/>
      <c r="J2394" s="42"/>
      <c r="K2394" s="3"/>
      <c r="M2394" s="20">
        <v>42146</v>
      </c>
      <c r="N2394" s="183">
        <v>21894</v>
      </c>
      <c r="O2394" s="14" t="s">
        <v>1058</v>
      </c>
      <c r="P2394" s="105">
        <v>1324.6</v>
      </c>
      <c r="Q2394" s="23">
        <v>42146</v>
      </c>
      <c r="R2394" s="106">
        <v>1324.6</v>
      </c>
      <c r="S2394" s="31">
        <f t="shared" si="75"/>
        <v>0</v>
      </c>
      <c r="T2394" s="39" t="s">
        <v>9</v>
      </c>
    </row>
    <row r="2395" spans="1:20" x14ac:dyDescent="0.25">
      <c r="A2395" s="20">
        <v>42147</v>
      </c>
      <c r="B2395" s="183">
        <v>21969</v>
      </c>
      <c r="C2395" s="14" t="s">
        <v>1438</v>
      </c>
      <c r="D2395" s="105">
        <v>2560</v>
      </c>
      <c r="E2395" s="65">
        <v>42149</v>
      </c>
      <c r="F2395" s="106">
        <v>2560</v>
      </c>
      <c r="G2395" s="31">
        <f t="shared" si="74"/>
        <v>0</v>
      </c>
      <c r="H2395" s="39" t="s">
        <v>9</v>
      </c>
      <c r="I2395" s="3"/>
      <c r="J2395" s="42"/>
      <c r="K2395" s="3"/>
      <c r="M2395" s="20">
        <v>42148</v>
      </c>
      <c r="N2395" s="183">
        <v>22092</v>
      </c>
      <c r="O2395" s="14" t="s">
        <v>1058</v>
      </c>
      <c r="P2395" s="105">
        <v>3146.4</v>
      </c>
      <c r="Q2395" s="65">
        <v>42148</v>
      </c>
      <c r="R2395" s="106">
        <v>3146.4</v>
      </c>
      <c r="S2395" s="31">
        <f t="shared" si="75"/>
        <v>0</v>
      </c>
      <c r="T2395" s="39" t="s">
        <v>9</v>
      </c>
    </row>
    <row r="2396" spans="1:20" x14ac:dyDescent="0.25">
      <c r="A2396" s="20">
        <v>42147</v>
      </c>
      <c r="B2396" s="183">
        <v>21970</v>
      </c>
      <c r="C2396" s="14" t="s">
        <v>1256</v>
      </c>
      <c r="D2396" s="105">
        <v>7408.8</v>
      </c>
      <c r="E2396" s="65">
        <v>42147</v>
      </c>
      <c r="F2396" s="106">
        <v>7408.8</v>
      </c>
      <c r="G2396" s="31">
        <f t="shared" si="74"/>
        <v>0</v>
      </c>
      <c r="H2396" s="39" t="s">
        <v>1273</v>
      </c>
      <c r="I2396" s="3"/>
      <c r="J2396" s="42"/>
      <c r="K2396" s="3"/>
      <c r="M2396" s="20">
        <v>42153</v>
      </c>
      <c r="N2396" s="183">
        <v>22636</v>
      </c>
      <c r="O2396" s="14" t="s">
        <v>1058</v>
      </c>
      <c r="P2396" s="105">
        <v>3046.4</v>
      </c>
      <c r="Q2396" s="23">
        <v>42153</v>
      </c>
      <c r="R2396" s="106">
        <v>3046.4</v>
      </c>
      <c r="S2396" s="31">
        <f t="shared" si="75"/>
        <v>0</v>
      </c>
      <c r="T2396" s="39" t="s">
        <v>9</v>
      </c>
    </row>
    <row r="2397" spans="1:20" x14ac:dyDescent="0.25">
      <c r="A2397" s="20">
        <v>42147</v>
      </c>
      <c r="B2397" s="183">
        <v>21971</v>
      </c>
      <c r="C2397" s="14" t="s">
        <v>720</v>
      </c>
      <c r="D2397" s="105">
        <v>20839.2</v>
      </c>
      <c r="E2397" s="65">
        <v>42147</v>
      </c>
      <c r="F2397" s="106">
        <v>20839.2</v>
      </c>
      <c r="G2397" s="31">
        <f t="shared" si="74"/>
        <v>0</v>
      </c>
      <c r="H2397" s="39" t="s">
        <v>9</v>
      </c>
      <c r="I2397" s="3"/>
      <c r="J2397" s="42"/>
      <c r="K2397" s="3"/>
      <c r="M2397" s="20">
        <v>42153</v>
      </c>
      <c r="N2397" s="183">
        <v>22638</v>
      </c>
      <c r="O2397" s="14" t="s">
        <v>1058</v>
      </c>
      <c r="P2397" s="105">
        <v>1484.7</v>
      </c>
      <c r="Q2397" s="23">
        <v>42153</v>
      </c>
      <c r="R2397" s="106">
        <v>1484.7</v>
      </c>
      <c r="S2397" s="31">
        <f t="shared" si="75"/>
        <v>0</v>
      </c>
      <c r="T2397" s="39" t="s">
        <v>9</v>
      </c>
    </row>
    <row r="2398" spans="1:20" x14ac:dyDescent="0.25">
      <c r="A2398" s="20">
        <v>42147</v>
      </c>
      <c r="B2398" s="183">
        <v>21972</v>
      </c>
      <c r="C2398" s="14" t="s">
        <v>383</v>
      </c>
      <c r="D2398" s="105">
        <v>5091.05</v>
      </c>
      <c r="E2398" s="65">
        <v>42147</v>
      </c>
      <c r="F2398" s="106">
        <v>5091.05</v>
      </c>
      <c r="G2398" s="31">
        <f t="shared" si="74"/>
        <v>0</v>
      </c>
      <c r="H2398" s="39" t="s">
        <v>9</v>
      </c>
      <c r="I2398" s="3"/>
      <c r="J2398" s="42"/>
      <c r="K2398" s="3"/>
      <c r="M2398" s="20">
        <v>42155</v>
      </c>
      <c r="N2398" s="183">
        <v>22808</v>
      </c>
      <c r="O2398" s="14" t="s">
        <v>1058</v>
      </c>
      <c r="P2398" s="105">
        <v>3038</v>
      </c>
      <c r="Q2398" s="23">
        <v>42155</v>
      </c>
      <c r="R2398" s="106">
        <v>3038</v>
      </c>
      <c r="S2398" s="31">
        <f t="shared" si="75"/>
        <v>0</v>
      </c>
      <c r="T2398" s="39" t="s">
        <v>9</v>
      </c>
    </row>
    <row r="2399" spans="1:20" x14ac:dyDescent="0.25">
      <c r="A2399" s="20">
        <v>42147</v>
      </c>
      <c r="B2399" s="183">
        <v>21973</v>
      </c>
      <c r="C2399" s="26" t="s">
        <v>218</v>
      </c>
      <c r="D2399" s="108">
        <v>0</v>
      </c>
      <c r="E2399" s="186"/>
      <c r="F2399" s="106"/>
      <c r="G2399" s="31">
        <f t="shared" si="74"/>
        <v>0</v>
      </c>
      <c r="H2399" s="39" t="s">
        <v>13</v>
      </c>
      <c r="I2399" s="3"/>
      <c r="J2399" s="42"/>
      <c r="K2399" s="3"/>
      <c r="M2399" s="20">
        <v>42125</v>
      </c>
      <c r="N2399" s="183">
        <v>19585</v>
      </c>
      <c r="O2399" s="14" t="s">
        <v>18</v>
      </c>
      <c r="P2399" s="105">
        <v>2354</v>
      </c>
      <c r="Q2399" s="23">
        <v>42125</v>
      </c>
      <c r="R2399" s="106">
        <v>2354</v>
      </c>
      <c r="S2399" s="25">
        <f t="shared" si="75"/>
        <v>0</v>
      </c>
      <c r="T2399" s="19" t="s">
        <v>9</v>
      </c>
    </row>
    <row r="2400" spans="1:20" x14ac:dyDescent="0.25">
      <c r="A2400" s="20">
        <v>42147</v>
      </c>
      <c r="B2400" s="183">
        <v>21974</v>
      </c>
      <c r="C2400" s="14" t="s">
        <v>320</v>
      </c>
      <c r="D2400" s="105">
        <v>32646.25</v>
      </c>
      <c r="E2400" s="65">
        <v>42147</v>
      </c>
      <c r="F2400" s="106">
        <v>32646.25</v>
      </c>
      <c r="G2400" s="31">
        <f t="shared" si="74"/>
        <v>0</v>
      </c>
      <c r="H2400" s="39" t="s">
        <v>587</v>
      </c>
      <c r="I2400" s="3"/>
      <c r="J2400" s="42"/>
      <c r="K2400" s="3"/>
      <c r="M2400" s="20">
        <v>42127</v>
      </c>
      <c r="N2400" s="183">
        <v>19823</v>
      </c>
      <c r="O2400" s="40" t="s">
        <v>18</v>
      </c>
      <c r="P2400" s="105">
        <v>1966.5</v>
      </c>
      <c r="Q2400" s="23">
        <v>42127</v>
      </c>
      <c r="R2400" s="106">
        <v>1966.5</v>
      </c>
      <c r="S2400" s="31">
        <f t="shared" si="75"/>
        <v>0</v>
      </c>
      <c r="T2400" s="41" t="s">
        <v>9</v>
      </c>
    </row>
    <row r="2401" spans="1:20" x14ac:dyDescent="0.25">
      <c r="A2401" s="20">
        <v>42147</v>
      </c>
      <c r="B2401" s="183">
        <v>21975</v>
      </c>
      <c r="C2401" s="14" t="s">
        <v>1190</v>
      </c>
      <c r="D2401" s="105">
        <v>11291.1</v>
      </c>
      <c r="E2401" s="65">
        <v>42147</v>
      </c>
      <c r="F2401" s="106">
        <v>11291.1</v>
      </c>
      <c r="G2401" s="31">
        <f t="shared" si="74"/>
        <v>0</v>
      </c>
      <c r="H2401" s="39" t="s">
        <v>587</v>
      </c>
      <c r="I2401" s="3"/>
      <c r="J2401" s="42"/>
      <c r="K2401" s="3"/>
      <c r="M2401" s="20">
        <v>42128</v>
      </c>
      <c r="N2401" s="183">
        <v>19889</v>
      </c>
      <c r="O2401" s="14" t="s">
        <v>18</v>
      </c>
      <c r="P2401" s="105">
        <v>2395.25</v>
      </c>
      <c r="Q2401" s="23">
        <v>42128</v>
      </c>
      <c r="R2401" s="106">
        <v>2395.25</v>
      </c>
      <c r="S2401" s="31">
        <f t="shared" si="75"/>
        <v>0</v>
      </c>
      <c r="T2401" s="19" t="s">
        <v>9</v>
      </c>
    </row>
    <row r="2402" spans="1:20" x14ac:dyDescent="0.25">
      <c r="A2402" s="20">
        <v>42147</v>
      </c>
      <c r="B2402" s="183">
        <v>21976</v>
      </c>
      <c r="C2402" s="14" t="s">
        <v>14</v>
      </c>
      <c r="D2402" s="105">
        <v>28084.2</v>
      </c>
      <c r="E2402" s="65">
        <v>42153</v>
      </c>
      <c r="F2402" s="106">
        <v>28084.2</v>
      </c>
      <c r="G2402" s="31">
        <f t="shared" si="74"/>
        <v>0</v>
      </c>
      <c r="H2402" s="39" t="s">
        <v>15</v>
      </c>
      <c r="I2402" s="3"/>
      <c r="J2402" s="42"/>
      <c r="K2402" s="3"/>
      <c r="M2402" s="20">
        <v>42131</v>
      </c>
      <c r="N2402" s="183">
        <v>20208</v>
      </c>
      <c r="O2402" s="14" t="s">
        <v>18</v>
      </c>
      <c r="P2402" s="105">
        <v>2455.25</v>
      </c>
      <c r="Q2402" s="23">
        <v>42131</v>
      </c>
      <c r="R2402" s="106">
        <v>2455.25</v>
      </c>
      <c r="S2402" s="31">
        <f t="shared" si="75"/>
        <v>0</v>
      </c>
      <c r="T2402" s="39" t="s">
        <v>9</v>
      </c>
    </row>
    <row r="2403" spans="1:20" x14ac:dyDescent="0.25">
      <c r="A2403" s="20">
        <v>42147</v>
      </c>
      <c r="B2403" s="183">
        <v>21977</v>
      </c>
      <c r="C2403" s="14" t="s">
        <v>1297</v>
      </c>
      <c r="D2403" s="105">
        <v>6329.6</v>
      </c>
      <c r="E2403" s="152" t="s">
        <v>1299</v>
      </c>
      <c r="F2403" s="106">
        <f>6000+329.6</f>
        <v>6329.6</v>
      </c>
      <c r="G2403" s="31">
        <f t="shared" si="74"/>
        <v>0</v>
      </c>
      <c r="H2403" s="39" t="s">
        <v>9</v>
      </c>
      <c r="I2403" s="3"/>
      <c r="J2403" s="42"/>
      <c r="K2403" s="3"/>
      <c r="M2403" s="20">
        <v>42133</v>
      </c>
      <c r="N2403" s="183">
        <v>20469</v>
      </c>
      <c r="O2403" s="14" t="s">
        <v>18</v>
      </c>
      <c r="P2403" s="105">
        <v>2492</v>
      </c>
      <c r="Q2403" s="23">
        <v>42133</v>
      </c>
      <c r="R2403" s="106">
        <v>2492</v>
      </c>
      <c r="S2403" s="31">
        <f t="shared" si="75"/>
        <v>0</v>
      </c>
      <c r="T2403" s="39" t="s">
        <v>9</v>
      </c>
    </row>
    <row r="2404" spans="1:20" x14ac:dyDescent="0.25">
      <c r="A2404" s="20">
        <v>42147</v>
      </c>
      <c r="B2404" s="183">
        <v>21978</v>
      </c>
      <c r="C2404" s="14" t="s">
        <v>1425</v>
      </c>
      <c r="D2404" s="105">
        <v>10854.8</v>
      </c>
      <c r="E2404" s="152" t="s">
        <v>1426</v>
      </c>
      <c r="F2404" s="106">
        <f>7500+3354.8</f>
        <v>10854.8</v>
      </c>
      <c r="G2404" s="31">
        <f t="shared" si="74"/>
        <v>0</v>
      </c>
      <c r="H2404" s="39" t="s">
        <v>9</v>
      </c>
      <c r="I2404" s="3"/>
      <c r="J2404" s="42"/>
      <c r="K2404" s="3"/>
      <c r="M2404" s="20">
        <v>42134</v>
      </c>
      <c r="N2404" s="183">
        <v>20592</v>
      </c>
      <c r="O2404" s="14" t="s">
        <v>18</v>
      </c>
      <c r="P2404" s="105">
        <v>2926.95</v>
      </c>
      <c r="Q2404" s="23">
        <v>42134</v>
      </c>
      <c r="R2404" s="106">
        <v>2926.95</v>
      </c>
      <c r="S2404" s="31">
        <f t="shared" si="75"/>
        <v>0</v>
      </c>
      <c r="T2404" s="39" t="s">
        <v>9</v>
      </c>
    </row>
    <row r="2405" spans="1:20" x14ac:dyDescent="0.25">
      <c r="A2405" s="20">
        <v>42147</v>
      </c>
      <c r="B2405" s="183">
        <v>21979</v>
      </c>
      <c r="C2405" s="14" t="s">
        <v>116</v>
      </c>
      <c r="D2405" s="105">
        <v>13157.7</v>
      </c>
      <c r="E2405" s="65">
        <v>42147</v>
      </c>
      <c r="F2405" s="106">
        <v>13157.7</v>
      </c>
      <c r="G2405" s="31">
        <f t="shared" si="74"/>
        <v>0</v>
      </c>
      <c r="H2405" s="39" t="s">
        <v>9</v>
      </c>
      <c r="I2405" s="3"/>
      <c r="J2405" s="42"/>
      <c r="K2405" s="3"/>
      <c r="M2405" s="20">
        <v>42136</v>
      </c>
      <c r="N2405" s="183">
        <v>20791</v>
      </c>
      <c r="O2405" s="14" t="s">
        <v>18</v>
      </c>
      <c r="P2405" s="105">
        <v>2598</v>
      </c>
      <c r="Q2405" s="23">
        <v>42136</v>
      </c>
      <c r="R2405" s="106">
        <v>2598</v>
      </c>
      <c r="S2405" s="31">
        <f t="shared" si="75"/>
        <v>0</v>
      </c>
      <c r="T2405" s="19" t="s">
        <v>9</v>
      </c>
    </row>
    <row r="2406" spans="1:20" x14ac:dyDescent="0.25">
      <c r="A2406" s="20">
        <v>42147</v>
      </c>
      <c r="B2406" s="183">
        <v>21980</v>
      </c>
      <c r="C2406" s="14" t="s">
        <v>1261</v>
      </c>
      <c r="D2406" s="105">
        <v>8494.4</v>
      </c>
      <c r="E2406" s="65">
        <v>42147</v>
      </c>
      <c r="F2406" s="106">
        <v>8494.4</v>
      </c>
      <c r="G2406" s="31">
        <f t="shared" si="74"/>
        <v>0</v>
      </c>
      <c r="H2406" s="39" t="s">
        <v>46</v>
      </c>
      <c r="I2406" s="3"/>
      <c r="J2406" s="42"/>
      <c r="K2406" s="3"/>
      <c r="M2406" s="20">
        <v>42139</v>
      </c>
      <c r="N2406" s="183">
        <v>21095</v>
      </c>
      <c r="O2406" s="14" t="s">
        <v>18</v>
      </c>
      <c r="P2406" s="105">
        <v>2421.6</v>
      </c>
      <c r="Q2406" s="23">
        <v>42139</v>
      </c>
      <c r="R2406" s="106">
        <v>2421.6</v>
      </c>
      <c r="S2406" s="48">
        <f t="shared" si="75"/>
        <v>0</v>
      </c>
      <c r="T2406" s="39" t="s">
        <v>9</v>
      </c>
    </row>
    <row r="2407" spans="1:20" x14ac:dyDescent="0.25">
      <c r="A2407" s="20">
        <v>42147</v>
      </c>
      <c r="B2407" s="183">
        <v>21981</v>
      </c>
      <c r="C2407" s="14" t="s">
        <v>137</v>
      </c>
      <c r="D2407" s="105">
        <v>2598.8000000000002</v>
      </c>
      <c r="E2407" s="65">
        <v>42147</v>
      </c>
      <c r="F2407" s="106">
        <v>2598.8000000000002</v>
      </c>
      <c r="G2407" s="31">
        <f t="shared" si="74"/>
        <v>0</v>
      </c>
      <c r="H2407" s="39" t="s">
        <v>9</v>
      </c>
      <c r="I2407" s="3"/>
      <c r="J2407" s="42"/>
      <c r="K2407" s="3"/>
      <c r="M2407" s="20">
        <v>42140</v>
      </c>
      <c r="N2407" s="183">
        <v>21227</v>
      </c>
      <c r="O2407" s="14" t="s">
        <v>18</v>
      </c>
      <c r="P2407" s="105">
        <v>41563.4</v>
      </c>
      <c r="Q2407" s="23">
        <v>42140</v>
      </c>
      <c r="R2407" s="106">
        <v>4153.3999999999996</v>
      </c>
      <c r="S2407" s="48">
        <f t="shared" si="75"/>
        <v>37410</v>
      </c>
      <c r="T2407" s="39" t="s">
        <v>9</v>
      </c>
    </row>
    <row r="2408" spans="1:20" x14ac:dyDescent="0.25">
      <c r="A2408" s="20">
        <v>42147</v>
      </c>
      <c r="B2408" s="183">
        <v>21982</v>
      </c>
      <c r="C2408" s="14" t="s">
        <v>383</v>
      </c>
      <c r="D2408" s="105">
        <v>7498.9</v>
      </c>
      <c r="E2408" s="65">
        <v>42147</v>
      </c>
      <c r="F2408" s="106">
        <v>7498.9</v>
      </c>
      <c r="G2408" s="31">
        <f t="shared" si="74"/>
        <v>0</v>
      </c>
      <c r="H2408" s="39" t="s">
        <v>9</v>
      </c>
      <c r="I2408" s="3"/>
      <c r="J2408" s="42"/>
      <c r="K2408" s="3"/>
      <c r="M2408" s="20">
        <v>42142</v>
      </c>
      <c r="N2408" s="183">
        <v>21386</v>
      </c>
      <c r="O2408" s="14" t="s">
        <v>18</v>
      </c>
      <c r="P2408" s="105">
        <v>2782.2</v>
      </c>
      <c r="Q2408" s="23">
        <v>42143</v>
      </c>
      <c r="R2408" s="118">
        <v>2782.2</v>
      </c>
      <c r="S2408" s="48">
        <f t="shared" si="75"/>
        <v>0</v>
      </c>
      <c r="T2408" s="56" t="s">
        <v>9</v>
      </c>
    </row>
    <row r="2409" spans="1:20" x14ac:dyDescent="0.25">
      <c r="A2409" s="20">
        <v>42147</v>
      </c>
      <c r="B2409" s="183">
        <v>21983</v>
      </c>
      <c r="C2409" s="14" t="s">
        <v>881</v>
      </c>
      <c r="D2409" s="105">
        <v>3895.2</v>
      </c>
      <c r="E2409" s="65">
        <v>42147</v>
      </c>
      <c r="F2409" s="106">
        <v>3895.2</v>
      </c>
      <c r="G2409" s="31">
        <f t="shared" si="74"/>
        <v>0</v>
      </c>
      <c r="H2409" s="39" t="s">
        <v>9</v>
      </c>
      <c r="I2409" s="3"/>
      <c r="J2409" s="42"/>
      <c r="K2409" s="3"/>
      <c r="M2409" s="20">
        <v>42143</v>
      </c>
      <c r="N2409" s="183">
        <v>21534</v>
      </c>
      <c r="O2409" s="150" t="s">
        <v>18</v>
      </c>
      <c r="P2409" s="105">
        <v>2375.4</v>
      </c>
      <c r="Q2409" s="23">
        <v>42143</v>
      </c>
      <c r="R2409" s="118">
        <v>2375.4</v>
      </c>
      <c r="S2409" s="31">
        <f t="shared" si="75"/>
        <v>0</v>
      </c>
      <c r="T2409" s="56" t="s">
        <v>9</v>
      </c>
    </row>
    <row r="2410" spans="1:20" x14ac:dyDescent="0.25">
      <c r="A2410" s="20">
        <v>42147</v>
      </c>
      <c r="B2410" s="183">
        <v>21984</v>
      </c>
      <c r="C2410" s="150" t="s">
        <v>55</v>
      </c>
      <c r="D2410" s="105">
        <v>26413.200000000001</v>
      </c>
      <c r="E2410" s="65">
        <v>42147</v>
      </c>
      <c r="F2410" s="106">
        <v>26413.200000000001</v>
      </c>
      <c r="G2410" s="31">
        <f t="shared" si="74"/>
        <v>0</v>
      </c>
      <c r="H2410" s="39" t="s">
        <v>773</v>
      </c>
      <c r="I2410" s="3"/>
      <c r="J2410" s="42"/>
      <c r="K2410" s="3"/>
      <c r="M2410" s="20">
        <v>42145</v>
      </c>
      <c r="N2410" s="183">
        <v>21720</v>
      </c>
      <c r="O2410" s="14" t="s">
        <v>18</v>
      </c>
      <c r="P2410" s="105">
        <v>2502</v>
      </c>
      <c r="Q2410" s="23">
        <v>42145</v>
      </c>
      <c r="R2410" s="106">
        <v>2502</v>
      </c>
      <c r="S2410" s="31">
        <f t="shared" si="75"/>
        <v>0</v>
      </c>
      <c r="T2410" s="39" t="s">
        <v>9</v>
      </c>
    </row>
    <row r="2411" spans="1:20" x14ac:dyDescent="0.25">
      <c r="A2411" s="20">
        <v>42147</v>
      </c>
      <c r="B2411" s="183">
        <v>21985</v>
      </c>
      <c r="C2411" s="14" t="s">
        <v>114</v>
      </c>
      <c r="D2411" s="105">
        <v>4170</v>
      </c>
      <c r="E2411" s="65">
        <v>42147</v>
      </c>
      <c r="F2411" s="106">
        <v>4170</v>
      </c>
      <c r="G2411" s="31">
        <f t="shared" si="74"/>
        <v>0</v>
      </c>
      <c r="H2411" s="39" t="s">
        <v>9</v>
      </c>
      <c r="I2411" s="3"/>
      <c r="J2411" s="42"/>
      <c r="K2411" s="3"/>
      <c r="M2411" s="20">
        <v>42146</v>
      </c>
      <c r="N2411" s="183">
        <v>21840</v>
      </c>
      <c r="O2411" s="15" t="s">
        <v>18</v>
      </c>
      <c r="P2411" s="122">
        <v>6009.6</v>
      </c>
      <c r="Q2411" s="23">
        <v>42146</v>
      </c>
      <c r="R2411" s="118">
        <v>6009.6</v>
      </c>
      <c r="S2411" s="31">
        <f t="shared" si="75"/>
        <v>0</v>
      </c>
      <c r="T2411" s="68" t="s">
        <v>9</v>
      </c>
    </row>
    <row r="2412" spans="1:20" x14ac:dyDescent="0.25">
      <c r="A2412" s="20">
        <v>42147</v>
      </c>
      <c r="B2412" s="183">
        <v>21986</v>
      </c>
      <c r="C2412" s="14" t="s">
        <v>125</v>
      </c>
      <c r="D2412" s="105">
        <v>13151.6</v>
      </c>
      <c r="E2412" s="65">
        <v>42147</v>
      </c>
      <c r="F2412" s="106">
        <v>13151.6</v>
      </c>
      <c r="G2412" s="31">
        <f t="shared" si="74"/>
        <v>0</v>
      </c>
      <c r="H2412" s="39" t="s">
        <v>94</v>
      </c>
      <c r="I2412" s="3"/>
      <c r="J2412" s="42"/>
      <c r="K2412" s="3"/>
      <c r="M2412" s="20">
        <v>42148</v>
      </c>
      <c r="N2412" s="183">
        <v>22069</v>
      </c>
      <c r="O2412" s="14" t="s">
        <v>18</v>
      </c>
      <c r="P2412" s="105">
        <v>6580.8</v>
      </c>
      <c r="Q2412" s="65">
        <v>42148</v>
      </c>
      <c r="R2412" s="106">
        <v>6580.8</v>
      </c>
      <c r="S2412" s="31">
        <f t="shared" si="75"/>
        <v>0</v>
      </c>
      <c r="T2412" s="39" t="s">
        <v>9</v>
      </c>
    </row>
    <row r="2413" spans="1:20" x14ac:dyDescent="0.25">
      <c r="A2413" s="20">
        <v>42147</v>
      </c>
      <c r="B2413" s="183">
        <v>21987</v>
      </c>
      <c r="C2413" s="26" t="s">
        <v>218</v>
      </c>
      <c r="D2413" s="108">
        <v>0</v>
      </c>
      <c r="E2413" s="66"/>
      <c r="F2413" s="106"/>
      <c r="G2413" s="31">
        <f t="shared" si="74"/>
        <v>0</v>
      </c>
      <c r="H2413" s="39" t="s">
        <v>13</v>
      </c>
      <c r="I2413" s="3"/>
      <c r="J2413" s="42"/>
      <c r="K2413" s="3"/>
      <c r="M2413" s="20">
        <v>42149</v>
      </c>
      <c r="N2413" s="183">
        <v>22141</v>
      </c>
      <c r="O2413" s="14" t="s">
        <v>18</v>
      </c>
      <c r="P2413" s="105">
        <v>2425.6</v>
      </c>
      <c r="Q2413" s="65">
        <v>42149</v>
      </c>
      <c r="R2413" s="106">
        <v>2425.6</v>
      </c>
      <c r="S2413" s="31">
        <f t="shared" si="75"/>
        <v>0</v>
      </c>
      <c r="T2413" s="39" t="s">
        <v>9</v>
      </c>
    </row>
    <row r="2414" spans="1:20" x14ac:dyDescent="0.25">
      <c r="A2414" s="20">
        <v>42147</v>
      </c>
      <c r="B2414" s="183">
        <v>21988</v>
      </c>
      <c r="C2414" s="14" t="s">
        <v>294</v>
      </c>
      <c r="D2414" s="105">
        <v>12414.5</v>
      </c>
      <c r="E2414" s="65">
        <v>42147</v>
      </c>
      <c r="F2414" s="106">
        <v>12414.5</v>
      </c>
      <c r="G2414" s="31">
        <f t="shared" si="74"/>
        <v>0</v>
      </c>
      <c r="H2414" s="39" t="s">
        <v>9</v>
      </c>
      <c r="I2414" s="3"/>
      <c r="J2414" s="42"/>
      <c r="K2414" s="3"/>
      <c r="M2414" s="20">
        <v>42150</v>
      </c>
      <c r="N2414" s="183">
        <v>22259</v>
      </c>
      <c r="O2414" s="14" t="s">
        <v>18</v>
      </c>
      <c r="P2414" s="105">
        <v>3062.4</v>
      </c>
      <c r="Q2414" s="65">
        <v>42150</v>
      </c>
      <c r="R2414" s="106">
        <v>3062.4</v>
      </c>
      <c r="S2414" s="31">
        <f t="shared" si="75"/>
        <v>0</v>
      </c>
      <c r="T2414" s="39" t="s">
        <v>9</v>
      </c>
    </row>
    <row r="2415" spans="1:20" x14ac:dyDescent="0.25">
      <c r="A2415" s="20">
        <v>42147</v>
      </c>
      <c r="B2415" s="183">
        <v>21989</v>
      </c>
      <c r="C2415" s="14" t="s">
        <v>20</v>
      </c>
      <c r="D2415" s="105">
        <v>31398.7</v>
      </c>
      <c r="E2415" s="65">
        <v>42147</v>
      </c>
      <c r="F2415" s="106">
        <v>31398.7</v>
      </c>
      <c r="G2415" s="31">
        <f t="shared" si="74"/>
        <v>0</v>
      </c>
      <c r="H2415" s="39" t="s">
        <v>94</v>
      </c>
      <c r="I2415" s="3"/>
      <c r="J2415" s="42"/>
      <c r="K2415" s="3"/>
      <c r="M2415" s="20">
        <v>42152</v>
      </c>
      <c r="N2415" s="183">
        <v>22432</v>
      </c>
      <c r="O2415" s="14" t="s">
        <v>18</v>
      </c>
      <c r="P2415" s="105">
        <v>2708</v>
      </c>
      <c r="Q2415" s="23">
        <v>42152</v>
      </c>
      <c r="R2415" s="106">
        <v>2708</v>
      </c>
      <c r="S2415" s="31">
        <f t="shared" si="75"/>
        <v>0</v>
      </c>
      <c r="T2415" s="39" t="s">
        <v>9</v>
      </c>
    </row>
    <row r="2416" spans="1:20" x14ac:dyDescent="0.25">
      <c r="A2416" s="20">
        <v>42147</v>
      </c>
      <c r="B2416" s="183">
        <v>21990</v>
      </c>
      <c r="C2416" s="14" t="s">
        <v>37</v>
      </c>
      <c r="D2416" s="105">
        <v>2397.3000000000002</v>
      </c>
      <c r="E2416" s="65">
        <v>42152</v>
      </c>
      <c r="F2416" s="106">
        <v>2397.3000000000002</v>
      </c>
      <c r="G2416" s="31">
        <f t="shared" si="74"/>
        <v>0</v>
      </c>
      <c r="H2416" s="39" t="s">
        <v>9</v>
      </c>
      <c r="I2416" s="3"/>
      <c r="J2416" s="42"/>
      <c r="K2416" s="3"/>
      <c r="M2416" s="20">
        <v>42154</v>
      </c>
      <c r="N2416" s="183">
        <v>22673</v>
      </c>
      <c r="O2416" s="14" t="s">
        <v>18</v>
      </c>
      <c r="P2416" s="105">
        <v>2752.2</v>
      </c>
      <c r="Q2416" s="23">
        <v>42154</v>
      </c>
      <c r="R2416" s="106">
        <v>2752.2</v>
      </c>
      <c r="S2416" s="31">
        <f t="shared" si="75"/>
        <v>0</v>
      </c>
      <c r="T2416" s="39" t="s">
        <v>9</v>
      </c>
    </row>
    <row r="2417" spans="1:20" x14ac:dyDescent="0.25">
      <c r="A2417" s="20">
        <v>42147</v>
      </c>
      <c r="B2417" s="183">
        <v>21991</v>
      </c>
      <c r="C2417" s="14" t="s">
        <v>383</v>
      </c>
      <c r="D2417" s="105">
        <v>6767.3</v>
      </c>
      <c r="E2417" s="65">
        <v>42147</v>
      </c>
      <c r="F2417" s="106">
        <v>6767.3</v>
      </c>
      <c r="G2417" s="31">
        <f t="shared" si="74"/>
        <v>0</v>
      </c>
      <c r="H2417" s="39" t="s">
        <v>9</v>
      </c>
      <c r="I2417" s="3"/>
      <c r="J2417" s="42"/>
      <c r="K2417" s="3"/>
      <c r="M2417" s="20">
        <v>42155</v>
      </c>
      <c r="N2417" s="183">
        <v>22794</v>
      </c>
      <c r="O2417" s="14" t="s">
        <v>18</v>
      </c>
      <c r="P2417" s="105">
        <v>2876.4</v>
      </c>
      <c r="Q2417" s="23">
        <v>42155</v>
      </c>
      <c r="R2417" s="106">
        <v>2876.4</v>
      </c>
      <c r="S2417" s="31">
        <f t="shared" si="75"/>
        <v>0</v>
      </c>
      <c r="T2417" s="39" t="s">
        <v>9</v>
      </c>
    </row>
    <row r="2418" spans="1:20" x14ac:dyDescent="0.25">
      <c r="A2418" s="20">
        <v>42147</v>
      </c>
      <c r="B2418" s="183">
        <v>21992</v>
      </c>
      <c r="C2418" s="14" t="s">
        <v>294</v>
      </c>
      <c r="D2418" s="105">
        <v>496</v>
      </c>
      <c r="E2418" s="65">
        <v>42147</v>
      </c>
      <c r="F2418" s="106">
        <v>496</v>
      </c>
      <c r="G2418" s="31">
        <f t="shared" si="74"/>
        <v>0</v>
      </c>
      <c r="H2418" s="39" t="s">
        <v>9</v>
      </c>
      <c r="I2418" s="3"/>
      <c r="J2418" s="42"/>
      <c r="K2418" s="3"/>
      <c r="M2418" s="20">
        <v>42128</v>
      </c>
      <c r="N2418" s="183">
        <v>19998</v>
      </c>
      <c r="O2418" s="14" t="s">
        <v>1060</v>
      </c>
      <c r="P2418" s="105">
        <v>90795.87</v>
      </c>
      <c r="Q2418" s="23">
        <v>42132</v>
      </c>
      <c r="R2418" s="106">
        <f>1681.41+89114.46</f>
        <v>90795.87000000001</v>
      </c>
      <c r="S2418" s="31">
        <f t="shared" si="75"/>
        <v>0</v>
      </c>
      <c r="T2418" s="19" t="s">
        <v>1013</v>
      </c>
    </row>
    <row r="2419" spans="1:20" x14ac:dyDescent="0.25">
      <c r="A2419" s="20">
        <v>42147</v>
      </c>
      <c r="B2419" s="183">
        <v>21993</v>
      </c>
      <c r="C2419" s="14" t="s">
        <v>169</v>
      </c>
      <c r="D2419" s="105">
        <v>3218.5</v>
      </c>
      <c r="E2419" s="65">
        <v>42147</v>
      </c>
      <c r="F2419" s="106">
        <v>3218.5</v>
      </c>
      <c r="G2419" s="31">
        <f t="shared" si="74"/>
        <v>0</v>
      </c>
      <c r="H2419" s="39" t="s">
        <v>59</v>
      </c>
      <c r="I2419" s="3"/>
      <c r="J2419" s="42"/>
      <c r="K2419" s="3"/>
      <c r="M2419" s="20">
        <v>42129</v>
      </c>
      <c r="N2419" s="183">
        <v>20036</v>
      </c>
      <c r="O2419" s="14" t="s">
        <v>1060</v>
      </c>
      <c r="P2419" s="105">
        <v>1859</v>
      </c>
      <c r="Q2419" s="23">
        <v>42129</v>
      </c>
      <c r="R2419" s="106">
        <v>1859</v>
      </c>
      <c r="S2419" s="31">
        <f t="shared" si="75"/>
        <v>0</v>
      </c>
      <c r="T2419" s="39" t="s">
        <v>9</v>
      </c>
    </row>
    <row r="2420" spans="1:20" x14ac:dyDescent="0.25">
      <c r="A2420" s="20">
        <v>42147</v>
      </c>
      <c r="B2420" s="183">
        <v>21994</v>
      </c>
      <c r="C2420" s="14" t="s">
        <v>82</v>
      </c>
      <c r="D2420" s="105">
        <v>1346.8</v>
      </c>
      <c r="E2420" s="65">
        <v>42147</v>
      </c>
      <c r="F2420" s="106">
        <v>1346.8</v>
      </c>
      <c r="G2420" s="31">
        <f t="shared" si="74"/>
        <v>0</v>
      </c>
      <c r="H2420" s="39" t="s">
        <v>59</v>
      </c>
      <c r="I2420" s="3"/>
      <c r="J2420" s="42"/>
      <c r="K2420" s="3"/>
      <c r="M2420" s="20">
        <v>42132</v>
      </c>
      <c r="N2420" s="183">
        <v>20330</v>
      </c>
      <c r="O2420" s="14" t="s">
        <v>1060</v>
      </c>
      <c r="P2420" s="105">
        <v>95808.16</v>
      </c>
      <c r="Q2420" s="23"/>
      <c r="R2420" s="106"/>
      <c r="S2420" s="31">
        <f t="shared" si="75"/>
        <v>95808.16</v>
      </c>
      <c r="T2420" s="39" t="s">
        <v>1273</v>
      </c>
    </row>
    <row r="2421" spans="1:20" x14ac:dyDescent="0.25">
      <c r="A2421" s="20">
        <v>42147</v>
      </c>
      <c r="B2421" s="183">
        <v>21995</v>
      </c>
      <c r="C2421" s="14" t="s">
        <v>217</v>
      </c>
      <c r="D2421" s="105">
        <v>4250.3999999999996</v>
      </c>
      <c r="E2421" s="65">
        <v>42147</v>
      </c>
      <c r="F2421" s="106">
        <v>4250.3999999999996</v>
      </c>
      <c r="G2421" s="31">
        <f t="shared" si="74"/>
        <v>0</v>
      </c>
      <c r="H2421" s="39" t="s">
        <v>59</v>
      </c>
      <c r="I2421" s="3"/>
      <c r="J2421" s="42"/>
      <c r="K2421" s="3"/>
      <c r="M2421" s="20">
        <v>42134</v>
      </c>
      <c r="N2421" s="183">
        <v>20659</v>
      </c>
      <c r="O2421" s="14" t="s">
        <v>1060</v>
      </c>
      <c r="P2421" s="105">
        <v>39670.400000000001</v>
      </c>
      <c r="Q2421" s="23">
        <v>42144</v>
      </c>
      <c r="R2421" s="106">
        <v>39670.400000000001</v>
      </c>
      <c r="S2421" s="31">
        <f t="shared" si="75"/>
        <v>0</v>
      </c>
      <c r="T2421" s="39" t="s">
        <v>1257</v>
      </c>
    </row>
    <row r="2422" spans="1:20" x14ac:dyDescent="0.25">
      <c r="A2422" s="20">
        <v>42147</v>
      </c>
      <c r="B2422" s="183">
        <v>21996</v>
      </c>
      <c r="C2422" s="14" t="s">
        <v>83</v>
      </c>
      <c r="D2422" s="105">
        <v>5824.8</v>
      </c>
      <c r="E2422" s="65">
        <v>42147</v>
      </c>
      <c r="F2422" s="106">
        <v>5824.8</v>
      </c>
      <c r="G2422" s="31">
        <f t="shared" si="74"/>
        <v>0</v>
      </c>
      <c r="H2422" s="39" t="s">
        <v>59</v>
      </c>
      <c r="I2422" s="3"/>
      <c r="J2422" s="42"/>
      <c r="K2422" s="3"/>
      <c r="M2422" s="20">
        <v>42136</v>
      </c>
      <c r="N2422" s="183">
        <v>20866</v>
      </c>
      <c r="O2422" s="14" t="s">
        <v>1060</v>
      </c>
      <c r="P2422" s="105">
        <v>95382.91</v>
      </c>
      <c r="Q2422" s="23"/>
      <c r="R2422" s="106"/>
      <c r="S2422" s="31">
        <f t="shared" si="75"/>
        <v>95382.91</v>
      </c>
      <c r="T2422" s="39" t="s">
        <v>9</v>
      </c>
    </row>
    <row r="2423" spans="1:20" x14ac:dyDescent="0.25">
      <c r="A2423" s="20">
        <v>42147</v>
      </c>
      <c r="B2423" s="183">
        <v>21997</v>
      </c>
      <c r="C2423" s="14" t="s">
        <v>872</v>
      </c>
      <c r="D2423" s="105">
        <v>619.1</v>
      </c>
      <c r="E2423" s="65">
        <v>42147</v>
      </c>
      <c r="F2423" s="106">
        <v>619.1</v>
      </c>
      <c r="G2423" s="31">
        <f t="shared" si="74"/>
        <v>0</v>
      </c>
      <c r="H2423" s="39" t="s">
        <v>59</v>
      </c>
      <c r="I2423" s="3"/>
      <c r="J2423" s="42"/>
      <c r="K2423" s="3"/>
      <c r="M2423" s="20">
        <v>42138</v>
      </c>
      <c r="N2423" s="183">
        <v>20968</v>
      </c>
      <c r="O2423" s="14" t="s">
        <v>1060</v>
      </c>
      <c r="P2423" s="105">
        <v>2446.4</v>
      </c>
      <c r="Q2423" s="23">
        <v>42138</v>
      </c>
      <c r="R2423" s="106">
        <v>2446.4</v>
      </c>
      <c r="S2423" s="31">
        <f t="shared" si="75"/>
        <v>0</v>
      </c>
      <c r="T2423" s="19" t="s">
        <v>9</v>
      </c>
    </row>
    <row r="2424" spans="1:20" x14ac:dyDescent="0.25">
      <c r="A2424" s="20">
        <v>42147</v>
      </c>
      <c r="B2424" s="183">
        <v>21998</v>
      </c>
      <c r="C2424" s="14" t="s">
        <v>126</v>
      </c>
      <c r="D2424" s="105">
        <v>2534.6</v>
      </c>
      <c r="E2424" s="65">
        <v>42148</v>
      </c>
      <c r="F2424" s="106">
        <v>2534.6</v>
      </c>
      <c r="G2424" s="31">
        <f t="shared" si="74"/>
        <v>0</v>
      </c>
      <c r="H2424" s="39" t="s">
        <v>59</v>
      </c>
      <c r="I2424" s="3"/>
      <c r="J2424" s="42"/>
      <c r="K2424" s="3"/>
      <c r="M2424" s="20">
        <v>42125</v>
      </c>
      <c r="N2424" s="183">
        <v>19613</v>
      </c>
      <c r="O2424" s="14" t="s">
        <v>82</v>
      </c>
      <c r="P2424" s="105">
        <v>4059.9</v>
      </c>
      <c r="Q2424" s="23">
        <v>42125</v>
      </c>
      <c r="R2424" s="106">
        <v>4059.9</v>
      </c>
      <c r="S2424" s="25">
        <f t="shared" si="75"/>
        <v>0</v>
      </c>
      <c r="T2424" s="19" t="s">
        <v>59</v>
      </c>
    </row>
    <row r="2425" spans="1:20" x14ac:dyDescent="0.25">
      <c r="A2425" s="20">
        <v>42147</v>
      </c>
      <c r="B2425" s="183">
        <v>21999</v>
      </c>
      <c r="C2425" s="26" t="s">
        <v>218</v>
      </c>
      <c r="D2425" s="108">
        <v>0</v>
      </c>
      <c r="E2425" s="65"/>
      <c r="F2425" s="106"/>
      <c r="G2425" s="31">
        <f t="shared" si="74"/>
        <v>0</v>
      </c>
      <c r="H2425" s="39" t="s">
        <v>13</v>
      </c>
      <c r="I2425" s="3"/>
      <c r="J2425" s="42"/>
      <c r="K2425" s="3"/>
      <c r="M2425" s="20">
        <v>42126</v>
      </c>
      <c r="N2425" s="183">
        <v>19764</v>
      </c>
      <c r="O2425" s="40" t="s">
        <v>82</v>
      </c>
      <c r="P2425" s="105">
        <v>5678</v>
      </c>
      <c r="Q2425" s="23">
        <v>42127</v>
      </c>
      <c r="R2425" s="106">
        <v>5678</v>
      </c>
      <c r="S2425" s="25">
        <f t="shared" si="75"/>
        <v>0</v>
      </c>
      <c r="T2425" s="41" t="s">
        <v>59</v>
      </c>
    </row>
    <row r="2426" spans="1:20" x14ac:dyDescent="0.25">
      <c r="A2426" s="20">
        <v>42147</v>
      </c>
      <c r="B2426" s="183">
        <v>22000</v>
      </c>
      <c r="C2426" s="14" t="s">
        <v>121</v>
      </c>
      <c r="D2426" s="105">
        <v>3895.4</v>
      </c>
      <c r="E2426" s="65">
        <v>42147</v>
      </c>
      <c r="F2426" s="106">
        <v>3895.4</v>
      </c>
      <c r="G2426" s="31">
        <f t="shared" si="74"/>
        <v>0</v>
      </c>
      <c r="H2426" s="39" t="s">
        <v>9</v>
      </c>
      <c r="I2426" s="3"/>
      <c r="J2426" s="42"/>
      <c r="K2426" s="3"/>
      <c r="M2426" s="20">
        <v>42127</v>
      </c>
      <c r="N2426" s="183">
        <v>19848</v>
      </c>
      <c r="O2426" s="40" t="s">
        <v>82</v>
      </c>
      <c r="P2426" s="105">
        <v>1965.6</v>
      </c>
      <c r="Q2426" s="23">
        <v>42127</v>
      </c>
      <c r="R2426" s="106">
        <v>1965.6</v>
      </c>
      <c r="S2426" s="31">
        <f t="shared" si="75"/>
        <v>0</v>
      </c>
      <c r="T2426" s="41" t="s">
        <v>59</v>
      </c>
    </row>
    <row r="2427" spans="1:20" x14ac:dyDescent="0.25">
      <c r="A2427" s="20">
        <v>42147</v>
      </c>
      <c r="B2427" s="183">
        <v>22001</v>
      </c>
      <c r="C2427" s="14" t="s">
        <v>215</v>
      </c>
      <c r="D2427" s="105">
        <v>20978.2</v>
      </c>
      <c r="E2427" s="65">
        <v>42147</v>
      </c>
      <c r="F2427" s="106">
        <v>20978.2</v>
      </c>
      <c r="G2427" s="31">
        <f t="shared" si="74"/>
        <v>0</v>
      </c>
      <c r="H2427" s="39" t="s">
        <v>1257</v>
      </c>
      <c r="I2427" s="3"/>
      <c r="J2427" s="42"/>
      <c r="K2427" s="3"/>
      <c r="M2427" s="20">
        <v>42128</v>
      </c>
      <c r="N2427" s="183">
        <v>19925</v>
      </c>
      <c r="O2427" s="14" t="s">
        <v>82</v>
      </c>
      <c r="P2427" s="105">
        <v>2226.9</v>
      </c>
      <c r="Q2427" s="23">
        <v>42128</v>
      </c>
      <c r="R2427" s="106">
        <v>2226.9</v>
      </c>
      <c r="S2427" s="31">
        <f t="shared" si="75"/>
        <v>0</v>
      </c>
      <c r="T2427" s="19" t="s">
        <v>59</v>
      </c>
    </row>
    <row r="2428" spans="1:20" x14ac:dyDescent="0.25">
      <c r="A2428" s="20">
        <v>42147</v>
      </c>
      <c r="B2428" s="183">
        <v>22002</v>
      </c>
      <c r="C2428" s="14" t="s">
        <v>53</v>
      </c>
      <c r="D2428" s="105">
        <v>2671.4</v>
      </c>
      <c r="E2428" s="65">
        <v>42147</v>
      </c>
      <c r="F2428" s="106">
        <v>2671.4</v>
      </c>
      <c r="G2428" s="31">
        <f t="shared" si="74"/>
        <v>0</v>
      </c>
      <c r="H2428" s="39" t="s">
        <v>1257</v>
      </c>
      <c r="I2428" s="3"/>
      <c r="J2428" s="42"/>
      <c r="K2428" s="3"/>
      <c r="M2428" s="20">
        <v>42129</v>
      </c>
      <c r="N2428" s="183">
        <v>20065</v>
      </c>
      <c r="O2428" s="14" t="s">
        <v>82</v>
      </c>
      <c r="P2428" s="105">
        <v>3994.8</v>
      </c>
      <c r="Q2428" s="23">
        <v>42129</v>
      </c>
      <c r="R2428" s="106">
        <v>3994.8</v>
      </c>
      <c r="S2428" s="31">
        <f t="shared" si="75"/>
        <v>0</v>
      </c>
      <c r="T2428" s="39" t="s">
        <v>59</v>
      </c>
    </row>
    <row r="2429" spans="1:20" x14ac:dyDescent="0.25">
      <c r="A2429" s="20">
        <v>42147</v>
      </c>
      <c r="B2429" s="183">
        <v>22003</v>
      </c>
      <c r="C2429" s="14" t="s">
        <v>165</v>
      </c>
      <c r="D2429" s="105">
        <v>2412.9</v>
      </c>
      <c r="E2429" s="65">
        <v>42147</v>
      </c>
      <c r="F2429" s="106">
        <v>2412.9</v>
      </c>
      <c r="G2429" s="31">
        <f t="shared" si="74"/>
        <v>0</v>
      </c>
      <c r="H2429" s="39" t="s">
        <v>9</v>
      </c>
      <c r="I2429" s="3"/>
      <c r="J2429" s="42"/>
      <c r="K2429" s="3"/>
      <c r="M2429" s="20">
        <v>42130</v>
      </c>
      <c r="N2429" s="183">
        <v>20150</v>
      </c>
      <c r="O2429" s="14" t="s">
        <v>82</v>
      </c>
      <c r="P2429" s="105">
        <v>2082.6</v>
      </c>
      <c r="Q2429" s="23">
        <v>42131</v>
      </c>
      <c r="R2429" s="106">
        <v>2082.6</v>
      </c>
      <c r="S2429" s="31">
        <f t="shared" si="75"/>
        <v>0</v>
      </c>
      <c r="T2429" s="39" t="s">
        <v>1013</v>
      </c>
    </row>
    <row r="2430" spans="1:20" x14ac:dyDescent="0.25">
      <c r="A2430" s="20">
        <v>42147</v>
      </c>
      <c r="B2430" s="183">
        <v>22004</v>
      </c>
      <c r="C2430" s="110">
        <v>105</v>
      </c>
      <c r="D2430" s="105">
        <v>4180</v>
      </c>
      <c r="E2430" s="65">
        <v>42147</v>
      </c>
      <c r="F2430" s="106">
        <v>4180</v>
      </c>
      <c r="G2430" s="31">
        <f t="shared" si="74"/>
        <v>0</v>
      </c>
      <c r="H2430" s="39" t="s">
        <v>59</v>
      </c>
      <c r="I2430" s="3"/>
      <c r="J2430" s="42"/>
      <c r="K2430" s="3"/>
      <c r="M2430" s="20">
        <v>42131</v>
      </c>
      <c r="N2430" s="183">
        <v>20249</v>
      </c>
      <c r="O2430" s="14" t="s">
        <v>82</v>
      </c>
      <c r="P2430" s="105">
        <v>5567.4</v>
      </c>
      <c r="Q2430" s="23">
        <v>42131</v>
      </c>
      <c r="R2430" s="106">
        <v>5567.4</v>
      </c>
      <c r="S2430" s="31">
        <f t="shared" si="75"/>
        <v>0</v>
      </c>
      <c r="T2430" s="19" t="s">
        <v>59</v>
      </c>
    </row>
    <row r="2431" spans="1:20" x14ac:dyDescent="0.25">
      <c r="A2431" s="20">
        <v>42147</v>
      </c>
      <c r="B2431" s="183">
        <v>22005</v>
      </c>
      <c r="C2431" s="14" t="s">
        <v>1370</v>
      </c>
      <c r="D2431" s="105">
        <v>1313.1</v>
      </c>
      <c r="E2431" s="65">
        <v>42147</v>
      </c>
      <c r="F2431" s="106">
        <v>1313.1</v>
      </c>
      <c r="G2431" s="31">
        <f t="shared" si="74"/>
        <v>0</v>
      </c>
      <c r="H2431" s="39" t="s">
        <v>9</v>
      </c>
      <c r="I2431" s="3"/>
      <c r="J2431" s="42"/>
      <c r="K2431" s="3"/>
      <c r="M2431" s="20">
        <v>42132</v>
      </c>
      <c r="N2431" s="183">
        <v>20373</v>
      </c>
      <c r="O2431" s="14" t="s">
        <v>82</v>
      </c>
      <c r="P2431" s="105">
        <v>4582.2</v>
      </c>
      <c r="Q2431" s="23">
        <v>42133</v>
      </c>
      <c r="R2431" s="106">
        <v>4582.2</v>
      </c>
      <c r="S2431" s="31">
        <f t="shared" si="75"/>
        <v>0</v>
      </c>
      <c r="T2431" s="19" t="s">
        <v>9</v>
      </c>
    </row>
    <row r="2432" spans="1:20" x14ac:dyDescent="0.25">
      <c r="A2432" s="20">
        <v>42147</v>
      </c>
      <c r="B2432" s="183">
        <v>22006</v>
      </c>
      <c r="C2432" s="14" t="s">
        <v>675</v>
      </c>
      <c r="D2432" s="105">
        <v>84.6</v>
      </c>
      <c r="E2432" s="65">
        <v>42147</v>
      </c>
      <c r="F2432" s="106">
        <v>84.6</v>
      </c>
      <c r="G2432" s="31">
        <f t="shared" si="74"/>
        <v>0</v>
      </c>
      <c r="H2432" s="39" t="s">
        <v>9</v>
      </c>
      <c r="I2432" s="3"/>
      <c r="J2432" s="42"/>
      <c r="K2432" s="3"/>
      <c r="M2432" s="20">
        <v>42133</v>
      </c>
      <c r="N2432" s="183">
        <v>20523</v>
      </c>
      <c r="O2432" s="14" t="s">
        <v>82</v>
      </c>
      <c r="P2432" s="105">
        <v>2577</v>
      </c>
      <c r="Q2432" s="23">
        <v>42134</v>
      </c>
      <c r="R2432" s="106">
        <v>2577</v>
      </c>
      <c r="S2432" s="31">
        <f t="shared" si="75"/>
        <v>0</v>
      </c>
      <c r="T2432" s="19" t="s">
        <v>59</v>
      </c>
    </row>
    <row r="2433" spans="1:20" x14ac:dyDescent="0.25">
      <c r="A2433" s="20">
        <v>42147</v>
      </c>
      <c r="B2433" s="183">
        <v>22007</v>
      </c>
      <c r="C2433" s="14" t="s">
        <v>131</v>
      </c>
      <c r="D2433" s="105">
        <v>11966.15</v>
      </c>
      <c r="E2433" s="65">
        <v>42148</v>
      </c>
      <c r="F2433" s="106">
        <v>11966.15</v>
      </c>
      <c r="G2433" s="31">
        <f t="shared" si="74"/>
        <v>0</v>
      </c>
      <c r="H2433" s="39" t="s">
        <v>1257</v>
      </c>
      <c r="I2433" s="3"/>
      <c r="J2433" s="42"/>
      <c r="K2433" s="3"/>
      <c r="M2433" s="20">
        <v>42134</v>
      </c>
      <c r="N2433" s="183">
        <v>20627</v>
      </c>
      <c r="O2433" s="14" t="s">
        <v>82</v>
      </c>
      <c r="P2433" s="105">
        <v>2375.1</v>
      </c>
      <c r="Q2433" s="23">
        <v>42134</v>
      </c>
      <c r="R2433" s="118">
        <v>2375.1</v>
      </c>
      <c r="S2433" s="31">
        <f t="shared" si="75"/>
        <v>0</v>
      </c>
      <c r="T2433" s="56" t="s">
        <v>59</v>
      </c>
    </row>
    <row r="2434" spans="1:20" x14ac:dyDescent="0.25">
      <c r="A2434" s="20">
        <v>42147</v>
      </c>
      <c r="B2434" s="183">
        <v>22008</v>
      </c>
      <c r="C2434" s="14" t="s">
        <v>130</v>
      </c>
      <c r="D2434" s="105">
        <v>9575.9500000000007</v>
      </c>
      <c r="E2434" s="65">
        <v>42150</v>
      </c>
      <c r="F2434" s="106">
        <v>9575.9500000000007</v>
      </c>
      <c r="G2434" s="31">
        <f t="shared" si="74"/>
        <v>0</v>
      </c>
      <c r="H2434" s="39" t="s">
        <v>1257</v>
      </c>
      <c r="I2434" s="3"/>
      <c r="J2434" s="42"/>
      <c r="K2434" s="3"/>
      <c r="M2434" s="20">
        <v>42135</v>
      </c>
      <c r="N2434" s="183">
        <v>20706</v>
      </c>
      <c r="O2434" s="14" t="s">
        <v>82</v>
      </c>
      <c r="P2434" s="105">
        <v>3730.8</v>
      </c>
      <c r="Q2434" s="23">
        <v>42135</v>
      </c>
      <c r="R2434" s="106">
        <v>3730.8</v>
      </c>
      <c r="S2434" s="31">
        <f t="shared" si="75"/>
        <v>0</v>
      </c>
      <c r="T2434" s="39" t="s">
        <v>59</v>
      </c>
    </row>
    <row r="2435" spans="1:20" x14ac:dyDescent="0.25">
      <c r="A2435" s="20">
        <v>42147</v>
      </c>
      <c r="B2435" s="183">
        <v>22009</v>
      </c>
      <c r="C2435" s="14" t="s">
        <v>81</v>
      </c>
      <c r="D2435" s="105">
        <v>3709</v>
      </c>
      <c r="E2435" s="65">
        <v>42147</v>
      </c>
      <c r="F2435" s="106">
        <v>3709</v>
      </c>
      <c r="G2435" s="31">
        <f t="shared" ref="G2435:G2498" si="76">D2435-F2435</f>
        <v>0</v>
      </c>
      <c r="H2435" s="39" t="s">
        <v>59</v>
      </c>
      <c r="I2435" s="3"/>
      <c r="J2435" s="42"/>
      <c r="K2435" s="3"/>
      <c r="M2435" s="20">
        <v>42136</v>
      </c>
      <c r="N2435" s="183">
        <v>20816</v>
      </c>
      <c r="O2435" s="14" t="s">
        <v>82</v>
      </c>
      <c r="P2435" s="105">
        <v>2484.3000000000002</v>
      </c>
      <c r="Q2435" s="23">
        <v>42136</v>
      </c>
      <c r="R2435" s="106">
        <v>2484.3000000000002</v>
      </c>
      <c r="S2435" s="31">
        <f t="shared" ref="S2435:S2498" si="77">P2435-R2435</f>
        <v>0</v>
      </c>
      <c r="T2435" s="39" t="s">
        <v>59</v>
      </c>
    </row>
    <row r="2436" spans="1:20" x14ac:dyDescent="0.25">
      <c r="A2436" s="20">
        <v>42147</v>
      </c>
      <c r="B2436" s="183">
        <v>22010</v>
      </c>
      <c r="C2436" s="14" t="s">
        <v>292</v>
      </c>
      <c r="D2436" s="105">
        <v>4081</v>
      </c>
      <c r="E2436" s="65">
        <v>42147</v>
      </c>
      <c r="F2436" s="106">
        <v>4081</v>
      </c>
      <c r="G2436" s="31">
        <f t="shared" si="76"/>
        <v>0</v>
      </c>
      <c r="H2436" s="39" t="s">
        <v>59</v>
      </c>
      <c r="I2436" s="3"/>
      <c r="J2436" s="42"/>
      <c r="K2436" s="3"/>
      <c r="M2436" s="20">
        <v>42137</v>
      </c>
      <c r="N2436" s="183">
        <v>20899</v>
      </c>
      <c r="O2436" s="14" t="s">
        <v>82</v>
      </c>
      <c r="P2436" s="105">
        <v>2220</v>
      </c>
      <c r="Q2436" s="23">
        <v>42137</v>
      </c>
      <c r="R2436" s="106">
        <v>2220</v>
      </c>
      <c r="S2436" s="31">
        <f t="shared" si="77"/>
        <v>0</v>
      </c>
      <c r="T2436" s="19" t="s">
        <v>1257</v>
      </c>
    </row>
    <row r="2437" spans="1:20" x14ac:dyDescent="0.25">
      <c r="A2437" s="20">
        <v>42147</v>
      </c>
      <c r="B2437" s="183">
        <v>22011</v>
      </c>
      <c r="C2437" s="14" t="s">
        <v>829</v>
      </c>
      <c r="D2437" s="105">
        <v>13685.6</v>
      </c>
      <c r="E2437" s="65">
        <v>42147</v>
      </c>
      <c r="F2437" s="106">
        <v>13685.6</v>
      </c>
      <c r="G2437" s="31">
        <f t="shared" si="76"/>
        <v>0</v>
      </c>
      <c r="H2437" s="39" t="s">
        <v>9</v>
      </c>
      <c r="I2437" s="3"/>
      <c r="J2437" s="42"/>
      <c r="K2437" s="3"/>
      <c r="M2437" s="20">
        <v>42138</v>
      </c>
      <c r="N2437" s="183">
        <v>20991</v>
      </c>
      <c r="O2437" s="14" t="s">
        <v>82</v>
      </c>
      <c r="P2437" s="105">
        <v>3529</v>
      </c>
      <c r="Q2437" s="23">
        <v>42138</v>
      </c>
      <c r="R2437" s="106">
        <v>3529</v>
      </c>
      <c r="S2437" s="31">
        <f t="shared" si="77"/>
        <v>0</v>
      </c>
      <c r="T2437" s="19" t="s">
        <v>59</v>
      </c>
    </row>
    <row r="2438" spans="1:20" x14ac:dyDescent="0.25">
      <c r="A2438" s="20">
        <v>42147</v>
      </c>
      <c r="B2438" s="183">
        <v>22012</v>
      </c>
      <c r="C2438" s="14" t="s">
        <v>829</v>
      </c>
      <c r="D2438" s="105">
        <v>513</v>
      </c>
      <c r="E2438" s="65">
        <v>42147</v>
      </c>
      <c r="F2438" s="106">
        <v>513</v>
      </c>
      <c r="G2438" s="31">
        <f t="shared" si="76"/>
        <v>0</v>
      </c>
      <c r="H2438" s="39" t="s">
        <v>9</v>
      </c>
      <c r="I2438" s="3"/>
      <c r="J2438" s="42"/>
      <c r="K2438" s="3"/>
      <c r="M2438" s="20">
        <v>42139</v>
      </c>
      <c r="N2438" s="183">
        <v>21119</v>
      </c>
      <c r="O2438" s="14" t="s">
        <v>82</v>
      </c>
      <c r="P2438" s="105">
        <v>5341.8</v>
      </c>
      <c r="Q2438" s="23">
        <v>42139</v>
      </c>
      <c r="R2438" s="106">
        <v>5341.8</v>
      </c>
      <c r="S2438" s="48">
        <f t="shared" si="77"/>
        <v>0</v>
      </c>
      <c r="T2438" s="39" t="s">
        <v>59</v>
      </c>
    </row>
    <row r="2439" spans="1:20" x14ac:dyDescent="0.25">
      <c r="A2439" s="20">
        <v>42147</v>
      </c>
      <c r="B2439" s="183">
        <v>22013</v>
      </c>
      <c r="C2439" s="14" t="s">
        <v>1311</v>
      </c>
      <c r="D2439" s="105">
        <v>2470</v>
      </c>
      <c r="E2439" s="65">
        <v>42147</v>
      </c>
      <c r="F2439" s="106">
        <v>2470</v>
      </c>
      <c r="G2439" s="31">
        <f t="shared" si="76"/>
        <v>0</v>
      </c>
      <c r="H2439" s="39" t="s">
        <v>59</v>
      </c>
      <c r="I2439" s="3"/>
      <c r="J2439" s="42"/>
      <c r="K2439" s="3"/>
      <c r="M2439" s="20">
        <v>42140</v>
      </c>
      <c r="N2439" s="183">
        <v>21235</v>
      </c>
      <c r="O2439" s="14" t="s">
        <v>82</v>
      </c>
      <c r="P2439" s="105">
        <v>4250</v>
      </c>
      <c r="Q2439" s="23">
        <v>42140</v>
      </c>
      <c r="R2439" s="106">
        <v>4250</v>
      </c>
      <c r="S2439" s="48">
        <f t="shared" si="77"/>
        <v>0</v>
      </c>
      <c r="T2439" s="39" t="s">
        <v>59</v>
      </c>
    </row>
    <row r="2440" spans="1:20" x14ac:dyDescent="0.25">
      <c r="A2440" s="20">
        <v>42147</v>
      </c>
      <c r="B2440" s="183">
        <v>22014</v>
      </c>
      <c r="C2440" s="14" t="s">
        <v>88</v>
      </c>
      <c r="D2440" s="105">
        <v>1823.4</v>
      </c>
      <c r="E2440" s="65">
        <v>42147</v>
      </c>
      <c r="F2440" s="106">
        <v>1823.4</v>
      </c>
      <c r="G2440" s="31">
        <f t="shared" si="76"/>
        <v>0</v>
      </c>
      <c r="H2440" s="39" t="s">
        <v>9</v>
      </c>
      <c r="I2440" s="3"/>
      <c r="J2440" s="42"/>
      <c r="K2440" s="3"/>
      <c r="M2440" s="20">
        <v>42143</v>
      </c>
      <c r="N2440" s="183">
        <v>21572</v>
      </c>
      <c r="O2440" s="14" t="s">
        <v>82</v>
      </c>
      <c r="P2440" s="105">
        <v>5199.6000000000004</v>
      </c>
      <c r="Q2440" s="23">
        <v>42143</v>
      </c>
      <c r="R2440" s="118">
        <v>5199.6000000000004</v>
      </c>
      <c r="S2440" s="31">
        <f t="shared" si="77"/>
        <v>0</v>
      </c>
      <c r="T2440" s="56" t="s">
        <v>9</v>
      </c>
    </row>
    <row r="2441" spans="1:20" x14ac:dyDescent="0.25">
      <c r="A2441" s="20">
        <v>42147</v>
      </c>
      <c r="B2441" s="183">
        <v>22015</v>
      </c>
      <c r="C2441" s="14" t="s">
        <v>1376</v>
      </c>
      <c r="D2441" s="105">
        <v>3600</v>
      </c>
      <c r="E2441" s="65">
        <v>42147</v>
      </c>
      <c r="F2441" s="106">
        <v>3600</v>
      </c>
      <c r="G2441" s="31">
        <f t="shared" si="76"/>
        <v>0</v>
      </c>
      <c r="H2441" s="39" t="s">
        <v>9</v>
      </c>
      <c r="I2441" s="3"/>
      <c r="J2441" s="42"/>
      <c r="K2441" s="3"/>
      <c r="M2441" s="20">
        <v>42145</v>
      </c>
      <c r="N2441" s="183">
        <v>21743</v>
      </c>
      <c r="O2441" s="15" t="s">
        <v>82</v>
      </c>
      <c r="P2441" s="122">
        <v>3406.4</v>
      </c>
      <c r="Q2441" s="23">
        <v>42145</v>
      </c>
      <c r="R2441" s="106">
        <v>3406.4</v>
      </c>
      <c r="S2441" s="31">
        <f t="shared" si="77"/>
        <v>0</v>
      </c>
      <c r="T2441" s="68" t="s">
        <v>59</v>
      </c>
    </row>
    <row r="2442" spans="1:20" x14ac:dyDescent="0.25">
      <c r="A2442" s="20">
        <v>42147</v>
      </c>
      <c r="B2442" s="183">
        <v>22016</v>
      </c>
      <c r="C2442" s="14" t="s">
        <v>120</v>
      </c>
      <c r="D2442" s="105">
        <v>1549.8</v>
      </c>
      <c r="E2442" s="65">
        <v>42147</v>
      </c>
      <c r="F2442" s="106">
        <v>1549.8</v>
      </c>
      <c r="G2442" s="31">
        <f t="shared" si="76"/>
        <v>0</v>
      </c>
      <c r="H2442" s="39" t="s">
        <v>9</v>
      </c>
      <c r="I2442" s="3"/>
      <c r="J2442" s="42"/>
      <c r="K2442" s="3"/>
      <c r="M2442" s="20">
        <v>42146</v>
      </c>
      <c r="N2442" s="183">
        <v>21875</v>
      </c>
      <c r="O2442" s="14" t="s">
        <v>82</v>
      </c>
      <c r="P2442" s="105">
        <v>1464.4</v>
      </c>
      <c r="Q2442" s="23">
        <v>42146</v>
      </c>
      <c r="R2442" s="106">
        <v>1464.4</v>
      </c>
      <c r="S2442" s="31">
        <f t="shared" si="77"/>
        <v>0</v>
      </c>
      <c r="T2442" s="39" t="s">
        <v>9</v>
      </c>
    </row>
    <row r="2443" spans="1:20" x14ac:dyDescent="0.25">
      <c r="A2443" s="20">
        <v>42147</v>
      </c>
      <c r="B2443" s="183">
        <v>22017</v>
      </c>
      <c r="C2443" s="14" t="s">
        <v>225</v>
      </c>
      <c r="D2443" s="105">
        <v>3068.8</v>
      </c>
      <c r="E2443" s="65">
        <v>42147</v>
      </c>
      <c r="F2443" s="106">
        <v>3068.8</v>
      </c>
      <c r="G2443" s="31">
        <f t="shared" si="76"/>
        <v>0</v>
      </c>
      <c r="H2443" s="39" t="s">
        <v>9</v>
      </c>
      <c r="I2443" s="3"/>
      <c r="J2443" s="42"/>
      <c r="K2443" s="3"/>
      <c r="M2443" s="20">
        <v>42147</v>
      </c>
      <c r="N2443" s="183">
        <v>21994</v>
      </c>
      <c r="O2443" s="14" t="s">
        <v>82</v>
      </c>
      <c r="P2443" s="105">
        <v>1346.8</v>
      </c>
      <c r="Q2443" s="65">
        <v>42147</v>
      </c>
      <c r="R2443" s="106">
        <v>1346.8</v>
      </c>
      <c r="S2443" s="31">
        <f t="shared" si="77"/>
        <v>0</v>
      </c>
      <c r="T2443" s="39" t="s">
        <v>59</v>
      </c>
    </row>
    <row r="2444" spans="1:20" x14ac:dyDescent="0.25">
      <c r="A2444" s="20">
        <v>42147</v>
      </c>
      <c r="B2444" s="183">
        <v>22018</v>
      </c>
      <c r="C2444" s="14" t="s">
        <v>115</v>
      </c>
      <c r="D2444" s="105">
        <v>654.6</v>
      </c>
      <c r="E2444" s="65">
        <v>42147</v>
      </c>
      <c r="F2444" s="106">
        <v>654.6</v>
      </c>
      <c r="G2444" s="31">
        <f t="shared" si="76"/>
        <v>0</v>
      </c>
      <c r="H2444" s="39" t="s">
        <v>9</v>
      </c>
      <c r="I2444" s="3"/>
      <c r="J2444" s="42"/>
      <c r="K2444" s="3"/>
      <c r="M2444" s="20">
        <v>42148</v>
      </c>
      <c r="N2444" s="183">
        <v>22099</v>
      </c>
      <c r="O2444" s="14" t="s">
        <v>82</v>
      </c>
      <c r="P2444" s="105">
        <v>4874.8</v>
      </c>
      <c r="Q2444" s="65">
        <v>42148</v>
      </c>
      <c r="R2444" s="106">
        <v>4874.8</v>
      </c>
      <c r="S2444" s="31">
        <f t="shared" si="77"/>
        <v>0</v>
      </c>
      <c r="T2444" s="39" t="s">
        <v>59</v>
      </c>
    </row>
    <row r="2445" spans="1:20" x14ac:dyDescent="0.25">
      <c r="A2445" s="20">
        <v>42147</v>
      </c>
      <c r="B2445" s="183">
        <v>22019</v>
      </c>
      <c r="C2445" s="14" t="s">
        <v>332</v>
      </c>
      <c r="D2445" s="105">
        <v>2438.4</v>
      </c>
      <c r="E2445" s="65">
        <v>42147</v>
      </c>
      <c r="F2445" s="106">
        <v>2438.4</v>
      </c>
      <c r="G2445" s="31">
        <f t="shared" si="76"/>
        <v>0</v>
      </c>
      <c r="H2445" s="39" t="s">
        <v>9</v>
      </c>
      <c r="I2445" s="3"/>
      <c r="J2445" s="42"/>
      <c r="K2445" s="3"/>
      <c r="M2445" s="20">
        <v>42149</v>
      </c>
      <c r="N2445" s="183">
        <v>22145</v>
      </c>
      <c r="O2445" s="14" t="s">
        <v>82</v>
      </c>
      <c r="P2445" s="105">
        <v>3486</v>
      </c>
      <c r="Q2445" s="65">
        <v>42149</v>
      </c>
      <c r="R2445" s="106">
        <v>3486</v>
      </c>
      <c r="S2445" s="31">
        <f t="shared" si="77"/>
        <v>0</v>
      </c>
      <c r="T2445" s="39" t="s">
        <v>59</v>
      </c>
    </row>
    <row r="2446" spans="1:20" x14ac:dyDescent="0.25">
      <c r="A2446" s="20">
        <v>42147</v>
      </c>
      <c r="B2446" s="183">
        <v>22020</v>
      </c>
      <c r="C2446" s="14" t="s">
        <v>133</v>
      </c>
      <c r="D2446" s="105">
        <v>343.2</v>
      </c>
      <c r="E2446" s="65">
        <v>42147</v>
      </c>
      <c r="F2446" s="106">
        <v>343.2</v>
      </c>
      <c r="G2446" s="31">
        <f t="shared" si="76"/>
        <v>0</v>
      </c>
      <c r="H2446" s="39" t="s">
        <v>59</v>
      </c>
      <c r="I2446" s="3"/>
      <c r="J2446" s="42"/>
      <c r="K2446" s="3"/>
      <c r="M2446" s="20">
        <v>42150</v>
      </c>
      <c r="N2446" s="183">
        <v>22274</v>
      </c>
      <c r="O2446" s="14" t="s">
        <v>82</v>
      </c>
      <c r="P2446" s="105">
        <v>4764</v>
      </c>
      <c r="Q2446" s="65">
        <v>42150</v>
      </c>
      <c r="R2446" s="106">
        <v>4764</v>
      </c>
      <c r="S2446" s="31">
        <f t="shared" si="77"/>
        <v>0</v>
      </c>
      <c r="T2446" s="39" t="s">
        <v>59</v>
      </c>
    </row>
    <row r="2447" spans="1:20" x14ac:dyDescent="0.25">
      <c r="A2447" s="20">
        <v>42147</v>
      </c>
      <c r="B2447" s="183">
        <v>22021</v>
      </c>
      <c r="C2447" s="26" t="s">
        <v>218</v>
      </c>
      <c r="D2447" s="108">
        <v>0</v>
      </c>
      <c r="E2447" s="65"/>
      <c r="F2447" s="106"/>
      <c r="G2447" s="31">
        <f t="shared" si="76"/>
        <v>0</v>
      </c>
      <c r="H2447" s="39" t="s">
        <v>13</v>
      </c>
      <c r="I2447" s="3"/>
      <c r="J2447" s="42"/>
      <c r="K2447" s="3"/>
      <c r="M2447" s="20">
        <v>42152</v>
      </c>
      <c r="N2447" s="183">
        <v>22469</v>
      </c>
      <c r="O2447" s="14" t="s">
        <v>82</v>
      </c>
      <c r="P2447" s="105">
        <v>1953</v>
      </c>
      <c r="Q2447" s="23">
        <v>42152</v>
      </c>
      <c r="R2447" s="106">
        <v>1953</v>
      </c>
      <c r="S2447" s="31">
        <f t="shared" si="77"/>
        <v>0</v>
      </c>
      <c r="T2447" s="39" t="s">
        <v>59</v>
      </c>
    </row>
    <row r="2448" spans="1:20" x14ac:dyDescent="0.25">
      <c r="A2448" s="20">
        <v>42147</v>
      </c>
      <c r="B2448" s="183">
        <v>22022</v>
      </c>
      <c r="C2448" s="14" t="s">
        <v>151</v>
      </c>
      <c r="D2448" s="105">
        <v>2898</v>
      </c>
      <c r="E2448" s="65">
        <v>42149</v>
      </c>
      <c r="F2448" s="106">
        <v>2898</v>
      </c>
      <c r="G2448" s="31">
        <f t="shared" si="76"/>
        <v>0</v>
      </c>
      <c r="H2448" s="39" t="s">
        <v>9</v>
      </c>
      <c r="I2448" s="3"/>
      <c r="J2448" s="42"/>
      <c r="K2448" s="3"/>
      <c r="M2448" s="20">
        <v>42153</v>
      </c>
      <c r="N2448" s="183">
        <v>22559</v>
      </c>
      <c r="O2448" s="14" t="s">
        <v>82</v>
      </c>
      <c r="P2448" s="105">
        <v>1473</v>
      </c>
      <c r="Q2448" s="23">
        <v>42153</v>
      </c>
      <c r="R2448" s="106">
        <v>1473</v>
      </c>
      <c r="S2448" s="31">
        <f t="shared" si="77"/>
        <v>0</v>
      </c>
      <c r="T2448" s="39" t="s">
        <v>59</v>
      </c>
    </row>
    <row r="2449" spans="1:20" x14ac:dyDescent="0.25">
      <c r="A2449" s="20">
        <v>42147</v>
      </c>
      <c r="B2449" s="183">
        <v>22023</v>
      </c>
      <c r="C2449" s="14" t="s">
        <v>906</v>
      </c>
      <c r="D2449" s="105">
        <v>1069.3</v>
      </c>
      <c r="E2449" s="65">
        <v>42147</v>
      </c>
      <c r="F2449" s="106">
        <v>1069.3</v>
      </c>
      <c r="G2449" s="31">
        <f t="shared" si="76"/>
        <v>0</v>
      </c>
      <c r="H2449" s="39" t="s">
        <v>41</v>
      </c>
      <c r="I2449" s="3"/>
      <c r="J2449" s="42"/>
      <c r="K2449" s="3"/>
      <c r="M2449" s="20">
        <v>42133</v>
      </c>
      <c r="N2449" s="183">
        <v>20487</v>
      </c>
      <c r="O2449" s="14" t="s">
        <v>1040</v>
      </c>
      <c r="P2449" s="105">
        <v>4391.2</v>
      </c>
      <c r="Q2449" s="23">
        <v>42133</v>
      </c>
      <c r="R2449" s="106">
        <v>4391.2</v>
      </c>
      <c r="S2449" s="31">
        <f t="shared" si="77"/>
        <v>0</v>
      </c>
      <c r="T2449" s="19" t="s">
        <v>9</v>
      </c>
    </row>
    <row r="2450" spans="1:20" x14ac:dyDescent="0.25">
      <c r="A2450" s="20">
        <v>42147</v>
      </c>
      <c r="B2450" s="183">
        <v>22024</v>
      </c>
      <c r="C2450" s="14" t="s">
        <v>66</v>
      </c>
      <c r="D2450" s="105">
        <v>627.5</v>
      </c>
      <c r="E2450" s="65">
        <v>42147</v>
      </c>
      <c r="F2450" s="106">
        <v>627.5</v>
      </c>
      <c r="G2450" s="31">
        <f t="shared" si="76"/>
        <v>0</v>
      </c>
      <c r="H2450" s="39" t="s">
        <v>9</v>
      </c>
      <c r="I2450" s="3"/>
      <c r="J2450" s="42"/>
      <c r="K2450" s="3"/>
      <c r="M2450" s="20">
        <v>42139</v>
      </c>
      <c r="N2450" s="183">
        <v>21176</v>
      </c>
      <c r="O2450" s="14" t="s">
        <v>367</v>
      </c>
      <c r="P2450" s="105">
        <v>89064.8</v>
      </c>
      <c r="Q2450" s="23"/>
      <c r="R2450" s="106"/>
      <c r="S2450" s="48">
        <f t="shared" si="77"/>
        <v>89064.8</v>
      </c>
      <c r="T2450" s="39" t="s">
        <v>46</v>
      </c>
    </row>
    <row r="2451" spans="1:20" x14ac:dyDescent="0.25">
      <c r="A2451" s="20">
        <v>42147</v>
      </c>
      <c r="B2451" s="183">
        <v>22025</v>
      </c>
      <c r="C2451" s="14" t="s">
        <v>24</v>
      </c>
      <c r="D2451" s="105">
        <v>271497.34999999998</v>
      </c>
      <c r="E2451" s="74">
        <v>42165</v>
      </c>
      <c r="F2451" s="144">
        <v>271497.34999999998</v>
      </c>
      <c r="G2451" s="31">
        <f t="shared" si="76"/>
        <v>0</v>
      </c>
      <c r="H2451" s="39" t="s">
        <v>46</v>
      </c>
      <c r="I2451" s="3"/>
      <c r="J2451" s="42"/>
      <c r="K2451" s="3"/>
      <c r="M2451" s="20">
        <v>42140</v>
      </c>
      <c r="N2451" s="183">
        <v>21220</v>
      </c>
      <c r="O2451" s="14" t="s">
        <v>367</v>
      </c>
      <c r="P2451" s="105">
        <v>41026.5</v>
      </c>
      <c r="Q2451" s="23"/>
      <c r="R2451" s="106"/>
      <c r="S2451" s="48">
        <f t="shared" si="77"/>
        <v>41026.5</v>
      </c>
      <c r="T2451" s="39" t="s">
        <v>9</v>
      </c>
    </row>
    <row r="2452" spans="1:20" x14ac:dyDescent="0.25">
      <c r="A2452" s="20">
        <v>42147</v>
      </c>
      <c r="B2452" s="183">
        <v>22026</v>
      </c>
      <c r="C2452" s="14" t="s">
        <v>24</v>
      </c>
      <c r="D2452" s="105">
        <v>34906.400000000001</v>
      </c>
      <c r="E2452" s="74">
        <v>42165</v>
      </c>
      <c r="F2452" s="144">
        <v>34906.400000000001</v>
      </c>
      <c r="G2452" s="31">
        <f t="shared" si="76"/>
        <v>0</v>
      </c>
      <c r="H2452" s="39" t="s">
        <v>46</v>
      </c>
      <c r="I2452" s="3"/>
      <c r="J2452" s="42"/>
      <c r="K2452" s="3"/>
      <c r="M2452" s="20">
        <v>42151</v>
      </c>
      <c r="N2452" s="183">
        <v>22355</v>
      </c>
      <c r="O2452" s="14" t="s">
        <v>157</v>
      </c>
      <c r="P2452" s="105">
        <v>3221.3</v>
      </c>
      <c r="Q2452" s="65">
        <v>42151</v>
      </c>
      <c r="R2452" s="106">
        <v>3221.3</v>
      </c>
      <c r="S2452" s="31">
        <f t="shared" si="77"/>
        <v>0</v>
      </c>
      <c r="T2452" s="39" t="s">
        <v>9</v>
      </c>
    </row>
    <row r="2453" spans="1:20" x14ac:dyDescent="0.25">
      <c r="A2453" s="20">
        <v>42147</v>
      </c>
      <c r="B2453" s="183">
        <v>22027</v>
      </c>
      <c r="C2453" s="14" t="s">
        <v>158</v>
      </c>
      <c r="D2453" s="105">
        <v>3683.95</v>
      </c>
      <c r="E2453" s="65">
        <v>42147</v>
      </c>
      <c r="F2453" s="106">
        <v>3683.95</v>
      </c>
      <c r="G2453" s="31">
        <f t="shared" si="76"/>
        <v>0</v>
      </c>
      <c r="H2453" s="39" t="s">
        <v>9</v>
      </c>
      <c r="I2453" s="3"/>
      <c r="J2453" s="42"/>
      <c r="K2453" s="3"/>
      <c r="M2453" s="20">
        <v>42129</v>
      </c>
      <c r="N2453" s="183">
        <v>20081</v>
      </c>
      <c r="O2453" s="14" t="s">
        <v>190</v>
      </c>
      <c r="P2453" s="105">
        <v>6937.2</v>
      </c>
      <c r="Q2453" s="23">
        <v>42129</v>
      </c>
      <c r="R2453" s="106">
        <v>6937.2</v>
      </c>
      <c r="S2453" s="31">
        <f t="shared" si="77"/>
        <v>0</v>
      </c>
      <c r="T2453" s="39" t="s">
        <v>1273</v>
      </c>
    </row>
    <row r="2454" spans="1:20" x14ac:dyDescent="0.25">
      <c r="A2454" s="20">
        <v>42147</v>
      </c>
      <c r="B2454" s="183">
        <v>22028</v>
      </c>
      <c r="C2454" s="14" t="s">
        <v>56</v>
      </c>
      <c r="D2454" s="105">
        <v>9912</v>
      </c>
      <c r="E2454" s="65">
        <v>42147</v>
      </c>
      <c r="F2454" s="106">
        <v>9912</v>
      </c>
      <c r="G2454" s="31">
        <f t="shared" si="76"/>
        <v>0</v>
      </c>
      <c r="H2454" s="39" t="s">
        <v>94</v>
      </c>
      <c r="I2454" s="3"/>
      <c r="J2454" s="42"/>
      <c r="K2454" s="3"/>
      <c r="M2454" s="20">
        <v>42132</v>
      </c>
      <c r="N2454" s="183">
        <v>20397</v>
      </c>
      <c r="O2454" s="14" t="s">
        <v>190</v>
      </c>
      <c r="P2454" s="105">
        <v>4166.3999999999996</v>
      </c>
      <c r="Q2454" s="23">
        <v>42133</v>
      </c>
      <c r="R2454" s="106">
        <v>4166.3999999999996</v>
      </c>
      <c r="S2454" s="31">
        <f t="shared" si="77"/>
        <v>0</v>
      </c>
      <c r="T2454" s="19" t="s">
        <v>94</v>
      </c>
    </row>
    <row r="2455" spans="1:20" x14ac:dyDescent="0.25">
      <c r="A2455" s="20">
        <v>42147</v>
      </c>
      <c r="B2455" s="183">
        <v>22029</v>
      </c>
      <c r="C2455" s="14" t="s">
        <v>1182</v>
      </c>
      <c r="D2455" s="105">
        <v>64.599999999999994</v>
      </c>
      <c r="E2455" s="65">
        <v>42147</v>
      </c>
      <c r="F2455" s="106">
        <v>64.599999999999994</v>
      </c>
      <c r="G2455" s="31">
        <f t="shared" si="76"/>
        <v>0</v>
      </c>
      <c r="H2455" s="39" t="s">
        <v>9</v>
      </c>
      <c r="I2455" s="3"/>
      <c r="J2455" s="42"/>
      <c r="K2455" s="3"/>
      <c r="M2455" s="20">
        <v>42136</v>
      </c>
      <c r="N2455" s="183">
        <v>20847</v>
      </c>
      <c r="O2455" s="14" t="s">
        <v>190</v>
      </c>
      <c r="P2455" s="105">
        <v>7834.23</v>
      </c>
      <c r="Q2455" s="23">
        <v>42137</v>
      </c>
      <c r="R2455" s="106">
        <v>7834.23</v>
      </c>
      <c r="S2455" s="31">
        <f t="shared" si="77"/>
        <v>0</v>
      </c>
      <c r="T2455" s="39" t="s">
        <v>1273</v>
      </c>
    </row>
    <row r="2456" spans="1:20" x14ac:dyDescent="0.25">
      <c r="A2456" s="20">
        <v>42147</v>
      </c>
      <c r="B2456" s="183">
        <v>22030</v>
      </c>
      <c r="C2456" s="14" t="s">
        <v>333</v>
      </c>
      <c r="D2456" s="105">
        <v>11548.2</v>
      </c>
      <c r="E2456" s="65">
        <v>42147</v>
      </c>
      <c r="F2456" s="106">
        <v>11548.2</v>
      </c>
      <c r="G2456" s="31">
        <f t="shared" si="76"/>
        <v>0</v>
      </c>
      <c r="H2456" s="39" t="s">
        <v>1273</v>
      </c>
      <c r="I2456" s="3"/>
      <c r="J2456" s="42"/>
      <c r="K2456" s="3"/>
      <c r="M2456" s="20">
        <v>42143</v>
      </c>
      <c r="N2456" s="183">
        <v>21594</v>
      </c>
      <c r="O2456" s="14" t="s">
        <v>190</v>
      </c>
      <c r="P2456" s="105">
        <v>6338.6</v>
      </c>
      <c r="Q2456" s="23">
        <v>42144</v>
      </c>
      <c r="R2456" s="118">
        <v>6338.6</v>
      </c>
      <c r="S2456" s="31">
        <f t="shared" si="77"/>
        <v>0</v>
      </c>
      <c r="T2456" s="56" t="s">
        <v>1273</v>
      </c>
    </row>
    <row r="2457" spans="1:20" x14ac:dyDescent="0.25">
      <c r="A2457" s="20">
        <v>42147</v>
      </c>
      <c r="B2457" s="183">
        <v>22031</v>
      </c>
      <c r="C2457" s="14" t="s">
        <v>50</v>
      </c>
      <c r="D2457" s="105">
        <v>4394.3</v>
      </c>
      <c r="E2457" s="65">
        <v>42153</v>
      </c>
      <c r="F2457" s="106">
        <v>4394.3</v>
      </c>
      <c r="G2457" s="31">
        <f t="shared" si="76"/>
        <v>0</v>
      </c>
      <c r="H2457" s="39" t="s">
        <v>1273</v>
      </c>
      <c r="I2457" s="3"/>
      <c r="J2457" s="42"/>
      <c r="K2457" s="3"/>
      <c r="M2457" s="20">
        <v>42145</v>
      </c>
      <c r="N2457" s="183">
        <v>21780</v>
      </c>
      <c r="O2457" s="15" t="s">
        <v>190</v>
      </c>
      <c r="P2457" s="122">
        <v>3270</v>
      </c>
      <c r="Q2457" s="23">
        <v>42145</v>
      </c>
      <c r="R2457" s="118">
        <v>3270</v>
      </c>
      <c r="S2457" s="31">
        <f t="shared" si="77"/>
        <v>0</v>
      </c>
      <c r="T2457" s="68" t="s">
        <v>62</v>
      </c>
    </row>
    <row r="2458" spans="1:20" x14ac:dyDescent="0.25">
      <c r="A2458" s="20">
        <v>42147</v>
      </c>
      <c r="B2458" s="183">
        <v>22032</v>
      </c>
      <c r="C2458" s="26" t="s">
        <v>218</v>
      </c>
      <c r="D2458" s="108">
        <v>0</v>
      </c>
      <c r="E2458" s="65"/>
      <c r="F2458" s="106"/>
      <c r="G2458" s="31">
        <f t="shared" si="76"/>
        <v>0</v>
      </c>
      <c r="H2458" s="39" t="s">
        <v>13</v>
      </c>
      <c r="I2458" s="3"/>
      <c r="J2458" s="42"/>
      <c r="K2458" s="3"/>
      <c r="M2458" s="20">
        <v>42125</v>
      </c>
      <c r="N2458" s="183">
        <v>19581</v>
      </c>
      <c r="O2458" s="14" t="s">
        <v>86</v>
      </c>
      <c r="P2458" s="105">
        <v>549.54999999999995</v>
      </c>
      <c r="Q2458" s="23">
        <v>42125</v>
      </c>
      <c r="R2458" s="106">
        <v>549.54999999999995</v>
      </c>
      <c r="S2458" s="25">
        <f t="shared" si="77"/>
        <v>0</v>
      </c>
      <c r="T2458" s="19" t="s">
        <v>9</v>
      </c>
    </row>
    <row r="2459" spans="1:20" x14ac:dyDescent="0.25">
      <c r="A2459" s="20">
        <v>42147</v>
      </c>
      <c r="B2459" s="183">
        <v>22033</v>
      </c>
      <c r="C2459" s="14" t="s">
        <v>106</v>
      </c>
      <c r="D2459" s="105">
        <v>3919.68</v>
      </c>
      <c r="E2459" s="65">
        <v>42149</v>
      </c>
      <c r="F2459" s="106">
        <v>3919.68</v>
      </c>
      <c r="G2459" s="31">
        <f t="shared" si="76"/>
        <v>0</v>
      </c>
      <c r="H2459" s="39" t="s">
        <v>15</v>
      </c>
      <c r="I2459" s="3"/>
      <c r="J2459" s="42"/>
      <c r="K2459" s="3"/>
      <c r="M2459" s="20">
        <v>42127</v>
      </c>
      <c r="N2459" s="183">
        <v>19841</v>
      </c>
      <c r="O2459" s="40" t="s">
        <v>86</v>
      </c>
      <c r="P2459" s="105">
        <v>438.35</v>
      </c>
      <c r="Q2459" s="23">
        <v>42127</v>
      </c>
      <c r="R2459" s="106">
        <v>438.35</v>
      </c>
      <c r="S2459" s="31">
        <f t="shared" si="77"/>
        <v>0</v>
      </c>
      <c r="T2459" s="41" t="s">
        <v>9</v>
      </c>
    </row>
    <row r="2460" spans="1:20" x14ac:dyDescent="0.25">
      <c r="A2460" s="20">
        <v>42147</v>
      </c>
      <c r="B2460" s="183">
        <v>22034</v>
      </c>
      <c r="C2460" s="14" t="s">
        <v>191</v>
      </c>
      <c r="D2460" s="105">
        <v>15986.8</v>
      </c>
      <c r="E2460" s="65">
        <v>42147</v>
      </c>
      <c r="F2460" s="106">
        <v>15986.8</v>
      </c>
      <c r="G2460" s="31">
        <f t="shared" si="76"/>
        <v>0</v>
      </c>
      <c r="H2460" s="39" t="s">
        <v>9</v>
      </c>
      <c r="I2460" s="3"/>
      <c r="J2460" s="42"/>
      <c r="K2460" s="3"/>
      <c r="M2460" s="20">
        <v>42133</v>
      </c>
      <c r="N2460" s="183">
        <v>20525</v>
      </c>
      <c r="O2460" s="14" t="s">
        <v>86</v>
      </c>
      <c r="P2460" s="105">
        <v>501.95</v>
      </c>
      <c r="Q2460" s="23">
        <v>42133</v>
      </c>
      <c r="R2460" s="106">
        <v>501.95</v>
      </c>
      <c r="S2460" s="31">
        <f t="shared" si="77"/>
        <v>0</v>
      </c>
      <c r="T2460" s="19" t="s">
        <v>9</v>
      </c>
    </row>
    <row r="2461" spans="1:20" x14ac:dyDescent="0.25">
      <c r="A2461" s="20">
        <v>42147</v>
      </c>
      <c r="B2461" s="183">
        <v>22035</v>
      </c>
      <c r="C2461" s="14" t="s">
        <v>89</v>
      </c>
      <c r="D2461" s="105">
        <v>4250</v>
      </c>
      <c r="E2461" s="65">
        <v>42147</v>
      </c>
      <c r="F2461" s="106">
        <v>4250</v>
      </c>
      <c r="G2461" s="31">
        <f t="shared" si="76"/>
        <v>0</v>
      </c>
      <c r="H2461" s="39" t="s">
        <v>9</v>
      </c>
      <c r="I2461" s="3"/>
      <c r="J2461" s="42"/>
      <c r="K2461" s="3"/>
      <c r="M2461" s="20">
        <v>42134</v>
      </c>
      <c r="N2461" s="183">
        <v>20595</v>
      </c>
      <c r="O2461" s="14" t="s">
        <v>86</v>
      </c>
      <c r="P2461" s="105">
        <v>310.3</v>
      </c>
      <c r="Q2461" s="23">
        <v>42134</v>
      </c>
      <c r="R2461" s="106">
        <v>310.3</v>
      </c>
      <c r="S2461" s="31">
        <f t="shared" si="77"/>
        <v>0</v>
      </c>
      <c r="T2461" s="39" t="s">
        <v>9</v>
      </c>
    </row>
    <row r="2462" spans="1:20" x14ac:dyDescent="0.25">
      <c r="A2462" s="20">
        <v>42147</v>
      </c>
      <c r="B2462" s="183">
        <v>22036</v>
      </c>
      <c r="C2462" s="14" t="s">
        <v>161</v>
      </c>
      <c r="D2462" s="105">
        <v>26859.8</v>
      </c>
      <c r="E2462" s="65">
        <v>42147</v>
      </c>
      <c r="F2462" s="106">
        <v>26859.8</v>
      </c>
      <c r="G2462" s="31">
        <f t="shared" si="76"/>
        <v>0</v>
      </c>
      <c r="H2462" s="39" t="s">
        <v>773</v>
      </c>
      <c r="I2462" s="3"/>
      <c r="J2462" s="42"/>
      <c r="K2462" s="3"/>
      <c r="M2462" s="20">
        <v>42134</v>
      </c>
      <c r="N2462" s="183">
        <v>20660</v>
      </c>
      <c r="O2462" s="14" t="s">
        <v>86</v>
      </c>
      <c r="P2462" s="105">
        <v>316.10000000000002</v>
      </c>
      <c r="Q2462" s="23">
        <v>42134</v>
      </c>
      <c r="R2462" s="106">
        <v>316.10000000000002</v>
      </c>
      <c r="S2462" s="31">
        <f t="shared" si="77"/>
        <v>0</v>
      </c>
      <c r="T2462" s="39" t="s">
        <v>9</v>
      </c>
    </row>
    <row r="2463" spans="1:20" x14ac:dyDescent="0.25">
      <c r="A2463" s="20">
        <v>42147</v>
      </c>
      <c r="B2463" s="183">
        <v>22037</v>
      </c>
      <c r="C2463" s="14" t="s">
        <v>1262</v>
      </c>
      <c r="D2463" s="105">
        <v>83094.64</v>
      </c>
      <c r="E2463" s="65">
        <v>42153</v>
      </c>
      <c r="F2463" s="106">
        <v>83094.64</v>
      </c>
      <c r="G2463" s="31">
        <f t="shared" si="76"/>
        <v>0</v>
      </c>
      <c r="H2463" s="39" t="s">
        <v>773</v>
      </c>
      <c r="I2463" s="3"/>
      <c r="J2463" s="42"/>
      <c r="K2463" s="3"/>
      <c r="M2463" s="20">
        <v>42139</v>
      </c>
      <c r="N2463" s="183">
        <v>21093</v>
      </c>
      <c r="O2463" s="14" t="s">
        <v>86</v>
      </c>
      <c r="P2463" s="105">
        <v>681.4</v>
      </c>
      <c r="Q2463" s="23">
        <v>42139</v>
      </c>
      <c r="R2463" s="106">
        <v>681.4</v>
      </c>
      <c r="S2463" s="48">
        <f t="shared" si="77"/>
        <v>0</v>
      </c>
      <c r="T2463" s="39" t="s">
        <v>9</v>
      </c>
    </row>
    <row r="2464" spans="1:20" x14ac:dyDescent="0.25">
      <c r="A2464" s="20">
        <v>42147</v>
      </c>
      <c r="B2464" s="183">
        <v>22038</v>
      </c>
      <c r="C2464" s="14" t="s">
        <v>102</v>
      </c>
      <c r="D2464" s="105">
        <v>4479</v>
      </c>
      <c r="E2464" s="65" t="s">
        <v>1439</v>
      </c>
      <c r="F2464" s="106">
        <f>2400+2079</f>
        <v>4479</v>
      </c>
      <c r="G2464" s="31">
        <f t="shared" si="76"/>
        <v>0</v>
      </c>
      <c r="H2464" s="39" t="s">
        <v>9</v>
      </c>
      <c r="I2464" s="3"/>
      <c r="J2464" s="42"/>
      <c r="K2464" s="3"/>
      <c r="M2464" s="20">
        <v>42141</v>
      </c>
      <c r="N2464" s="183">
        <v>21378</v>
      </c>
      <c r="O2464" s="14" t="s">
        <v>86</v>
      </c>
      <c r="P2464" s="105">
        <v>321.55</v>
      </c>
      <c r="Q2464" s="23">
        <v>42141</v>
      </c>
      <c r="R2464" s="118">
        <v>321.55</v>
      </c>
      <c r="S2464" s="31">
        <f t="shared" si="77"/>
        <v>0</v>
      </c>
      <c r="T2464" s="56" t="s">
        <v>9</v>
      </c>
    </row>
    <row r="2465" spans="1:20" x14ac:dyDescent="0.25">
      <c r="A2465" s="20">
        <v>42147</v>
      </c>
      <c r="B2465" s="183">
        <v>22039</v>
      </c>
      <c r="C2465" s="14" t="s">
        <v>111</v>
      </c>
      <c r="D2465" s="105">
        <v>322902</v>
      </c>
      <c r="E2465" s="65">
        <v>42152</v>
      </c>
      <c r="F2465" s="106">
        <v>322902</v>
      </c>
      <c r="G2465" s="31">
        <f t="shared" si="76"/>
        <v>0</v>
      </c>
      <c r="H2465" s="39" t="s">
        <v>9</v>
      </c>
      <c r="I2465" s="3"/>
      <c r="J2465" s="42"/>
      <c r="K2465" s="3"/>
      <c r="M2465" s="20">
        <v>42146</v>
      </c>
      <c r="N2465" s="183">
        <v>21868</v>
      </c>
      <c r="O2465" s="14" t="s">
        <v>86</v>
      </c>
      <c r="P2465" s="105">
        <v>533.29999999999995</v>
      </c>
      <c r="Q2465" s="23">
        <v>42146</v>
      </c>
      <c r="R2465" s="106">
        <v>533.29999999999995</v>
      </c>
      <c r="S2465" s="31">
        <f t="shared" si="77"/>
        <v>0</v>
      </c>
      <c r="T2465" s="39" t="s">
        <v>9</v>
      </c>
    </row>
    <row r="2466" spans="1:20" x14ac:dyDescent="0.25">
      <c r="A2466" s="20">
        <v>42147</v>
      </c>
      <c r="B2466" s="183">
        <v>22040</v>
      </c>
      <c r="C2466" s="14" t="s">
        <v>411</v>
      </c>
      <c r="D2466" s="105">
        <v>2289</v>
      </c>
      <c r="E2466" s="65">
        <v>42147</v>
      </c>
      <c r="F2466" s="106">
        <v>2289</v>
      </c>
      <c r="G2466" s="31">
        <f t="shared" si="76"/>
        <v>0</v>
      </c>
      <c r="H2466" s="39" t="s">
        <v>9</v>
      </c>
      <c r="I2466" s="3"/>
      <c r="J2466" s="42"/>
      <c r="K2466" s="3"/>
      <c r="M2466" s="20">
        <v>42148</v>
      </c>
      <c r="N2466" s="183">
        <v>22124</v>
      </c>
      <c r="O2466" s="14" t="s">
        <v>86</v>
      </c>
      <c r="P2466" s="105">
        <v>356.85</v>
      </c>
      <c r="Q2466" s="65">
        <v>42148</v>
      </c>
      <c r="R2466" s="106">
        <v>356.85</v>
      </c>
      <c r="S2466" s="31">
        <f t="shared" si="77"/>
        <v>0</v>
      </c>
      <c r="T2466" s="39" t="s">
        <v>9</v>
      </c>
    </row>
    <row r="2467" spans="1:20" x14ac:dyDescent="0.25">
      <c r="A2467" s="20">
        <v>42147</v>
      </c>
      <c r="B2467" s="183">
        <v>22041</v>
      </c>
      <c r="C2467" s="14" t="s">
        <v>336</v>
      </c>
      <c r="D2467" s="105">
        <v>1078.5999999999999</v>
      </c>
      <c r="E2467" s="65">
        <v>42147</v>
      </c>
      <c r="F2467" s="106">
        <v>1078.5999999999999</v>
      </c>
      <c r="G2467" s="31">
        <f t="shared" si="76"/>
        <v>0</v>
      </c>
      <c r="H2467" s="39" t="s">
        <v>9</v>
      </c>
      <c r="I2467" s="3"/>
      <c r="J2467" s="42"/>
      <c r="K2467" s="3"/>
      <c r="M2467" s="20">
        <v>42153</v>
      </c>
      <c r="N2467" s="183">
        <v>22653</v>
      </c>
      <c r="O2467" s="14" t="s">
        <v>86</v>
      </c>
      <c r="P2467" s="105">
        <v>366</v>
      </c>
      <c r="Q2467" s="23">
        <v>42153</v>
      </c>
      <c r="R2467" s="106">
        <v>366</v>
      </c>
      <c r="S2467" s="31">
        <f t="shared" si="77"/>
        <v>0</v>
      </c>
      <c r="T2467" s="39" t="s">
        <v>9</v>
      </c>
    </row>
    <row r="2468" spans="1:20" x14ac:dyDescent="0.25">
      <c r="A2468" s="20">
        <v>42147</v>
      </c>
      <c r="B2468" s="183">
        <v>22042</v>
      </c>
      <c r="C2468" s="150" t="s">
        <v>95</v>
      </c>
      <c r="D2468" s="105">
        <v>4544.8</v>
      </c>
      <c r="E2468" s="65">
        <v>42149</v>
      </c>
      <c r="F2468" s="106">
        <v>4544.8</v>
      </c>
      <c r="G2468" s="31">
        <f t="shared" si="76"/>
        <v>0</v>
      </c>
      <c r="H2468" s="39" t="s">
        <v>1273</v>
      </c>
      <c r="I2468" s="3"/>
      <c r="J2468" s="42"/>
      <c r="K2468" s="3"/>
      <c r="M2468" s="20">
        <v>42155</v>
      </c>
      <c r="N2468" s="183">
        <v>22810</v>
      </c>
      <c r="O2468" s="14" t="s">
        <v>86</v>
      </c>
      <c r="P2468" s="105">
        <v>415.1</v>
      </c>
      <c r="Q2468" s="23">
        <v>42155</v>
      </c>
      <c r="R2468" s="106">
        <v>415.1</v>
      </c>
      <c r="S2468" s="31">
        <f t="shared" si="77"/>
        <v>0</v>
      </c>
      <c r="T2468" s="39" t="s">
        <v>9</v>
      </c>
    </row>
    <row r="2469" spans="1:20" x14ac:dyDescent="0.25">
      <c r="A2469" s="20">
        <v>42147</v>
      </c>
      <c r="B2469" s="183">
        <v>22043</v>
      </c>
      <c r="C2469" s="14" t="s">
        <v>104</v>
      </c>
      <c r="D2469" s="105">
        <v>7097.7</v>
      </c>
      <c r="E2469" s="65">
        <v>42149</v>
      </c>
      <c r="F2469" s="106">
        <v>7097.7</v>
      </c>
      <c r="G2469" s="31">
        <f t="shared" si="76"/>
        <v>0</v>
      </c>
      <c r="H2469" s="39" t="s">
        <v>1273</v>
      </c>
      <c r="I2469" s="3"/>
      <c r="J2469" s="42"/>
      <c r="K2469" s="3"/>
      <c r="M2469" s="20">
        <v>42155</v>
      </c>
      <c r="N2469" s="183">
        <v>22856</v>
      </c>
      <c r="O2469" s="14" t="s">
        <v>86</v>
      </c>
      <c r="P2469" s="105">
        <v>212</v>
      </c>
      <c r="Q2469" s="23">
        <v>42155</v>
      </c>
      <c r="R2469" s="106">
        <v>212</v>
      </c>
      <c r="S2469" s="31">
        <f t="shared" si="77"/>
        <v>0</v>
      </c>
      <c r="T2469" s="39" t="s">
        <v>9</v>
      </c>
    </row>
    <row r="2470" spans="1:20" x14ac:dyDescent="0.25">
      <c r="A2470" s="20">
        <v>42147</v>
      </c>
      <c r="B2470" s="183">
        <v>22044</v>
      </c>
      <c r="C2470" s="110" t="s">
        <v>337</v>
      </c>
      <c r="D2470" s="105">
        <v>756.4</v>
      </c>
      <c r="E2470" s="65">
        <v>42149</v>
      </c>
      <c r="F2470" s="106">
        <v>756.4</v>
      </c>
      <c r="G2470" s="31">
        <f t="shared" si="76"/>
        <v>0</v>
      </c>
      <c r="H2470" s="39" t="s">
        <v>1273</v>
      </c>
      <c r="I2470" s="3"/>
      <c r="J2470" s="42"/>
      <c r="K2470" s="3"/>
      <c r="M2470" s="20">
        <v>42126</v>
      </c>
      <c r="N2470" s="183">
        <v>19724</v>
      </c>
      <c r="O2470" s="40" t="s">
        <v>215</v>
      </c>
      <c r="P2470" s="105">
        <v>35483.199999999997</v>
      </c>
      <c r="Q2470" s="23">
        <v>42126</v>
      </c>
      <c r="R2470" s="106">
        <v>35483.199999999997</v>
      </c>
      <c r="S2470" s="25">
        <f t="shared" si="77"/>
        <v>0</v>
      </c>
      <c r="T2470" s="41" t="s">
        <v>9</v>
      </c>
    </row>
    <row r="2471" spans="1:20" x14ac:dyDescent="0.25">
      <c r="A2471" s="20">
        <v>42147</v>
      </c>
      <c r="B2471" s="183">
        <v>22045</v>
      </c>
      <c r="C2471" s="14" t="s">
        <v>1374</v>
      </c>
      <c r="D2471" s="105">
        <v>3218.6</v>
      </c>
      <c r="E2471" s="65">
        <v>42149</v>
      </c>
      <c r="F2471" s="106">
        <v>3218.6</v>
      </c>
      <c r="G2471" s="31">
        <f t="shared" si="76"/>
        <v>0</v>
      </c>
      <c r="H2471" s="39" t="s">
        <v>1273</v>
      </c>
      <c r="I2471" s="3"/>
      <c r="J2471" s="42"/>
      <c r="K2471" s="3"/>
      <c r="M2471" s="20">
        <v>42127</v>
      </c>
      <c r="N2471" s="183">
        <v>19866</v>
      </c>
      <c r="O2471" s="40" t="s">
        <v>215</v>
      </c>
      <c r="P2471" s="105">
        <v>9499.7999999999993</v>
      </c>
      <c r="Q2471" s="23">
        <v>42127</v>
      </c>
      <c r="R2471" s="106">
        <v>9499.7999999999993</v>
      </c>
      <c r="S2471" s="31">
        <f t="shared" si="77"/>
        <v>0</v>
      </c>
      <c r="T2471" s="41" t="s">
        <v>9</v>
      </c>
    </row>
    <row r="2472" spans="1:20" x14ac:dyDescent="0.25">
      <c r="A2472" s="20">
        <v>42147</v>
      </c>
      <c r="B2472" s="183">
        <v>22046</v>
      </c>
      <c r="C2472" s="14" t="s">
        <v>1267</v>
      </c>
      <c r="D2472" s="105">
        <v>2528.6</v>
      </c>
      <c r="E2472" s="65">
        <v>42149</v>
      </c>
      <c r="F2472" s="106">
        <v>2528.6</v>
      </c>
      <c r="G2472" s="31">
        <f t="shared" si="76"/>
        <v>0</v>
      </c>
      <c r="H2472" s="39" t="s">
        <v>1273</v>
      </c>
      <c r="I2472" s="3"/>
      <c r="J2472" s="42"/>
      <c r="K2472" s="3"/>
      <c r="M2472" s="20">
        <v>42128</v>
      </c>
      <c r="N2472" s="183">
        <v>19938</v>
      </c>
      <c r="O2472" s="14" t="s">
        <v>215</v>
      </c>
      <c r="P2472" s="105">
        <v>16286.2</v>
      </c>
      <c r="Q2472" s="23">
        <v>42128</v>
      </c>
      <c r="R2472" s="106">
        <v>16286.2</v>
      </c>
      <c r="S2472" s="31">
        <f t="shared" si="77"/>
        <v>0</v>
      </c>
      <c r="T2472" s="19" t="s">
        <v>1257</v>
      </c>
    </row>
    <row r="2473" spans="1:20" x14ac:dyDescent="0.25">
      <c r="A2473" s="20">
        <v>42147</v>
      </c>
      <c r="B2473" s="183">
        <v>22047</v>
      </c>
      <c r="C2473" s="14" t="s">
        <v>71</v>
      </c>
      <c r="D2473" s="105">
        <v>1519.3</v>
      </c>
      <c r="E2473" s="65">
        <v>42147</v>
      </c>
      <c r="F2473" s="106">
        <v>1519.3</v>
      </c>
      <c r="G2473" s="31">
        <f t="shared" si="76"/>
        <v>0</v>
      </c>
      <c r="H2473" s="39" t="s">
        <v>9</v>
      </c>
      <c r="I2473" s="3"/>
      <c r="J2473" s="42"/>
      <c r="K2473" s="3"/>
      <c r="M2473" s="20">
        <v>42128</v>
      </c>
      <c r="N2473" s="183">
        <v>19943</v>
      </c>
      <c r="O2473" s="14" t="s">
        <v>215</v>
      </c>
      <c r="P2473" s="105">
        <v>628.32000000000005</v>
      </c>
      <c r="Q2473" s="23">
        <v>42128</v>
      </c>
      <c r="R2473" s="106">
        <v>628.32000000000005</v>
      </c>
      <c r="S2473" s="31">
        <f t="shared" si="77"/>
        <v>0</v>
      </c>
      <c r="T2473" s="19" t="s">
        <v>1257</v>
      </c>
    </row>
    <row r="2474" spans="1:20" x14ac:dyDescent="0.25">
      <c r="A2474" s="20">
        <v>42147</v>
      </c>
      <c r="B2474" s="183">
        <v>22048</v>
      </c>
      <c r="C2474" s="14" t="s">
        <v>32</v>
      </c>
      <c r="D2474" s="105">
        <v>87570</v>
      </c>
      <c r="E2474" s="74">
        <v>42171</v>
      </c>
      <c r="F2474" s="144">
        <v>87570</v>
      </c>
      <c r="G2474" s="31">
        <f t="shared" si="76"/>
        <v>0</v>
      </c>
      <c r="H2474" s="39" t="s">
        <v>1273</v>
      </c>
      <c r="I2474" s="3"/>
      <c r="J2474" s="42"/>
      <c r="K2474" s="3"/>
      <c r="M2474" s="20">
        <v>42130</v>
      </c>
      <c r="N2474" s="183">
        <v>20132</v>
      </c>
      <c r="O2474" s="14" t="s">
        <v>215</v>
      </c>
      <c r="P2474" s="105">
        <v>58340</v>
      </c>
      <c r="Q2474" s="23">
        <v>42130</v>
      </c>
      <c r="R2474" s="106">
        <v>58340</v>
      </c>
      <c r="S2474" s="31">
        <f t="shared" si="77"/>
        <v>0</v>
      </c>
      <c r="T2474" s="39" t="s">
        <v>773</v>
      </c>
    </row>
    <row r="2475" spans="1:20" x14ac:dyDescent="0.25">
      <c r="A2475" s="20">
        <v>42147</v>
      </c>
      <c r="B2475" s="183">
        <v>22049</v>
      </c>
      <c r="C2475" s="14" t="s">
        <v>35</v>
      </c>
      <c r="D2475" s="105">
        <v>27544.2</v>
      </c>
      <c r="E2475" s="65">
        <v>42148</v>
      </c>
      <c r="F2475" s="106">
        <v>27544.2</v>
      </c>
      <c r="G2475" s="31">
        <f t="shared" si="76"/>
        <v>0</v>
      </c>
      <c r="H2475" s="39" t="s">
        <v>773</v>
      </c>
      <c r="I2475" s="3"/>
      <c r="J2475" s="42"/>
      <c r="K2475" s="3"/>
      <c r="M2475" s="20">
        <v>42133</v>
      </c>
      <c r="N2475" s="183">
        <v>20541</v>
      </c>
      <c r="O2475" s="14" t="s">
        <v>215</v>
      </c>
      <c r="P2475" s="105">
        <v>20392.8</v>
      </c>
      <c r="Q2475" s="23">
        <v>42133</v>
      </c>
      <c r="R2475" s="106">
        <v>20392.8</v>
      </c>
      <c r="S2475" s="31">
        <f t="shared" si="77"/>
        <v>0</v>
      </c>
      <c r="T2475" s="19" t="s">
        <v>1257</v>
      </c>
    </row>
    <row r="2476" spans="1:20" x14ac:dyDescent="0.25">
      <c r="A2476" s="20">
        <v>42147</v>
      </c>
      <c r="B2476" s="183">
        <v>22050</v>
      </c>
      <c r="C2476" s="14" t="s">
        <v>912</v>
      </c>
      <c r="D2476" s="105">
        <v>3431.1</v>
      </c>
      <c r="E2476" s="65">
        <v>42147</v>
      </c>
      <c r="F2476" s="106">
        <v>3431.1</v>
      </c>
      <c r="G2476" s="31">
        <f t="shared" si="76"/>
        <v>0</v>
      </c>
      <c r="H2476" s="39" t="s">
        <v>9</v>
      </c>
      <c r="I2476" s="3"/>
      <c r="J2476" s="42"/>
      <c r="K2476" s="3"/>
      <c r="M2476" s="20">
        <v>42134</v>
      </c>
      <c r="N2476" s="183">
        <v>20619</v>
      </c>
      <c r="O2476" s="14" t="s">
        <v>215</v>
      </c>
      <c r="P2476" s="105">
        <v>27674.9</v>
      </c>
      <c r="Q2476" s="23">
        <v>42134</v>
      </c>
      <c r="R2476" s="118">
        <v>27674.9</v>
      </c>
      <c r="S2476" s="31">
        <f t="shared" si="77"/>
        <v>0</v>
      </c>
      <c r="T2476" s="56" t="s">
        <v>1257</v>
      </c>
    </row>
    <row r="2477" spans="1:20" x14ac:dyDescent="0.25">
      <c r="A2477" s="20">
        <v>42147</v>
      </c>
      <c r="B2477" s="183">
        <v>22051</v>
      </c>
      <c r="C2477" s="14" t="s">
        <v>47</v>
      </c>
      <c r="D2477" s="105">
        <v>19299.2</v>
      </c>
      <c r="E2477" s="65">
        <v>42148</v>
      </c>
      <c r="F2477" s="106">
        <v>19299.2</v>
      </c>
      <c r="G2477" s="31">
        <f t="shared" si="76"/>
        <v>0</v>
      </c>
      <c r="H2477" s="39" t="s">
        <v>773</v>
      </c>
      <c r="I2477" s="3"/>
      <c r="J2477" s="42"/>
      <c r="K2477" s="3"/>
      <c r="M2477" s="20">
        <v>42136</v>
      </c>
      <c r="N2477" s="183">
        <v>20823</v>
      </c>
      <c r="O2477" s="14" t="s">
        <v>215</v>
      </c>
      <c r="P2477" s="105">
        <v>48411.05</v>
      </c>
      <c r="Q2477" s="23">
        <v>42136</v>
      </c>
      <c r="R2477" s="106">
        <v>48411.05</v>
      </c>
      <c r="S2477" s="31">
        <f t="shared" si="77"/>
        <v>0</v>
      </c>
      <c r="T2477" s="39" t="s">
        <v>46</v>
      </c>
    </row>
    <row r="2478" spans="1:20" x14ac:dyDescent="0.25">
      <c r="A2478" s="20">
        <v>42147</v>
      </c>
      <c r="B2478" s="183">
        <v>22052</v>
      </c>
      <c r="C2478" s="14" t="s">
        <v>154</v>
      </c>
      <c r="D2478" s="105">
        <v>15464.4</v>
      </c>
      <c r="E2478" s="65">
        <v>42148</v>
      </c>
      <c r="F2478" s="106">
        <v>15464.4</v>
      </c>
      <c r="G2478" s="31">
        <f t="shared" si="76"/>
        <v>0</v>
      </c>
      <c r="H2478" s="39" t="s">
        <v>773</v>
      </c>
      <c r="I2478" s="3"/>
      <c r="J2478" s="42"/>
      <c r="K2478" s="3"/>
      <c r="M2478" s="20">
        <v>42139</v>
      </c>
      <c r="N2478" s="183">
        <v>21112</v>
      </c>
      <c r="O2478" s="14" t="s">
        <v>215</v>
      </c>
      <c r="P2478" s="105">
        <v>39084.400000000001</v>
      </c>
      <c r="Q2478" s="23">
        <v>42139</v>
      </c>
      <c r="R2478" s="106">
        <v>39084.400000000001</v>
      </c>
      <c r="S2478" s="48">
        <f t="shared" si="77"/>
        <v>0</v>
      </c>
      <c r="T2478" s="39" t="s">
        <v>62</v>
      </c>
    </row>
    <row r="2479" spans="1:20" x14ac:dyDescent="0.25">
      <c r="A2479" s="20">
        <v>42147</v>
      </c>
      <c r="B2479" s="183">
        <v>22053</v>
      </c>
      <c r="C2479" s="14" t="s">
        <v>256</v>
      </c>
      <c r="D2479" s="105">
        <v>8441</v>
      </c>
      <c r="E2479" s="65">
        <v>42148</v>
      </c>
      <c r="F2479" s="106">
        <v>8441</v>
      </c>
      <c r="G2479" s="31">
        <f t="shared" si="76"/>
        <v>0</v>
      </c>
      <c r="H2479" s="39" t="s">
        <v>9</v>
      </c>
      <c r="I2479" s="3"/>
      <c r="J2479" s="42"/>
      <c r="K2479" s="3"/>
      <c r="M2479" s="20">
        <v>42141</v>
      </c>
      <c r="N2479" s="183">
        <v>21353</v>
      </c>
      <c r="O2479" s="14" t="s">
        <v>215</v>
      </c>
      <c r="P2479" s="105">
        <v>27024</v>
      </c>
      <c r="Q2479" s="23">
        <v>42141</v>
      </c>
      <c r="R2479" s="118">
        <v>27024</v>
      </c>
      <c r="S2479" s="31">
        <f t="shared" si="77"/>
        <v>0</v>
      </c>
      <c r="T2479" s="62" t="s">
        <v>62</v>
      </c>
    </row>
    <row r="2480" spans="1:20" x14ac:dyDescent="0.25">
      <c r="A2480" s="20">
        <v>42147</v>
      </c>
      <c r="B2480" s="183">
        <v>22054</v>
      </c>
      <c r="C2480" s="14" t="s">
        <v>131</v>
      </c>
      <c r="D2480" s="105">
        <v>2082</v>
      </c>
      <c r="E2480" s="65">
        <v>42147</v>
      </c>
      <c r="F2480" s="106">
        <v>2082</v>
      </c>
      <c r="G2480" s="31">
        <f t="shared" si="76"/>
        <v>0</v>
      </c>
      <c r="H2480" s="39" t="s">
        <v>9</v>
      </c>
      <c r="I2480" s="3"/>
      <c r="J2480" s="42"/>
      <c r="K2480" s="3"/>
      <c r="M2480" s="20">
        <v>42142</v>
      </c>
      <c r="N2480" s="183">
        <v>21511</v>
      </c>
      <c r="O2480" s="14" t="s">
        <v>215</v>
      </c>
      <c r="P2480" s="105">
        <v>19683</v>
      </c>
      <c r="Q2480" s="23">
        <v>42142</v>
      </c>
      <c r="R2480" s="106">
        <v>19683</v>
      </c>
      <c r="S2480" s="31">
        <f t="shared" si="77"/>
        <v>0</v>
      </c>
      <c r="T2480" s="39" t="s">
        <v>9</v>
      </c>
    </row>
    <row r="2481" spans="1:20" x14ac:dyDescent="0.25">
      <c r="A2481" s="20">
        <v>42147</v>
      </c>
      <c r="B2481" s="183">
        <v>22055</v>
      </c>
      <c r="C2481" s="14" t="s">
        <v>128</v>
      </c>
      <c r="D2481" s="105">
        <v>9721.6</v>
      </c>
      <c r="E2481" s="65">
        <v>42149</v>
      </c>
      <c r="F2481" s="106">
        <v>9721.6</v>
      </c>
      <c r="G2481" s="31">
        <f t="shared" si="76"/>
        <v>0</v>
      </c>
      <c r="H2481" s="39" t="s">
        <v>1257</v>
      </c>
      <c r="I2481" s="3"/>
      <c r="J2481" s="42"/>
      <c r="K2481" s="3"/>
      <c r="M2481" s="20">
        <v>42144</v>
      </c>
      <c r="N2481" s="183">
        <v>21617</v>
      </c>
      <c r="O2481" s="14" t="s">
        <v>215</v>
      </c>
      <c r="P2481" s="105">
        <v>23606.400000000001</v>
      </c>
      <c r="Q2481" s="23">
        <v>42144</v>
      </c>
      <c r="R2481" s="118">
        <v>23606.400000000001</v>
      </c>
      <c r="S2481" s="31">
        <f t="shared" si="77"/>
        <v>0</v>
      </c>
      <c r="T2481" s="56" t="s">
        <v>1273</v>
      </c>
    </row>
    <row r="2482" spans="1:20" x14ac:dyDescent="0.25">
      <c r="A2482" s="20">
        <v>42147</v>
      </c>
      <c r="B2482" s="183">
        <v>22056</v>
      </c>
      <c r="C2482" s="14" t="s">
        <v>484</v>
      </c>
      <c r="D2482" s="105">
        <v>8254</v>
      </c>
      <c r="E2482" s="65">
        <v>42154</v>
      </c>
      <c r="F2482" s="106">
        <v>8254</v>
      </c>
      <c r="G2482" s="31">
        <f t="shared" si="76"/>
        <v>0</v>
      </c>
      <c r="H2482" s="39" t="s">
        <v>9</v>
      </c>
      <c r="I2482" s="3"/>
      <c r="J2482" s="42"/>
      <c r="K2482" s="3"/>
      <c r="M2482" s="20">
        <v>42145</v>
      </c>
      <c r="N2482" s="183">
        <v>21805</v>
      </c>
      <c r="O2482" s="15" t="s">
        <v>215</v>
      </c>
      <c r="P2482" s="122">
        <v>22881.3</v>
      </c>
      <c r="Q2482" s="23">
        <v>42145</v>
      </c>
      <c r="R2482" s="118">
        <v>22881.3</v>
      </c>
      <c r="S2482" s="31">
        <f t="shared" si="77"/>
        <v>0</v>
      </c>
      <c r="T2482" s="68" t="s">
        <v>9</v>
      </c>
    </row>
    <row r="2483" spans="1:20" x14ac:dyDescent="0.25">
      <c r="A2483" s="20">
        <v>42147</v>
      </c>
      <c r="B2483" s="183">
        <v>22057</v>
      </c>
      <c r="C2483" s="26" t="s">
        <v>218</v>
      </c>
      <c r="D2483" s="108">
        <v>0</v>
      </c>
      <c r="E2483" s="65"/>
      <c r="F2483" s="106"/>
      <c r="G2483" s="31">
        <f t="shared" si="76"/>
        <v>0</v>
      </c>
      <c r="H2483" s="39" t="s">
        <v>13</v>
      </c>
      <c r="I2483" s="3"/>
      <c r="J2483" s="42"/>
      <c r="K2483" s="3"/>
      <c r="M2483" s="20">
        <v>42147</v>
      </c>
      <c r="N2483" s="183">
        <v>22001</v>
      </c>
      <c r="O2483" s="14" t="s">
        <v>215</v>
      </c>
      <c r="P2483" s="105">
        <v>20978.2</v>
      </c>
      <c r="Q2483" s="65">
        <v>42147</v>
      </c>
      <c r="R2483" s="106">
        <v>20978.2</v>
      </c>
      <c r="S2483" s="31">
        <f t="shared" si="77"/>
        <v>0</v>
      </c>
      <c r="T2483" s="39" t="s">
        <v>1257</v>
      </c>
    </row>
    <row r="2484" spans="1:20" x14ac:dyDescent="0.25">
      <c r="A2484" s="20">
        <v>42147</v>
      </c>
      <c r="B2484" s="183">
        <v>22058</v>
      </c>
      <c r="C2484" s="26" t="s">
        <v>218</v>
      </c>
      <c r="D2484" s="108">
        <v>0</v>
      </c>
      <c r="E2484" s="65"/>
      <c r="F2484" s="106"/>
      <c r="G2484" s="31">
        <f t="shared" si="76"/>
        <v>0</v>
      </c>
      <c r="H2484" s="39" t="s">
        <v>13</v>
      </c>
      <c r="I2484" s="3"/>
      <c r="J2484" s="42"/>
      <c r="K2484" s="3"/>
      <c r="M2484" s="20">
        <v>42148</v>
      </c>
      <c r="N2484" s="183">
        <v>22096</v>
      </c>
      <c r="O2484" s="14" t="s">
        <v>215</v>
      </c>
      <c r="P2484" s="105">
        <v>21441.200000000001</v>
      </c>
      <c r="Q2484" s="65"/>
      <c r="R2484" s="106"/>
      <c r="S2484" s="31">
        <f t="shared" si="77"/>
        <v>21441.200000000001</v>
      </c>
      <c r="T2484" s="39" t="s">
        <v>9</v>
      </c>
    </row>
    <row r="2485" spans="1:20" x14ac:dyDescent="0.25">
      <c r="A2485" s="20">
        <v>42147</v>
      </c>
      <c r="B2485" s="183">
        <v>22059</v>
      </c>
      <c r="C2485" s="14" t="s">
        <v>24</v>
      </c>
      <c r="D2485" s="105">
        <v>9384</v>
      </c>
      <c r="E2485" s="74">
        <v>42165</v>
      </c>
      <c r="F2485" s="144">
        <v>9384</v>
      </c>
      <c r="G2485" s="31">
        <f t="shared" si="76"/>
        <v>0</v>
      </c>
      <c r="H2485" s="39" t="s">
        <v>1013</v>
      </c>
      <c r="I2485" s="3"/>
      <c r="J2485" s="42"/>
      <c r="K2485" s="3"/>
      <c r="M2485" s="20">
        <v>42149</v>
      </c>
      <c r="N2485" s="183">
        <v>22223</v>
      </c>
      <c r="O2485" s="14" t="s">
        <v>215</v>
      </c>
      <c r="P2485" s="105">
        <v>12466.6</v>
      </c>
      <c r="Q2485" s="65">
        <v>42149</v>
      </c>
      <c r="R2485" s="106">
        <v>12466.6</v>
      </c>
      <c r="S2485" s="31">
        <f t="shared" si="77"/>
        <v>0</v>
      </c>
      <c r="T2485" s="39" t="s">
        <v>9</v>
      </c>
    </row>
    <row r="2486" spans="1:20" x14ac:dyDescent="0.25">
      <c r="A2486" s="20">
        <v>42147</v>
      </c>
      <c r="B2486" s="183">
        <v>22060</v>
      </c>
      <c r="C2486" s="14" t="s">
        <v>571</v>
      </c>
      <c r="D2486" s="105">
        <v>101213.5</v>
      </c>
      <c r="E2486" s="74">
        <v>42168</v>
      </c>
      <c r="F2486" s="144">
        <v>101213.5</v>
      </c>
      <c r="G2486" s="31">
        <f t="shared" si="76"/>
        <v>0</v>
      </c>
      <c r="H2486" s="39" t="s">
        <v>1013</v>
      </c>
      <c r="I2486" s="3"/>
      <c r="J2486" s="42"/>
      <c r="K2486" s="3"/>
      <c r="M2486" s="20">
        <v>42151</v>
      </c>
      <c r="N2486" s="183">
        <v>22350</v>
      </c>
      <c r="O2486" s="14" t="s">
        <v>215</v>
      </c>
      <c r="P2486" s="105">
        <v>24232.799999999999</v>
      </c>
      <c r="Q2486" s="65">
        <v>42151</v>
      </c>
      <c r="R2486" s="106">
        <v>24232.799999999999</v>
      </c>
      <c r="S2486" s="31">
        <f t="shared" si="77"/>
        <v>0</v>
      </c>
      <c r="T2486" s="39" t="s">
        <v>1273</v>
      </c>
    </row>
    <row r="2487" spans="1:20" x14ac:dyDescent="0.25">
      <c r="A2487" s="20">
        <v>42147</v>
      </c>
      <c r="B2487" s="183">
        <v>22061</v>
      </c>
      <c r="C2487" s="14" t="s">
        <v>24</v>
      </c>
      <c r="D2487" s="105">
        <v>28755.8</v>
      </c>
      <c r="E2487" s="74">
        <v>42165</v>
      </c>
      <c r="F2487" s="144">
        <v>28755.8</v>
      </c>
      <c r="G2487" s="31">
        <f t="shared" si="76"/>
        <v>0</v>
      </c>
      <c r="H2487" s="39" t="s">
        <v>1257</v>
      </c>
      <c r="I2487" s="3"/>
      <c r="J2487" s="42"/>
      <c r="K2487" s="3"/>
      <c r="M2487" s="20">
        <v>42153</v>
      </c>
      <c r="N2487" s="183">
        <v>22586</v>
      </c>
      <c r="O2487" s="14" t="s">
        <v>215</v>
      </c>
      <c r="P2487" s="105">
        <v>21267.8</v>
      </c>
      <c r="Q2487" s="23">
        <v>42153</v>
      </c>
      <c r="R2487" s="106">
        <v>21267.8</v>
      </c>
      <c r="S2487" s="31">
        <f t="shared" si="77"/>
        <v>0</v>
      </c>
      <c r="T2487" s="39" t="s">
        <v>773</v>
      </c>
    </row>
    <row r="2488" spans="1:20" x14ac:dyDescent="0.25">
      <c r="A2488" s="20">
        <v>42147</v>
      </c>
      <c r="B2488" s="183">
        <v>22062</v>
      </c>
      <c r="C2488" s="150" t="s">
        <v>484</v>
      </c>
      <c r="D2488" s="105">
        <v>8526</v>
      </c>
      <c r="E2488" s="65">
        <v>42154</v>
      </c>
      <c r="F2488" s="106">
        <v>8526</v>
      </c>
      <c r="G2488" s="31">
        <f t="shared" si="76"/>
        <v>0</v>
      </c>
      <c r="H2488" s="39" t="s">
        <v>9</v>
      </c>
      <c r="I2488" s="3"/>
      <c r="J2488" s="42"/>
      <c r="K2488" s="3"/>
      <c r="M2488" s="20">
        <v>42153</v>
      </c>
      <c r="N2488" s="183">
        <v>22643</v>
      </c>
      <c r="O2488" s="14" t="s">
        <v>215</v>
      </c>
      <c r="P2488" s="105">
        <v>15042</v>
      </c>
      <c r="Q2488" s="23">
        <v>42153</v>
      </c>
      <c r="R2488" s="106">
        <v>15042</v>
      </c>
      <c r="S2488" s="31">
        <f t="shared" si="77"/>
        <v>0</v>
      </c>
      <c r="T2488" s="39" t="s">
        <v>9</v>
      </c>
    </row>
    <row r="2489" spans="1:20" x14ac:dyDescent="0.25">
      <c r="A2489" s="20">
        <v>42147</v>
      </c>
      <c r="B2489" s="183">
        <v>22063</v>
      </c>
      <c r="C2489" s="14" t="s">
        <v>131</v>
      </c>
      <c r="D2489" s="105">
        <v>1734</v>
      </c>
      <c r="E2489" s="65">
        <v>42147</v>
      </c>
      <c r="F2489" s="106">
        <v>1734</v>
      </c>
      <c r="G2489" s="31">
        <f t="shared" si="76"/>
        <v>0</v>
      </c>
      <c r="H2489" s="39" t="s">
        <v>9</v>
      </c>
      <c r="I2489" s="3"/>
      <c r="J2489" s="42"/>
      <c r="K2489" s="3"/>
      <c r="M2489" s="20">
        <v>42154</v>
      </c>
      <c r="N2489" s="183">
        <v>22731</v>
      </c>
      <c r="O2489" s="14" t="s">
        <v>215</v>
      </c>
      <c r="P2489" s="105">
        <v>22812.400000000001</v>
      </c>
      <c r="Q2489" s="23">
        <v>42154</v>
      </c>
      <c r="R2489" s="106">
        <v>22812.400000000001</v>
      </c>
      <c r="S2489" s="31">
        <f t="shared" si="77"/>
        <v>0</v>
      </c>
      <c r="T2489" s="39" t="s">
        <v>1013</v>
      </c>
    </row>
    <row r="2490" spans="1:20" x14ac:dyDescent="0.25">
      <c r="A2490" s="20">
        <v>42147</v>
      </c>
      <c r="B2490" s="183">
        <v>22064</v>
      </c>
      <c r="C2490" s="14" t="s">
        <v>32</v>
      </c>
      <c r="D2490" s="105">
        <v>16913.900000000001</v>
      </c>
      <c r="E2490" s="74">
        <v>42171</v>
      </c>
      <c r="F2490" s="144">
        <v>16913.900000000001</v>
      </c>
      <c r="G2490" s="31">
        <f t="shared" si="76"/>
        <v>0</v>
      </c>
      <c r="H2490" s="39" t="s">
        <v>94</v>
      </c>
      <c r="I2490" s="3"/>
      <c r="J2490" s="42"/>
      <c r="K2490" s="3"/>
      <c r="M2490" s="20">
        <v>42154</v>
      </c>
      <c r="N2490" s="183">
        <v>22747</v>
      </c>
      <c r="O2490" s="14" t="s">
        <v>269</v>
      </c>
      <c r="P2490" s="105">
        <v>3351</v>
      </c>
      <c r="Q2490" s="23">
        <v>42154</v>
      </c>
      <c r="R2490" s="106">
        <v>3351</v>
      </c>
      <c r="S2490" s="31">
        <f t="shared" si="77"/>
        <v>0</v>
      </c>
      <c r="T2490" s="39" t="s">
        <v>9</v>
      </c>
    </row>
    <row r="2491" spans="1:20" x14ac:dyDescent="0.25">
      <c r="A2491" s="20">
        <v>42147</v>
      </c>
      <c r="B2491" s="183">
        <v>22065</v>
      </c>
      <c r="C2491" s="14" t="s">
        <v>141</v>
      </c>
      <c r="D2491" s="105">
        <v>3468</v>
      </c>
      <c r="E2491" s="74">
        <v>42157</v>
      </c>
      <c r="F2491" s="144">
        <v>3468</v>
      </c>
      <c r="G2491" s="31">
        <f t="shared" si="76"/>
        <v>0</v>
      </c>
      <c r="H2491" s="39" t="s">
        <v>94</v>
      </c>
      <c r="I2491" s="3"/>
      <c r="J2491" s="42"/>
      <c r="K2491" s="3"/>
      <c r="M2491" s="20">
        <v>42125</v>
      </c>
      <c r="N2491" s="183">
        <v>19597</v>
      </c>
      <c r="O2491" s="14" t="s">
        <v>125</v>
      </c>
      <c r="P2491" s="105">
        <v>43082.74</v>
      </c>
      <c r="Q2491" s="23">
        <v>42126</v>
      </c>
      <c r="R2491" s="106">
        <v>43082.74</v>
      </c>
      <c r="S2491" s="25">
        <f t="shared" si="77"/>
        <v>0</v>
      </c>
      <c r="T2491" s="19" t="s">
        <v>9</v>
      </c>
    </row>
    <row r="2492" spans="1:20" x14ac:dyDescent="0.25">
      <c r="A2492" s="20">
        <v>42148</v>
      </c>
      <c r="B2492" s="183">
        <v>22066</v>
      </c>
      <c r="C2492" s="14" t="s">
        <v>1020</v>
      </c>
      <c r="D2492" s="105">
        <v>4602</v>
      </c>
      <c r="E2492" s="65">
        <v>42148</v>
      </c>
      <c r="F2492" s="106">
        <v>4602</v>
      </c>
      <c r="G2492" s="31">
        <f t="shared" si="76"/>
        <v>0</v>
      </c>
      <c r="H2492" s="39" t="s">
        <v>9</v>
      </c>
      <c r="I2492" s="3"/>
      <c r="J2492" s="42"/>
      <c r="K2492" s="3"/>
      <c r="M2492" s="20">
        <v>42125</v>
      </c>
      <c r="N2492" s="183">
        <v>19683</v>
      </c>
      <c r="O2492" s="14" t="s">
        <v>125</v>
      </c>
      <c r="P2492" s="105">
        <v>3775.2</v>
      </c>
      <c r="Q2492" s="23">
        <v>42131</v>
      </c>
      <c r="R2492" s="106">
        <v>3775.2</v>
      </c>
      <c r="S2492" s="25">
        <f t="shared" si="77"/>
        <v>0</v>
      </c>
      <c r="T2492" s="39" t="s">
        <v>94</v>
      </c>
    </row>
    <row r="2493" spans="1:20" x14ac:dyDescent="0.25">
      <c r="A2493" s="20">
        <v>42148</v>
      </c>
      <c r="B2493" s="183">
        <v>22067</v>
      </c>
      <c r="C2493" s="14" t="s">
        <v>1425</v>
      </c>
      <c r="D2493" s="105">
        <v>5214.2</v>
      </c>
      <c r="E2493" s="152" t="s">
        <v>1427</v>
      </c>
      <c r="F2493" s="106">
        <f>2200+3014.2</f>
        <v>5214.2</v>
      </c>
      <c r="G2493" s="31">
        <f t="shared" si="76"/>
        <v>0</v>
      </c>
      <c r="H2493" s="39" t="s">
        <v>9</v>
      </c>
      <c r="I2493" s="3"/>
      <c r="J2493" s="42"/>
      <c r="K2493" s="3"/>
      <c r="M2493" s="20">
        <v>42126</v>
      </c>
      <c r="N2493" s="183">
        <v>19716</v>
      </c>
      <c r="O2493" s="40" t="s">
        <v>125</v>
      </c>
      <c r="P2493" s="105">
        <v>18954</v>
      </c>
      <c r="Q2493" s="23" t="s">
        <v>1280</v>
      </c>
      <c r="R2493" s="106">
        <f>16500+2454</f>
        <v>18954</v>
      </c>
      <c r="S2493" s="25">
        <f t="shared" si="77"/>
        <v>0</v>
      </c>
      <c r="T2493" s="41" t="s">
        <v>9</v>
      </c>
    </row>
    <row r="2494" spans="1:20" x14ac:dyDescent="0.25">
      <c r="A2494" s="20">
        <v>42148</v>
      </c>
      <c r="B2494" s="183">
        <v>22068</v>
      </c>
      <c r="C2494" s="14" t="s">
        <v>383</v>
      </c>
      <c r="D2494" s="105">
        <v>4563.2</v>
      </c>
      <c r="E2494" s="65">
        <v>42148</v>
      </c>
      <c r="F2494" s="106">
        <v>4563.2</v>
      </c>
      <c r="G2494" s="31">
        <f t="shared" si="76"/>
        <v>0</v>
      </c>
      <c r="H2494" s="39" t="s">
        <v>9</v>
      </c>
      <c r="I2494" s="3"/>
      <c r="J2494" s="42"/>
      <c r="K2494" s="3"/>
      <c r="M2494" s="20">
        <v>42126</v>
      </c>
      <c r="N2494" s="183">
        <v>19776</v>
      </c>
      <c r="O2494" s="40" t="s">
        <v>125</v>
      </c>
      <c r="P2494" s="105">
        <v>862</v>
      </c>
      <c r="Q2494" s="23">
        <v>42131</v>
      </c>
      <c r="R2494" s="106">
        <v>862</v>
      </c>
      <c r="S2494" s="25">
        <f t="shared" si="77"/>
        <v>0</v>
      </c>
      <c r="T2494" s="41" t="s">
        <v>9</v>
      </c>
    </row>
    <row r="2495" spans="1:20" x14ac:dyDescent="0.25">
      <c r="A2495" s="20">
        <v>42148</v>
      </c>
      <c r="B2495" s="183">
        <v>22069</v>
      </c>
      <c r="C2495" s="14" t="s">
        <v>18</v>
      </c>
      <c r="D2495" s="105">
        <v>6580.8</v>
      </c>
      <c r="E2495" s="65">
        <v>42148</v>
      </c>
      <c r="F2495" s="106">
        <v>6580.8</v>
      </c>
      <c r="G2495" s="31">
        <f t="shared" si="76"/>
        <v>0</v>
      </c>
      <c r="H2495" s="39" t="s">
        <v>9</v>
      </c>
      <c r="I2495" s="3"/>
      <c r="J2495" s="42"/>
      <c r="K2495" s="3"/>
      <c r="M2495" s="20">
        <v>42126</v>
      </c>
      <c r="N2495" s="183">
        <v>19807</v>
      </c>
      <c r="O2495" s="40" t="s">
        <v>125</v>
      </c>
      <c r="P2495" s="105">
        <v>25107.3</v>
      </c>
      <c r="Q2495" s="23" t="s">
        <v>1292</v>
      </c>
      <c r="R2495" s="106">
        <f>10000+15107.3</f>
        <v>25107.3</v>
      </c>
      <c r="S2495" s="31">
        <f t="shared" si="77"/>
        <v>0</v>
      </c>
      <c r="T2495" s="41" t="s">
        <v>9</v>
      </c>
    </row>
    <row r="2496" spans="1:20" x14ac:dyDescent="0.25">
      <c r="A2496" s="20">
        <v>42148</v>
      </c>
      <c r="B2496" s="183">
        <v>22070</v>
      </c>
      <c r="C2496" s="14" t="s">
        <v>1256</v>
      </c>
      <c r="D2496" s="105">
        <v>6055.2</v>
      </c>
      <c r="E2496" s="65">
        <v>42148</v>
      </c>
      <c r="F2496" s="106">
        <v>6055.2</v>
      </c>
      <c r="G2496" s="31">
        <f t="shared" si="76"/>
        <v>0</v>
      </c>
      <c r="H2496" s="39" t="s">
        <v>1257</v>
      </c>
      <c r="I2496" s="3"/>
      <c r="J2496" s="42"/>
      <c r="K2496" s="3"/>
      <c r="M2496" s="20">
        <v>42127</v>
      </c>
      <c r="N2496" s="183">
        <v>19840</v>
      </c>
      <c r="O2496" s="40" t="s">
        <v>125</v>
      </c>
      <c r="P2496" s="105">
        <v>17272.7</v>
      </c>
      <c r="Q2496" s="23">
        <v>42127</v>
      </c>
      <c r="R2496" s="106">
        <v>17272.7</v>
      </c>
      <c r="S2496" s="31">
        <f t="shared" si="77"/>
        <v>0</v>
      </c>
      <c r="T2496" s="41" t="s">
        <v>9</v>
      </c>
    </row>
    <row r="2497" spans="1:20" x14ac:dyDescent="0.25">
      <c r="A2497" s="20">
        <v>42148</v>
      </c>
      <c r="B2497" s="183">
        <v>22071</v>
      </c>
      <c r="C2497" s="14" t="s">
        <v>720</v>
      </c>
      <c r="D2497" s="105">
        <v>15862</v>
      </c>
      <c r="E2497" s="65">
        <v>42148</v>
      </c>
      <c r="F2497" s="106">
        <v>15862</v>
      </c>
      <c r="G2497" s="31">
        <f t="shared" si="76"/>
        <v>0</v>
      </c>
      <c r="H2497" s="39" t="s">
        <v>9</v>
      </c>
      <c r="I2497" s="3"/>
      <c r="J2497" s="42"/>
      <c r="K2497" s="3"/>
      <c r="M2497" s="20">
        <v>42128</v>
      </c>
      <c r="N2497" s="183">
        <v>19910</v>
      </c>
      <c r="O2497" s="14" t="s">
        <v>125</v>
      </c>
      <c r="P2497" s="105">
        <v>39990.65</v>
      </c>
      <c r="Q2497" s="23" t="s">
        <v>1296</v>
      </c>
      <c r="R2497" s="106">
        <f>25000+12438.7+2551.95</f>
        <v>39990.649999999994</v>
      </c>
      <c r="S2497" s="31">
        <f t="shared" si="77"/>
        <v>0</v>
      </c>
      <c r="T2497" s="19" t="s">
        <v>9</v>
      </c>
    </row>
    <row r="2498" spans="1:20" x14ac:dyDescent="0.25">
      <c r="A2498" s="20">
        <v>42148</v>
      </c>
      <c r="B2498" s="183">
        <v>22072</v>
      </c>
      <c r="C2498" s="14" t="s">
        <v>114</v>
      </c>
      <c r="D2498" s="105">
        <v>3108</v>
      </c>
      <c r="E2498" s="65">
        <v>42148</v>
      </c>
      <c r="F2498" s="106">
        <v>3108</v>
      </c>
      <c r="G2498" s="31">
        <f t="shared" si="76"/>
        <v>0</v>
      </c>
      <c r="H2498" s="39" t="s">
        <v>9</v>
      </c>
      <c r="I2498" s="3"/>
      <c r="J2498" s="42"/>
      <c r="K2498" s="3"/>
      <c r="M2498" s="20">
        <v>42129</v>
      </c>
      <c r="N2498" s="183">
        <v>20040</v>
      </c>
      <c r="O2498" s="14" t="s">
        <v>125</v>
      </c>
      <c r="P2498" s="105">
        <v>2160</v>
      </c>
      <c r="Q2498" s="23">
        <v>42129</v>
      </c>
      <c r="R2498" s="106">
        <v>2160</v>
      </c>
      <c r="S2498" s="31">
        <f t="shared" si="77"/>
        <v>0</v>
      </c>
      <c r="T2498" s="39" t="s">
        <v>94</v>
      </c>
    </row>
    <row r="2499" spans="1:20" x14ac:dyDescent="0.25">
      <c r="A2499" s="20">
        <v>42148</v>
      </c>
      <c r="B2499" s="183">
        <v>22073</v>
      </c>
      <c r="C2499" s="14" t="s">
        <v>112</v>
      </c>
      <c r="D2499" s="105">
        <v>952</v>
      </c>
      <c r="E2499" s="65">
        <v>42148</v>
      </c>
      <c r="F2499" s="106">
        <v>952</v>
      </c>
      <c r="G2499" s="31">
        <f t="shared" ref="G2499:G2562" si="78">D2499-F2499</f>
        <v>0</v>
      </c>
      <c r="H2499" s="39" t="s">
        <v>9</v>
      </c>
      <c r="I2499" s="3"/>
      <c r="J2499" s="42"/>
      <c r="K2499" s="3"/>
      <c r="M2499" s="20">
        <v>42130</v>
      </c>
      <c r="N2499" s="183">
        <v>20121</v>
      </c>
      <c r="O2499" s="14" t="s">
        <v>125</v>
      </c>
      <c r="P2499" s="105">
        <v>11923.2</v>
      </c>
      <c r="Q2499" s="23">
        <v>42136</v>
      </c>
      <c r="R2499" s="106">
        <v>11923.2</v>
      </c>
      <c r="S2499" s="31">
        <f t="shared" ref="S2499:S2562" si="79">P2499-R2499</f>
        <v>0</v>
      </c>
      <c r="T2499" s="39" t="s">
        <v>94</v>
      </c>
    </row>
    <row r="2500" spans="1:20" x14ac:dyDescent="0.25">
      <c r="A2500" s="20">
        <v>42148</v>
      </c>
      <c r="B2500" s="183">
        <v>22074</v>
      </c>
      <c r="C2500" s="14" t="s">
        <v>290</v>
      </c>
      <c r="D2500" s="105">
        <v>327.9</v>
      </c>
      <c r="E2500" s="65">
        <v>42148</v>
      </c>
      <c r="F2500" s="106">
        <v>327.9</v>
      </c>
      <c r="G2500" s="31">
        <f t="shared" si="78"/>
        <v>0</v>
      </c>
      <c r="H2500" s="39" t="s">
        <v>9</v>
      </c>
      <c r="I2500" s="3"/>
      <c r="J2500" s="42"/>
      <c r="K2500" s="3"/>
      <c r="M2500" s="20">
        <v>42131</v>
      </c>
      <c r="N2500" s="183">
        <v>20232</v>
      </c>
      <c r="O2500" s="14" t="s">
        <v>125</v>
      </c>
      <c r="P2500" s="105">
        <v>7263</v>
      </c>
      <c r="Q2500" s="23">
        <v>42136</v>
      </c>
      <c r="R2500" s="106">
        <v>7263</v>
      </c>
      <c r="S2500" s="31">
        <f t="shared" si="79"/>
        <v>0</v>
      </c>
      <c r="T2500" s="39" t="s">
        <v>1273</v>
      </c>
    </row>
    <row r="2501" spans="1:20" x14ac:dyDescent="0.25">
      <c r="A2501" s="20">
        <v>42148</v>
      </c>
      <c r="B2501" s="183">
        <v>22075</v>
      </c>
      <c r="C2501" s="14" t="s">
        <v>863</v>
      </c>
      <c r="D2501" s="105">
        <v>12153.2</v>
      </c>
      <c r="E2501" s="65">
        <v>42148</v>
      </c>
      <c r="F2501" s="106">
        <v>12153.2</v>
      </c>
      <c r="G2501" s="31">
        <f t="shared" si="78"/>
        <v>0</v>
      </c>
      <c r="H2501" s="39" t="s">
        <v>9</v>
      </c>
      <c r="I2501" s="3"/>
      <c r="J2501" s="42"/>
      <c r="K2501" s="3"/>
      <c r="M2501" s="20">
        <v>42131</v>
      </c>
      <c r="N2501" s="183">
        <v>20233</v>
      </c>
      <c r="O2501" s="14" t="s">
        <v>125</v>
      </c>
      <c r="P2501" s="105">
        <v>10546.8</v>
      </c>
      <c r="Q2501" s="23">
        <v>42137</v>
      </c>
      <c r="R2501" s="106">
        <v>10546.8</v>
      </c>
      <c r="S2501" s="31">
        <f t="shared" si="79"/>
        <v>0</v>
      </c>
      <c r="T2501" s="39" t="s">
        <v>1273</v>
      </c>
    </row>
    <row r="2502" spans="1:20" x14ac:dyDescent="0.25">
      <c r="A2502" s="20">
        <v>42148</v>
      </c>
      <c r="B2502" s="183">
        <v>22076</v>
      </c>
      <c r="C2502" s="14" t="s">
        <v>125</v>
      </c>
      <c r="D2502" s="105">
        <v>10507.25</v>
      </c>
      <c r="E2502" s="65">
        <v>42152</v>
      </c>
      <c r="F2502" s="106">
        <v>10507.25</v>
      </c>
      <c r="G2502" s="31">
        <f t="shared" si="78"/>
        <v>0</v>
      </c>
      <c r="H2502" s="39" t="s">
        <v>187</v>
      </c>
      <c r="I2502" s="3"/>
      <c r="J2502" s="42"/>
      <c r="K2502" s="3"/>
      <c r="M2502" s="20">
        <v>42132</v>
      </c>
      <c r="N2502" s="183">
        <v>20338</v>
      </c>
      <c r="O2502" s="14" t="s">
        <v>125</v>
      </c>
      <c r="P2502" s="105">
        <v>46195.05</v>
      </c>
      <c r="Q2502" s="23" t="s">
        <v>1342</v>
      </c>
      <c r="R2502" s="106">
        <f>17000+29195.05</f>
        <v>46195.05</v>
      </c>
      <c r="S2502" s="31">
        <f t="shared" si="79"/>
        <v>0</v>
      </c>
      <c r="T2502" s="19" t="s">
        <v>9</v>
      </c>
    </row>
    <row r="2503" spans="1:20" x14ac:dyDescent="0.25">
      <c r="A2503" s="20">
        <v>42148</v>
      </c>
      <c r="B2503" s="183">
        <v>22077</v>
      </c>
      <c r="C2503" s="14" t="s">
        <v>604</v>
      </c>
      <c r="D2503" s="105">
        <v>2641.2</v>
      </c>
      <c r="E2503" s="65">
        <v>42148</v>
      </c>
      <c r="F2503" s="106">
        <v>2641.2</v>
      </c>
      <c r="G2503" s="31">
        <f t="shared" si="78"/>
        <v>0</v>
      </c>
      <c r="H2503" s="39" t="s">
        <v>9</v>
      </c>
      <c r="I2503" s="3"/>
      <c r="J2503" s="42"/>
      <c r="K2503" s="3"/>
      <c r="M2503" s="20">
        <v>42132</v>
      </c>
      <c r="N2503" s="183">
        <v>20438</v>
      </c>
      <c r="O2503" s="14" t="s">
        <v>125</v>
      </c>
      <c r="P2503" s="105">
        <v>184</v>
      </c>
      <c r="Q2503" s="23">
        <v>42137</v>
      </c>
      <c r="R2503" s="106">
        <v>184</v>
      </c>
      <c r="S2503" s="31">
        <f t="shared" si="79"/>
        <v>0</v>
      </c>
      <c r="T2503" s="19" t="s">
        <v>9</v>
      </c>
    </row>
    <row r="2504" spans="1:20" x14ac:dyDescent="0.25">
      <c r="A2504" s="20">
        <v>42148</v>
      </c>
      <c r="B2504" s="183">
        <v>22078</v>
      </c>
      <c r="C2504" s="14" t="s">
        <v>148</v>
      </c>
      <c r="D2504" s="105">
        <v>6592.2</v>
      </c>
      <c r="E2504" s="65">
        <v>42148</v>
      </c>
      <c r="F2504" s="106">
        <v>6592.2</v>
      </c>
      <c r="G2504" s="31">
        <f t="shared" si="78"/>
        <v>0</v>
      </c>
      <c r="H2504" s="39" t="s">
        <v>9</v>
      </c>
      <c r="I2504" s="3"/>
      <c r="J2504" s="42"/>
      <c r="K2504" s="3"/>
      <c r="M2504" s="20">
        <v>42133</v>
      </c>
      <c r="N2504" s="183">
        <v>20490</v>
      </c>
      <c r="O2504" s="14" t="s">
        <v>125</v>
      </c>
      <c r="P2504" s="105">
        <v>26617.25</v>
      </c>
      <c r="Q2504" s="23">
        <v>42133</v>
      </c>
      <c r="R2504" s="106">
        <v>26617.25</v>
      </c>
      <c r="S2504" s="31">
        <f t="shared" si="79"/>
        <v>0</v>
      </c>
      <c r="T2504" s="19" t="s">
        <v>9</v>
      </c>
    </row>
    <row r="2505" spans="1:20" x14ac:dyDescent="0.25">
      <c r="A2505" s="20">
        <v>42148</v>
      </c>
      <c r="B2505" s="183">
        <v>22079</v>
      </c>
      <c r="C2505" s="14" t="s">
        <v>1297</v>
      </c>
      <c r="D2505" s="105">
        <v>2662.4</v>
      </c>
      <c r="E2505" s="65">
        <v>42148</v>
      </c>
      <c r="F2505" s="106">
        <v>2662.4</v>
      </c>
      <c r="G2505" s="31">
        <f t="shared" si="78"/>
        <v>0</v>
      </c>
      <c r="H2505" s="39" t="s">
        <v>9</v>
      </c>
      <c r="I2505" s="3"/>
      <c r="J2505" s="42"/>
      <c r="K2505" s="3"/>
      <c r="M2505" s="20">
        <v>42133</v>
      </c>
      <c r="N2505" s="183">
        <v>20493</v>
      </c>
      <c r="O2505" s="14" t="s">
        <v>125</v>
      </c>
      <c r="P2505" s="105">
        <v>156</v>
      </c>
      <c r="Q2505" s="23">
        <v>42143</v>
      </c>
      <c r="R2505" s="106">
        <v>156</v>
      </c>
      <c r="S2505" s="31">
        <f t="shared" si="79"/>
        <v>0</v>
      </c>
      <c r="T2505" s="19" t="s">
        <v>9</v>
      </c>
    </row>
    <row r="2506" spans="1:20" x14ac:dyDescent="0.25">
      <c r="A2506" s="20">
        <v>42148</v>
      </c>
      <c r="B2506" s="183">
        <v>22080</v>
      </c>
      <c r="C2506" s="14" t="s">
        <v>477</v>
      </c>
      <c r="D2506" s="105">
        <v>566.4</v>
      </c>
      <c r="E2506" s="65">
        <v>42148</v>
      </c>
      <c r="F2506" s="106">
        <v>566.4</v>
      </c>
      <c r="G2506" s="31">
        <f t="shared" si="78"/>
        <v>0</v>
      </c>
      <c r="H2506" s="39" t="s">
        <v>9</v>
      </c>
      <c r="I2506" s="3"/>
      <c r="J2506" s="42"/>
      <c r="K2506" s="3"/>
      <c r="M2506" s="20">
        <v>42133</v>
      </c>
      <c r="N2506" s="183">
        <v>20533</v>
      </c>
      <c r="O2506" s="14" t="s">
        <v>125</v>
      </c>
      <c r="P2506" s="105">
        <v>1960</v>
      </c>
      <c r="Q2506" s="23">
        <v>42135</v>
      </c>
      <c r="R2506" s="106">
        <v>1960</v>
      </c>
      <c r="S2506" s="31">
        <f t="shared" si="79"/>
        <v>0</v>
      </c>
      <c r="T2506" s="19" t="s">
        <v>9</v>
      </c>
    </row>
    <row r="2507" spans="1:20" x14ac:dyDescent="0.25">
      <c r="A2507" s="20">
        <v>42148</v>
      </c>
      <c r="B2507" s="183">
        <v>22081</v>
      </c>
      <c r="C2507" s="14" t="s">
        <v>675</v>
      </c>
      <c r="D2507" s="105">
        <v>600</v>
      </c>
      <c r="E2507" s="65">
        <v>42148</v>
      </c>
      <c r="F2507" s="106">
        <v>600</v>
      </c>
      <c r="G2507" s="31">
        <f t="shared" si="78"/>
        <v>0</v>
      </c>
      <c r="H2507" s="39" t="s">
        <v>9</v>
      </c>
      <c r="I2507" s="3"/>
      <c r="J2507" s="42"/>
      <c r="K2507" s="3"/>
      <c r="M2507" s="20">
        <v>42133</v>
      </c>
      <c r="N2507" s="183">
        <v>20549</v>
      </c>
      <c r="O2507" s="14" t="s">
        <v>125</v>
      </c>
      <c r="P2507" s="105">
        <v>30140.799999999999</v>
      </c>
      <c r="Q2507" s="12" t="s">
        <v>1358</v>
      </c>
      <c r="R2507" s="106">
        <f>20140.8+10000</f>
        <v>30140.799999999999</v>
      </c>
      <c r="S2507" s="31">
        <f t="shared" si="79"/>
        <v>0</v>
      </c>
      <c r="T2507" s="19" t="s">
        <v>94</v>
      </c>
    </row>
    <row r="2508" spans="1:20" x14ac:dyDescent="0.25">
      <c r="A2508" s="20">
        <v>42148</v>
      </c>
      <c r="B2508" s="183">
        <v>22082</v>
      </c>
      <c r="C2508" s="14" t="s">
        <v>1370</v>
      </c>
      <c r="D2508" s="105">
        <v>1269.2</v>
      </c>
      <c r="E2508" s="65">
        <v>42148</v>
      </c>
      <c r="F2508" s="106">
        <v>1269.2</v>
      </c>
      <c r="G2508" s="31">
        <f t="shared" si="78"/>
        <v>0</v>
      </c>
      <c r="H2508" s="39" t="s">
        <v>9</v>
      </c>
      <c r="I2508" s="3"/>
      <c r="J2508" s="42"/>
      <c r="K2508" s="3"/>
      <c r="M2508" s="20">
        <v>42134</v>
      </c>
      <c r="N2508" s="183">
        <v>20612</v>
      </c>
      <c r="O2508" s="14" t="s">
        <v>125</v>
      </c>
      <c r="P2508" s="105">
        <v>11638</v>
      </c>
      <c r="Q2508" s="23">
        <v>42134</v>
      </c>
      <c r="R2508" s="118">
        <v>11638</v>
      </c>
      <c r="S2508" s="31">
        <f t="shared" si="79"/>
        <v>0</v>
      </c>
      <c r="T2508" s="56" t="s">
        <v>9</v>
      </c>
    </row>
    <row r="2509" spans="1:20" x14ac:dyDescent="0.25">
      <c r="A2509" s="20">
        <v>42148</v>
      </c>
      <c r="B2509" s="183">
        <v>22083</v>
      </c>
      <c r="C2509" s="14" t="s">
        <v>23</v>
      </c>
      <c r="D2509" s="105">
        <v>2956.84</v>
      </c>
      <c r="E2509" s="65">
        <v>42148</v>
      </c>
      <c r="F2509" s="106">
        <v>2956.84</v>
      </c>
      <c r="G2509" s="31">
        <f t="shared" si="78"/>
        <v>0</v>
      </c>
      <c r="H2509" s="39" t="s">
        <v>9</v>
      </c>
      <c r="I2509" s="3"/>
      <c r="J2509" s="42"/>
      <c r="K2509" s="3"/>
      <c r="M2509" s="20">
        <v>42135</v>
      </c>
      <c r="N2509" s="183">
        <v>20691</v>
      </c>
      <c r="O2509" s="14" t="s">
        <v>125</v>
      </c>
      <c r="P2509" s="105">
        <v>36266.5</v>
      </c>
      <c r="Q2509" s="12" t="s">
        <v>1373</v>
      </c>
      <c r="R2509" s="106">
        <f>35000+1266.5</f>
        <v>36266.5</v>
      </c>
      <c r="S2509" s="31">
        <f t="shared" si="79"/>
        <v>0</v>
      </c>
      <c r="T2509" s="39" t="s">
        <v>9</v>
      </c>
    </row>
    <row r="2510" spans="1:20" x14ac:dyDescent="0.25">
      <c r="A2510" s="20">
        <v>42148</v>
      </c>
      <c r="B2510" s="183">
        <v>22084</v>
      </c>
      <c r="C2510" s="14" t="s">
        <v>294</v>
      </c>
      <c r="D2510" s="105">
        <v>8495.7999999999993</v>
      </c>
      <c r="E2510" s="65">
        <v>42148</v>
      </c>
      <c r="F2510" s="106">
        <v>8495.7999999999993</v>
      </c>
      <c r="G2510" s="31">
        <f t="shared" si="78"/>
        <v>0</v>
      </c>
      <c r="H2510" s="39" t="s">
        <v>9</v>
      </c>
      <c r="I2510" s="3"/>
      <c r="J2510" s="42"/>
      <c r="K2510" s="3"/>
      <c r="M2510" s="20">
        <v>42136</v>
      </c>
      <c r="N2510" s="183">
        <v>20829</v>
      </c>
      <c r="O2510" s="14" t="s">
        <v>125</v>
      </c>
      <c r="P2510" s="105">
        <v>12135.3</v>
      </c>
      <c r="Q2510" s="23">
        <v>42136</v>
      </c>
      <c r="R2510" s="106">
        <v>12135.3</v>
      </c>
      <c r="S2510" s="31">
        <f t="shared" si="79"/>
        <v>0</v>
      </c>
      <c r="T2510" s="39" t="s">
        <v>9</v>
      </c>
    </row>
    <row r="2511" spans="1:20" x14ac:dyDescent="0.25">
      <c r="A2511" s="20">
        <v>42148</v>
      </c>
      <c r="B2511" s="183">
        <v>22085</v>
      </c>
      <c r="C2511" s="14" t="s">
        <v>141</v>
      </c>
      <c r="D2511" s="105">
        <v>16193.6</v>
      </c>
      <c r="E2511" s="74">
        <v>42163</v>
      </c>
      <c r="F2511" s="144">
        <v>16193.6</v>
      </c>
      <c r="G2511" s="31">
        <f t="shared" si="78"/>
        <v>0</v>
      </c>
      <c r="H2511" s="39" t="s">
        <v>187</v>
      </c>
      <c r="I2511" s="3"/>
      <c r="J2511" s="42"/>
      <c r="K2511" s="3"/>
      <c r="M2511" s="20">
        <v>42137</v>
      </c>
      <c r="N2511" s="183">
        <v>20884</v>
      </c>
      <c r="O2511" s="14" t="s">
        <v>125</v>
      </c>
      <c r="P2511" s="105">
        <v>34484.75</v>
      </c>
      <c r="Q2511" s="23" t="s">
        <v>1388</v>
      </c>
      <c r="R2511" s="106">
        <f>7943.55+26541.2</f>
        <v>34484.75</v>
      </c>
      <c r="S2511" s="31">
        <f t="shared" si="79"/>
        <v>0</v>
      </c>
      <c r="T2511" s="19" t="s">
        <v>94</v>
      </c>
    </row>
    <row r="2512" spans="1:20" x14ac:dyDescent="0.25">
      <c r="A2512" s="20">
        <v>42148</v>
      </c>
      <c r="B2512" s="183">
        <v>22086</v>
      </c>
      <c r="C2512" s="14" t="s">
        <v>294</v>
      </c>
      <c r="D2512" s="105">
        <v>433.2</v>
      </c>
      <c r="E2512" s="65">
        <v>42148</v>
      </c>
      <c r="F2512" s="106">
        <v>433.2</v>
      </c>
      <c r="G2512" s="31">
        <f t="shared" si="78"/>
        <v>0</v>
      </c>
      <c r="H2512" s="39" t="s">
        <v>9</v>
      </c>
      <c r="I2512" s="3"/>
      <c r="J2512" s="42"/>
      <c r="K2512" s="3"/>
      <c r="M2512" s="20">
        <v>42138</v>
      </c>
      <c r="N2512" s="183">
        <v>20976</v>
      </c>
      <c r="O2512" s="150" t="s">
        <v>125</v>
      </c>
      <c r="P2512" s="105">
        <v>11377.2</v>
      </c>
      <c r="Q2512" s="23">
        <v>42138</v>
      </c>
      <c r="R2512" s="106">
        <v>11377.2</v>
      </c>
      <c r="S2512" s="31">
        <f t="shared" si="79"/>
        <v>0</v>
      </c>
      <c r="T2512" s="19" t="s">
        <v>94</v>
      </c>
    </row>
    <row r="2513" spans="1:20" x14ac:dyDescent="0.25">
      <c r="A2513" s="20">
        <v>42148</v>
      </c>
      <c r="B2513" s="183">
        <v>22087</v>
      </c>
      <c r="C2513" s="14" t="s">
        <v>20</v>
      </c>
      <c r="D2513" s="105">
        <v>6451.5</v>
      </c>
      <c r="E2513" s="65">
        <v>42151</v>
      </c>
      <c r="F2513" s="106">
        <v>6451.5</v>
      </c>
      <c r="G2513" s="31">
        <f t="shared" si="78"/>
        <v>0</v>
      </c>
      <c r="H2513" s="39" t="s">
        <v>187</v>
      </c>
      <c r="I2513" s="3"/>
      <c r="J2513" s="42"/>
      <c r="K2513" s="3"/>
      <c r="M2513" s="20">
        <v>42138</v>
      </c>
      <c r="N2513" s="183">
        <v>20980</v>
      </c>
      <c r="O2513" s="14" t="s">
        <v>125</v>
      </c>
      <c r="P2513" s="105">
        <v>3655</v>
      </c>
      <c r="Q2513" s="23">
        <v>42138</v>
      </c>
      <c r="R2513" s="106">
        <v>3655</v>
      </c>
      <c r="S2513" s="31">
        <f t="shared" si="79"/>
        <v>0</v>
      </c>
      <c r="T2513" s="19" t="s">
        <v>9</v>
      </c>
    </row>
    <row r="2514" spans="1:20" x14ac:dyDescent="0.25">
      <c r="A2514" s="20">
        <v>42148</v>
      </c>
      <c r="B2514" s="183">
        <v>22088</v>
      </c>
      <c r="C2514" s="14" t="s">
        <v>57</v>
      </c>
      <c r="D2514" s="105">
        <v>760</v>
      </c>
      <c r="E2514" s="65">
        <v>42148</v>
      </c>
      <c r="F2514" s="106">
        <v>760</v>
      </c>
      <c r="G2514" s="31">
        <f t="shared" si="78"/>
        <v>0</v>
      </c>
      <c r="H2514" s="39" t="s">
        <v>59</v>
      </c>
      <c r="I2514" s="3"/>
      <c r="J2514" s="42"/>
      <c r="K2514" s="3"/>
      <c r="M2514" s="20">
        <v>42139</v>
      </c>
      <c r="N2514" s="183">
        <v>21121</v>
      </c>
      <c r="O2514" s="14" t="s">
        <v>125</v>
      </c>
      <c r="P2514" s="105">
        <v>12634.05</v>
      </c>
      <c r="Q2514" s="23">
        <v>42143</v>
      </c>
      <c r="R2514" s="106">
        <v>12634.05</v>
      </c>
      <c r="S2514" s="48">
        <f t="shared" si="79"/>
        <v>0</v>
      </c>
      <c r="T2514" s="39" t="s">
        <v>9</v>
      </c>
    </row>
    <row r="2515" spans="1:20" x14ac:dyDescent="0.25">
      <c r="A2515" s="20">
        <v>42148</v>
      </c>
      <c r="B2515" s="183">
        <v>22089</v>
      </c>
      <c r="C2515" s="14" t="s">
        <v>14</v>
      </c>
      <c r="D2515" s="105">
        <v>9062.2000000000007</v>
      </c>
      <c r="E2515" s="65">
        <v>42153</v>
      </c>
      <c r="F2515" s="106">
        <v>9062.2000000000007</v>
      </c>
      <c r="G2515" s="31">
        <f t="shared" si="78"/>
        <v>0</v>
      </c>
      <c r="H2515" s="39" t="s">
        <v>62</v>
      </c>
      <c r="I2515" s="3"/>
      <c r="J2515" s="42"/>
      <c r="K2515" s="3"/>
      <c r="M2515" s="20">
        <v>42139</v>
      </c>
      <c r="N2515" s="183">
        <v>21195</v>
      </c>
      <c r="O2515" s="14" t="s">
        <v>125</v>
      </c>
      <c r="P2515" s="105">
        <v>1766.4</v>
      </c>
      <c r="Q2515" s="23">
        <v>42143</v>
      </c>
      <c r="R2515" s="106">
        <v>1766.4</v>
      </c>
      <c r="S2515" s="48">
        <f t="shared" si="79"/>
        <v>0</v>
      </c>
      <c r="T2515" s="39" t="s">
        <v>9</v>
      </c>
    </row>
    <row r="2516" spans="1:20" x14ac:dyDescent="0.25">
      <c r="A2516" s="20">
        <v>42148</v>
      </c>
      <c r="B2516" s="183">
        <v>22090</v>
      </c>
      <c r="C2516" s="14" t="s">
        <v>900</v>
      </c>
      <c r="D2516" s="105">
        <v>3978</v>
      </c>
      <c r="E2516" s="65">
        <v>42148</v>
      </c>
      <c r="F2516" s="106">
        <v>3978</v>
      </c>
      <c r="G2516" s="31">
        <f t="shared" si="78"/>
        <v>0</v>
      </c>
      <c r="H2516" s="39" t="s">
        <v>9</v>
      </c>
      <c r="I2516" s="3"/>
      <c r="J2516" s="42"/>
      <c r="K2516" s="3"/>
      <c r="M2516" s="20">
        <v>42140</v>
      </c>
      <c r="N2516" s="183">
        <v>21246</v>
      </c>
      <c r="O2516" s="14" t="s">
        <v>125</v>
      </c>
      <c r="P2516" s="105">
        <v>24295.599999999999</v>
      </c>
      <c r="Q2516" s="23">
        <v>42145</v>
      </c>
      <c r="R2516" s="106">
        <v>24295.599999999999</v>
      </c>
      <c r="S2516" s="48">
        <f t="shared" si="79"/>
        <v>0</v>
      </c>
      <c r="T2516" s="19" t="s">
        <v>9</v>
      </c>
    </row>
    <row r="2517" spans="1:20" x14ac:dyDescent="0.25">
      <c r="A2517" s="20">
        <v>42148</v>
      </c>
      <c r="B2517" s="183">
        <v>22091</v>
      </c>
      <c r="C2517" s="14" t="s">
        <v>694</v>
      </c>
      <c r="D2517" s="105">
        <v>1129.5999999999999</v>
      </c>
      <c r="E2517" s="65">
        <v>42148</v>
      </c>
      <c r="F2517" s="106">
        <v>1129.5999999999999</v>
      </c>
      <c r="G2517" s="31">
        <f t="shared" si="78"/>
        <v>0</v>
      </c>
      <c r="H2517" s="39" t="s">
        <v>9</v>
      </c>
      <c r="I2517" s="3"/>
      <c r="J2517" s="42"/>
      <c r="K2517" s="3"/>
      <c r="M2517" s="20">
        <v>42141</v>
      </c>
      <c r="N2517" s="183">
        <v>21350</v>
      </c>
      <c r="O2517" s="14" t="s">
        <v>125</v>
      </c>
      <c r="P2517" s="105">
        <v>9593.1</v>
      </c>
      <c r="Q2517" s="23">
        <v>42142</v>
      </c>
      <c r="R2517" s="118">
        <v>9593.1</v>
      </c>
      <c r="S2517" s="31">
        <f t="shared" si="79"/>
        <v>0</v>
      </c>
      <c r="T2517" s="62" t="s">
        <v>1257</v>
      </c>
    </row>
    <row r="2518" spans="1:20" x14ac:dyDescent="0.25">
      <c r="A2518" s="20">
        <v>42148</v>
      </c>
      <c r="B2518" s="183">
        <v>22092</v>
      </c>
      <c r="C2518" s="14" t="s">
        <v>1058</v>
      </c>
      <c r="D2518" s="105">
        <v>3146.4</v>
      </c>
      <c r="E2518" s="65">
        <v>42148</v>
      </c>
      <c r="F2518" s="106">
        <v>3146.4</v>
      </c>
      <c r="G2518" s="31">
        <f t="shared" si="78"/>
        <v>0</v>
      </c>
      <c r="H2518" s="39" t="s">
        <v>9</v>
      </c>
      <c r="I2518" s="3"/>
      <c r="J2518" s="42"/>
      <c r="K2518" s="3"/>
      <c r="M2518" s="20">
        <v>42142</v>
      </c>
      <c r="N2518" s="183">
        <v>21407</v>
      </c>
      <c r="O2518" s="14" t="s">
        <v>125</v>
      </c>
      <c r="P2518" s="105">
        <v>14378.2</v>
      </c>
      <c r="Q2518" s="23">
        <v>42142</v>
      </c>
      <c r="R2518" s="118">
        <v>14378.2</v>
      </c>
      <c r="S2518" s="31">
        <f t="shared" si="79"/>
        <v>0</v>
      </c>
      <c r="T2518" s="56" t="s">
        <v>9</v>
      </c>
    </row>
    <row r="2519" spans="1:20" x14ac:dyDescent="0.25">
      <c r="A2519" s="20">
        <v>42148</v>
      </c>
      <c r="B2519" s="183">
        <v>22093</v>
      </c>
      <c r="C2519" s="14" t="s">
        <v>102</v>
      </c>
      <c r="D2519" s="105">
        <v>3094.4</v>
      </c>
      <c r="E2519" s="65">
        <v>42148</v>
      </c>
      <c r="F2519" s="106">
        <v>3094.4</v>
      </c>
      <c r="G2519" s="31">
        <f t="shared" si="78"/>
        <v>0</v>
      </c>
      <c r="H2519" s="39" t="s">
        <v>9</v>
      </c>
      <c r="I2519" s="3"/>
      <c r="J2519" s="42"/>
      <c r="K2519" s="3"/>
      <c r="M2519" s="20">
        <v>42142</v>
      </c>
      <c r="N2519" s="183">
        <v>21443</v>
      </c>
      <c r="O2519" s="14" t="s">
        <v>125</v>
      </c>
      <c r="P2519" s="105">
        <v>26242.799999999999</v>
      </c>
      <c r="Q2519" s="65" t="s">
        <v>1412</v>
      </c>
      <c r="R2519" s="106">
        <f>8242.8+18000</f>
        <v>26242.799999999999</v>
      </c>
      <c r="S2519" s="31">
        <f t="shared" si="79"/>
        <v>0</v>
      </c>
      <c r="T2519" s="39" t="s">
        <v>94</v>
      </c>
    </row>
    <row r="2520" spans="1:20" x14ac:dyDescent="0.25">
      <c r="A2520" s="20">
        <v>42148</v>
      </c>
      <c r="B2520" s="183">
        <v>22094</v>
      </c>
      <c r="C2520" s="14" t="s">
        <v>152</v>
      </c>
      <c r="D2520" s="105">
        <v>9813.2000000000007</v>
      </c>
      <c r="E2520" s="65">
        <v>42148</v>
      </c>
      <c r="F2520" s="106">
        <v>9813.2000000000007</v>
      </c>
      <c r="G2520" s="31">
        <f t="shared" si="78"/>
        <v>0</v>
      </c>
      <c r="H2520" s="39" t="s">
        <v>9</v>
      </c>
      <c r="I2520" s="3"/>
      <c r="J2520" s="42"/>
      <c r="K2520" s="3"/>
      <c r="M2520" s="20">
        <v>42143</v>
      </c>
      <c r="N2520" s="183">
        <v>21557</v>
      </c>
      <c r="O2520" s="14" t="s">
        <v>125</v>
      </c>
      <c r="P2520" s="105">
        <v>17045.099999999999</v>
      </c>
      <c r="Q2520" s="23">
        <v>42154</v>
      </c>
      <c r="R2520" s="118">
        <v>17045.099999999999</v>
      </c>
      <c r="S2520" s="31">
        <f t="shared" si="79"/>
        <v>0</v>
      </c>
      <c r="T2520" s="56" t="s">
        <v>187</v>
      </c>
    </row>
    <row r="2521" spans="1:20" x14ac:dyDescent="0.25">
      <c r="A2521" s="20">
        <v>42148</v>
      </c>
      <c r="B2521" s="183">
        <v>22095</v>
      </c>
      <c r="C2521" s="14" t="s">
        <v>1182</v>
      </c>
      <c r="D2521" s="105">
        <v>340.2</v>
      </c>
      <c r="E2521" s="65">
        <v>42148</v>
      </c>
      <c r="F2521" s="106">
        <v>340.2</v>
      </c>
      <c r="G2521" s="31">
        <f t="shared" si="78"/>
        <v>0</v>
      </c>
      <c r="H2521" s="39" t="s">
        <v>9</v>
      </c>
      <c r="I2521" s="3"/>
      <c r="J2521" s="42"/>
      <c r="K2521" s="3"/>
      <c r="M2521" s="20">
        <v>42143</v>
      </c>
      <c r="N2521" s="183">
        <v>21570</v>
      </c>
      <c r="O2521" s="14" t="s">
        <v>125</v>
      </c>
      <c r="P2521" s="105">
        <v>12488</v>
      </c>
      <c r="Q2521" s="23">
        <v>42154</v>
      </c>
      <c r="R2521" s="118">
        <v>12488</v>
      </c>
      <c r="S2521" s="31">
        <f t="shared" si="79"/>
        <v>0</v>
      </c>
      <c r="T2521" s="56" t="s">
        <v>187</v>
      </c>
    </row>
    <row r="2522" spans="1:20" x14ac:dyDescent="0.25">
      <c r="A2522" s="20">
        <v>42148</v>
      </c>
      <c r="B2522" s="183">
        <v>22096</v>
      </c>
      <c r="C2522" s="14" t="s">
        <v>215</v>
      </c>
      <c r="D2522" s="105">
        <v>21441.200000000001</v>
      </c>
      <c r="E2522" s="65"/>
      <c r="F2522" s="106"/>
      <c r="G2522" s="31">
        <f t="shared" si="78"/>
        <v>21441.200000000001</v>
      </c>
      <c r="H2522" s="39" t="s">
        <v>9</v>
      </c>
      <c r="I2522" s="3"/>
      <c r="J2522" s="42"/>
      <c r="K2522" s="3"/>
      <c r="M2522" s="20">
        <v>42144</v>
      </c>
      <c r="N2522" s="183">
        <v>21631</v>
      </c>
      <c r="O2522" s="14" t="s">
        <v>125</v>
      </c>
      <c r="P2522" s="105">
        <v>10549.2</v>
      </c>
      <c r="Q2522" s="23">
        <v>42152</v>
      </c>
      <c r="R2522" s="118">
        <v>10549.2</v>
      </c>
      <c r="S2522" s="48">
        <f t="shared" si="79"/>
        <v>0</v>
      </c>
      <c r="T2522" s="62" t="s">
        <v>9</v>
      </c>
    </row>
    <row r="2523" spans="1:20" x14ac:dyDescent="0.25">
      <c r="A2523" s="20">
        <v>42148</v>
      </c>
      <c r="B2523" s="183">
        <v>22097</v>
      </c>
      <c r="C2523" s="14" t="s">
        <v>155</v>
      </c>
      <c r="D2523" s="105">
        <v>4136.2</v>
      </c>
      <c r="E2523" s="65">
        <v>42148</v>
      </c>
      <c r="F2523" s="106">
        <v>4136.2</v>
      </c>
      <c r="G2523" s="31">
        <f t="shared" si="78"/>
        <v>0</v>
      </c>
      <c r="H2523" s="39" t="s">
        <v>59</v>
      </c>
      <c r="I2523" s="3"/>
      <c r="J2523" s="42"/>
      <c r="K2523" s="3"/>
      <c r="M2523" s="20">
        <v>42145</v>
      </c>
      <c r="N2523" s="183">
        <v>21766</v>
      </c>
      <c r="O2523" s="15" t="s">
        <v>125</v>
      </c>
      <c r="P2523" s="122">
        <v>9947.4</v>
      </c>
      <c r="Q2523" s="23">
        <v>42152</v>
      </c>
      <c r="R2523" s="118">
        <v>9947.4</v>
      </c>
      <c r="S2523" s="31">
        <f t="shared" si="79"/>
        <v>0</v>
      </c>
      <c r="T2523" s="68" t="s">
        <v>94</v>
      </c>
    </row>
    <row r="2524" spans="1:20" x14ac:dyDescent="0.25">
      <c r="A2524" s="20">
        <v>42148</v>
      </c>
      <c r="B2524" s="183">
        <v>22098</v>
      </c>
      <c r="C2524" s="14" t="s">
        <v>120</v>
      </c>
      <c r="D2524" s="105">
        <v>1297.8</v>
      </c>
      <c r="E2524" s="65">
        <v>42148</v>
      </c>
      <c r="F2524" s="106">
        <v>1297.8</v>
      </c>
      <c r="G2524" s="31">
        <f t="shared" si="78"/>
        <v>0</v>
      </c>
      <c r="H2524" s="39" t="s">
        <v>59</v>
      </c>
      <c r="I2524" s="3"/>
      <c r="J2524" s="42"/>
      <c r="K2524" s="3"/>
      <c r="M2524" s="20">
        <v>42146</v>
      </c>
      <c r="N2524" s="183">
        <v>21843</v>
      </c>
      <c r="O2524" s="15" t="s">
        <v>125</v>
      </c>
      <c r="P2524" s="122">
        <v>19878</v>
      </c>
      <c r="Q2524" s="23"/>
      <c r="R2524" s="118"/>
      <c r="S2524" s="31">
        <f t="shared" si="79"/>
        <v>19878</v>
      </c>
      <c r="T2524" s="68" t="s">
        <v>94</v>
      </c>
    </row>
    <row r="2525" spans="1:20" x14ac:dyDescent="0.25">
      <c r="A2525" s="20">
        <v>42148</v>
      </c>
      <c r="B2525" s="183">
        <v>22099</v>
      </c>
      <c r="C2525" s="14" t="s">
        <v>82</v>
      </c>
      <c r="D2525" s="105">
        <v>4874.8</v>
      </c>
      <c r="E2525" s="65">
        <v>42148</v>
      </c>
      <c r="F2525" s="106">
        <v>4874.8</v>
      </c>
      <c r="G2525" s="31">
        <f t="shared" si="78"/>
        <v>0</v>
      </c>
      <c r="H2525" s="39" t="s">
        <v>59</v>
      </c>
      <c r="I2525" s="3"/>
      <c r="J2525" s="42"/>
      <c r="K2525" s="3"/>
      <c r="M2525" s="20">
        <v>42147</v>
      </c>
      <c r="N2525" s="183">
        <v>21986</v>
      </c>
      <c r="O2525" s="14" t="s">
        <v>125</v>
      </c>
      <c r="P2525" s="105">
        <v>13151.6</v>
      </c>
      <c r="Q2525" s="65">
        <v>42147</v>
      </c>
      <c r="R2525" s="106">
        <v>13151.6</v>
      </c>
      <c r="S2525" s="31">
        <f t="shared" si="79"/>
        <v>0</v>
      </c>
      <c r="T2525" s="39" t="s">
        <v>94</v>
      </c>
    </row>
    <row r="2526" spans="1:20" x14ac:dyDescent="0.25">
      <c r="A2526" s="20">
        <v>42148</v>
      </c>
      <c r="B2526" s="183">
        <v>22100</v>
      </c>
      <c r="C2526" s="14" t="s">
        <v>56</v>
      </c>
      <c r="D2526" s="105">
        <v>4927.6000000000004</v>
      </c>
      <c r="E2526" s="65">
        <v>42148</v>
      </c>
      <c r="F2526" s="106">
        <v>4927.6000000000004</v>
      </c>
      <c r="G2526" s="31">
        <f t="shared" si="78"/>
        <v>0</v>
      </c>
      <c r="H2526" s="39" t="s">
        <v>773</v>
      </c>
      <c r="I2526" s="3"/>
      <c r="J2526" s="42"/>
      <c r="K2526" s="3"/>
      <c r="M2526" s="20">
        <v>42148</v>
      </c>
      <c r="N2526" s="183">
        <v>22076</v>
      </c>
      <c r="O2526" s="14" t="s">
        <v>125</v>
      </c>
      <c r="P2526" s="105">
        <v>10507.25</v>
      </c>
      <c r="Q2526" s="65">
        <v>42152</v>
      </c>
      <c r="R2526" s="106">
        <v>10507.25</v>
      </c>
      <c r="S2526" s="31">
        <f t="shared" si="79"/>
        <v>0</v>
      </c>
      <c r="T2526" s="39" t="s">
        <v>187</v>
      </c>
    </row>
    <row r="2527" spans="1:20" x14ac:dyDescent="0.25">
      <c r="A2527" s="20">
        <v>42148</v>
      </c>
      <c r="B2527" s="183">
        <v>22101</v>
      </c>
      <c r="C2527" s="14" t="s">
        <v>53</v>
      </c>
      <c r="D2527" s="105">
        <v>2302.8000000000002</v>
      </c>
      <c r="E2527" s="65">
        <v>42148</v>
      </c>
      <c r="F2527" s="106">
        <v>2302.8000000000002</v>
      </c>
      <c r="G2527" s="31">
        <f t="shared" si="78"/>
        <v>0</v>
      </c>
      <c r="H2527" s="39" t="s">
        <v>59</v>
      </c>
      <c r="I2527" s="3"/>
      <c r="J2527" s="42"/>
      <c r="K2527" s="3"/>
      <c r="M2527" s="20">
        <v>42149</v>
      </c>
      <c r="N2527" s="183">
        <v>22164</v>
      </c>
      <c r="O2527" s="14" t="s">
        <v>125</v>
      </c>
      <c r="P2527" s="105">
        <v>13011.2</v>
      </c>
      <c r="Q2527" s="65">
        <v>42149</v>
      </c>
      <c r="R2527" s="106">
        <v>13011.2</v>
      </c>
      <c r="S2527" s="31">
        <f t="shared" si="79"/>
        <v>0</v>
      </c>
      <c r="T2527" s="39" t="s">
        <v>773</v>
      </c>
    </row>
    <row r="2528" spans="1:20" x14ac:dyDescent="0.25">
      <c r="A2528" s="20">
        <v>42148</v>
      </c>
      <c r="B2528" s="183">
        <v>22102</v>
      </c>
      <c r="C2528" s="14" t="s">
        <v>256</v>
      </c>
      <c r="D2528" s="105">
        <v>10202.299999999999</v>
      </c>
      <c r="E2528" s="65">
        <v>42148</v>
      </c>
      <c r="F2528" s="106">
        <v>10202.299999999999</v>
      </c>
      <c r="G2528" s="31">
        <f t="shared" si="78"/>
        <v>0</v>
      </c>
      <c r="H2528" s="39" t="s">
        <v>773</v>
      </c>
      <c r="I2528" s="3"/>
      <c r="J2528" s="42"/>
      <c r="K2528" s="3"/>
      <c r="M2528" s="20">
        <v>42150</v>
      </c>
      <c r="N2528" s="183">
        <v>22262</v>
      </c>
      <c r="O2528" s="14" t="s">
        <v>125</v>
      </c>
      <c r="P2528" s="105">
        <v>12992</v>
      </c>
      <c r="Q2528" s="65">
        <v>42150</v>
      </c>
      <c r="R2528" s="106">
        <v>12992</v>
      </c>
      <c r="S2528" s="31">
        <f t="shared" si="79"/>
        <v>0</v>
      </c>
      <c r="T2528" s="39" t="s">
        <v>94</v>
      </c>
    </row>
    <row r="2529" spans="1:20" x14ac:dyDescent="0.25">
      <c r="A2529" s="20">
        <v>42148</v>
      </c>
      <c r="B2529" s="183">
        <v>22103</v>
      </c>
      <c r="C2529" s="14" t="s">
        <v>165</v>
      </c>
      <c r="D2529" s="105">
        <v>2683.8</v>
      </c>
      <c r="E2529" s="65">
        <v>42149</v>
      </c>
      <c r="F2529" s="106">
        <v>2683.8</v>
      </c>
      <c r="G2529" s="31">
        <f t="shared" si="78"/>
        <v>0</v>
      </c>
      <c r="H2529" s="39" t="s">
        <v>773</v>
      </c>
      <c r="I2529" s="3"/>
      <c r="J2529" s="42"/>
      <c r="K2529" s="3"/>
      <c r="M2529" s="20">
        <v>42151</v>
      </c>
      <c r="N2529" s="183">
        <v>22352</v>
      </c>
      <c r="O2529" s="14" t="s">
        <v>125</v>
      </c>
      <c r="P2529" s="105">
        <v>14348.8</v>
      </c>
      <c r="Q2529" s="65">
        <v>42151</v>
      </c>
      <c r="R2529" s="106">
        <v>13348.8</v>
      </c>
      <c r="S2529" s="31">
        <f t="shared" si="79"/>
        <v>1000</v>
      </c>
      <c r="T2529" s="39" t="s">
        <v>9</v>
      </c>
    </row>
    <row r="2530" spans="1:20" x14ac:dyDescent="0.25">
      <c r="A2530" s="20">
        <v>42148</v>
      </c>
      <c r="B2530" s="183">
        <v>22104</v>
      </c>
      <c r="C2530" s="150">
        <v>105</v>
      </c>
      <c r="D2530" s="105">
        <v>2850</v>
      </c>
      <c r="E2530" s="65">
        <v>42148</v>
      </c>
      <c r="F2530" s="106">
        <v>2850</v>
      </c>
      <c r="G2530" s="31">
        <f t="shared" si="78"/>
        <v>0</v>
      </c>
      <c r="H2530" s="39" t="s">
        <v>59</v>
      </c>
      <c r="I2530" s="3"/>
      <c r="J2530" s="42"/>
      <c r="K2530" s="3"/>
      <c r="M2530" s="20">
        <v>42152</v>
      </c>
      <c r="N2530" s="183">
        <v>22448</v>
      </c>
      <c r="O2530" s="14" t="s">
        <v>125</v>
      </c>
      <c r="P2530" s="105">
        <v>14374.4</v>
      </c>
      <c r="Q2530" s="23"/>
      <c r="R2530" s="106"/>
      <c r="S2530" s="31">
        <f t="shared" si="79"/>
        <v>14374.4</v>
      </c>
      <c r="T2530" s="39" t="s">
        <v>94</v>
      </c>
    </row>
    <row r="2531" spans="1:20" x14ac:dyDescent="0.25">
      <c r="A2531" s="20">
        <v>42148</v>
      </c>
      <c r="B2531" s="183">
        <v>22105</v>
      </c>
      <c r="C2531" s="14" t="s">
        <v>24</v>
      </c>
      <c r="D2531" s="105">
        <v>9352.4</v>
      </c>
      <c r="E2531" s="74">
        <v>42165</v>
      </c>
      <c r="F2531" s="144">
        <v>9352.4</v>
      </c>
      <c r="G2531" s="31">
        <f t="shared" si="78"/>
        <v>0</v>
      </c>
      <c r="H2531" s="39" t="s">
        <v>312</v>
      </c>
      <c r="I2531" s="3"/>
      <c r="J2531" s="42"/>
      <c r="K2531" s="3"/>
      <c r="M2531" s="20">
        <v>42152</v>
      </c>
      <c r="N2531" s="183">
        <v>22492</v>
      </c>
      <c r="O2531" s="14" t="s">
        <v>125</v>
      </c>
      <c r="P2531" s="105">
        <v>504</v>
      </c>
      <c r="Q2531" s="23">
        <v>42153</v>
      </c>
      <c r="R2531" s="106">
        <v>504</v>
      </c>
      <c r="S2531" s="31">
        <f t="shared" si="79"/>
        <v>0</v>
      </c>
      <c r="T2531" s="39" t="s">
        <v>94</v>
      </c>
    </row>
    <row r="2532" spans="1:20" x14ac:dyDescent="0.25">
      <c r="A2532" s="20">
        <v>42148</v>
      </c>
      <c r="B2532" s="183">
        <v>22106</v>
      </c>
      <c r="C2532" s="14" t="s">
        <v>137</v>
      </c>
      <c r="D2532" s="105">
        <v>128.80000000000001</v>
      </c>
      <c r="E2532" s="65">
        <v>42148</v>
      </c>
      <c r="F2532" s="106">
        <v>128.80000000000001</v>
      </c>
      <c r="G2532" s="31">
        <f t="shared" si="78"/>
        <v>0</v>
      </c>
      <c r="H2532" s="39" t="s">
        <v>9</v>
      </c>
      <c r="I2532" s="3"/>
      <c r="J2532" s="42"/>
      <c r="K2532" s="3"/>
      <c r="M2532" s="20">
        <v>42153</v>
      </c>
      <c r="N2532" s="183">
        <v>22569</v>
      </c>
      <c r="O2532" s="14" t="s">
        <v>125</v>
      </c>
      <c r="P2532" s="105">
        <v>22602.2</v>
      </c>
      <c r="Q2532" s="23"/>
      <c r="R2532" s="106"/>
      <c r="S2532" s="31">
        <f t="shared" si="79"/>
        <v>22602.2</v>
      </c>
      <c r="T2532" s="39" t="s">
        <v>94</v>
      </c>
    </row>
    <row r="2533" spans="1:20" x14ac:dyDescent="0.25">
      <c r="A2533" s="20">
        <v>42148</v>
      </c>
      <c r="B2533" s="183">
        <v>22107</v>
      </c>
      <c r="C2533" s="14" t="s">
        <v>55</v>
      </c>
      <c r="D2533" s="105">
        <v>27833.25</v>
      </c>
      <c r="E2533" s="65">
        <v>42148</v>
      </c>
      <c r="F2533" s="106">
        <v>27833.25</v>
      </c>
      <c r="G2533" s="31">
        <f t="shared" si="78"/>
        <v>0</v>
      </c>
      <c r="H2533" s="39" t="s">
        <v>773</v>
      </c>
      <c r="I2533" s="3"/>
      <c r="J2533" s="42"/>
      <c r="K2533" s="3"/>
      <c r="M2533" s="20">
        <v>42153</v>
      </c>
      <c r="N2533" s="183">
        <v>22649</v>
      </c>
      <c r="O2533" s="14" t="s">
        <v>125</v>
      </c>
      <c r="P2533" s="105">
        <v>915.6</v>
      </c>
      <c r="Q2533" s="23">
        <v>42153</v>
      </c>
      <c r="R2533" s="106">
        <v>915.6</v>
      </c>
      <c r="S2533" s="31">
        <f t="shared" si="79"/>
        <v>0</v>
      </c>
      <c r="T2533" s="39" t="s">
        <v>9</v>
      </c>
    </row>
    <row r="2534" spans="1:20" x14ac:dyDescent="0.25">
      <c r="A2534" s="20">
        <v>42148</v>
      </c>
      <c r="B2534" s="183">
        <v>22108</v>
      </c>
      <c r="C2534" s="14" t="s">
        <v>35</v>
      </c>
      <c r="D2534" s="105">
        <v>2590</v>
      </c>
      <c r="E2534" s="65">
        <v>42148</v>
      </c>
      <c r="F2534" s="106">
        <v>2590</v>
      </c>
      <c r="G2534" s="31">
        <f t="shared" si="78"/>
        <v>0</v>
      </c>
      <c r="H2534" s="39" t="s">
        <v>773</v>
      </c>
      <c r="I2534" s="3"/>
      <c r="J2534" s="42"/>
      <c r="K2534" s="3"/>
      <c r="M2534" s="20">
        <v>42154</v>
      </c>
      <c r="N2534" s="183">
        <v>22697</v>
      </c>
      <c r="O2534" s="14" t="s">
        <v>125</v>
      </c>
      <c r="P2534" s="105">
        <v>22156.2</v>
      </c>
      <c r="Q2534" s="23"/>
      <c r="R2534" s="106"/>
      <c r="S2534" s="31">
        <f t="shared" si="79"/>
        <v>22156.2</v>
      </c>
      <c r="T2534" s="39" t="s">
        <v>9</v>
      </c>
    </row>
    <row r="2535" spans="1:20" x14ac:dyDescent="0.25">
      <c r="A2535" s="20">
        <v>42148</v>
      </c>
      <c r="B2535" s="183">
        <v>22109</v>
      </c>
      <c r="C2535" s="14" t="s">
        <v>1338</v>
      </c>
      <c r="D2535" s="105">
        <v>8360</v>
      </c>
      <c r="E2535" s="65">
        <v>42153</v>
      </c>
      <c r="F2535" s="106">
        <v>8360</v>
      </c>
      <c r="G2535" s="31">
        <f t="shared" si="78"/>
        <v>0</v>
      </c>
      <c r="H2535" s="39" t="s">
        <v>9</v>
      </c>
      <c r="I2535" s="3"/>
      <c r="J2535" s="42"/>
      <c r="K2535" s="3"/>
      <c r="M2535" s="20">
        <v>42155</v>
      </c>
      <c r="N2535" s="183">
        <v>22811</v>
      </c>
      <c r="O2535" s="14" t="s">
        <v>125</v>
      </c>
      <c r="P2535" s="105">
        <v>10611.4</v>
      </c>
      <c r="Q2535" s="23">
        <v>42155</v>
      </c>
      <c r="R2535" s="106">
        <v>10611.4</v>
      </c>
      <c r="S2535" s="31">
        <f t="shared" si="79"/>
        <v>0</v>
      </c>
      <c r="T2535" s="39" t="s">
        <v>62</v>
      </c>
    </row>
    <row r="2536" spans="1:20" x14ac:dyDescent="0.25">
      <c r="A2536" s="20">
        <v>42148</v>
      </c>
      <c r="B2536" s="183">
        <v>22110</v>
      </c>
      <c r="C2536" s="14" t="s">
        <v>131</v>
      </c>
      <c r="D2536" s="105">
        <v>13860.3</v>
      </c>
      <c r="E2536" s="65">
        <v>42149</v>
      </c>
      <c r="F2536" s="106">
        <v>13860.3</v>
      </c>
      <c r="G2536" s="31">
        <f t="shared" si="78"/>
        <v>0</v>
      </c>
      <c r="H2536" s="39" t="s">
        <v>9</v>
      </c>
      <c r="I2536" s="3"/>
      <c r="J2536" s="42"/>
      <c r="K2536" s="3"/>
      <c r="M2536" s="20">
        <v>42134</v>
      </c>
      <c r="N2536" s="183">
        <v>20649</v>
      </c>
      <c r="O2536" s="14" t="s">
        <v>1370</v>
      </c>
      <c r="P2536" s="105">
        <v>816</v>
      </c>
      <c r="Q2536" s="23">
        <v>42134</v>
      </c>
      <c r="R2536" s="106">
        <v>816</v>
      </c>
      <c r="S2536" s="31">
        <f t="shared" si="79"/>
        <v>0</v>
      </c>
      <c r="T2536" s="39" t="s">
        <v>9</v>
      </c>
    </row>
    <row r="2537" spans="1:20" x14ac:dyDescent="0.25">
      <c r="A2537" s="20">
        <v>42148</v>
      </c>
      <c r="B2537" s="183">
        <v>22111</v>
      </c>
      <c r="C2537" s="14" t="s">
        <v>130</v>
      </c>
      <c r="D2537" s="105">
        <v>7697.6</v>
      </c>
      <c r="E2537" s="65">
        <v>42150</v>
      </c>
      <c r="F2537" s="106">
        <v>7697.6</v>
      </c>
      <c r="G2537" s="31">
        <f t="shared" si="78"/>
        <v>0</v>
      </c>
      <c r="H2537" s="39" t="s">
        <v>1257</v>
      </c>
      <c r="I2537" s="3"/>
      <c r="J2537" s="42"/>
      <c r="K2537" s="3"/>
      <c r="M2537" s="20">
        <v>42145</v>
      </c>
      <c r="N2537" s="183">
        <v>21736</v>
      </c>
      <c r="O2537" s="15" t="s">
        <v>1370</v>
      </c>
      <c r="P2537" s="122">
        <v>790.8</v>
      </c>
      <c r="Q2537" s="23">
        <v>42145</v>
      </c>
      <c r="R2537" s="106">
        <v>790.8</v>
      </c>
      <c r="S2537" s="31">
        <f t="shared" si="79"/>
        <v>0</v>
      </c>
      <c r="T2537" s="68" t="s">
        <v>9</v>
      </c>
    </row>
    <row r="2538" spans="1:20" x14ac:dyDescent="0.25">
      <c r="A2538" s="20">
        <v>42148</v>
      </c>
      <c r="B2538" s="183">
        <v>22112</v>
      </c>
      <c r="C2538" s="14" t="s">
        <v>229</v>
      </c>
      <c r="D2538" s="105">
        <v>5602.6</v>
      </c>
      <c r="E2538" s="65">
        <v>42148</v>
      </c>
      <c r="F2538" s="106">
        <v>5602.6</v>
      </c>
      <c r="G2538" s="31">
        <f t="shared" si="78"/>
        <v>0</v>
      </c>
      <c r="H2538" s="39" t="s">
        <v>9</v>
      </c>
      <c r="I2538" s="3"/>
      <c r="J2538" s="42"/>
      <c r="K2538" s="3"/>
      <c r="M2538" s="20">
        <v>42147</v>
      </c>
      <c r="N2538" s="183">
        <v>22005</v>
      </c>
      <c r="O2538" s="14" t="s">
        <v>1370</v>
      </c>
      <c r="P2538" s="105">
        <v>1313.1</v>
      </c>
      <c r="Q2538" s="65">
        <v>42147</v>
      </c>
      <c r="R2538" s="106">
        <v>1313.1</v>
      </c>
      <c r="S2538" s="31">
        <f t="shared" si="79"/>
        <v>0</v>
      </c>
      <c r="T2538" s="39" t="s">
        <v>9</v>
      </c>
    </row>
    <row r="2539" spans="1:20" x14ac:dyDescent="0.25">
      <c r="A2539" s="20">
        <v>42148</v>
      </c>
      <c r="B2539" s="183">
        <v>22113</v>
      </c>
      <c r="C2539" s="14" t="s">
        <v>66</v>
      </c>
      <c r="D2539" s="105">
        <v>1355.1</v>
      </c>
      <c r="E2539" s="65">
        <v>42148</v>
      </c>
      <c r="F2539" s="106">
        <v>1355.1</v>
      </c>
      <c r="G2539" s="31">
        <f t="shared" si="78"/>
        <v>0</v>
      </c>
      <c r="H2539" s="39" t="s">
        <v>9</v>
      </c>
      <c r="I2539" s="3"/>
      <c r="J2539" s="42"/>
      <c r="K2539" s="3"/>
      <c r="M2539" s="20">
        <v>42148</v>
      </c>
      <c r="N2539" s="183">
        <v>22082</v>
      </c>
      <c r="O2539" s="14" t="s">
        <v>1370</v>
      </c>
      <c r="P2539" s="105">
        <v>1269.2</v>
      </c>
      <c r="Q2539" s="65">
        <v>42148</v>
      </c>
      <c r="R2539" s="106">
        <v>1269.2</v>
      </c>
      <c r="S2539" s="31">
        <f t="shared" si="79"/>
        <v>0</v>
      </c>
      <c r="T2539" s="39" t="s">
        <v>9</v>
      </c>
    </row>
    <row r="2540" spans="1:20" x14ac:dyDescent="0.25">
      <c r="A2540" s="20">
        <v>42148</v>
      </c>
      <c r="B2540" s="183">
        <v>22114</v>
      </c>
      <c r="C2540" s="14" t="s">
        <v>115</v>
      </c>
      <c r="D2540" s="105">
        <v>734.9</v>
      </c>
      <c r="E2540" s="65">
        <v>42148</v>
      </c>
      <c r="F2540" s="106">
        <v>734.9</v>
      </c>
      <c r="G2540" s="31">
        <f t="shared" si="78"/>
        <v>0</v>
      </c>
      <c r="H2540" s="39" t="s">
        <v>9</v>
      </c>
      <c r="I2540" s="3"/>
      <c r="J2540" s="42"/>
      <c r="K2540" s="3"/>
      <c r="M2540" s="20">
        <v>42152</v>
      </c>
      <c r="N2540" s="183">
        <v>22424</v>
      </c>
      <c r="O2540" s="150" t="s">
        <v>1370</v>
      </c>
      <c r="P2540" s="105">
        <v>1154.5999999999999</v>
      </c>
      <c r="Q2540" s="23">
        <v>42152</v>
      </c>
      <c r="R2540" s="106">
        <v>1154.5999999999999</v>
      </c>
      <c r="S2540" s="31">
        <f t="shared" si="79"/>
        <v>0</v>
      </c>
      <c r="T2540" s="39" t="s">
        <v>9</v>
      </c>
    </row>
    <row r="2541" spans="1:20" x14ac:dyDescent="0.25">
      <c r="A2541" s="20">
        <v>42148</v>
      </c>
      <c r="B2541" s="183">
        <v>22115</v>
      </c>
      <c r="C2541" s="14" t="s">
        <v>112</v>
      </c>
      <c r="D2541" s="105">
        <v>2821.9</v>
      </c>
      <c r="E2541" s="65">
        <v>42148</v>
      </c>
      <c r="F2541" s="106">
        <v>2821.9</v>
      </c>
      <c r="G2541" s="31">
        <f t="shared" si="78"/>
        <v>0</v>
      </c>
      <c r="H2541" s="39" t="s">
        <v>9</v>
      </c>
      <c r="I2541" s="3"/>
      <c r="J2541" s="42"/>
      <c r="K2541" s="3"/>
      <c r="M2541" s="20">
        <v>42125</v>
      </c>
      <c r="N2541" s="183">
        <v>19680</v>
      </c>
      <c r="O2541" s="14" t="s">
        <v>71</v>
      </c>
      <c r="P2541" s="105">
        <v>2062.2600000000002</v>
      </c>
      <c r="Q2541" s="23">
        <v>42126</v>
      </c>
      <c r="R2541" s="106">
        <v>2062.2600000000002</v>
      </c>
      <c r="S2541" s="25">
        <f t="shared" si="79"/>
        <v>0</v>
      </c>
      <c r="T2541" s="39" t="s">
        <v>9</v>
      </c>
    </row>
    <row r="2542" spans="1:20" x14ac:dyDescent="0.25">
      <c r="A2542" s="20">
        <v>42148</v>
      </c>
      <c r="B2542" s="183">
        <v>22116</v>
      </c>
      <c r="C2542" s="14" t="s">
        <v>100</v>
      </c>
      <c r="D2542" s="105">
        <v>2457.6</v>
      </c>
      <c r="E2542" s="65">
        <v>42148</v>
      </c>
      <c r="F2542" s="106">
        <v>2457.6</v>
      </c>
      <c r="G2542" s="31">
        <f t="shared" si="78"/>
        <v>0</v>
      </c>
      <c r="H2542" s="39" t="s">
        <v>9</v>
      </c>
      <c r="I2542" s="3"/>
      <c r="J2542" s="42"/>
      <c r="K2542" s="3"/>
      <c r="M2542" s="20">
        <v>42127</v>
      </c>
      <c r="N2542" s="183">
        <v>19851</v>
      </c>
      <c r="O2542" s="40" t="s">
        <v>71</v>
      </c>
      <c r="P2542" s="105">
        <v>8099.7</v>
      </c>
      <c r="Q2542" s="23">
        <v>42127</v>
      </c>
      <c r="R2542" s="106">
        <v>8099.7</v>
      </c>
      <c r="S2542" s="31">
        <f t="shared" si="79"/>
        <v>0</v>
      </c>
      <c r="T2542" s="41" t="s">
        <v>9</v>
      </c>
    </row>
    <row r="2543" spans="1:20" x14ac:dyDescent="0.25">
      <c r="A2543" s="20">
        <v>42148</v>
      </c>
      <c r="B2543" s="183">
        <v>22117</v>
      </c>
      <c r="C2543" s="14" t="s">
        <v>24</v>
      </c>
      <c r="D2543" s="105">
        <v>1416</v>
      </c>
      <c r="E2543" s="74">
        <v>42165</v>
      </c>
      <c r="F2543" s="144">
        <v>1416</v>
      </c>
      <c r="G2543" s="31">
        <f t="shared" si="78"/>
        <v>0</v>
      </c>
      <c r="H2543" s="39" t="s">
        <v>9</v>
      </c>
      <c r="I2543" s="3"/>
      <c r="J2543" s="42"/>
      <c r="K2543" s="3"/>
      <c r="M2543" s="20">
        <v>42128</v>
      </c>
      <c r="N2543" s="183">
        <v>19977</v>
      </c>
      <c r="O2543" s="14" t="s">
        <v>71</v>
      </c>
      <c r="P2543" s="105">
        <v>1512.4</v>
      </c>
      <c r="Q2543" s="23">
        <v>42128</v>
      </c>
      <c r="R2543" s="106">
        <v>1512.4</v>
      </c>
      <c r="S2543" s="31">
        <f t="shared" si="79"/>
        <v>0</v>
      </c>
      <c r="T2543" s="19" t="s">
        <v>9</v>
      </c>
    </row>
    <row r="2544" spans="1:20" x14ac:dyDescent="0.25">
      <c r="A2544" s="20">
        <v>42148</v>
      </c>
      <c r="B2544" s="183">
        <v>22118</v>
      </c>
      <c r="C2544" s="14" t="s">
        <v>32</v>
      </c>
      <c r="D2544" s="105">
        <v>71182.75</v>
      </c>
      <c r="E2544" s="74">
        <v>42171</v>
      </c>
      <c r="F2544" s="144">
        <v>71182.75</v>
      </c>
      <c r="G2544" s="31">
        <f t="shared" si="78"/>
        <v>0</v>
      </c>
      <c r="H2544" s="39" t="s">
        <v>9</v>
      </c>
      <c r="I2544" s="3"/>
      <c r="J2544" s="42"/>
      <c r="K2544" s="3"/>
      <c r="M2544" s="20">
        <v>42132</v>
      </c>
      <c r="N2544" s="183">
        <v>20436</v>
      </c>
      <c r="O2544" s="14" t="s">
        <v>71</v>
      </c>
      <c r="P2544" s="105">
        <v>1497.8</v>
      </c>
      <c r="Q2544" s="23">
        <v>42132</v>
      </c>
      <c r="R2544" s="106">
        <v>1497.8</v>
      </c>
      <c r="S2544" s="31">
        <f t="shared" si="79"/>
        <v>0</v>
      </c>
      <c r="T2544" s="19" t="s">
        <v>9</v>
      </c>
    </row>
    <row r="2545" spans="1:20" x14ac:dyDescent="0.25">
      <c r="A2545" s="20">
        <v>42148</v>
      </c>
      <c r="B2545" s="183">
        <v>22119</v>
      </c>
      <c r="C2545" s="14" t="s">
        <v>135</v>
      </c>
      <c r="D2545" s="105">
        <v>2473.1999999999998</v>
      </c>
      <c r="E2545" s="65">
        <v>42148</v>
      </c>
      <c r="F2545" s="106">
        <v>2473.1999999999998</v>
      </c>
      <c r="G2545" s="31">
        <f t="shared" si="78"/>
        <v>0</v>
      </c>
      <c r="H2545" s="39" t="s">
        <v>9</v>
      </c>
      <c r="I2545" s="3"/>
      <c r="J2545" s="42"/>
      <c r="K2545" s="3"/>
      <c r="M2545" s="20">
        <v>42133</v>
      </c>
      <c r="N2545" s="183">
        <v>20558</v>
      </c>
      <c r="O2545" s="14" t="s">
        <v>71</v>
      </c>
      <c r="P2545" s="105">
        <v>7840</v>
      </c>
      <c r="Q2545" s="23">
        <v>42133</v>
      </c>
      <c r="R2545" s="106">
        <v>7840</v>
      </c>
      <c r="S2545" s="31">
        <f t="shared" si="79"/>
        <v>0</v>
      </c>
      <c r="T2545" s="19" t="s">
        <v>9</v>
      </c>
    </row>
    <row r="2546" spans="1:20" x14ac:dyDescent="0.25">
      <c r="A2546" s="20">
        <v>42148</v>
      </c>
      <c r="B2546" s="183">
        <v>22120</v>
      </c>
      <c r="C2546" s="14" t="s">
        <v>440</v>
      </c>
      <c r="D2546" s="105">
        <v>11382</v>
      </c>
      <c r="E2546" s="65">
        <v>42148</v>
      </c>
      <c r="F2546" s="106">
        <v>11382</v>
      </c>
      <c r="G2546" s="31">
        <f t="shared" si="78"/>
        <v>0</v>
      </c>
      <c r="H2546" s="39" t="s">
        <v>9</v>
      </c>
      <c r="I2546" s="3"/>
      <c r="J2546" s="42"/>
      <c r="K2546" s="3"/>
      <c r="M2546" s="20">
        <v>42134</v>
      </c>
      <c r="N2546" s="183">
        <v>20656</v>
      </c>
      <c r="O2546" s="14" t="s">
        <v>71</v>
      </c>
      <c r="P2546" s="105">
        <v>956.46</v>
      </c>
      <c r="Q2546" s="23">
        <v>42134</v>
      </c>
      <c r="R2546" s="106">
        <v>956.46</v>
      </c>
      <c r="S2546" s="31">
        <f t="shared" si="79"/>
        <v>0</v>
      </c>
      <c r="T2546" s="39" t="s">
        <v>9</v>
      </c>
    </row>
    <row r="2547" spans="1:20" x14ac:dyDescent="0.25">
      <c r="A2547" s="20">
        <v>42148</v>
      </c>
      <c r="B2547" s="183">
        <v>22121</v>
      </c>
      <c r="C2547" s="14" t="s">
        <v>89</v>
      </c>
      <c r="D2547" s="105">
        <v>2957.2</v>
      </c>
      <c r="E2547" s="65">
        <v>42148</v>
      </c>
      <c r="F2547" s="106">
        <v>2957.2</v>
      </c>
      <c r="G2547" s="31">
        <f t="shared" si="78"/>
        <v>0</v>
      </c>
      <c r="H2547" s="39" t="s">
        <v>9</v>
      </c>
      <c r="I2547" s="3"/>
      <c r="J2547" s="42"/>
      <c r="K2547" s="3"/>
      <c r="M2547" s="20">
        <v>42139</v>
      </c>
      <c r="N2547" s="183">
        <v>21160</v>
      </c>
      <c r="O2547" s="14" t="s">
        <v>71</v>
      </c>
      <c r="P2547" s="105">
        <v>1398.71</v>
      </c>
      <c r="Q2547" s="23">
        <v>42139</v>
      </c>
      <c r="R2547" s="106">
        <v>1398.71</v>
      </c>
      <c r="S2547" s="48">
        <f t="shared" si="79"/>
        <v>0</v>
      </c>
      <c r="T2547" s="39" t="s">
        <v>9</v>
      </c>
    </row>
    <row r="2548" spans="1:20" x14ac:dyDescent="0.25">
      <c r="A2548" s="20">
        <v>42148</v>
      </c>
      <c r="B2548" s="183">
        <v>22122</v>
      </c>
      <c r="C2548" s="14" t="s">
        <v>136</v>
      </c>
      <c r="D2548" s="105">
        <v>37908.800000000003</v>
      </c>
      <c r="E2548" s="65" t="s">
        <v>1432</v>
      </c>
      <c r="F2548" s="106">
        <f>8000+7000+22908.8</f>
        <v>37908.800000000003</v>
      </c>
      <c r="G2548" s="31">
        <f t="shared" si="78"/>
        <v>0</v>
      </c>
      <c r="H2548" s="39" t="s">
        <v>9</v>
      </c>
      <c r="I2548" s="3"/>
      <c r="J2548" s="42"/>
      <c r="K2548" s="3"/>
      <c r="M2548" s="20">
        <v>42139</v>
      </c>
      <c r="N2548" s="183">
        <v>21165</v>
      </c>
      <c r="O2548" s="14" t="s">
        <v>71</v>
      </c>
      <c r="P2548" s="105">
        <v>7700.7</v>
      </c>
      <c r="Q2548" s="23">
        <v>42139</v>
      </c>
      <c r="R2548" s="106">
        <v>7700.7</v>
      </c>
      <c r="S2548" s="48">
        <f t="shared" si="79"/>
        <v>0</v>
      </c>
      <c r="T2548" s="39" t="s">
        <v>9</v>
      </c>
    </row>
    <row r="2549" spans="1:20" x14ac:dyDescent="0.25">
      <c r="A2549" s="20">
        <v>42148</v>
      </c>
      <c r="B2549" s="183">
        <v>22123</v>
      </c>
      <c r="C2549" s="14" t="s">
        <v>375</v>
      </c>
      <c r="D2549" s="105">
        <v>2815.7</v>
      </c>
      <c r="E2549" s="65">
        <v>42148</v>
      </c>
      <c r="F2549" s="106">
        <v>2815.7</v>
      </c>
      <c r="G2549" s="31">
        <f t="shared" si="78"/>
        <v>0</v>
      </c>
      <c r="H2549" s="39" t="s">
        <v>9</v>
      </c>
      <c r="I2549" s="3"/>
      <c r="J2549" s="42"/>
      <c r="K2549" s="3"/>
      <c r="M2549" s="20">
        <v>42141</v>
      </c>
      <c r="N2549" s="183">
        <v>21368</v>
      </c>
      <c r="O2549" s="14" t="s">
        <v>71</v>
      </c>
      <c r="P2549" s="105">
        <v>6208.38</v>
      </c>
      <c r="Q2549" s="23">
        <v>42141</v>
      </c>
      <c r="R2549" s="118">
        <v>6208.38</v>
      </c>
      <c r="S2549" s="31">
        <f t="shared" si="79"/>
        <v>0</v>
      </c>
      <c r="T2549" s="56" t="s">
        <v>9</v>
      </c>
    </row>
    <row r="2550" spans="1:20" x14ac:dyDescent="0.25">
      <c r="A2550" s="20">
        <v>42148</v>
      </c>
      <c r="B2550" s="183">
        <v>22124</v>
      </c>
      <c r="C2550" s="14" t="s">
        <v>86</v>
      </c>
      <c r="D2550" s="105">
        <v>356.85</v>
      </c>
      <c r="E2550" s="65">
        <v>42148</v>
      </c>
      <c r="F2550" s="106">
        <v>356.85</v>
      </c>
      <c r="G2550" s="31">
        <f t="shared" si="78"/>
        <v>0</v>
      </c>
      <c r="H2550" s="39" t="s">
        <v>9</v>
      </c>
      <c r="I2550" s="3"/>
      <c r="J2550" s="42"/>
      <c r="K2550" s="3"/>
      <c r="M2550" s="20">
        <v>42146</v>
      </c>
      <c r="N2550" s="183">
        <v>21909</v>
      </c>
      <c r="O2550" s="14" t="s">
        <v>71</v>
      </c>
      <c r="P2550" s="105">
        <v>5984.28</v>
      </c>
      <c r="Q2550" s="23">
        <v>42146</v>
      </c>
      <c r="R2550" s="106">
        <v>5984.28</v>
      </c>
      <c r="S2550" s="31">
        <f t="shared" si="79"/>
        <v>0</v>
      </c>
      <c r="T2550" s="39" t="s">
        <v>9</v>
      </c>
    </row>
    <row r="2551" spans="1:20" x14ac:dyDescent="0.25">
      <c r="A2551" s="20">
        <v>42148</v>
      </c>
      <c r="B2551" s="183">
        <v>22125</v>
      </c>
      <c r="C2551" s="14" t="s">
        <v>229</v>
      </c>
      <c r="D2551" s="105">
        <v>3370.43</v>
      </c>
      <c r="E2551" s="65">
        <v>42148</v>
      </c>
      <c r="F2551" s="106">
        <v>3370.43</v>
      </c>
      <c r="G2551" s="31">
        <f t="shared" si="78"/>
        <v>0</v>
      </c>
      <c r="H2551" s="39" t="s">
        <v>9</v>
      </c>
      <c r="I2551" s="3"/>
      <c r="J2551" s="42"/>
      <c r="K2551" s="3"/>
      <c r="M2551" s="20">
        <v>42147</v>
      </c>
      <c r="N2551" s="183">
        <v>22047</v>
      </c>
      <c r="O2551" s="14" t="s">
        <v>71</v>
      </c>
      <c r="P2551" s="105">
        <v>1519.3</v>
      </c>
      <c r="Q2551" s="65">
        <v>42147</v>
      </c>
      <c r="R2551" s="106">
        <v>1519.3</v>
      </c>
      <c r="S2551" s="31">
        <f t="shared" si="79"/>
        <v>0</v>
      </c>
      <c r="T2551" s="39" t="s">
        <v>9</v>
      </c>
    </row>
    <row r="2552" spans="1:20" x14ac:dyDescent="0.25">
      <c r="A2552" s="20">
        <v>42148</v>
      </c>
      <c r="B2552" s="183">
        <v>22126</v>
      </c>
      <c r="C2552" s="150" t="s">
        <v>80</v>
      </c>
      <c r="D2552" s="105">
        <v>6971.2</v>
      </c>
      <c r="E2552" s="65">
        <v>42148</v>
      </c>
      <c r="F2552" s="106">
        <v>6971.2</v>
      </c>
      <c r="G2552" s="31">
        <f t="shared" si="78"/>
        <v>0</v>
      </c>
      <c r="H2552" s="39" t="s">
        <v>9</v>
      </c>
      <c r="I2552" s="3"/>
      <c r="J2552" s="42"/>
      <c r="K2552" s="3"/>
      <c r="M2552" s="20">
        <v>42152</v>
      </c>
      <c r="N2552" s="183">
        <v>22485</v>
      </c>
      <c r="O2552" s="14" t="s">
        <v>71</v>
      </c>
      <c r="P2552" s="105">
        <v>8196</v>
      </c>
      <c r="Q2552" s="23">
        <v>42152</v>
      </c>
      <c r="R2552" s="106">
        <v>8196</v>
      </c>
      <c r="S2552" s="31">
        <f t="shared" si="79"/>
        <v>0</v>
      </c>
      <c r="T2552" s="39" t="s">
        <v>9</v>
      </c>
    </row>
    <row r="2553" spans="1:20" x14ac:dyDescent="0.25">
      <c r="A2553" s="20">
        <v>42148</v>
      </c>
      <c r="B2553" s="183">
        <v>22127</v>
      </c>
      <c r="C2553" s="14" t="s">
        <v>158</v>
      </c>
      <c r="D2553" s="105">
        <v>336.2</v>
      </c>
      <c r="E2553" s="65">
        <v>42148</v>
      </c>
      <c r="F2553" s="106">
        <v>336.2</v>
      </c>
      <c r="G2553" s="31">
        <f t="shared" si="78"/>
        <v>0</v>
      </c>
      <c r="H2553" s="39" t="s">
        <v>9</v>
      </c>
      <c r="I2553" s="3"/>
      <c r="J2553" s="42"/>
      <c r="K2553" s="3"/>
      <c r="M2553" s="20">
        <v>42125</v>
      </c>
      <c r="N2553" s="183">
        <v>19684</v>
      </c>
      <c r="O2553" s="14" t="s">
        <v>1173</v>
      </c>
      <c r="P2553" s="105">
        <v>1768.8</v>
      </c>
      <c r="Q2553" s="23">
        <v>42126</v>
      </c>
      <c r="R2553" s="106">
        <v>1768.8</v>
      </c>
      <c r="S2553" s="25">
        <f t="shared" si="79"/>
        <v>0</v>
      </c>
      <c r="T2553" s="39" t="s">
        <v>9</v>
      </c>
    </row>
    <row r="2554" spans="1:20" x14ac:dyDescent="0.25">
      <c r="A2554" s="20">
        <v>42148</v>
      </c>
      <c r="B2554" s="183">
        <v>22128</v>
      </c>
      <c r="C2554" s="14" t="s">
        <v>864</v>
      </c>
      <c r="D2554" s="105">
        <v>850.2</v>
      </c>
      <c r="E2554" s="65">
        <v>42148</v>
      </c>
      <c r="F2554" s="106">
        <v>850.2</v>
      </c>
      <c r="G2554" s="31">
        <f t="shared" si="78"/>
        <v>0</v>
      </c>
      <c r="H2554" s="39" t="s">
        <v>9</v>
      </c>
      <c r="I2554" s="3"/>
      <c r="J2554" s="42"/>
      <c r="K2554" s="3"/>
      <c r="M2554" s="20">
        <v>42126</v>
      </c>
      <c r="N2554" s="183">
        <v>19803</v>
      </c>
      <c r="O2554" s="40" t="s">
        <v>1173</v>
      </c>
      <c r="P2554" s="105">
        <v>2427.6</v>
      </c>
      <c r="Q2554" s="23">
        <v>42127</v>
      </c>
      <c r="R2554" s="106">
        <v>2427.6</v>
      </c>
      <c r="S2554" s="31">
        <f t="shared" si="79"/>
        <v>0</v>
      </c>
      <c r="T2554" s="41" t="s">
        <v>9</v>
      </c>
    </row>
    <row r="2555" spans="1:20" x14ac:dyDescent="0.25">
      <c r="A2555" s="20">
        <v>42148</v>
      </c>
      <c r="B2555" s="183">
        <v>22129</v>
      </c>
      <c r="C2555" s="14" t="s">
        <v>336</v>
      </c>
      <c r="D2555" s="105">
        <v>395.2</v>
      </c>
      <c r="E2555" s="65">
        <v>42148</v>
      </c>
      <c r="F2555" s="106">
        <v>395.2</v>
      </c>
      <c r="G2555" s="31">
        <f t="shared" si="78"/>
        <v>0</v>
      </c>
      <c r="H2555" s="39" t="s">
        <v>9</v>
      </c>
      <c r="I2555" s="3"/>
      <c r="J2555" s="42"/>
      <c r="K2555" s="3"/>
      <c r="M2555" s="20">
        <v>42131</v>
      </c>
      <c r="N2555" s="183">
        <v>20222</v>
      </c>
      <c r="O2555" s="14" t="s">
        <v>1173</v>
      </c>
      <c r="P2555" s="105">
        <v>6448.75</v>
      </c>
      <c r="Q2555" s="23">
        <v>42131</v>
      </c>
      <c r="R2555" s="106">
        <v>6448.75</v>
      </c>
      <c r="S2555" s="31">
        <f t="shared" si="79"/>
        <v>0</v>
      </c>
      <c r="T2555" s="39" t="s">
        <v>9</v>
      </c>
    </row>
    <row r="2556" spans="1:20" x14ac:dyDescent="0.25">
      <c r="A2556" s="20">
        <v>42148</v>
      </c>
      <c r="B2556" s="183">
        <v>22130</v>
      </c>
      <c r="C2556" s="14" t="s">
        <v>864</v>
      </c>
      <c r="D2556" s="105">
        <v>195</v>
      </c>
      <c r="E2556" s="65">
        <v>42148</v>
      </c>
      <c r="F2556" s="106">
        <v>195</v>
      </c>
      <c r="G2556" s="31">
        <f t="shared" si="78"/>
        <v>0</v>
      </c>
      <c r="H2556" s="39" t="s">
        <v>9</v>
      </c>
      <c r="I2556" s="3"/>
      <c r="J2556" s="42"/>
      <c r="K2556" s="3"/>
      <c r="M2556" s="20">
        <v>42133</v>
      </c>
      <c r="N2556" s="183">
        <v>20485</v>
      </c>
      <c r="O2556" s="14" t="s">
        <v>1173</v>
      </c>
      <c r="P2556" s="105">
        <v>11018.1</v>
      </c>
      <c r="Q2556" s="23">
        <v>42133</v>
      </c>
      <c r="R2556" s="106">
        <v>11018.1</v>
      </c>
      <c r="S2556" s="31">
        <f t="shared" si="79"/>
        <v>0</v>
      </c>
      <c r="T2556" s="19" t="s">
        <v>9</v>
      </c>
    </row>
    <row r="2557" spans="1:20" x14ac:dyDescent="0.25">
      <c r="A2557" s="20">
        <v>42148</v>
      </c>
      <c r="B2557" s="183">
        <v>22131</v>
      </c>
      <c r="C2557" s="14" t="s">
        <v>61</v>
      </c>
      <c r="D2557" s="105">
        <v>9376.7999999999993</v>
      </c>
      <c r="E2557" s="65">
        <v>42148</v>
      </c>
      <c r="F2557" s="106">
        <v>9376.7999999999993</v>
      </c>
      <c r="G2557" s="31">
        <f t="shared" si="78"/>
        <v>0</v>
      </c>
      <c r="H2557" s="39" t="s">
        <v>9</v>
      </c>
      <c r="I2557" s="3"/>
      <c r="J2557" s="42"/>
      <c r="K2557" s="3"/>
      <c r="M2557" s="20">
        <v>42144</v>
      </c>
      <c r="N2557" s="183">
        <v>21626</v>
      </c>
      <c r="O2557" s="14" t="s">
        <v>1173</v>
      </c>
      <c r="P2557" s="105">
        <v>2289.25</v>
      </c>
      <c r="Q2557" s="23">
        <v>42144</v>
      </c>
      <c r="R2557" s="118">
        <v>2289.25</v>
      </c>
      <c r="S2557" s="31">
        <f t="shared" si="79"/>
        <v>0</v>
      </c>
      <c r="T2557" s="62" t="s">
        <v>587</v>
      </c>
    </row>
    <row r="2558" spans="1:20" x14ac:dyDescent="0.25">
      <c r="A2558" s="20">
        <v>42148</v>
      </c>
      <c r="B2558" s="183">
        <v>22132</v>
      </c>
      <c r="C2558" s="14" t="s">
        <v>24</v>
      </c>
      <c r="D2558" s="105">
        <v>67618.8</v>
      </c>
      <c r="E2558" s="74">
        <v>42165</v>
      </c>
      <c r="F2558" s="144">
        <v>67618.8</v>
      </c>
      <c r="G2558" s="31">
        <f t="shared" si="78"/>
        <v>0</v>
      </c>
      <c r="H2558" s="39" t="s">
        <v>187</v>
      </c>
      <c r="I2558" s="3"/>
      <c r="J2558" s="42"/>
      <c r="K2558" s="3"/>
      <c r="M2558" s="20">
        <v>42139</v>
      </c>
      <c r="N2558" s="183">
        <v>21181</v>
      </c>
      <c r="O2558" s="14" t="s">
        <v>391</v>
      </c>
      <c r="P2558" s="105">
        <v>2340.8000000000002</v>
      </c>
      <c r="Q2558" s="23">
        <v>42139</v>
      </c>
      <c r="R2558" s="106">
        <v>2340.8000000000002</v>
      </c>
      <c r="S2558" s="48">
        <f t="shared" si="79"/>
        <v>0</v>
      </c>
      <c r="T2558" s="39" t="s">
        <v>9</v>
      </c>
    </row>
    <row r="2559" spans="1:20" x14ac:dyDescent="0.25">
      <c r="A2559" s="20">
        <v>42148</v>
      </c>
      <c r="B2559" s="183">
        <v>22133</v>
      </c>
      <c r="C2559" s="14" t="s">
        <v>159</v>
      </c>
      <c r="D2559" s="105">
        <v>5738.4</v>
      </c>
      <c r="E2559" s="65">
        <v>42148</v>
      </c>
      <c r="F2559" s="106">
        <v>5738.4</v>
      </c>
      <c r="G2559" s="31">
        <f t="shared" si="78"/>
        <v>0</v>
      </c>
      <c r="H2559" s="39" t="s">
        <v>9</v>
      </c>
      <c r="I2559" s="3"/>
      <c r="J2559" s="42"/>
      <c r="K2559" s="3"/>
      <c r="M2559" s="20">
        <v>42135</v>
      </c>
      <c r="N2559" s="183">
        <v>20760</v>
      </c>
      <c r="O2559" s="14" t="s">
        <v>574</v>
      </c>
      <c r="P2559" s="105">
        <v>22190.799999999999</v>
      </c>
      <c r="Q2559" s="23">
        <v>42137</v>
      </c>
      <c r="R2559" s="106">
        <v>22190.799999999999</v>
      </c>
      <c r="S2559" s="31">
        <f t="shared" si="79"/>
        <v>0</v>
      </c>
      <c r="T2559" s="19" t="s">
        <v>9</v>
      </c>
    </row>
    <row r="2560" spans="1:20" x14ac:dyDescent="0.25">
      <c r="A2560" s="20">
        <v>42149</v>
      </c>
      <c r="B2560" s="183">
        <v>22134</v>
      </c>
      <c r="C2560" s="150" t="s">
        <v>720</v>
      </c>
      <c r="D2560" s="105">
        <v>25937.8</v>
      </c>
      <c r="E2560" s="65">
        <v>42149</v>
      </c>
      <c r="F2560" s="106">
        <v>25937.8</v>
      </c>
      <c r="G2560" s="31">
        <f t="shared" si="78"/>
        <v>0</v>
      </c>
      <c r="H2560" s="39" t="s">
        <v>9</v>
      </c>
      <c r="I2560" s="3"/>
      <c r="J2560" s="42"/>
      <c r="K2560" s="3"/>
      <c r="M2560" s="20">
        <v>42138</v>
      </c>
      <c r="N2560" s="183">
        <v>21065</v>
      </c>
      <c r="O2560" s="14" t="s">
        <v>574</v>
      </c>
      <c r="P2560" s="105">
        <v>59010</v>
      </c>
      <c r="Q2560" s="23">
        <v>42140</v>
      </c>
      <c r="R2560" s="106">
        <v>59010</v>
      </c>
      <c r="S2560" s="48">
        <f t="shared" si="79"/>
        <v>0</v>
      </c>
      <c r="T2560" s="39" t="s">
        <v>149</v>
      </c>
    </row>
    <row r="2561" spans="1:20" x14ac:dyDescent="0.25">
      <c r="A2561" s="20">
        <v>42149</v>
      </c>
      <c r="B2561" s="183">
        <v>22135</v>
      </c>
      <c r="C2561" s="14" t="s">
        <v>1256</v>
      </c>
      <c r="D2561" s="105">
        <v>4756.2</v>
      </c>
      <c r="E2561" s="65">
        <v>42149</v>
      </c>
      <c r="F2561" s="106">
        <v>4756.2</v>
      </c>
      <c r="G2561" s="31">
        <f t="shared" si="78"/>
        <v>0</v>
      </c>
      <c r="H2561" s="39" t="s">
        <v>1257</v>
      </c>
      <c r="I2561" s="3"/>
      <c r="J2561" s="42"/>
      <c r="K2561" s="3"/>
      <c r="M2561" s="20">
        <v>42145</v>
      </c>
      <c r="N2561" s="183">
        <v>21804</v>
      </c>
      <c r="O2561" s="15" t="s">
        <v>574</v>
      </c>
      <c r="P2561" s="122">
        <v>22336.6</v>
      </c>
      <c r="Q2561" s="23">
        <v>42149</v>
      </c>
      <c r="R2561" s="118">
        <v>22336.6</v>
      </c>
      <c r="S2561" s="31">
        <f t="shared" si="79"/>
        <v>0</v>
      </c>
      <c r="T2561" s="68" t="s">
        <v>9</v>
      </c>
    </row>
    <row r="2562" spans="1:20" x14ac:dyDescent="0.25">
      <c r="A2562" s="20">
        <v>42149</v>
      </c>
      <c r="B2562" s="183">
        <v>22136</v>
      </c>
      <c r="C2562" s="26" t="s">
        <v>218</v>
      </c>
      <c r="D2562" s="108">
        <v>0</v>
      </c>
      <c r="E2562" s="65"/>
      <c r="F2562" s="106"/>
      <c r="G2562" s="31">
        <f t="shared" si="78"/>
        <v>0</v>
      </c>
      <c r="H2562" s="39" t="s">
        <v>13</v>
      </c>
      <c r="I2562" s="3"/>
      <c r="J2562" s="42"/>
      <c r="K2562" s="3"/>
      <c r="M2562" s="20">
        <v>42145</v>
      </c>
      <c r="N2562" s="183">
        <v>21806</v>
      </c>
      <c r="O2562" s="15" t="s">
        <v>574</v>
      </c>
      <c r="P2562" s="122">
        <v>26717.200000000001</v>
      </c>
      <c r="Q2562" s="23">
        <v>42149</v>
      </c>
      <c r="R2562" s="118">
        <v>26717.200000000001</v>
      </c>
      <c r="S2562" s="31">
        <f t="shared" si="79"/>
        <v>0</v>
      </c>
      <c r="T2562" s="68" t="s">
        <v>149</v>
      </c>
    </row>
    <row r="2563" spans="1:20" x14ac:dyDescent="0.25">
      <c r="A2563" s="20">
        <v>42149</v>
      </c>
      <c r="B2563" s="183">
        <v>22137</v>
      </c>
      <c r="C2563" s="14" t="s">
        <v>383</v>
      </c>
      <c r="D2563" s="105">
        <v>6455.9</v>
      </c>
      <c r="E2563" s="65">
        <v>42149</v>
      </c>
      <c r="F2563" s="106">
        <v>6455.9</v>
      </c>
      <c r="G2563" s="31">
        <f t="shared" ref="G2563:G2626" si="80">D2563-F2563</f>
        <v>0</v>
      </c>
      <c r="H2563" s="39" t="s">
        <v>9</v>
      </c>
      <c r="I2563" s="3"/>
      <c r="J2563" s="42"/>
      <c r="K2563" s="3"/>
      <c r="M2563" s="20">
        <v>42149</v>
      </c>
      <c r="N2563" s="183">
        <v>22237</v>
      </c>
      <c r="O2563" s="14" t="s">
        <v>574</v>
      </c>
      <c r="P2563" s="105">
        <v>46869</v>
      </c>
      <c r="Q2563" s="65">
        <v>42151</v>
      </c>
      <c r="R2563" s="106">
        <v>46869</v>
      </c>
      <c r="S2563" s="31">
        <f t="shared" ref="S2563:S2626" si="81">P2563-R2563</f>
        <v>0</v>
      </c>
      <c r="T2563" s="39" t="s">
        <v>149</v>
      </c>
    </row>
    <row r="2564" spans="1:20" x14ac:dyDescent="0.25">
      <c r="A2564" s="20">
        <v>42149</v>
      </c>
      <c r="B2564" s="183">
        <v>22138</v>
      </c>
      <c r="C2564" s="14" t="s">
        <v>14</v>
      </c>
      <c r="D2564" s="105">
        <v>12922.8</v>
      </c>
      <c r="E2564" s="65">
        <v>42153</v>
      </c>
      <c r="F2564" s="106">
        <v>12922.8</v>
      </c>
      <c r="G2564" s="31">
        <f t="shared" si="80"/>
        <v>0</v>
      </c>
      <c r="H2564" s="39" t="s">
        <v>15</v>
      </c>
      <c r="I2564" s="3"/>
      <c r="J2564" s="42"/>
      <c r="K2564" s="3"/>
      <c r="M2564" s="20">
        <v>42152</v>
      </c>
      <c r="N2564" s="183">
        <v>22529</v>
      </c>
      <c r="O2564" s="14" t="s">
        <v>574</v>
      </c>
      <c r="P2564" s="105">
        <v>37455.800000000003</v>
      </c>
      <c r="Q2564" s="23">
        <v>42154</v>
      </c>
      <c r="R2564" s="106">
        <v>37455.800000000003</v>
      </c>
      <c r="S2564" s="31">
        <f t="shared" si="81"/>
        <v>0</v>
      </c>
      <c r="T2564" s="39" t="s">
        <v>149</v>
      </c>
    </row>
    <row r="2565" spans="1:20" x14ac:dyDescent="0.25">
      <c r="A2565" s="20">
        <v>42149</v>
      </c>
      <c r="B2565" s="183">
        <v>22139</v>
      </c>
      <c r="C2565" s="14" t="s">
        <v>91</v>
      </c>
      <c r="D2565" s="105">
        <v>10115</v>
      </c>
      <c r="E2565" s="65">
        <v>42149</v>
      </c>
      <c r="F2565" s="106">
        <v>10115</v>
      </c>
      <c r="G2565" s="31">
        <f t="shared" si="80"/>
        <v>0</v>
      </c>
      <c r="H2565" s="39" t="s">
        <v>59</v>
      </c>
      <c r="I2565" s="3"/>
      <c r="J2565" s="42"/>
      <c r="K2565" s="3"/>
      <c r="M2565" s="20">
        <v>42152</v>
      </c>
      <c r="N2565" s="183">
        <v>22538</v>
      </c>
      <c r="O2565" s="14" t="s">
        <v>574</v>
      </c>
      <c r="P2565" s="105">
        <v>24007.599999999999</v>
      </c>
      <c r="Q2565" s="23">
        <v>42154</v>
      </c>
      <c r="R2565" s="106">
        <v>24007.599999999999</v>
      </c>
      <c r="S2565" s="31">
        <f t="shared" si="81"/>
        <v>0</v>
      </c>
      <c r="T2565" s="39" t="s">
        <v>149</v>
      </c>
    </row>
    <row r="2566" spans="1:20" x14ac:dyDescent="0.25">
      <c r="A2566" s="20">
        <v>42149</v>
      </c>
      <c r="B2566" s="183">
        <v>22140</v>
      </c>
      <c r="C2566" s="14" t="s">
        <v>122</v>
      </c>
      <c r="D2566" s="105">
        <v>10329.6</v>
      </c>
      <c r="E2566" s="65">
        <v>42149</v>
      </c>
      <c r="F2566" s="106">
        <v>10329.6</v>
      </c>
      <c r="G2566" s="31">
        <f t="shared" si="80"/>
        <v>0</v>
      </c>
      <c r="H2566" s="39" t="s">
        <v>9</v>
      </c>
      <c r="I2566" s="3"/>
      <c r="J2566" s="42"/>
      <c r="K2566" s="3"/>
      <c r="M2566" s="20">
        <v>42125</v>
      </c>
      <c r="N2566" s="183">
        <v>19671</v>
      </c>
      <c r="O2566" s="14" t="s">
        <v>61</v>
      </c>
      <c r="P2566" s="105">
        <v>7763.44</v>
      </c>
      <c r="Q2566" s="23">
        <v>42126</v>
      </c>
      <c r="R2566" s="106">
        <v>7763.44</v>
      </c>
      <c r="S2566" s="25">
        <f t="shared" si="81"/>
        <v>0</v>
      </c>
      <c r="T2566" s="39" t="s">
        <v>62</v>
      </c>
    </row>
    <row r="2567" spans="1:20" x14ac:dyDescent="0.25">
      <c r="A2567" s="20">
        <v>42149</v>
      </c>
      <c r="B2567" s="183">
        <v>22141</v>
      </c>
      <c r="C2567" s="14" t="s">
        <v>18</v>
      </c>
      <c r="D2567" s="105">
        <v>2425.6</v>
      </c>
      <c r="E2567" s="65">
        <v>42149</v>
      </c>
      <c r="F2567" s="106">
        <v>2425.6</v>
      </c>
      <c r="G2567" s="31">
        <f t="shared" si="80"/>
        <v>0</v>
      </c>
      <c r="H2567" s="39" t="s">
        <v>9</v>
      </c>
      <c r="I2567" s="3"/>
      <c r="J2567" s="42"/>
      <c r="K2567" s="3"/>
      <c r="M2567" s="20">
        <v>42128</v>
      </c>
      <c r="N2567" s="183">
        <v>19969</v>
      </c>
      <c r="O2567" s="14" t="s">
        <v>61</v>
      </c>
      <c r="P2567" s="105">
        <v>6156.8</v>
      </c>
      <c r="Q2567" s="23">
        <v>42129</v>
      </c>
      <c r="R2567" s="106">
        <v>6156.8</v>
      </c>
      <c r="S2567" s="31">
        <f t="shared" si="81"/>
        <v>0</v>
      </c>
      <c r="T2567" s="19" t="s">
        <v>62</v>
      </c>
    </row>
    <row r="2568" spans="1:20" x14ac:dyDescent="0.25">
      <c r="A2568" s="20">
        <v>42149</v>
      </c>
      <c r="B2568" s="183">
        <v>22142</v>
      </c>
      <c r="C2568" s="14" t="s">
        <v>14</v>
      </c>
      <c r="D2568" s="105">
        <v>3933.6</v>
      </c>
      <c r="E2568" s="65">
        <v>42153</v>
      </c>
      <c r="F2568" s="106">
        <v>3933.6</v>
      </c>
      <c r="G2568" s="31">
        <f t="shared" si="80"/>
        <v>0</v>
      </c>
      <c r="H2568" s="39" t="s">
        <v>9</v>
      </c>
      <c r="I2568" s="3"/>
      <c r="J2568" s="42"/>
      <c r="K2568" s="3"/>
      <c r="M2568" s="20">
        <v>42130</v>
      </c>
      <c r="N2568" s="183">
        <v>20146</v>
      </c>
      <c r="O2568" s="14" t="s">
        <v>61</v>
      </c>
      <c r="P2568" s="105">
        <v>3713.6</v>
      </c>
      <c r="Q2568" s="23">
        <v>42132</v>
      </c>
      <c r="R2568" s="106">
        <v>3713.6</v>
      </c>
      <c r="S2568" s="31">
        <f t="shared" si="81"/>
        <v>0</v>
      </c>
      <c r="T2568" s="39" t="s">
        <v>62</v>
      </c>
    </row>
    <row r="2569" spans="1:20" x14ac:dyDescent="0.25">
      <c r="A2569" s="20">
        <v>42149</v>
      </c>
      <c r="B2569" s="183">
        <v>22143</v>
      </c>
      <c r="C2569" s="14" t="s">
        <v>1338</v>
      </c>
      <c r="D2569" s="105">
        <v>26560.3</v>
      </c>
      <c r="E2569" s="65">
        <v>42153</v>
      </c>
      <c r="F2569" s="106">
        <v>26560.3</v>
      </c>
      <c r="G2569" s="31">
        <f t="shared" si="80"/>
        <v>0</v>
      </c>
      <c r="H2569" s="39" t="s">
        <v>59</v>
      </c>
      <c r="I2569" s="3"/>
      <c r="J2569" s="42"/>
      <c r="K2569" s="3"/>
      <c r="M2569" s="20">
        <v>42132</v>
      </c>
      <c r="N2569" s="183">
        <v>20432</v>
      </c>
      <c r="O2569" s="14" t="s">
        <v>61</v>
      </c>
      <c r="P2569" s="105">
        <v>6255</v>
      </c>
      <c r="Q2569" s="23">
        <v>42134</v>
      </c>
      <c r="R2569" s="106">
        <v>6255</v>
      </c>
      <c r="S2569" s="31">
        <f t="shared" si="81"/>
        <v>0</v>
      </c>
      <c r="T2569" s="19" t="s">
        <v>9</v>
      </c>
    </row>
    <row r="2570" spans="1:20" x14ac:dyDescent="0.25">
      <c r="A2570" s="20">
        <v>42149</v>
      </c>
      <c r="B2570" s="183">
        <v>22144</v>
      </c>
      <c r="C2570" s="14" t="s">
        <v>169</v>
      </c>
      <c r="D2570" s="105">
        <v>1624.8</v>
      </c>
      <c r="E2570" s="65">
        <v>42150</v>
      </c>
      <c r="F2570" s="106">
        <v>1624.8</v>
      </c>
      <c r="G2570" s="31">
        <f t="shared" si="80"/>
        <v>0</v>
      </c>
      <c r="H2570" s="39" t="s">
        <v>59</v>
      </c>
      <c r="I2570" s="3"/>
      <c r="J2570" s="42"/>
      <c r="K2570" s="3"/>
      <c r="M2570" s="20">
        <v>42135</v>
      </c>
      <c r="N2570" s="183">
        <v>20744</v>
      </c>
      <c r="O2570" s="14" t="s">
        <v>61</v>
      </c>
      <c r="P2570" s="105">
        <v>4581.8</v>
      </c>
      <c r="Q2570" s="23">
        <v>42136</v>
      </c>
      <c r="R2570" s="106">
        <v>4581.8</v>
      </c>
      <c r="S2570" s="31">
        <f t="shared" si="81"/>
        <v>0</v>
      </c>
      <c r="T2570" s="19" t="s">
        <v>62</v>
      </c>
    </row>
    <row r="2571" spans="1:20" x14ac:dyDescent="0.25">
      <c r="A2571" s="20">
        <v>42149</v>
      </c>
      <c r="B2571" s="183">
        <v>22145</v>
      </c>
      <c r="C2571" s="14" t="s">
        <v>82</v>
      </c>
      <c r="D2571" s="105">
        <v>3486</v>
      </c>
      <c r="E2571" s="65">
        <v>42149</v>
      </c>
      <c r="F2571" s="106">
        <v>3486</v>
      </c>
      <c r="G2571" s="31">
        <f t="shared" si="80"/>
        <v>0</v>
      </c>
      <c r="H2571" s="39" t="s">
        <v>59</v>
      </c>
      <c r="I2571" s="3"/>
      <c r="J2571" s="42"/>
      <c r="K2571" s="3"/>
      <c r="M2571" s="20">
        <v>42137</v>
      </c>
      <c r="N2571" s="183">
        <v>20923</v>
      </c>
      <c r="O2571" s="14" t="s">
        <v>61</v>
      </c>
      <c r="P2571" s="105">
        <v>3389</v>
      </c>
      <c r="Q2571" s="23">
        <v>42138</v>
      </c>
      <c r="R2571" s="106">
        <v>3389</v>
      </c>
      <c r="S2571" s="31">
        <f t="shared" si="81"/>
        <v>0</v>
      </c>
      <c r="T2571" s="19" t="s">
        <v>62</v>
      </c>
    </row>
    <row r="2572" spans="1:20" x14ac:dyDescent="0.25">
      <c r="A2572" s="20">
        <v>42149</v>
      </c>
      <c r="B2572" s="183">
        <v>22146</v>
      </c>
      <c r="C2572" s="14" t="s">
        <v>1187</v>
      </c>
      <c r="D2572" s="105">
        <v>502.2</v>
      </c>
      <c r="E2572" s="65">
        <v>42149</v>
      </c>
      <c r="F2572" s="106">
        <v>502.2</v>
      </c>
      <c r="G2572" s="31">
        <f t="shared" si="80"/>
        <v>0</v>
      </c>
      <c r="H2572" s="39" t="s">
        <v>59</v>
      </c>
      <c r="I2572" s="3"/>
      <c r="J2572" s="42"/>
      <c r="K2572" s="3"/>
      <c r="M2572" s="20">
        <v>42139</v>
      </c>
      <c r="N2572" s="183">
        <v>21183</v>
      </c>
      <c r="O2572" s="150" t="s">
        <v>61</v>
      </c>
      <c r="P2572" s="105">
        <v>7071.6</v>
      </c>
      <c r="Q2572" s="23">
        <v>42140</v>
      </c>
      <c r="R2572" s="106">
        <v>7071.6</v>
      </c>
      <c r="S2572" s="48">
        <f t="shared" si="81"/>
        <v>0</v>
      </c>
      <c r="T2572" s="39" t="s">
        <v>62</v>
      </c>
    </row>
    <row r="2573" spans="1:20" x14ac:dyDescent="0.25">
      <c r="A2573" s="20">
        <v>42149</v>
      </c>
      <c r="B2573" s="183">
        <v>22147</v>
      </c>
      <c r="C2573" s="14" t="s">
        <v>167</v>
      </c>
      <c r="D2573" s="105">
        <v>578.4</v>
      </c>
      <c r="E2573" s="65">
        <v>42149</v>
      </c>
      <c r="F2573" s="106">
        <v>578.4</v>
      </c>
      <c r="G2573" s="31">
        <f t="shared" si="80"/>
        <v>0</v>
      </c>
      <c r="H2573" s="39" t="s">
        <v>59</v>
      </c>
      <c r="I2573" s="3"/>
      <c r="J2573" s="42"/>
      <c r="K2573" s="3"/>
      <c r="M2573" s="20">
        <v>42139</v>
      </c>
      <c r="N2573" s="183">
        <v>21187</v>
      </c>
      <c r="O2573" s="14" t="s">
        <v>61</v>
      </c>
      <c r="P2573" s="105">
        <v>2331.6</v>
      </c>
      <c r="Q2573" s="23">
        <v>42140</v>
      </c>
      <c r="R2573" s="106">
        <v>2331.6</v>
      </c>
      <c r="S2573" s="48">
        <f t="shared" si="81"/>
        <v>0</v>
      </c>
      <c r="T2573" s="39" t="s">
        <v>62</v>
      </c>
    </row>
    <row r="2574" spans="1:20" x14ac:dyDescent="0.25">
      <c r="A2574" s="20">
        <v>42149</v>
      </c>
      <c r="B2574" s="183">
        <v>22148</v>
      </c>
      <c r="C2574" s="14" t="s">
        <v>103</v>
      </c>
      <c r="D2574" s="105">
        <v>26687.96</v>
      </c>
      <c r="E2574" s="65">
        <v>42149</v>
      </c>
      <c r="F2574" s="106">
        <v>26687.96</v>
      </c>
      <c r="G2574" s="31">
        <f t="shared" si="80"/>
        <v>0</v>
      </c>
      <c r="H2574" s="39" t="s">
        <v>94</v>
      </c>
      <c r="I2574" s="3"/>
      <c r="J2574" s="42"/>
      <c r="K2574" s="3"/>
      <c r="M2574" s="20">
        <v>42142</v>
      </c>
      <c r="N2574" s="183">
        <v>21470</v>
      </c>
      <c r="O2574" s="14" t="s">
        <v>61</v>
      </c>
      <c r="P2574" s="105">
        <v>2835.8</v>
      </c>
      <c r="Q2574" s="65">
        <v>42144</v>
      </c>
      <c r="R2574" s="106">
        <v>2835.8</v>
      </c>
      <c r="S2574" s="31">
        <f t="shared" si="81"/>
        <v>0</v>
      </c>
      <c r="T2574" s="19" t="s">
        <v>9</v>
      </c>
    </row>
    <row r="2575" spans="1:20" x14ac:dyDescent="0.25">
      <c r="A2575" s="20">
        <v>42149</v>
      </c>
      <c r="B2575" s="183">
        <v>22149</v>
      </c>
      <c r="C2575" s="14" t="s">
        <v>81</v>
      </c>
      <c r="D2575" s="105">
        <v>1795</v>
      </c>
      <c r="E2575" s="65">
        <v>42149</v>
      </c>
      <c r="F2575" s="106">
        <v>1795</v>
      </c>
      <c r="G2575" s="31">
        <f t="shared" si="80"/>
        <v>0</v>
      </c>
      <c r="H2575" s="39" t="s">
        <v>59</v>
      </c>
      <c r="I2575" s="3"/>
      <c r="J2575" s="42"/>
      <c r="K2575" s="3"/>
      <c r="M2575" s="20">
        <v>42144</v>
      </c>
      <c r="N2575" s="183">
        <v>21676</v>
      </c>
      <c r="O2575" s="14" t="s">
        <v>61</v>
      </c>
      <c r="P2575" s="105">
        <v>5990.4</v>
      </c>
      <c r="Q2575" s="23">
        <v>42145</v>
      </c>
      <c r="R2575" s="118">
        <v>5990.4</v>
      </c>
      <c r="S2575" s="31">
        <f t="shared" si="81"/>
        <v>0</v>
      </c>
      <c r="T2575" s="62" t="s">
        <v>62</v>
      </c>
    </row>
    <row r="2576" spans="1:20" x14ac:dyDescent="0.25">
      <c r="A2576" s="20">
        <v>42149</v>
      </c>
      <c r="B2576" s="183">
        <v>22150</v>
      </c>
      <c r="C2576" s="14" t="s">
        <v>126</v>
      </c>
      <c r="D2576" s="105">
        <v>3559.7</v>
      </c>
      <c r="E2576" s="65">
        <v>42149</v>
      </c>
      <c r="F2576" s="106">
        <v>3559.7</v>
      </c>
      <c r="G2576" s="31">
        <f t="shared" si="80"/>
        <v>0</v>
      </c>
      <c r="H2576" s="39" t="s">
        <v>59</v>
      </c>
      <c r="I2576" s="3"/>
      <c r="J2576" s="42"/>
      <c r="K2576" s="3"/>
      <c r="M2576" s="20">
        <v>42148</v>
      </c>
      <c r="N2576" s="183">
        <v>22131</v>
      </c>
      <c r="O2576" s="14" t="s">
        <v>61</v>
      </c>
      <c r="P2576" s="105">
        <v>9376.7999999999993</v>
      </c>
      <c r="Q2576" s="65">
        <v>42148</v>
      </c>
      <c r="R2576" s="106">
        <v>9376.7999999999993</v>
      </c>
      <c r="S2576" s="31">
        <f t="shared" si="81"/>
        <v>0</v>
      </c>
      <c r="T2576" s="39" t="s">
        <v>9</v>
      </c>
    </row>
    <row r="2577" spans="1:20" x14ac:dyDescent="0.25">
      <c r="A2577" s="20">
        <v>42149</v>
      </c>
      <c r="B2577" s="183">
        <v>22151</v>
      </c>
      <c r="C2577" s="14" t="s">
        <v>121</v>
      </c>
      <c r="D2577" s="105">
        <v>3275.6</v>
      </c>
      <c r="E2577" s="65">
        <v>42149</v>
      </c>
      <c r="F2577" s="106">
        <v>3275.6</v>
      </c>
      <c r="G2577" s="31">
        <f t="shared" si="80"/>
        <v>0</v>
      </c>
      <c r="H2577" s="39" t="s">
        <v>9</v>
      </c>
      <c r="I2577" s="3"/>
      <c r="J2577" s="42"/>
      <c r="K2577" s="3"/>
      <c r="M2577" s="20">
        <v>42151</v>
      </c>
      <c r="N2577" s="183">
        <v>22404</v>
      </c>
      <c r="O2577" s="14" t="s">
        <v>61</v>
      </c>
      <c r="P2577" s="105">
        <v>9032.08</v>
      </c>
      <c r="Q2577" s="23">
        <v>42152</v>
      </c>
      <c r="R2577" s="106">
        <v>9032.08</v>
      </c>
      <c r="S2577" s="31">
        <f t="shared" si="81"/>
        <v>0</v>
      </c>
      <c r="T2577" s="39" t="s">
        <v>62</v>
      </c>
    </row>
    <row r="2578" spans="1:20" x14ac:dyDescent="0.25">
      <c r="A2578" s="20">
        <v>42149</v>
      </c>
      <c r="B2578" s="183">
        <v>22152</v>
      </c>
      <c r="C2578" s="14" t="s">
        <v>115</v>
      </c>
      <c r="D2578" s="105">
        <v>7233.6</v>
      </c>
      <c r="E2578" s="65">
        <v>42149</v>
      </c>
      <c r="F2578" s="106">
        <v>7233.6</v>
      </c>
      <c r="G2578" s="31">
        <f t="shared" si="80"/>
        <v>0</v>
      </c>
      <c r="H2578" s="39" t="s">
        <v>9</v>
      </c>
      <c r="I2578" s="3"/>
      <c r="J2578" s="42"/>
      <c r="K2578" s="3"/>
      <c r="M2578" s="20">
        <v>42152</v>
      </c>
      <c r="N2578" s="183">
        <v>22542</v>
      </c>
      <c r="O2578" s="14" t="s">
        <v>61</v>
      </c>
      <c r="P2578" s="105">
        <v>3141.7</v>
      </c>
      <c r="Q2578" s="23">
        <v>42154</v>
      </c>
      <c r="R2578" s="106">
        <v>3141.7</v>
      </c>
      <c r="S2578" s="31">
        <f t="shared" si="81"/>
        <v>0</v>
      </c>
      <c r="T2578" s="39" t="s">
        <v>149</v>
      </c>
    </row>
    <row r="2579" spans="1:20" x14ac:dyDescent="0.25">
      <c r="A2579" s="20">
        <v>42149</v>
      </c>
      <c r="B2579" s="183">
        <v>22153</v>
      </c>
      <c r="C2579" s="14" t="s">
        <v>239</v>
      </c>
      <c r="D2579" s="105">
        <v>4666.2</v>
      </c>
      <c r="E2579" s="65">
        <v>42149</v>
      </c>
      <c r="F2579" s="106">
        <v>4666.2</v>
      </c>
      <c r="G2579" s="31">
        <f t="shared" si="80"/>
        <v>0</v>
      </c>
      <c r="H2579" s="39" t="s">
        <v>9</v>
      </c>
      <c r="I2579" s="3"/>
      <c r="J2579" s="42"/>
      <c r="K2579" s="3"/>
      <c r="M2579" s="20">
        <v>42153</v>
      </c>
      <c r="N2579" s="183">
        <v>22631</v>
      </c>
      <c r="O2579" s="14" t="s">
        <v>61</v>
      </c>
      <c r="P2579" s="105">
        <v>4108.2</v>
      </c>
      <c r="Q2579" s="23">
        <v>42155</v>
      </c>
      <c r="R2579" s="106">
        <v>4108.2</v>
      </c>
      <c r="S2579" s="31">
        <f t="shared" si="81"/>
        <v>0</v>
      </c>
      <c r="T2579" s="39" t="s">
        <v>62</v>
      </c>
    </row>
    <row r="2580" spans="1:20" x14ac:dyDescent="0.25">
      <c r="A2580" s="20">
        <v>42149</v>
      </c>
      <c r="B2580" s="183">
        <v>22154</v>
      </c>
      <c r="C2580" s="26" t="s">
        <v>218</v>
      </c>
      <c r="D2580" s="108">
        <v>0</v>
      </c>
      <c r="E2580" s="65"/>
      <c r="F2580" s="106"/>
      <c r="G2580" s="31">
        <f t="shared" si="80"/>
        <v>0</v>
      </c>
      <c r="H2580" s="39" t="s">
        <v>13</v>
      </c>
      <c r="I2580" s="3"/>
      <c r="J2580" s="42"/>
      <c r="K2580" s="3"/>
      <c r="M2580" s="20">
        <v>42153</v>
      </c>
      <c r="N2580" s="183">
        <v>22632</v>
      </c>
      <c r="O2580" s="14" t="s">
        <v>61</v>
      </c>
      <c r="P2580" s="105">
        <v>3838.02</v>
      </c>
      <c r="Q2580" s="23">
        <v>42155</v>
      </c>
      <c r="R2580" s="106">
        <v>3838.02</v>
      </c>
      <c r="S2580" s="31">
        <f t="shared" si="81"/>
        <v>0</v>
      </c>
      <c r="T2580" s="39" t="s">
        <v>62</v>
      </c>
    </row>
    <row r="2581" spans="1:20" x14ac:dyDescent="0.25">
      <c r="A2581" s="20">
        <v>42149</v>
      </c>
      <c r="B2581" s="183">
        <v>22155</v>
      </c>
      <c r="C2581" s="14" t="s">
        <v>32</v>
      </c>
      <c r="D2581" s="105">
        <v>54265.599999999999</v>
      </c>
      <c r="E2581" s="74">
        <v>42171</v>
      </c>
      <c r="F2581" s="144">
        <v>54265.599999999999</v>
      </c>
      <c r="G2581" s="31">
        <f t="shared" si="80"/>
        <v>0</v>
      </c>
      <c r="H2581" s="39" t="s">
        <v>9</v>
      </c>
      <c r="I2581" s="3"/>
      <c r="J2581" s="42"/>
      <c r="K2581" s="3"/>
      <c r="M2581" s="20">
        <v>42128</v>
      </c>
      <c r="N2581" s="183">
        <v>20012</v>
      </c>
      <c r="O2581" s="14" t="s">
        <v>350</v>
      </c>
      <c r="P2581" s="105">
        <v>2222</v>
      </c>
      <c r="Q2581" s="23">
        <v>42130</v>
      </c>
      <c r="R2581" s="106">
        <v>2222</v>
      </c>
      <c r="S2581" s="31">
        <f t="shared" si="81"/>
        <v>0</v>
      </c>
      <c r="T2581" s="19" t="s">
        <v>149</v>
      </c>
    </row>
    <row r="2582" spans="1:20" x14ac:dyDescent="0.25">
      <c r="A2582" s="20">
        <v>42149</v>
      </c>
      <c r="B2582" s="183">
        <v>22156</v>
      </c>
      <c r="C2582" s="14" t="s">
        <v>114</v>
      </c>
      <c r="D2582" s="105">
        <v>2757.2</v>
      </c>
      <c r="E2582" s="65">
        <v>42149</v>
      </c>
      <c r="F2582" s="106">
        <v>2757.2</v>
      </c>
      <c r="G2582" s="31">
        <f t="shared" si="80"/>
        <v>0</v>
      </c>
      <c r="H2582" s="39" t="s">
        <v>9</v>
      </c>
      <c r="I2582" s="3"/>
      <c r="J2582" s="42"/>
      <c r="K2582" s="3"/>
      <c r="M2582" s="20">
        <v>42145</v>
      </c>
      <c r="N2582" s="183">
        <v>21825</v>
      </c>
      <c r="O2582" s="15" t="s">
        <v>350</v>
      </c>
      <c r="P2582" s="122">
        <v>2607</v>
      </c>
      <c r="Q2582" s="23">
        <v>42149</v>
      </c>
      <c r="R2582" s="118">
        <v>2607</v>
      </c>
      <c r="S2582" s="31">
        <f t="shared" si="81"/>
        <v>0</v>
      </c>
      <c r="T2582" s="68" t="s">
        <v>149</v>
      </c>
    </row>
    <row r="2583" spans="1:20" x14ac:dyDescent="0.25">
      <c r="A2583" s="20">
        <v>42149</v>
      </c>
      <c r="B2583" s="183">
        <v>22157</v>
      </c>
      <c r="C2583" s="14" t="s">
        <v>22</v>
      </c>
      <c r="D2583" s="105">
        <v>3179.2</v>
      </c>
      <c r="E2583" s="65">
        <v>42149</v>
      </c>
      <c r="F2583" s="106">
        <v>3179.2</v>
      </c>
      <c r="G2583" s="31">
        <f t="shared" si="80"/>
        <v>0</v>
      </c>
      <c r="H2583" s="39" t="s">
        <v>9</v>
      </c>
      <c r="I2583" s="3"/>
      <c r="J2583" s="42"/>
      <c r="K2583" s="3"/>
      <c r="M2583" s="20">
        <v>42149</v>
      </c>
      <c r="N2583" s="183">
        <v>22246</v>
      </c>
      <c r="O2583" s="14" t="s">
        <v>350</v>
      </c>
      <c r="P2583" s="105">
        <v>395.2</v>
      </c>
      <c r="Q2583" s="65">
        <v>42151</v>
      </c>
      <c r="R2583" s="106">
        <v>395.2</v>
      </c>
      <c r="S2583" s="31">
        <f t="shared" si="81"/>
        <v>0</v>
      </c>
      <c r="T2583" s="39" t="s">
        <v>149</v>
      </c>
    </row>
    <row r="2584" spans="1:20" x14ac:dyDescent="0.25">
      <c r="A2584" s="20">
        <v>42149</v>
      </c>
      <c r="B2584" s="183">
        <v>22158</v>
      </c>
      <c r="C2584" s="14" t="s">
        <v>226</v>
      </c>
      <c r="D2584" s="105">
        <v>781.2</v>
      </c>
      <c r="E2584" s="65">
        <v>42149</v>
      </c>
      <c r="F2584" s="106">
        <v>781.2</v>
      </c>
      <c r="G2584" s="31">
        <f t="shared" si="80"/>
        <v>0</v>
      </c>
      <c r="H2584" s="39" t="s">
        <v>1273</v>
      </c>
      <c r="I2584" s="3"/>
      <c r="J2584" s="42"/>
      <c r="K2584" s="3"/>
      <c r="M2584" s="20">
        <v>42142</v>
      </c>
      <c r="N2584" s="183">
        <v>21460</v>
      </c>
      <c r="O2584" s="14" t="s">
        <v>185</v>
      </c>
      <c r="P2584" s="105">
        <v>61267.199999999997</v>
      </c>
      <c r="Q2584" s="65">
        <v>42142</v>
      </c>
      <c r="R2584" s="106">
        <v>61267.199999999997</v>
      </c>
      <c r="S2584" s="31">
        <f t="shared" si="81"/>
        <v>0</v>
      </c>
      <c r="T2584" s="19" t="s">
        <v>46</v>
      </c>
    </row>
    <row r="2585" spans="1:20" x14ac:dyDescent="0.25">
      <c r="A2585" s="20">
        <v>42149</v>
      </c>
      <c r="B2585" s="183">
        <v>22159</v>
      </c>
      <c r="C2585" s="14" t="s">
        <v>99</v>
      </c>
      <c r="D2585" s="105">
        <v>2279.1999999999998</v>
      </c>
      <c r="E2585" s="65">
        <v>42149</v>
      </c>
      <c r="F2585" s="106">
        <v>2279.1999999999998</v>
      </c>
      <c r="G2585" s="31">
        <f t="shared" si="80"/>
        <v>0</v>
      </c>
      <c r="H2585" s="39" t="s">
        <v>1273</v>
      </c>
      <c r="I2585" s="3"/>
      <c r="J2585" s="42"/>
      <c r="K2585" s="3"/>
      <c r="M2585" s="20">
        <v>42150</v>
      </c>
      <c r="N2585" s="183">
        <v>22294</v>
      </c>
      <c r="O2585" s="14" t="s">
        <v>185</v>
      </c>
      <c r="P2585" s="105">
        <v>36013.199999999997</v>
      </c>
      <c r="Q2585" s="65">
        <v>42151</v>
      </c>
      <c r="R2585" s="106">
        <v>36013.199999999997</v>
      </c>
      <c r="S2585" s="31">
        <f t="shared" si="81"/>
        <v>0</v>
      </c>
      <c r="T2585" s="39" t="s">
        <v>46</v>
      </c>
    </row>
    <row r="2586" spans="1:20" x14ac:dyDescent="0.25">
      <c r="A2586" s="20">
        <v>42149</v>
      </c>
      <c r="B2586" s="183">
        <v>22160</v>
      </c>
      <c r="C2586" s="14" t="s">
        <v>135</v>
      </c>
      <c r="D2586" s="105">
        <v>4695.6000000000004</v>
      </c>
      <c r="E2586" s="65">
        <v>42149</v>
      </c>
      <c r="F2586" s="106">
        <v>4695.6000000000004</v>
      </c>
      <c r="G2586" s="31">
        <f t="shared" si="80"/>
        <v>0</v>
      </c>
      <c r="H2586" s="39" t="s">
        <v>9</v>
      </c>
      <c r="I2586" s="3"/>
      <c r="J2586" s="42"/>
      <c r="K2586" s="3"/>
      <c r="M2586" s="20">
        <v>42126</v>
      </c>
      <c r="N2586" s="183">
        <v>19755</v>
      </c>
      <c r="O2586" s="40" t="s">
        <v>264</v>
      </c>
      <c r="P2586" s="105">
        <v>780</v>
      </c>
      <c r="Q2586" s="23">
        <v>42126</v>
      </c>
      <c r="R2586" s="106">
        <v>780</v>
      </c>
      <c r="S2586" s="25">
        <f t="shared" si="81"/>
        <v>0</v>
      </c>
      <c r="T2586" s="41" t="s">
        <v>9</v>
      </c>
    </row>
    <row r="2587" spans="1:20" x14ac:dyDescent="0.25">
      <c r="A2587" s="20">
        <v>42149</v>
      </c>
      <c r="B2587" s="183">
        <v>22161</v>
      </c>
      <c r="C2587" s="14" t="s">
        <v>1172</v>
      </c>
      <c r="D2587" s="105">
        <v>34967.800000000003</v>
      </c>
      <c r="E2587" s="65">
        <v>42149</v>
      </c>
      <c r="F2587" s="106">
        <v>34967.800000000003</v>
      </c>
      <c r="G2587" s="31">
        <f t="shared" si="80"/>
        <v>0</v>
      </c>
      <c r="H2587" s="39" t="s">
        <v>587</v>
      </c>
      <c r="I2587" s="3"/>
      <c r="J2587" s="42"/>
      <c r="K2587" s="3"/>
      <c r="M2587" s="20">
        <v>42143</v>
      </c>
      <c r="N2587" s="183">
        <v>21602</v>
      </c>
      <c r="O2587" s="14" t="s">
        <v>1422</v>
      </c>
      <c r="P2587" s="105">
        <v>648</v>
      </c>
      <c r="Q2587" s="23">
        <v>42144</v>
      </c>
      <c r="R2587" s="118">
        <v>648</v>
      </c>
      <c r="S2587" s="31">
        <f t="shared" si="81"/>
        <v>0</v>
      </c>
      <c r="T2587" s="56" t="s">
        <v>9</v>
      </c>
    </row>
    <row r="2588" spans="1:20" x14ac:dyDescent="0.25">
      <c r="A2588" s="20">
        <v>42149</v>
      </c>
      <c r="B2588" s="183">
        <v>22162</v>
      </c>
      <c r="C2588" s="14" t="s">
        <v>940</v>
      </c>
      <c r="D2588" s="105">
        <v>2131.1999999999998</v>
      </c>
      <c r="E2588" s="65">
        <v>42149</v>
      </c>
      <c r="F2588" s="106">
        <v>2131.1999999999998</v>
      </c>
      <c r="G2588" s="31">
        <f t="shared" si="80"/>
        <v>0</v>
      </c>
      <c r="H2588" s="39" t="s">
        <v>587</v>
      </c>
      <c r="I2588" s="3"/>
      <c r="J2588" s="42"/>
      <c r="K2588" s="3"/>
      <c r="M2588" s="20">
        <v>42135</v>
      </c>
      <c r="N2588" s="183">
        <v>20741</v>
      </c>
      <c r="O2588" s="14" t="s">
        <v>101</v>
      </c>
      <c r="P2588" s="105">
        <v>1397.84</v>
      </c>
      <c r="Q2588" s="23">
        <v>42136</v>
      </c>
      <c r="R2588" s="106">
        <v>1397.84</v>
      </c>
      <c r="S2588" s="31">
        <f t="shared" si="81"/>
        <v>0</v>
      </c>
      <c r="T2588" s="19" t="s">
        <v>94</v>
      </c>
    </row>
    <row r="2589" spans="1:20" x14ac:dyDescent="0.25">
      <c r="A2589" s="20">
        <v>42149</v>
      </c>
      <c r="B2589" s="183">
        <v>22163</v>
      </c>
      <c r="C2589" s="14" t="s">
        <v>1261</v>
      </c>
      <c r="D2589" s="105">
        <v>11583</v>
      </c>
      <c r="E2589" s="65">
        <v>42149</v>
      </c>
      <c r="F2589" s="106">
        <v>11583</v>
      </c>
      <c r="G2589" s="31">
        <f t="shared" si="80"/>
        <v>0</v>
      </c>
      <c r="H2589" s="39" t="s">
        <v>587</v>
      </c>
      <c r="I2589" s="3"/>
      <c r="J2589" s="42"/>
      <c r="K2589" s="3"/>
      <c r="M2589" s="20">
        <v>42149</v>
      </c>
      <c r="N2589" s="183">
        <v>22205</v>
      </c>
      <c r="O2589" s="14" t="s">
        <v>101</v>
      </c>
      <c r="P2589" s="105">
        <v>600</v>
      </c>
      <c r="Q2589" s="65">
        <v>42150</v>
      </c>
      <c r="R2589" s="106">
        <v>600</v>
      </c>
      <c r="S2589" s="31">
        <f t="shared" si="81"/>
        <v>0</v>
      </c>
      <c r="T2589" s="39" t="s">
        <v>94</v>
      </c>
    </row>
    <row r="2590" spans="1:20" x14ac:dyDescent="0.25">
      <c r="A2590" s="20">
        <v>42149</v>
      </c>
      <c r="B2590" s="183">
        <v>22164</v>
      </c>
      <c r="C2590" s="14" t="s">
        <v>125</v>
      </c>
      <c r="D2590" s="105">
        <v>13011.2</v>
      </c>
      <c r="E2590" s="65">
        <v>42149</v>
      </c>
      <c r="F2590" s="106">
        <v>13011.2</v>
      </c>
      <c r="G2590" s="31">
        <f t="shared" si="80"/>
        <v>0</v>
      </c>
      <c r="H2590" s="39" t="s">
        <v>773</v>
      </c>
      <c r="I2590" s="3"/>
      <c r="J2590" s="42"/>
      <c r="K2590" s="3"/>
      <c r="M2590" s="20">
        <v>42147</v>
      </c>
      <c r="N2590" s="183">
        <v>22044</v>
      </c>
      <c r="O2590" s="110" t="s">
        <v>337</v>
      </c>
      <c r="P2590" s="105">
        <v>756.4</v>
      </c>
      <c r="Q2590" s="65">
        <v>42149</v>
      </c>
      <c r="R2590" s="106">
        <v>756.4</v>
      </c>
      <c r="S2590" s="31">
        <f t="shared" si="81"/>
        <v>0</v>
      </c>
      <c r="T2590" s="39" t="s">
        <v>1273</v>
      </c>
    </row>
    <row r="2591" spans="1:20" x14ac:dyDescent="0.25">
      <c r="A2591" s="20">
        <v>42149</v>
      </c>
      <c r="B2591" s="183">
        <v>22165</v>
      </c>
      <c r="C2591" s="14" t="s">
        <v>294</v>
      </c>
      <c r="D2591" s="105">
        <v>3370.8</v>
      </c>
      <c r="E2591" s="65">
        <v>42149</v>
      </c>
      <c r="F2591" s="106">
        <v>3370.8</v>
      </c>
      <c r="G2591" s="31">
        <f t="shared" si="80"/>
        <v>0</v>
      </c>
      <c r="H2591" s="39" t="s">
        <v>9</v>
      </c>
      <c r="I2591" s="3"/>
      <c r="J2591" s="42"/>
      <c r="K2591" s="3"/>
      <c r="M2591" s="20">
        <v>42142</v>
      </c>
      <c r="N2591" s="183">
        <v>21479</v>
      </c>
      <c r="O2591" s="14" t="s">
        <v>237</v>
      </c>
      <c r="P2591" s="105">
        <v>260</v>
      </c>
      <c r="Q2591" s="65">
        <v>42142</v>
      </c>
      <c r="R2591" s="106">
        <v>260</v>
      </c>
      <c r="S2591" s="31">
        <f t="shared" si="81"/>
        <v>0</v>
      </c>
      <c r="T2591" s="19" t="s">
        <v>9</v>
      </c>
    </row>
    <row r="2592" spans="1:20" x14ac:dyDescent="0.25">
      <c r="A2592" s="20">
        <v>42149</v>
      </c>
      <c r="B2592" s="183">
        <v>22166</v>
      </c>
      <c r="C2592" s="14" t="s">
        <v>1425</v>
      </c>
      <c r="D2592" s="105">
        <v>1993.5</v>
      </c>
      <c r="E2592" s="65">
        <v>42151</v>
      </c>
      <c r="F2592" s="106">
        <v>1993.5</v>
      </c>
      <c r="G2592" s="31">
        <f t="shared" si="80"/>
        <v>0</v>
      </c>
      <c r="H2592" s="39" t="s">
        <v>9</v>
      </c>
      <c r="I2592" s="3"/>
      <c r="J2592" s="42"/>
      <c r="K2592" s="3"/>
      <c r="M2592" s="20">
        <v>42125</v>
      </c>
      <c r="N2592" s="183">
        <v>19666</v>
      </c>
      <c r="O2592" s="14" t="s">
        <v>98</v>
      </c>
      <c r="P2592" s="105">
        <v>5886.1</v>
      </c>
      <c r="Q2592" s="23">
        <v>42125</v>
      </c>
      <c r="R2592" s="106">
        <v>5886.1</v>
      </c>
      <c r="S2592" s="25">
        <f t="shared" si="81"/>
        <v>0</v>
      </c>
      <c r="T2592" s="39" t="s">
        <v>9</v>
      </c>
    </row>
    <row r="2593" spans="1:20" x14ac:dyDescent="0.25">
      <c r="A2593" s="20">
        <v>42149</v>
      </c>
      <c r="B2593" s="183">
        <v>22167</v>
      </c>
      <c r="C2593" s="14" t="s">
        <v>1425</v>
      </c>
      <c r="D2593" s="105">
        <v>2537.6999999999998</v>
      </c>
      <c r="E2593" s="65">
        <v>42149</v>
      </c>
      <c r="F2593" s="106">
        <v>2537.6999999999998</v>
      </c>
      <c r="G2593" s="31">
        <f t="shared" si="80"/>
        <v>0</v>
      </c>
      <c r="H2593" s="39" t="s">
        <v>9</v>
      </c>
      <c r="I2593" s="3"/>
      <c r="J2593" s="42"/>
      <c r="K2593" s="3"/>
      <c r="M2593" s="20">
        <v>42125</v>
      </c>
      <c r="N2593" s="183">
        <v>19667</v>
      </c>
      <c r="O2593" s="14" t="s">
        <v>98</v>
      </c>
      <c r="P2593" s="105">
        <v>247.2</v>
      </c>
      <c r="Q2593" s="23">
        <v>42125</v>
      </c>
      <c r="R2593" s="106">
        <v>247.2</v>
      </c>
      <c r="S2593" s="25">
        <f t="shared" si="81"/>
        <v>0</v>
      </c>
      <c r="T2593" s="39" t="s">
        <v>19</v>
      </c>
    </row>
    <row r="2594" spans="1:20" x14ac:dyDescent="0.25">
      <c r="A2594" s="20">
        <v>42149</v>
      </c>
      <c r="B2594" s="183">
        <v>22168</v>
      </c>
      <c r="C2594" s="14" t="s">
        <v>173</v>
      </c>
      <c r="D2594" s="105">
        <v>22275.1</v>
      </c>
      <c r="E2594" s="74" t="s">
        <v>1464</v>
      </c>
      <c r="F2594" s="144">
        <v>22275.1</v>
      </c>
      <c r="G2594" s="31">
        <f t="shared" si="80"/>
        <v>0</v>
      </c>
      <c r="H2594" s="39" t="s">
        <v>62</v>
      </c>
      <c r="I2594" s="3"/>
      <c r="J2594" s="42"/>
      <c r="K2594" s="3"/>
      <c r="M2594" s="20">
        <v>42126</v>
      </c>
      <c r="N2594" s="183">
        <v>19792</v>
      </c>
      <c r="O2594" s="40" t="s">
        <v>98</v>
      </c>
      <c r="P2594" s="105">
        <v>2319.5500000000002</v>
      </c>
      <c r="Q2594" s="23">
        <v>42128</v>
      </c>
      <c r="R2594" s="106">
        <v>2319.5500000000002</v>
      </c>
      <c r="S2594" s="31">
        <f t="shared" si="81"/>
        <v>0</v>
      </c>
      <c r="T2594" s="41" t="s">
        <v>19</v>
      </c>
    </row>
    <row r="2595" spans="1:20" x14ac:dyDescent="0.25">
      <c r="A2595" s="20">
        <v>42149</v>
      </c>
      <c r="B2595" s="183">
        <v>22169</v>
      </c>
      <c r="C2595" s="14" t="s">
        <v>176</v>
      </c>
      <c r="D2595" s="105">
        <v>14575.2</v>
      </c>
      <c r="E2595" s="74" t="s">
        <v>1452</v>
      </c>
      <c r="F2595" s="144">
        <v>14575.2</v>
      </c>
      <c r="G2595" s="31">
        <f t="shared" si="80"/>
        <v>0</v>
      </c>
      <c r="H2595" s="39" t="s">
        <v>62</v>
      </c>
      <c r="I2595" s="3"/>
      <c r="J2595" s="42"/>
      <c r="K2595" s="3"/>
      <c r="M2595" s="20">
        <v>42128</v>
      </c>
      <c r="N2595" s="183">
        <v>19960</v>
      </c>
      <c r="O2595" s="150" t="s">
        <v>98</v>
      </c>
      <c r="P2595" s="105">
        <v>2398.4</v>
      </c>
      <c r="Q2595" s="23">
        <v>42128</v>
      </c>
      <c r="R2595" s="106">
        <v>2398.4</v>
      </c>
      <c r="S2595" s="31">
        <f t="shared" si="81"/>
        <v>0</v>
      </c>
      <c r="T2595" s="19" t="s">
        <v>9</v>
      </c>
    </row>
    <row r="2596" spans="1:20" x14ac:dyDescent="0.25">
      <c r="A2596" s="20">
        <v>42149</v>
      </c>
      <c r="B2596" s="183">
        <v>22170</v>
      </c>
      <c r="C2596" s="14" t="s">
        <v>158</v>
      </c>
      <c r="D2596" s="105">
        <v>7635.2</v>
      </c>
      <c r="E2596" s="65">
        <v>42149</v>
      </c>
      <c r="F2596" s="106">
        <v>7635.2</v>
      </c>
      <c r="G2596" s="31">
        <f t="shared" si="80"/>
        <v>0</v>
      </c>
      <c r="H2596" s="39" t="s">
        <v>9</v>
      </c>
      <c r="I2596" s="3"/>
      <c r="J2596" s="42"/>
      <c r="K2596" s="3"/>
      <c r="M2596" s="20">
        <v>42130</v>
      </c>
      <c r="N2596" s="183">
        <v>20181</v>
      </c>
      <c r="O2596" s="14" t="s">
        <v>98</v>
      </c>
      <c r="P2596" s="105">
        <v>1320.8</v>
      </c>
      <c r="Q2596" s="23">
        <v>42131</v>
      </c>
      <c r="R2596" s="106">
        <v>1320.8</v>
      </c>
      <c r="S2596" s="31">
        <f t="shared" si="81"/>
        <v>0</v>
      </c>
      <c r="T2596" s="39" t="s">
        <v>94</v>
      </c>
    </row>
    <row r="2597" spans="1:20" x14ac:dyDescent="0.25">
      <c r="A2597" s="20">
        <v>42149</v>
      </c>
      <c r="B2597" s="183">
        <v>22171</v>
      </c>
      <c r="C2597" s="14" t="s">
        <v>84</v>
      </c>
      <c r="D2597" s="105">
        <v>41844</v>
      </c>
      <c r="E2597" s="74" t="s">
        <v>1453</v>
      </c>
      <c r="F2597" s="144">
        <v>41844</v>
      </c>
      <c r="G2597" s="31">
        <f t="shared" si="80"/>
        <v>0</v>
      </c>
      <c r="H2597" s="39" t="s">
        <v>62</v>
      </c>
      <c r="I2597" s="3"/>
      <c r="J2597" s="42"/>
      <c r="K2597" s="3"/>
      <c r="M2597" s="20">
        <v>42132</v>
      </c>
      <c r="N2597" s="183">
        <v>20418</v>
      </c>
      <c r="O2597" s="14" t="s">
        <v>98</v>
      </c>
      <c r="P2597" s="105">
        <v>1623.4</v>
      </c>
      <c r="Q2597" s="23">
        <v>42133</v>
      </c>
      <c r="R2597" s="106">
        <v>1623.4</v>
      </c>
      <c r="S2597" s="31">
        <f t="shared" si="81"/>
        <v>0</v>
      </c>
      <c r="T2597" s="19" t="s">
        <v>94</v>
      </c>
    </row>
    <row r="2598" spans="1:20" x14ac:dyDescent="0.25">
      <c r="A2598" s="20">
        <v>42149</v>
      </c>
      <c r="B2598" s="183">
        <v>22172</v>
      </c>
      <c r="C2598" s="150" t="s">
        <v>72</v>
      </c>
      <c r="D2598" s="105">
        <v>20176.2</v>
      </c>
      <c r="E2598" s="74" t="s">
        <v>1465</v>
      </c>
      <c r="F2598" s="144">
        <v>20176.2</v>
      </c>
      <c r="G2598" s="31">
        <f t="shared" si="80"/>
        <v>0</v>
      </c>
      <c r="H2598" s="39" t="s">
        <v>62</v>
      </c>
      <c r="I2598" s="3"/>
      <c r="J2598" s="42"/>
      <c r="K2598" s="3"/>
      <c r="M2598" s="20">
        <v>42132</v>
      </c>
      <c r="N2598" s="183">
        <v>20429</v>
      </c>
      <c r="O2598" s="14" t="s">
        <v>98</v>
      </c>
      <c r="P2598" s="105">
        <v>459.2</v>
      </c>
      <c r="Q2598" s="23">
        <v>42133</v>
      </c>
      <c r="R2598" s="106">
        <v>459.2</v>
      </c>
      <c r="S2598" s="31">
        <f t="shared" si="81"/>
        <v>0</v>
      </c>
      <c r="T2598" s="19" t="s">
        <v>94</v>
      </c>
    </row>
    <row r="2599" spans="1:20" x14ac:dyDescent="0.25">
      <c r="A2599" s="20">
        <v>42149</v>
      </c>
      <c r="B2599" s="183">
        <v>22173</v>
      </c>
      <c r="C2599" s="14" t="s">
        <v>14</v>
      </c>
      <c r="D2599" s="105">
        <v>3920.4</v>
      </c>
      <c r="E2599" s="65">
        <v>42153</v>
      </c>
      <c r="F2599" s="106">
        <v>3920.4</v>
      </c>
      <c r="G2599" s="31">
        <f t="shared" si="80"/>
        <v>0</v>
      </c>
      <c r="H2599" s="39" t="s">
        <v>9</v>
      </c>
      <c r="I2599" s="3"/>
      <c r="J2599" s="42"/>
      <c r="K2599" s="3"/>
      <c r="M2599" s="20">
        <v>42135</v>
      </c>
      <c r="N2599" s="183">
        <v>20738</v>
      </c>
      <c r="O2599" s="14" t="s">
        <v>98</v>
      </c>
      <c r="P2599" s="105">
        <v>2462.4</v>
      </c>
      <c r="Q2599" s="23">
        <v>42136</v>
      </c>
      <c r="R2599" s="106">
        <v>2462.4</v>
      </c>
      <c r="S2599" s="31">
        <f t="shared" si="81"/>
        <v>0</v>
      </c>
      <c r="T2599" s="19" t="s">
        <v>94</v>
      </c>
    </row>
    <row r="2600" spans="1:20" x14ac:dyDescent="0.25">
      <c r="A2600" s="20">
        <v>42149</v>
      </c>
      <c r="B2600" s="183">
        <v>22174</v>
      </c>
      <c r="C2600" s="14" t="s">
        <v>426</v>
      </c>
      <c r="D2600" s="105">
        <v>4754.3999999999996</v>
      </c>
      <c r="E2600" s="65">
        <v>42150</v>
      </c>
      <c r="F2600" s="106">
        <v>4754.3999999999996</v>
      </c>
      <c r="G2600" s="31">
        <f t="shared" si="80"/>
        <v>0</v>
      </c>
      <c r="H2600" s="39" t="s">
        <v>62</v>
      </c>
      <c r="I2600" s="3"/>
      <c r="J2600" s="42"/>
      <c r="K2600" s="3"/>
      <c r="M2600" s="20">
        <v>42136</v>
      </c>
      <c r="N2600" s="183">
        <v>20845</v>
      </c>
      <c r="O2600" s="14" t="s">
        <v>98</v>
      </c>
      <c r="P2600" s="105">
        <v>913</v>
      </c>
      <c r="Q2600" s="23">
        <v>42137</v>
      </c>
      <c r="R2600" s="106">
        <v>913</v>
      </c>
      <c r="S2600" s="31">
        <f t="shared" si="81"/>
        <v>0</v>
      </c>
      <c r="T2600" s="39" t="s">
        <v>1273</v>
      </c>
    </row>
    <row r="2601" spans="1:20" x14ac:dyDescent="0.25">
      <c r="A2601" s="20">
        <v>42149</v>
      </c>
      <c r="B2601" s="183">
        <v>22175</v>
      </c>
      <c r="C2601" s="14" t="s">
        <v>213</v>
      </c>
      <c r="D2601" s="105">
        <v>10395</v>
      </c>
      <c r="E2601" s="65">
        <v>42150</v>
      </c>
      <c r="F2601" s="106">
        <v>10395</v>
      </c>
      <c r="G2601" s="31">
        <f t="shared" si="80"/>
        <v>0</v>
      </c>
      <c r="H2601" s="39" t="s">
        <v>15</v>
      </c>
      <c r="I2601" s="3"/>
      <c r="J2601" s="42"/>
      <c r="K2601" s="3"/>
      <c r="M2601" s="20">
        <v>42139</v>
      </c>
      <c r="N2601" s="183">
        <v>21177</v>
      </c>
      <c r="O2601" s="14" t="s">
        <v>98</v>
      </c>
      <c r="P2601" s="105">
        <v>4613</v>
      </c>
      <c r="Q2601" s="23">
        <v>42140</v>
      </c>
      <c r="R2601" s="106">
        <v>4613</v>
      </c>
      <c r="S2601" s="48">
        <f t="shared" si="81"/>
        <v>0</v>
      </c>
      <c r="T2601" s="39" t="s">
        <v>1273</v>
      </c>
    </row>
    <row r="2602" spans="1:20" x14ac:dyDescent="0.25">
      <c r="A2602" s="20">
        <v>42149</v>
      </c>
      <c r="B2602" s="183">
        <v>22176</v>
      </c>
      <c r="C2602" s="14" t="s">
        <v>128</v>
      </c>
      <c r="D2602" s="105">
        <v>6742.4</v>
      </c>
      <c r="E2602" s="65">
        <v>42149</v>
      </c>
      <c r="F2602" s="106">
        <v>6742.4</v>
      </c>
      <c r="G2602" s="31">
        <f t="shared" si="80"/>
        <v>0</v>
      </c>
      <c r="H2602" s="39" t="s">
        <v>1257</v>
      </c>
      <c r="I2602" s="3"/>
      <c r="J2602" s="42"/>
      <c r="K2602" s="3"/>
      <c r="M2602" s="20">
        <v>42140</v>
      </c>
      <c r="N2602" s="183">
        <v>21295</v>
      </c>
      <c r="O2602" s="14" t="s">
        <v>98</v>
      </c>
      <c r="P2602" s="105">
        <v>875.4</v>
      </c>
      <c r="Q2602" s="23">
        <v>42142</v>
      </c>
      <c r="R2602" s="118">
        <v>875.4</v>
      </c>
      <c r="S2602" s="31">
        <f t="shared" si="81"/>
        <v>0</v>
      </c>
      <c r="T2602" s="62" t="s">
        <v>1273</v>
      </c>
    </row>
    <row r="2603" spans="1:20" x14ac:dyDescent="0.25">
      <c r="A2603" s="20">
        <v>42149</v>
      </c>
      <c r="B2603" s="183">
        <v>22177</v>
      </c>
      <c r="C2603" s="14" t="s">
        <v>130</v>
      </c>
      <c r="D2603" s="105">
        <v>5413.1</v>
      </c>
      <c r="E2603" s="65">
        <v>42150</v>
      </c>
      <c r="F2603" s="106">
        <v>5413.1</v>
      </c>
      <c r="G2603" s="31">
        <f t="shared" si="80"/>
        <v>0</v>
      </c>
      <c r="H2603" s="39" t="s">
        <v>1257</v>
      </c>
      <c r="I2603" s="3"/>
      <c r="J2603" s="42"/>
      <c r="K2603" s="3"/>
      <c r="M2603" s="20">
        <v>42142</v>
      </c>
      <c r="N2603" s="183">
        <v>21486</v>
      </c>
      <c r="O2603" s="14" t="s">
        <v>98</v>
      </c>
      <c r="P2603" s="105">
        <v>2932.4</v>
      </c>
      <c r="Q2603" s="65">
        <v>42143</v>
      </c>
      <c r="R2603" s="106">
        <v>2932.4</v>
      </c>
      <c r="S2603" s="31">
        <f t="shared" si="81"/>
        <v>0</v>
      </c>
      <c r="T2603" s="19" t="s">
        <v>1273</v>
      </c>
    </row>
    <row r="2604" spans="1:20" x14ac:dyDescent="0.25">
      <c r="A2604" s="20">
        <v>42149</v>
      </c>
      <c r="B2604" s="183">
        <v>22178</v>
      </c>
      <c r="C2604" s="14" t="s">
        <v>1182</v>
      </c>
      <c r="D2604" s="105">
        <v>2298.1</v>
      </c>
      <c r="E2604" s="65">
        <v>42149</v>
      </c>
      <c r="F2604" s="106">
        <v>2298.1</v>
      </c>
      <c r="G2604" s="31">
        <f t="shared" si="80"/>
        <v>0</v>
      </c>
      <c r="H2604" s="39" t="s">
        <v>9</v>
      </c>
      <c r="I2604" s="3"/>
      <c r="J2604" s="42"/>
      <c r="K2604" s="3"/>
      <c r="M2604" s="20">
        <v>42143</v>
      </c>
      <c r="N2604" s="183">
        <v>21595</v>
      </c>
      <c r="O2604" s="14" t="s">
        <v>98</v>
      </c>
      <c r="P2604" s="105">
        <v>2874.7</v>
      </c>
      <c r="Q2604" s="23">
        <v>42144</v>
      </c>
      <c r="R2604" s="118">
        <v>2874.7</v>
      </c>
      <c r="S2604" s="31">
        <f t="shared" si="81"/>
        <v>0</v>
      </c>
      <c r="T2604" s="56" t="s">
        <v>1273</v>
      </c>
    </row>
    <row r="2605" spans="1:20" x14ac:dyDescent="0.25">
      <c r="A2605" s="20">
        <v>42149</v>
      </c>
      <c r="B2605" s="183">
        <v>22179</v>
      </c>
      <c r="C2605" s="14" t="s">
        <v>131</v>
      </c>
      <c r="D2605" s="105">
        <v>7518</v>
      </c>
      <c r="E2605" s="65">
        <v>42150</v>
      </c>
      <c r="F2605" s="106">
        <v>7518</v>
      </c>
      <c r="G2605" s="31">
        <f t="shared" si="80"/>
        <v>0</v>
      </c>
      <c r="H2605" s="39" t="s">
        <v>1257</v>
      </c>
      <c r="I2605" s="3"/>
      <c r="J2605" s="42"/>
      <c r="K2605" s="3"/>
      <c r="M2605" s="20">
        <v>42146</v>
      </c>
      <c r="N2605" s="183">
        <v>21934</v>
      </c>
      <c r="O2605" s="14" t="s">
        <v>98</v>
      </c>
      <c r="P2605" s="105">
        <v>3598.8</v>
      </c>
      <c r="Q2605" s="23">
        <v>42147</v>
      </c>
      <c r="R2605" s="106">
        <v>3598.8</v>
      </c>
      <c r="S2605" s="31">
        <f t="shared" si="81"/>
        <v>0</v>
      </c>
      <c r="T2605" s="39" t="s">
        <v>1273</v>
      </c>
    </row>
    <row r="2606" spans="1:20" x14ac:dyDescent="0.25">
      <c r="A2606" s="20">
        <v>42149</v>
      </c>
      <c r="B2606" s="183">
        <v>22180</v>
      </c>
      <c r="C2606" s="14" t="s">
        <v>285</v>
      </c>
      <c r="D2606" s="105">
        <v>1309.5999999999999</v>
      </c>
      <c r="E2606" s="65">
        <v>42150</v>
      </c>
      <c r="F2606" s="106">
        <v>1309.5999999999999</v>
      </c>
      <c r="G2606" s="31">
        <f t="shared" si="80"/>
        <v>0</v>
      </c>
      <c r="H2606" s="39" t="s">
        <v>15</v>
      </c>
      <c r="I2606" s="3"/>
      <c r="J2606" s="42"/>
      <c r="K2606" s="3"/>
      <c r="M2606" s="20">
        <v>42149</v>
      </c>
      <c r="N2606" s="183">
        <v>22204</v>
      </c>
      <c r="O2606" s="14" t="s">
        <v>98</v>
      </c>
      <c r="P2606" s="105">
        <v>3053.6</v>
      </c>
      <c r="Q2606" s="65">
        <v>42150</v>
      </c>
      <c r="R2606" s="106">
        <v>3053.6</v>
      </c>
      <c r="S2606" s="31">
        <f t="shared" si="81"/>
        <v>0</v>
      </c>
      <c r="T2606" s="39" t="s">
        <v>94</v>
      </c>
    </row>
    <row r="2607" spans="1:20" x14ac:dyDescent="0.25">
      <c r="A2607" s="20">
        <v>42149</v>
      </c>
      <c r="B2607" s="183">
        <v>22181</v>
      </c>
      <c r="C2607" s="14" t="s">
        <v>1142</v>
      </c>
      <c r="D2607" s="105">
        <v>2199.6</v>
      </c>
      <c r="E2607" s="65">
        <v>42149</v>
      </c>
      <c r="F2607" s="106">
        <v>2199.6</v>
      </c>
      <c r="G2607" s="31">
        <f t="shared" si="80"/>
        <v>0</v>
      </c>
      <c r="H2607" s="39" t="s">
        <v>9</v>
      </c>
      <c r="I2607" s="3"/>
      <c r="J2607" s="42"/>
      <c r="K2607" s="3"/>
      <c r="M2607" s="20">
        <v>42151</v>
      </c>
      <c r="N2607" s="183">
        <v>22412</v>
      </c>
      <c r="O2607" s="14" t="s">
        <v>98</v>
      </c>
      <c r="P2607" s="105">
        <v>2485.9</v>
      </c>
      <c r="Q2607" s="23">
        <v>42152</v>
      </c>
      <c r="R2607" s="106">
        <v>2485.9</v>
      </c>
      <c r="S2607" s="31">
        <f t="shared" si="81"/>
        <v>0</v>
      </c>
      <c r="T2607" s="39" t="s">
        <v>1273</v>
      </c>
    </row>
    <row r="2608" spans="1:20" x14ac:dyDescent="0.25">
      <c r="A2608" s="20">
        <v>42149</v>
      </c>
      <c r="B2608" s="183">
        <v>22182</v>
      </c>
      <c r="C2608" s="14" t="s">
        <v>165</v>
      </c>
      <c r="D2608" s="105">
        <v>2442</v>
      </c>
      <c r="E2608" s="65">
        <v>42149</v>
      </c>
      <c r="F2608" s="106">
        <v>2442</v>
      </c>
      <c r="G2608" s="31">
        <f t="shared" si="80"/>
        <v>0</v>
      </c>
      <c r="H2608" s="39" t="s">
        <v>1257</v>
      </c>
      <c r="I2608" s="3"/>
      <c r="J2608" s="42"/>
      <c r="K2608" s="3"/>
      <c r="M2608" s="20">
        <v>42153</v>
      </c>
      <c r="N2608" s="183">
        <v>22612</v>
      </c>
      <c r="O2608" s="14" t="s">
        <v>98</v>
      </c>
      <c r="P2608" s="105">
        <v>2661.1</v>
      </c>
      <c r="Q2608" s="23">
        <v>42154</v>
      </c>
      <c r="R2608" s="106">
        <v>2661.1</v>
      </c>
      <c r="S2608" s="31">
        <f t="shared" si="81"/>
        <v>0</v>
      </c>
      <c r="T2608" s="39" t="s">
        <v>94</v>
      </c>
    </row>
    <row r="2609" spans="1:20" x14ac:dyDescent="0.25">
      <c r="A2609" s="20">
        <v>42149</v>
      </c>
      <c r="B2609" s="183">
        <v>22183</v>
      </c>
      <c r="C2609" s="14" t="s">
        <v>164</v>
      </c>
      <c r="D2609" s="105">
        <v>717.6</v>
      </c>
      <c r="E2609" s="65">
        <v>42149</v>
      </c>
      <c r="F2609" s="106">
        <v>717.6</v>
      </c>
      <c r="G2609" s="31">
        <f t="shared" si="80"/>
        <v>0</v>
      </c>
      <c r="H2609" s="39" t="s">
        <v>9</v>
      </c>
      <c r="I2609" s="3"/>
      <c r="J2609" s="42"/>
      <c r="K2609" s="3"/>
      <c r="M2609" s="20">
        <v>42154</v>
      </c>
      <c r="N2609" s="183">
        <v>22753</v>
      </c>
      <c r="O2609" s="14" t="s">
        <v>98</v>
      </c>
      <c r="P2609" s="105">
        <v>3457.2</v>
      </c>
      <c r="Q2609" s="23">
        <v>42154</v>
      </c>
      <c r="R2609" s="106">
        <v>3457.2</v>
      </c>
      <c r="S2609" s="31">
        <f t="shared" si="81"/>
        <v>0</v>
      </c>
      <c r="T2609" s="39" t="s">
        <v>1273</v>
      </c>
    </row>
    <row r="2610" spans="1:20" x14ac:dyDescent="0.25">
      <c r="A2610" s="20">
        <v>42149</v>
      </c>
      <c r="B2610" s="183">
        <v>22184</v>
      </c>
      <c r="C2610" s="14" t="s">
        <v>75</v>
      </c>
      <c r="D2610" s="105">
        <v>18956.8</v>
      </c>
      <c r="E2610" s="65">
        <v>42150</v>
      </c>
      <c r="F2610" s="106">
        <v>18956.8</v>
      </c>
      <c r="G2610" s="31">
        <f t="shared" si="80"/>
        <v>0</v>
      </c>
      <c r="H2610" s="39" t="s">
        <v>62</v>
      </c>
      <c r="I2610" s="3"/>
      <c r="J2610" s="42"/>
      <c r="K2610" s="3"/>
      <c r="M2610" s="20">
        <v>42142</v>
      </c>
      <c r="N2610" s="183">
        <v>21518</v>
      </c>
      <c r="O2610" s="14" t="s">
        <v>193</v>
      </c>
      <c r="P2610" s="105">
        <v>10634.68</v>
      </c>
      <c r="Q2610" s="23"/>
      <c r="R2610" s="118"/>
      <c r="S2610" s="31">
        <f t="shared" si="81"/>
        <v>10634.68</v>
      </c>
      <c r="T2610" s="56" t="s">
        <v>9</v>
      </c>
    </row>
    <row r="2611" spans="1:20" x14ac:dyDescent="0.25">
      <c r="A2611" s="20">
        <v>42149</v>
      </c>
      <c r="B2611" s="183">
        <v>22185</v>
      </c>
      <c r="C2611" s="26" t="s">
        <v>218</v>
      </c>
      <c r="D2611" s="108">
        <v>0</v>
      </c>
      <c r="E2611" s="65"/>
      <c r="F2611" s="106"/>
      <c r="G2611" s="31">
        <f t="shared" si="80"/>
        <v>0</v>
      </c>
      <c r="H2611" s="39" t="s">
        <v>13</v>
      </c>
      <c r="I2611" s="3"/>
      <c r="J2611" s="42"/>
      <c r="K2611" s="3"/>
      <c r="M2611" s="20">
        <v>42149</v>
      </c>
      <c r="N2611" s="183">
        <v>22220</v>
      </c>
      <c r="O2611" s="14" t="s">
        <v>446</v>
      </c>
      <c r="P2611" s="105">
        <v>9994.76</v>
      </c>
      <c r="Q2611" s="65"/>
      <c r="R2611" s="106"/>
      <c r="S2611" s="31">
        <f t="shared" si="81"/>
        <v>9994.76</v>
      </c>
      <c r="T2611" s="39" t="s">
        <v>9</v>
      </c>
    </row>
    <row r="2612" spans="1:20" x14ac:dyDescent="0.25">
      <c r="A2612" s="20">
        <v>42149</v>
      </c>
      <c r="B2612" s="183">
        <v>22186</v>
      </c>
      <c r="C2612" s="14" t="s">
        <v>37</v>
      </c>
      <c r="D2612" s="105">
        <v>26895.15</v>
      </c>
      <c r="E2612" s="74">
        <v>42157</v>
      </c>
      <c r="F2612" s="144">
        <v>26895.15</v>
      </c>
      <c r="G2612" s="31">
        <f t="shared" si="80"/>
        <v>0</v>
      </c>
      <c r="H2612" s="39" t="s">
        <v>773</v>
      </c>
      <c r="I2612" s="3"/>
      <c r="J2612" s="42"/>
      <c r="K2612" s="3"/>
      <c r="M2612" s="20">
        <v>42128</v>
      </c>
      <c r="N2612" s="183">
        <v>19982</v>
      </c>
      <c r="O2612" s="14" t="s">
        <v>1050</v>
      </c>
      <c r="P2612" s="105">
        <v>9881.52</v>
      </c>
      <c r="Q2612" s="30" t="s">
        <v>1309</v>
      </c>
      <c r="R2612" s="106">
        <v>9881.52</v>
      </c>
      <c r="S2612" s="31">
        <f t="shared" si="81"/>
        <v>0</v>
      </c>
      <c r="T2612" s="19" t="s">
        <v>9</v>
      </c>
    </row>
    <row r="2613" spans="1:20" x14ac:dyDescent="0.25">
      <c r="A2613" s="20">
        <v>42149</v>
      </c>
      <c r="B2613" s="183">
        <v>22187</v>
      </c>
      <c r="C2613" s="14" t="s">
        <v>35</v>
      </c>
      <c r="D2613" s="105">
        <v>28314.1</v>
      </c>
      <c r="E2613" s="65">
        <v>42149</v>
      </c>
      <c r="F2613" s="106">
        <v>28314.1</v>
      </c>
      <c r="G2613" s="31">
        <f t="shared" si="80"/>
        <v>0</v>
      </c>
      <c r="H2613" s="39" t="s">
        <v>773</v>
      </c>
      <c r="I2613" s="3"/>
      <c r="J2613" s="42"/>
      <c r="K2613" s="3"/>
      <c r="M2613" s="20">
        <v>42135</v>
      </c>
      <c r="N2613" s="183">
        <v>20769</v>
      </c>
      <c r="O2613" s="14" t="s">
        <v>1050</v>
      </c>
      <c r="P2613" s="105">
        <v>14197.56</v>
      </c>
      <c r="Q2613" s="30" t="s">
        <v>1385</v>
      </c>
      <c r="R2613" s="106">
        <v>14197.56</v>
      </c>
      <c r="S2613" s="31">
        <f t="shared" si="81"/>
        <v>0</v>
      </c>
      <c r="T2613" s="19" t="s">
        <v>9</v>
      </c>
    </row>
    <row r="2614" spans="1:20" x14ac:dyDescent="0.25">
      <c r="A2614" s="20">
        <v>42149</v>
      </c>
      <c r="B2614" s="183">
        <v>22188</v>
      </c>
      <c r="C2614" s="14" t="s">
        <v>35</v>
      </c>
      <c r="D2614" s="105">
        <v>1980</v>
      </c>
      <c r="E2614" s="65">
        <v>42149</v>
      </c>
      <c r="F2614" s="106">
        <v>1980</v>
      </c>
      <c r="G2614" s="31">
        <f t="shared" si="80"/>
        <v>0</v>
      </c>
      <c r="H2614" s="39" t="s">
        <v>773</v>
      </c>
      <c r="I2614" s="3"/>
      <c r="J2614" s="42"/>
      <c r="K2614" s="3"/>
      <c r="M2614" s="20">
        <v>42125</v>
      </c>
      <c r="N2614" s="183">
        <v>19676</v>
      </c>
      <c r="O2614" s="14" t="s">
        <v>111</v>
      </c>
      <c r="P2614" s="105">
        <v>165400</v>
      </c>
      <c r="Q2614" s="23">
        <v>42128</v>
      </c>
      <c r="R2614" s="106">
        <v>165400</v>
      </c>
      <c r="S2614" s="25">
        <f t="shared" si="81"/>
        <v>0</v>
      </c>
      <c r="T2614" s="39" t="s">
        <v>9</v>
      </c>
    </row>
    <row r="2615" spans="1:20" x14ac:dyDescent="0.25">
      <c r="A2615" s="20">
        <v>42149</v>
      </c>
      <c r="B2615" s="183">
        <v>22189</v>
      </c>
      <c r="C2615" s="14" t="s">
        <v>256</v>
      </c>
      <c r="D2615" s="105">
        <v>3795.6</v>
      </c>
      <c r="E2615" s="65">
        <v>42149</v>
      </c>
      <c r="F2615" s="106">
        <v>3795.6</v>
      </c>
      <c r="G2615" s="31">
        <f t="shared" si="80"/>
        <v>0</v>
      </c>
      <c r="H2615" s="39" t="s">
        <v>773</v>
      </c>
      <c r="I2615" s="3"/>
      <c r="J2615" s="42"/>
      <c r="K2615" s="3"/>
      <c r="M2615" s="20">
        <v>42126</v>
      </c>
      <c r="N2615" s="183">
        <v>19785</v>
      </c>
      <c r="O2615" s="40" t="s">
        <v>111</v>
      </c>
      <c r="P2615" s="105">
        <v>24353.5</v>
      </c>
      <c r="Q2615" s="23">
        <v>42129</v>
      </c>
      <c r="R2615" s="106">
        <v>24353.5</v>
      </c>
      <c r="S2615" s="31">
        <f t="shared" si="81"/>
        <v>0</v>
      </c>
      <c r="T2615" s="41" t="s">
        <v>1257</v>
      </c>
    </row>
    <row r="2616" spans="1:20" x14ac:dyDescent="0.25">
      <c r="A2616" s="20">
        <v>42149</v>
      </c>
      <c r="B2616" s="183">
        <v>22190</v>
      </c>
      <c r="C2616" s="14" t="s">
        <v>172</v>
      </c>
      <c r="D2616" s="105">
        <v>6883.8</v>
      </c>
      <c r="E2616" s="65">
        <v>42150</v>
      </c>
      <c r="F2616" s="106">
        <v>6883.8</v>
      </c>
      <c r="G2616" s="31">
        <f t="shared" si="80"/>
        <v>0</v>
      </c>
      <c r="H2616" s="39" t="s">
        <v>62</v>
      </c>
      <c r="I2616" s="3"/>
      <c r="J2616" s="42"/>
      <c r="K2616" s="3"/>
      <c r="M2616" s="20">
        <v>42126</v>
      </c>
      <c r="N2616" s="183">
        <v>19798</v>
      </c>
      <c r="O2616" s="146" t="s">
        <v>111</v>
      </c>
      <c r="P2616" s="105">
        <v>295782</v>
      </c>
      <c r="Q2616" s="23">
        <v>42129</v>
      </c>
      <c r="R2616" s="106">
        <v>295782</v>
      </c>
      <c r="S2616" s="31">
        <f t="shared" si="81"/>
        <v>0</v>
      </c>
      <c r="T2616" s="41" t="s">
        <v>9</v>
      </c>
    </row>
    <row r="2617" spans="1:20" x14ac:dyDescent="0.25">
      <c r="A2617" s="20">
        <v>42149</v>
      </c>
      <c r="B2617" s="183">
        <v>22191</v>
      </c>
      <c r="C2617" s="14" t="s">
        <v>67</v>
      </c>
      <c r="D2617" s="105">
        <v>3344</v>
      </c>
      <c r="E2617" s="65">
        <v>42150</v>
      </c>
      <c r="F2617" s="106">
        <v>3344</v>
      </c>
      <c r="G2617" s="31">
        <f t="shared" si="80"/>
        <v>0</v>
      </c>
      <c r="H2617" s="39" t="s">
        <v>62</v>
      </c>
      <c r="I2617" s="3"/>
      <c r="J2617" s="42"/>
      <c r="K2617" s="3"/>
      <c r="M2617" s="20">
        <v>42127</v>
      </c>
      <c r="N2617" s="183">
        <v>19821</v>
      </c>
      <c r="O2617" s="40" t="s">
        <v>111</v>
      </c>
      <c r="P2617" s="105">
        <v>41588.14</v>
      </c>
      <c r="Q2617" s="23">
        <v>42129</v>
      </c>
      <c r="R2617" s="106">
        <v>41588.14</v>
      </c>
      <c r="S2617" s="31">
        <f t="shared" si="81"/>
        <v>0</v>
      </c>
      <c r="T2617" s="41" t="s">
        <v>187</v>
      </c>
    </row>
    <row r="2618" spans="1:20" x14ac:dyDescent="0.25">
      <c r="A2618" s="20">
        <v>42149</v>
      </c>
      <c r="B2618" s="183">
        <v>22192</v>
      </c>
      <c r="C2618" s="14" t="s">
        <v>1262</v>
      </c>
      <c r="D2618" s="105">
        <v>9067</v>
      </c>
      <c r="E2618" s="65">
        <v>42153</v>
      </c>
      <c r="F2618" s="106">
        <v>9067</v>
      </c>
      <c r="G2618" s="31">
        <f t="shared" si="80"/>
        <v>0</v>
      </c>
      <c r="H2618" s="39" t="s">
        <v>1273</v>
      </c>
      <c r="I2618" s="3"/>
      <c r="J2618" s="42"/>
      <c r="K2618" s="3"/>
      <c r="M2618" s="20">
        <v>42128</v>
      </c>
      <c r="N2618" s="183">
        <v>20009</v>
      </c>
      <c r="O2618" s="14" t="s">
        <v>111</v>
      </c>
      <c r="P2618" s="105">
        <v>183472</v>
      </c>
      <c r="Q2618" s="23">
        <v>42130</v>
      </c>
      <c r="R2618" s="106">
        <v>183472</v>
      </c>
      <c r="S2618" s="31">
        <f t="shared" si="81"/>
        <v>0</v>
      </c>
      <c r="T2618" s="19" t="s">
        <v>9</v>
      </c>
    </row>
    <row r="2619" spans="1:20" x14ac:dyDescent="0.25">
      <c r="A2619" s="20">
        <v>42149</v>
      </c>
      <c r="B2619" s="183">
        <v>22193</v>
      </c>
      <c r="C2619" s="14" t="s">
        <v>1182</v>
      </c>
      <c r="D2619" s="105">
        <v>64.8</v>
      </c>
      <c r="E2619" s="65">
        <v>42149</v>
      </c>
      <c r="F2619" s="106">
        <v>64.8</v>
      </c>
      <c r="G2619" s="31">
        <f t="shared" si="80"/>
        <v>0</v>
      </c>
      <c r="H2619" s="39" t="s">
        <v>9</v>
      </c>
      <c r="I2619" s="3"/>
      <c r="J2619" s="42"/>
      <c r="K2619" s="3"/>
      <c r="M2619" s="20">
        <v>42129</v>
      </c>
      <c r="N2619" s="183">
        <v>20089</v>
      </c>
      <c r="O2619" s="14" t="s">
        <v>111</v>
      </c>
      <c r="P2619" s="105">
        <v>144695</v>
      </c>
      <c r="Q2619" s="23">
        <v>42133</v>
      </c>
      <c r="R2619" s="106">
        <v>144695</v>
      </c>
      <c r="S2619" s="31">
        <f t="shared" si="81"/>
        <v>0</v>
      </c>
      <c r="T2619" s="39" t="s">
        <v>9</v>
      </c>
    </row>
    <row r="2620" spans="1:20" x14ac:dyDescent="0.25">
      <c r="A2620" s="20">
        <v>42149</v>
      </c>
      <c r="B2620" s="183">
        <v>22194</v>
      </c>
      <c r="C2620" s="14" t="s">
        <v>78</v>
      </c>
      <c r="D2620" s="105">
        <v>8921.6</v>
      </c>
      <c r="E2620" s="65">
        <v>42150</v>
      </c>
      <c r="F2620" s="106">
        <v>8921.6</v>
      </c>
      <c r="G2620" s="31">
        <f t="shared" si="80"/>
        <v>0</v>
      </c>
      <c r="H2620" s="39" t="s">
        <v>9</v>
      </c>
      <c r="I2620" s="3"/>
      <c r="J2620" s="42"/>
      <c r="K2620" s="3"/>
      <c r="M2620" s="20">
        <v>42130</v>
      </c>
      <c r="N2620" s="183">
        <v>20198</v>
      </c>
      <c r="O2620" s="14" t="s">
        <v>111</v>
      </c>
      <c r="P2620" s="105">
        <v>155717</v>
      </c>
      <c r="Q2620" s="23">
        <v>42133</v>
      </c>
      <c r="R2620" s="106">
        <v>155717</v>
      </c>
      <c r="S2620" s="31">
        <f t="shared" si="81"/>
        <v>0</v>
      </c>
      <c r="T2620" s="39" t="s">
        <v>9</v>
      </c>
    </row>
    <row r="2621" spans="1:20" x14ac:dyDescent="0.25">
      <c r="A2621" s="20">
        <v>42149</v>
      </c>
      <c r="B2621" s="183">
        <v>22195</v>
      </c>
      <c r="C2621" s="14" t="s">
        <v>127</v>
      </c>
      <c r="D2621" s="105">
        <v>6067.7</v>
      </c>
      <c r="E2621" s="65">
        <v>42149</v>
      </c>
      <c r="F2621" s="106">
        <v>6067.7</v>
      </c>
      <c r="G2621" s="31">
        <f t="shared" si="80"/>
        <v>0</v>
      </c>
      <c r="H2621" s="39" t="s">
        <v>9</v>
      </c>
      <c r="I2621" s="3"/>
      <c r="J2621" s="42"/>
      <c r="K2621" s="3"/>
      <c r="M2621" s="20">
        <v>42131</v>
      </c>
      <c r="N2621" s="183">
        <v>20294</v>
      </c>
      <c r="O2621" s="14" t="s">
        <v>111</v>
      </c>
      <c r="P2621" s="105">
        <v>77874.42</v>
      </c>
      <c r="Q2621" s="23">
        <v>42133</v>
      </c>
      <c r="R2621" s="106">
        <v>77874.42</v>
      </c>
      <c r="S2621" s="31">
        <f t="shared" si="81"/>
        <v>0</v>
      </c>
      <c r="T2621" s="19" t="s">
        <v>94</v>
      </c>
    </row>
    <row r="2622" spans="1:20" x14ac:dyDescent="0.25">
      <c r="A2622" s="20">
        <v>42149</v>
      </c>
      <c r="B2622" s="183">
        <v>22196</v>
      </c>
      <c r="C2622" s="14" t="s">
        <v>170</v>
      </c>
      <c r="D2622" s="105">
        <v>7203.2</v>
      </c>
      <c r="E2622" s="65">
        <v>42150</v>
      </c>
      <c r="F2622" s="106">
        <v>7203.2</v>
      </c>
      <c r="G2622" s="31">
        <f t="shared" si="80"/>
        <v>0</v>
      </c>
      <c r="H2622" s="39" t="s">
        <v>62</v>
      </c>
      <c r="I2622" s="3"/>
      <c r="J2622" s="42"/>
      <c r="K2622" s="3"/>
      <c r="M2622" s="20">
        <v>42131</v>
      </c>
      <c r="N2622" s="183">
        <v>20299</v>
      </c>
      <c r="O2622" s="14" t="s">
        <v>111</v>
      </c>
      <c r="P2622" s="105">
        <v>148062.5</v>
      </c>
      <c r="Q2622" s="23">
        <v>42133</v>
      </c>
      <c r="R2622" s="106">
        <v>148062.5</v>
      </c>
      <c r="S2622" s="31">
        <f t="shared" si="81"/>
        <v>0</v>
      </c>
      <c r="T2622" s="19" t="s">
        <v>9</v>
      </c>
    </row>
    <row r="2623" spans="1:20" x14ac:dyDescent="0.25">
      <c r="A2623" s="20">
        <v>42149</v>
      </c>
      <c r="B2623" s="183">
        <v>22197</v>
      </c>
      <c r="C2623" s="14" t="s">
        <v>243</v>
      </c>
      <c r="D2623" s="105">
        <v>1253.04</v>
      </c>
      <c r="E2623" s="65">
        <v>42150</v>
      </c>
      <c r="F2623" s="106">
        <v>1253.04</v>
      </c>
      <c r="G2623" s="31">
        <f t="shared" si="80"/>
        <v>0</v>
      </c>
      <c r="H2623" s="39" t="s">
        <v>62</v>
      </c>
      <c r="I2623" s="3"/>
      <c r="J2623" s="42"/>
      <c r="K2623" s="3"/>
      <c r="M2623" s="20">
        <v>42132</v>
      </c>
      <c r="N2623" s="183">
        <v>20443</v>
      </c>
      <c r="O2623" s="14" t="s">
        <v>111</v>
      </c>
      <c r="P2623" s="105">
        <v>187960</v>
      </c>
      <c r="Q2623" s="23">
        <v>42135</v>
      </c>
      <c r="R2623" s="106">
        <v>187960</v>
      </c>
      <c r="S2623" s="31">
        <f t="shared" si="81"/>
        <v>0</v>
      </c>
      <c r="T2623" s="19" t="s">
        <v>9</v>
      </c>
    </row>
    <row r="2624" spans="1:20" x14ac:dyDescent="0.25">
      <c r="A2624" s="20">
        <v>42149</v>
      </c>
      <c r="B2624" s="183">
        <v>22198</v>
      </c>
      <c r="C2624" s="14" t="s">
        <v>305</v>
      </c>
      <c r="D2624" s="105">
        <v>2580</v>
      </c>
      <c r="E2624" s="65">
        <v>42149</v>
      </c>
      <c r="F2624" s="106">
        <v>2580</v>
      </c>
      <c r="G2624" s="31">
        <f t="shared" si="80"/>
        <v>0</v>
      </c>
      <c r="H2624" s="39" t="s">
        <v>9</v>
      </c>
      <c r="I2624" s="3"/>
      <c r="J2624" s="42"/>
      <c r="K2624" s="3"/>
      <c r="M2624" s="20">
        <v>42133</v>
      </c>
      <c r="N2624" s="183">
        <v>20569</v>
      </c>
      <c r="O2624" s="14" t="s">
        <v>111</v>
      </c>
      <c r="P2624" s="105">
        <v>299512</v>
      </c>
      <c r="Q2624" s="23">
        <v>42140</v>
      </c>
      <c r="R2624" s="106">
        <v>299512</v>
      </c>
      <c r="S2624" s="31">
        <f t="shared" si="81"/>
        <v>0</v>
      </c>
      <c r="T2624" s="19" t="s">
        <v>9</v>
      </c>
    </row>
    <row r="2625" spans="1:20" x14ac:dyDescent="0.25">
      <c r="A2625" s="20">
        <v>42149</v>
      </c>
      <c r="B2625" s="183">
        <v>22199</v>
      </c>
      <c r="C2625" s="14" t="s">
        <v>1267</v>
      </c>
      <c r="D2625" s="105">
        <v>1640</v>
      </c>
      <c r="E2625" s="65">
        <v>42150</v>
      </c>
      <c r="F2625" s="106">
        <v>1640</v>
      </c>
      <c r="G2625" s="31">
        <f t="shared" si="80"/>
        <v>0</v>
      </c>
      <c r="H2625" s="39" t="s">
        <v>94</v>
      </c>
      <c r="I2625" s="3"/>
      <c r="J2625" s="42"/>
      <c r="K2625" s="3"/>
      <c r="M2625" s="20">
        <v>42136</v>
      </c>
      <c r="N2625" s="183">
        <v>20854</v>
      </c>
      <c r="O2625" s="14" t="s">
        <v>111</v>
      </c>
      <c r="P2625" s="105">
        <v>196605</v>
      </c>
      <c r="Q2625" s="23">
        <v>42140</v>
      </c>
      <c r="R2625" s="106">
        <v>196605</v>
      </c>
      <c r="S2625" s="31">
        <f t="shared" si="81"/>
        <v>0</v>
      </c>
      <c r="T2625" s="39" t="s">
        <v>9</v>
      </c>
    </row>
    <row r="2626" spans="1:20" x14ac:dyDescent="0.25">
      <c r="A2626" s="20">
        <v>42149</v>
      </c>
      <c r="B2626" s="183">
        <v>22200</v>
      </c>
      <c r="C2626" s="14" t="s">
        <v>44</v>
      </c>
      <c r="D2626" s="105">
        <v>1003.2</v>
      </c>
      <c r="E2626" s="65">
        <v>42149</v>
      </c>
      <c r="F2626" s="106">
        <v>1003.2</v>
      </c>
      <c r="G2626" s="31">
        <f t="shared" si="80"/>
        <v>0</v>
      </c>
      <c r="H2626" s="39" t="s">
        <v>9</v>
      </c>
      <c r="I2626" s="3"/>
      <c r="J2626" s="42"/>
      <c r="K2626" s="3"/>
      <c r="M2626" s="20">
        <v>42136</v>
      </c>
      <c r="N2626" s="183">
        <v>20855</v>
      </c>
      <c r="O2626" s="14" t="s">
        <v>111</v>
      </c>
      <c r="P2626" s="105">
        <v>121300</v>
      </c>
      <c r="Q2626" s="23">
        <v>42140</v>
      </c>
      <c r="R2626" s="106">
        <v>121300</v>
      </c>
      <c r="S2626" s="31">
        <f t="shared" si="81"/>
        <v>0</v>
      </c>
      <c r="T2626" s="39"/>
    </row>
    <row r="2627" spans="1:20" x14ac:dyDescent="0.25">
      <c r="A2627" s="20">
        <v>42149</v>
      </c>
      <c r="B2627" s="183">
        <v>22201</v>
      </c>
      <c r="C2627" s="14" t="s">
        <v>1366</v>
      </c>
      <c r="D2627" s="105">
        <v>10389.200000000001</v>
      </c>
      <c r="E2627" s="74">
        <v>42159</v>
      </c>
      <c r="F2627" s="144">
        <v>10389.200000000001</v>
      </c>
      <c r="G2627" s="31">
        <f t="shared" ref="G2627:G2690" si="82">D2627-F2627</f>
        <v>0</v>
      </c>
      <c r="H2627" s="39" t="s">
        <v>94</v>
      </c>
      <c r="I2627" s="3"/>
      <c r="J2627" s="42"/>
      <c r="K2627" s="3"/>
      <c r="M2627" s="20">
        <v>42137</v>
      </c>
      <c r="N2627" s="183">
        <v>20956</v>
      </c>
      <c r="O2627" s="14" t="s">
        <v>111</v>
      </c>
      <c r="P2627" s="105">
        <v>146388</v>
      </c>
      <c r="Q2627" s="23">
        <v>42140</v>
      </c>
      <c r="R2627" s="106">
        <v>146388</v>
      </c>
      <c r="S2627" s="31">
        <f t="shared" ref="S2627:S2690" si="83">P2627-R2627</f>
        <v>0</v>
      </c>
      <c r="T2627" s="19" t="s">
        <v>9</v>
      </c>
    </row>
    <row r="2628" spans="1:20" x14ac:dyDescent="0.25">
      <c r="A2628" s="20">
        <v>42149</v>
      </c>
      <c r="B2628" s="183">
        <v>22202</v>
      </c>
      <c r="C2628" s="14" t="s">
        <v>104</v>
      </c>
      <c r="D2628" s="105">
        <v>646.79999999999995</v>
      </c>
      <c r="E2628" s="65">
        <v>42150</v>
      </c>
      <c r="F2628" s="106">
        <v>646.79999999999995</v>
      </c>
      <c r="G2628" s="31">
        <f t="shared" si="82"/>
        <v>0</v>
      </c>
      <c r="H2628" s="39" t="s">
        <v>94</v>
      </c>
      <c r="I2628" s="3"/>
      <c r="J2628" s="42"/>
      <c r="K2628" s="3"/>
      <c r="M2628" s="20">
        <v>42137</v>
      </c>
      <c r="N2628" s="183">
        <v>20960</v>
      </c>
      <c r="O2628" s="14" t="s">
        <v>111</v>
      </c>
      <c r="P2628" s="105">
        <v>152900</v>
      </c>
      <c r="Q2628" s="23">
        <v>42140</v>
      </c>
      <c r="R2628" s="106">
        <v>152900</v>
      </c>
      <c r="S2628" s="31">
        <f t="shared" si="83"/>
        <v>0</v>
      </c>
      <c r="T2628" s="19" t="s">
        <v>9</v>
      </c>
    </row>
    <row r="2629" spans="1:20" x14ac:dyDescent="0.25">
      <c r="A2629" s="20">
        <v>42149</v>
      </c>
      <c r="B2629" s="183">
        <v>22203</v>
      </c>
      <c r="C2629" s="14" t="s">
        <v>335</v>
      </c>
      <c r="D2629" s="105">
        <v>621.6</v>
      </c>
      <c r="E2629" s="65">
        <v>42149</v>
      </c>
      <c r="F2629" s="106">
        <v>621.6</v>
      </c>
      <c r="G2629" s="31">
        <f t="shared" si="82"/>
        <v>0</v>
      </c>
      <c r="H2629" s="39" t="s">
        <v>9</v>
      </c>
      <c r="I2629" s="3"/>
      <c r="J2629" s="42"/>
      <c r="K2629" s="3"/>
      <c r="M2629" s="20">
        <v>42139</v>
      </c>
      <c r="N2629" s="183">
        <v>21171</v>
      </c>
      <c r="O2629" s="14" t="s">
        <v>111</v>
      </c>
      <c r="P2629" s="105">
        <v>225060</v>
      </c>
      <c r="Q2629" s="23">
        <v>42143</v>
      </c>
      <c r="R2629" s="106">
        <v>225060</v>
      </c>
      <c r="S2629" s="48">
        <f t="shared" si="83"/>
        <v>0</v>
      </c>
      <c r="T2629" s="39" t="s">
        <v>9</v>
      </c>
    </row>
    <row r="2630" spans="1:20" x14ac:dyDescent="0.25">
      <c r="A2630" s="20">
        <v>42149</v>
      </c>
      <c r="B2630" s="183">
        <v>22204</v>
      </c>
      <c r="C2630" s="14" t="s">
        <v>98</v>
      </c>
      <c r="D2630" s="105">
        <v>3053.6</v>
      </c>
      <c r="E2630" s="65">
        <v>42150</v>
      </c>
      <c r="F2630" s="106">
        <v>3053.6</v>
      </c>
      <c r="G2630" s="31">
        <f t="shared" si="82"/>
        <v>0</v>
      </c>
      <c r="H2630" s="39" t="s">
        <v>94</v>
      </c>
      <c r="I2630" s="3"/>
      <c r="J2630" s="42"/>
      <c r="K2630" s="3"/>
      <c r="M2630" s="20">
        <v>42141</v>
      </c>
      <c r="N2630" s="183">
        <v>21374</v>
      </c>
      <c r="O2630" s="14" t="s">
        <v>111</v>
      </c>
      <c r="P2630" s="105">
        <v>298980</v>
      </c>
      <c r="Q2630" s="23">
        <v>42143</v>
      </c>
      <c r="R2630" s="118">
        <v>298980</v>
      </c>
      <c r="S2630" s="31">
        <f t="shared" si="83"/>
        <v>0</v>
      </c>
      <c r="T2630" s="56" t="s">
        <v>9</v>
      </c>
    </row>
    <row r="2631" spans="1:20" x14ac:dyDescent="0.25">
      <c r="A2631" s="20">
        <v>42149</v>
      </c>
      <c r="B2631" s="183">
        <v>22205</v>
      </c>
      <c r="C2631" s="14" t="s">
        <v>101</v>
      </c>
      <c r="D2631" s="105">
        <v>600</v>
      </c>
      <c r="E2631" s="65">
        <v>42150</v>
      </c>
      <c r="F2631" s="106">
        <v>600</v>
      </c>
      <c r="G2631" s="31">
        <f t="shared" si="82"/>
        <v>0</v>
      </c>
      <c r="H2631" s="39" t="s">
        <v>94</v>
      </c>
      <c r="I2631" s="3"/>
      <c r="J2631" s="42"/>
      <c r="K2631" s="3"/>
      <c r="M2631" s="20">
        <v>42142</v>
      </c>
      <c r="N2631" s="183">
        <v>21532</v>
      </c>
      <c r="O2631" s="14" t="s">
        <v>111</v>
      </c>
      <c r="P2631" s="105">
        <v>205417</v>
      </c>
      <c r="Q2631" s="23">
        <v>42143</v>
      </c>
      <c r="R2631" s="118">
        <v>205417</v>
      </c>
      <c r="S2631" s="31">
        <f t="shared" si="83"/>
        <v>0</v>
      </c>
      <c r="T2631" s="56" t="s">
        <v>9</v>
      </c>
    </row>
    <row r="2632" spans="1:20" x14ac:dyDescent="0.25">
      <c r="A2632" s="20">
        <v>42149</v>
      </c>
      <c r="B2632" s="183">
        <v>22206</v>
      </c>
      <c r="C2632" s="14" t="s">
        <v>1337</v>
      </c>
      <c r="D2632" s="105">
        <v>632</v>
      </c>
      <c r="E2632" s="65">
        <v>42150</v>
      </c>
      <c r="F2632" s="106">
        <v>632</v>
      </c>
      <c r="G2632" s="31">
        <f t="shared" si="82"/>
        <v>0</v>
      </c>
      <c r="H2632" s="39" t="s">
        <v>94</v>
      </c>
      <c r="I2632" s="3"/>
      <c r="J2632" s="42"/>
      <c r="K2632" s="3"/>
      <c r="M2632" s="20">
        <v>42143</v>
      </c>
      <c r="N2632" s="183">
        <v>21556</v>
      </c>
      <c r="O2632" s="14" t="s">
        <v>111</v>
      </c>
      <c r="P2632" s="105">
        <v>32092.400000000001</v>
      </c>
      <c r="Q2632" s="23">
        <v>42144</v>
      </c>
      <c r="R2632" s="118">
        <v>32092.400000000001</v>
      </c>
      <c r="S2632" s="31">
        <f t="shared" si="83"/>
        <v>0</v>
      </c>
      <c r="T2632" s="56" t="s">
        <v>187</v>
      </c>
    </row>
    <row r="2633" spans="1:20" x14ac:dyDescent="0.25">
      <c r="A2633" s="20">
        <v>42149</v>
      </c>
      <c r="B2633" s="183">
        <v>22207</v>
      </c>
      <c r="C2633" s="14" t="s">
        <v>65</v>
      </c>
      <c r="D2633" s="105">
        <v>26762.400000000001</v>
      </c>
      <c r="E2633" s="65">
        <v>42150</v>
      </c>
      <c r="F2633" s="106">
        <v>26762.400000000001</v>
      </c>
      <c r="G2633" s="31">
        <f t="shared" si="82"/>
        <v>0</v>
      </c>
      <c r="H2633" s="39" t="s">
        <v>62</v>
      </c>
      <c r="I2633" s="3"/>
      <c r="J2633" s="42"/>
      <c r="K2633" s="3"/>
      <c r="M2633" s="20">
        <v>42143</v>
      </c>
      <c r="N2633" s="183">
        <v>21601</v>
      </c>
      <c r="O2633" s="14" t="s">
        <v>111</v>
      </c>
      <c r="P2633" s="105">
        <v>227232</v>
      </c>
      <c r="Q2633" s="23">
        <v>42144</v>
      </c>
      <c r="R2633" s="118">
        <v>227232</v>
      </c>
      <c r="S2633" s="31">
        <f t="shared" si="83"/>
        <v>0</v>
      </c>
      <c r="T2633" s="56" t="s">
        <v>9</v>
      </c>
    </row>
    <row r="2634" spans="1:20" x14ac:dyDescent="0.25">
      <c r="A2634" s="20">
        <v>42149</v>
      </c>
      <c r="B2634" s="183">
        <v>22208</v>
      </c>
      <c r="C2634" s="14" t="s">
        <v>99</v>
      </c>
      <c r="D2634" s="105">
        <v>7204.8</v>
      </c>
      <c r="E2634" s="65">
        <v>42152</v>
      </c>
      <c r="F2634" s="106">
        <v>7204.8</v>
      </c>
      <c r="G2634" s="31">
        <f t="shared" si="82"/>
        <v>0</v>
      </c>
      <c r="H2634" s="39" t="s">
        <v>9</v>
      </c>
      <c r="I2634" s="3"/>
      <c r="J2634" s="42"/>
      <c r="K2634" s="3"/>
      <c r="M2634" s="20">
        <v>42144</v>
      </c>
      <c r="N2634" s="183">
        <v>21644</v>
      </c>
      <c r="O2634" s="14" t="s">
        <v>111</v>
      </c>
      <c r="P2634" s="105">
        <v>7560</v>
      </c>
      <c r="Q2634" s="23">
        <v>42144</v>
      </c>
      <c r="R2634" s="118">
        <v>7560</v>
      </c>
      <c r="S2634" s="31">
        <f t="shared" si="83"/>
        <v>0</v>
      </c>
      <c r="T2634" s="62" t="s">
        <v>9</v>
      </c>
    </row>
    <row r="2635" spans="1:20" x14ac:dyDescent="0.25">
      <c r="A2635" s="20">
        <v>42149</v>
      </c>
      <c r="B2635" s="183">
        <v>22209</v>
      </c>
      <c r="C2635" s="14" t="s">
        <v>50</v>
      </c>
      <c r="D2635" s="105">
        <v>1879.8</v>
      </c>
      <c r="E2635" s="65">
        <v>42150</v>
      </c>
      <c r="F2635" s="106">
        <v>1879.8</v>
      </c>
      <c r="G2635" s="31">
        <f t="shared" si="82"/>
        <v>0</v>
      </c>
      <c r="H2635" s="39" t="s">
        <v>94</v>
      </c>
      <c r="I2635" s="3"/>
      <c r="J2635" s="42"/>
      <c r="K2635" s="3"/>
      <c r="M2635" s="20">
        <v>42144</v>
      </c>
      <c r="N2635" s="183">
        <v>21706</v>
      </c>
      <c r="O2635" s="14" t="s">
        <v>111</v>
      </c>
      <c r="P2635" s="105">
        <v>160551</v>
      </c>
      <c r="Q2635" s="23">
        <v>42146</v>
      </c>
      <c r="R2635" s="106">
        <v>160551</v>
      </c>
      <c r="S2635" s="31">
        <f t="shared" si="83"/>
        <v>0</v>
      </c>
      <c r="T2635" s="39" t="s">
        <v>9</v>
      </c>
    </row>
    <row r="2636" spans="1:20" x14ac:dyDescent="0.25">
      <c r="A2636" s="20">
        <v>42149</v>
      </c>
      <c r="B2636" s="183">
        <v>22210</v>
      </c>
      <c r="C2636" s="14" t="s">
        <v>180</v>
      </c>
      <c r="D2636" s="105">
        <v>6026.9</v>
      </c>
      <c r="E2636" s="65">
        <v>42149</v>
      </c>
      <c r="F2636" s="106">
        <v>6026.9</v>
      </c>
      <c r="G2636" s="31">
        <f t="shared" si="82"/>
        <v>0</v>
      </c>
      <c r="H2636" s="39" t="s">
        <v>9</v>
      </c>
      <c r="I2636" s="3"/>
      <c r="J2636" s="42"/>
      <c r="K2636" s="3"/>
      <c r="M2636" s="20">
        <v>42145</v>
      </c>
      <c r="N2636" s="183">
        <v>21722</v>
      </c>
      <c r="O2636" s="14" t="s">
        <v>111</v>
      </c>
      <c r="P2636" s="105">
        <v>8289</v>
      </c>
      <c r="Q2636" s="23">
        <v>42146</v>
      </c>
      <c r="R2636" s="106">
        <v>8289</v>
      </c>
      <c r="S2636" s="31">
        <f t="shared" si="83"/>
        <v>0</v>
      </c>
      <c r="T2636" s="39" t="s">
        <v>15</v>
      </c>
    </row>
    <row r="2637" spans="1:20" x14ac:dyDescent="0.25">
      <c r="A2637" s="20">
        <v>42149</v>
      </c>
      <c r="B2637" s="183">
        <v>22211</v>
      </c>
      <c r="C2637" s="14" t="s">
        <v>336</v>
      </c>
      <c r="D2637" s="105">
        <v>2985.6</v>
      </c>
      <c r="E2637" s="65">
        <v>42149</v>
      </c>
      <c r="F2637" s="106">
        <v>2985.6</v>
      </c>
      <c r="G2637" s="31">
        <f t="shared" si="82"/>
        <v>0</v>
      </c>
      <c r="H2637" s="39" t="s">
        <v>9</v>
      </c>
      <c r="I2637" s="3"/>
      <c r="J2637" s="42"/>
      <c r="K2637" s="3"/>
      <c r="M2637" s="20">
        <v>42145</v>
      </c>
      <c r="N2637" s="183">
        <v>21777</v>
      </c>
      <c r="O2637" s="15" t="s">
        <v>111</v>
      </c>
      <c r="P2637" s="122">
        <v>180600</v>
      </c>
      <c r="Q2637" s="72">
        <v>42147</v>
      </c>
      <c r="R2637" s="118">
        <v>180600</v>
      </c>
      <c r="S2637" s="31">
        <f t="shared" si="83"/>
        <v>0</v>
      </c>
      <c r="T2637" s="68" t="s">
        <v>9</v>
      </c>
    </row>
    <row r="2638" spans="1:20" x14ac:dyDescent="0.25">
      <c r="A2638" s="20">
        <v>42149</v>
      </c>
      <c r="B2638" s="183">
        <v>22212</v>
      </c>
      <c r="C2638" s="14" t="s">
        <v>49</v>
      </c>
      <c r="D2638" s="105">
        <v>1495.2</v>
      </c>
      <c r="E2638" s="65">
        <v>42150</v>
      </c>
      <c r="F2638" s="106">
        <v>1495.2</v>
      </c>
      <c r="G2638" s="31">
        <f t="shared" si="82"/>
        <v>0</v>
      </c>
      <c r="H2638" s="39" t="s">
        <v>94</v>
      </c>
      <c r="I2638" s="3"/>
      <c r="J2638" s="42"/>
      <c r="K2638" s="3"/>
      <c r="M2638" s="20">
        <v>42146</v>
      </c>
      <c r="N2638" s="183">
        <v>21911</v>
      </c>
      <c r="O2638" s="14" t="s">
        <v>111</v>
      </c>
      <c r="P2638" s="105">
        <v>10000</v>
      </c>
      <c r="Q2638" s="23">
        <v>42147</v>
      </c>
      <c r="R2638" s="106">
        <v>10000</v>
      </c>
      <c r="S2638" s="31">
        <f t="shared" si="83"/>
        <v>0</v>
      </c>
      <c r="T2638" s="39" t="s">
        <v>9</v>
      </c>
    </row>
    <row r="2639" spans="1:20" x14ac:dyDescent="0.25">
      <c r="A2639" s="20">
        <v>42149</v>
      </c>
      <c r="B2639" s="183">
        <v>22213</v>
      </c>
      <c r="C2639" s="14" t="s">
        <v>738</v>
      </c>
      <c r="D2639" s="105">
        <v>14191.8</v>
      </c>
      <c r="E2639" s="65">
        <v>42149</v>
      </c>
      <c r="F2639" s="106">
        <v>14191.8</v>
      </c>
      <c r="G2639" s="31">
        <f t="shared" si="82"/>
        <v>0</v>
      </c>
      <c r="H2639" s="39" t="s">
        <v>1273</v>
      </c>
      <c r="I2639" s="3"/>
      <c r="J2639" s="42"/>
      <c r="K2639" s="3"/>
      <c r="M2639" s="20">
        <v>42146</v>
      </c>
      <c r="N2639" s="183">
        <v>21925</v>
      </c>
      <c r="O2639" s="14" t="s">
        <v>111</v>
      </c>
      <c r="P2639" s="105">
        <v>156325</v>
      </c>
      <c r="Q2639" s="23">
        <v>42147</v>
      </c>
      <c r="R2639" s="106">
        <v>156325</v>
      </c>
      <c r="S2639" s="31">
        <f t="shared" si="83"/>
        <v>0</v>
      </c>
      <c r="T2639" s="39" t="s">
        <v>9</v>
      </c>
    </row>
    <row r="2640" spans="1:20" x14ac:dyDescent="0.25">
      <c r="A2640" s="20">
        <v>42149</v>
      </c>
      <c r="B2640" s="183">
        <v>22214</v>
      </c>
      <c r="C2640" s="14" t="s">
        <v>66</v>
      </c>
      <c r="D2640" s="105">
        <v>1241.5</v>
      </c>
      <c r="E2640" s="65">
        <v>42149</v>
      </c>
      <c r="F2640" s="106">
        <v>1241.5</v>
      </c>
      <c r="G2640" s="31">
        <f t="shared" si="82"/>
        <v>0</v>
      </c>
      <c r="H2640" s="39" t="s">
        <v>9</v>
      </c>
      <c r="I2640" s="3"/>
      <c r="J2640" s="42"/>
      <c r="K2640" s="3"/>
      <c r="M2640" s="20">
        <v>42146</v>
      </c>
      <c r="N2640" s="183">
        <v>21955</v>
      </c>
      <c r="O2640" s="14" t="s">
        <v>111</v>
      </c>
      <c r="P2640" s="105">
        <v>1174.8</v>
      </c>
      <c r="Q2640" s="23">
        <v>42147</v>
      </c>
      <c r="R2640" s="106">
        <v>1174.8</v>
      </c>
      <c r="S2640" s="31">
        <f t="shared" si="83"/>
        <v>0</v>
      </c>
      <c r="T2640" s="39" t="s">
        <v>9</v>
      </c>
    </row>
    <row r="2641" spans="1:20" x14ac:dyDescent="0.25">
      <c r="A2641" s="20">
        <v>42149</v>
      </c>
      <c r="B2641" s="183">
        <v>22215</v>
      </c>
      <c r="C2641" s="14" t="s">
        <v>332</v>
      </c>
      <c r="D2641" s="105">
        <v>710.65</v>
      </c>
      <c r="E2641" s="65">
        <v>42149</v>
      </c>
      <c r="F2641" s="106">
        <v>710.65</v>
      </c>
      <c r="G2641" s="31">
        <f t="shared" si="82"/>
        <v>0</v>
      </c>
      <c r="H2641" s="39" t="s">
        <v>9</v>
      </c>
      <c r="I2641" s="3"/>
      <c r="J2641" s="42"/>
      <c r="K2641" s="3"/>
      <c r="M2641" s="20">
        <v>42147</v>
      </c>
      <c r="N2641" s="183">
        <v>22039</v>
      </c>
      <c r="O2641" s="14" t="s">
        <v>111</v>
      </c>
      <c r="P2641" s="105">
        <v>322902</v>
      </c>
      <c r="Q2641" s="65">
        <v>42152</v>
      </c>
      <c r="R2641" s="106">
        <v>322902</v>
      </c>
      <c r="S2641" s="31">
        <f t="shared" si="83"/>
        <v>0</v>
      </c>
      <c r="T2641" s="39" t="s">
        <v>9</v>
      </c>
    </row>
    <row r="2642" spans="1:20" x14ac:dyDescent="0.25">
      <c r="A2642" s="20">
        <v>42149</v>
      </c>
      <c r="B2642" s="183">
        <v>22216</v>
      </c>
      <c r="C2642" s="14" t="s">
        <v>136</v>
      </c>
      <c r="D2642" s="105">
        <v>4180.8</v>
      </c>
      <c r="E2642" s="65">
        <v>42149</v>
      </c>
      <c r="F2642" s="106">
        <v>4180.8</v>
      </c>
      <c r="G2642" s="31">
        <f t="shared" si="82"/>
        <v>0</v>
      </c>
      <c r="H2642" s="39" t="s">
        <v>9</v>
      </c>
      <c r="I2642" s="3"/>
      <c r="J2642" s="42"/>
      <c r="K2642" s="3"/>
      <c r="M2642" s="20">
        <v>42150</v>
      </c>
      <c r="N2642" s="183">
        <v>22250</v>
      </c>
      <c r="O2642" s="14" t="s">
        <v>111</v>
      </c>
      <c r="P2642" s="105">
        <v>83729.5</v>
      </c>
      <c r="Q2642" s="65">
        <v>42152</v>
      </c>
      <c r="R2642" s="106">
        <v>83729.5</v>
      </c>
      <c r="S2642" s="31">
        <f t="shared" si="83"/>
        <v>0</v>
      </c>
      <c r="T2642" s="39" t="s">
        <v>9</v>
      </c>
    </row>
    <row r="2643" spans="1:20" x14ac:dyDescent="0.25">
      <c r="A2643" s="20">
        <v>42149</v>
      </c>
      <c r="B2643" s="183">
        <v>22217</v>
      </c>
      <c r="C2643" s="14" t="s">
        <v>236</v>
      </c>
      <c r="D2643" s="105">
        <v>34272</v>
      </c>
      <c r="E2643" s="213" t="s">
        <v>1447</v>
      </c>
      <c r="F2643" s="144">
        <f>11528.54+22743.46</f>
        <v>34272</v>
      </c>
      <c r="G2643" s="31">
        <f t="shared" si="82"/>
        <v>0</v>
      </c>
      <c r="H2643" s="39" t="s">
        <v>1257</v>
      </c>
      <c r="I2643" s="3"/>
      <c r="J2643" s="42"/>
      <c r="K2643" s="3"/>
      <c r="M2643" s="20">
        <v>42150</v>
      </c>
      <c r="N2643" s="183">
        <v>22324</v>
      </c>
      <c r="O2643" s="14" t="s">
        <v>111</v>
      </c>
      <c r="P2643" s="105">
        <v>134822</v>
      </c>
      <c r="Q2643" s="65">
        <v>42152</v>
      </c>
      <c r="R2643" s="106">
        <v>134822</v>
      </c>
      <c r="S2643" s="31">
        <f t="shared" si="83"/>
        <v>0</v>
      </c>
      <c r="T2643" s="39" t="s">
        <v>9</v>
      </c>
    </row>
    <row r="2644" spans="1:20" x14ac:dyDescent="0.25">
      <c r="A2644" s="20">
        <v>42149</v>
      </c>
      <c r="B2644" s="183">
        <v>22218</v>
      </c>
      <c r="C2644" s="14" t="s">
        <v>239</v>
      </c>
      <c r="D2644" s="105">
        <v>619.04999999999995</v>
      </c>
      <c r="E2644" s="65">
        <v>42149</v>
      </c>
      <c r="F2644" s="106">
        <v>619.04999999999995</v>
      </c>
      <c r="G2644" s="31">
        <f t="shared" si="82"/>
        <v>0</v>
      </c>
      <c r="H2644" s="39" t="s">
        <v>9</v>
      </c>
      <c r="I2644" s="3"/>
      <c r="J2644" s="42"/>
      <c r="K2644" s="3"/>
      <c r="M2644" s="20">
        <v>42151</v>
      </c>
      <c r="N2644" s="183">
        <v>22418</v>
      </c>
      <c r="O2644" s="14" t="s">
        <v>111</v>
      </c>
      <c r="P2644" s="105">
        <v>146080</v>
      </c>
      <c r="Q2644" s="23">
        <v>42153</v>
      </c>
      <c r="R2644" s="106">
        <v>146080</v>
      </c>
      <c r="S2644" s="31">
        <f t="shared" si="83"/>
        <v>0</v>
      </c>
      <c r="T2644" s="39" t="s">
        <v>9</v>
      </c>
    </row>
    <row r="2645" spans="1:20" x14ac:dyDescent="0.25">
      <c r="A2645" s="20">
        <v>42149</v>
      </c>
      <c r="B2645" s="183">
        <v>22219</v>
      </c>
      <c r="C2645" s="14" t="s">
        <v>14</v>
      </c>
      <c r="D2645" s="105">
        <v>108324.59</v>
      </c>
      <c r="E2645" s="65" t="s">
        <v>1344</v>
      </c>
      <c r="F2645" s="106">
        <f>2950+105374.59</f>
        <v>108324.59</v>
      </c>
      <c r="G2645" s="31">
        <f t="shared" si="82"/>
        <v>0</v>
      </c>
      <c r="H2645" s="39" t="s">
        <v>9</v>
      </c>
      <c r="I2645" s="3"/>
      <c r="J2645" s="42"/>
      <c r="K2645" s="3"/>
      <c r="M2645" s="20">
        <v>42151</v>
      </c>
      <c r="N2645" s="183">
        <v>22421</v>
      </c>
      <c r="O2645" s="14" t="s">
        <v>111</v>
      </c>
      <c r="P2645" s="105">
        <v>147784.95999999999</v>
      </c>
      <c r="Q2645" s="23">
        <v>42152</v>
      </c>
      <c r="R2645" s="106">
        <v>147784.95999999999</v>
      </c>
      <c r="S2645" s="31">
        <f t="shared" si="83"/>
        <v>0</v>
      </c>
      <c r="T2645" s="39" t="s">
        <v>94</v>
      </c>
    </row>
    <row r="2646" spans="1:20" x14ac:dyDescent="0.25">
      <c r="A2646" s="20">
        <v>42149</v>
      </c>
      <c r="B2646" s="183">
        <v>22220</v>
      </c>
      <c r="C2646" s="14" t="s">
        <v>446</v>
      </c>
      <c r="D2646" s="105">
        <v>9994.76</v>
      </c>
      <c r="E2646" s="74" t="s">
        <v>1441</v>
      </c>
      <c r="F2646" s="144">
        <v>9994.76</v>
      </c>
      <c r="G2646" s="31">
        <f t="shared" si="82"/>
        <v>0</v>
      </c>
      <c r="H2646" s="39" t="s">
        <v>9</v>
      </c>
      <c r="I2646" s="3"/>
      <c r="J2646" s="42"/>
      <c r="K2646" s="3"/>
      <c r="M2646" s="20">
        <v>42153</v>
      </c>
      <c r="N2646" s="183">
        <v>22633</v>
      </c>
      <c r="O2646" s="14" t="s">
        <v>111</v>
      </c>
      <c r="P2646" s="105">
        <v>287669</v>
      </c>
      <c r="Q2646" s="23">
        <v>42154</v>
      </c>
      <c r="R2646" s="106">
        <v>287669</v>
      </c>
      <c r="S2646" s="31">
        <f t="shared" si="83"/>
        <v>0</v>
      </c>
      <c r="T2646" s="39" t="s">
        <v>9</v>
      </c>
    </row>
    <row r="2647" spans="1:20" x14ac:dyDescent="0.25">
      <c r="A2647" s="20">
        <v>42149</v>
      </c>
      <c r="B2647" s="183">
        <v>22221</v>
      </c>
      <c r="C2647" s="14" t="s">
        <v>47</v>
      </c>
      <c r="D2647" s="105">
        <v>6534</v>
      </c>
      <c r="E2647" s="74">
        <v>42156</v>
      </c>
      <c r="F2647" s="144">
        <v>6534</v>
      </c>
      <c r="G2647" s="31">
        <f t="shared" si="82"/>
        <v>0</v>
      </c>
      <c r="H2647" s="39" t="s">
        <v>9</v>
      </c>
      <c r="I2647" s="3"/>
      <c r="J2647" s="42"/>
      <c r="K2647" s="3"/>
      <c r="M2647" s="20">
        <v>42154</v>
      </c>
      <c r="N2647" s="183">
        <v>22777</v>
      </c>
      <c r="O2647" s="14" t="s">
        <v>111</v>
      </c>
      <c r="P2647" s="105">
        <v>342548</v>
      </c>
      <c r="Q2647" s="23"/>
      <c r="R2647" s="106"/>
      <c r="S2647" s="31">
        <f t="shared" si="83"/>
        <v>342548</v>
      </c>
      <c r="T2647" s="39" t="s">
        <v>9</v>
      </c>
    </row>
    <row r="2648" spans="1:20" x14ac:dyDescent="0.25">
      <c r="A2648" s="20">
        <v>42149</v>
      </c>
      <c r="B2648" s="183">
        <v>22222</v>
      </c>
      <c r="C2648" s="14" t="s">
        <v>24</v>
      </c>
      <c r="D2648" s="105">
        <v>196068.75</v>
      </c>
      <c r="E2648" s="213" t="s">
        <v>1473</v>
      </c>
      <c r="F2648" s="144">
        <f>24584.26+171484.49</f>
        <v>196068.75</v>
      </c>
      <c r="G2648" s="31">
        <f t="shared" si="82"/>
        <v>0</v>
      </c>
      <c r="H2648" s="39" t="s">
        <v>59</v>
      </c>
      <c r="I2648" s="3"/>
      <c r="J2648" s="42"/>
      <c r="K2648" s="3"/>
      <c r="M2648" s="20">
        <v>42154</v>
      </c>
      <c r="N2648" s="183">
        <v>22778</v>
      </c>
      <c r="O2648" s="14" t="s">
        <v>111</v>
      </c>
      <c r="P2648" s="105">
        <v>231352</v>
      </c>
      <c r="Q2648" s="23"/>
      <c r="R2648" s="106"/>
      <c r="S2648" s="31">
        <f t="shared" si="83"/>
        <v>231352</v>
      </c>
      <c r="T2648" s="39" t="s">
        <v>9</v>
      </c>
    </row>
    <row r="2649" spans="1:20" x14ac:dyDescent="0.25">
      <c r="A2649" s="20">
        <v>42149</v>
      </c>
      <c r="B2649" s="183">
        <v>22223</v>
      </c>
      <c r="C2649" s="14" t="s">
        <v>215</v>
      </c>
      <c r="D2649" s="105">
        <v>12466.6</v>
      </c>
      <c r="E2649" s="65">
        <v>42149</v>
      </c>
      <c r="F2649" s="106">
        <v>12466.6</v>
      </c>
      <c r="G2649" s="31">
        <f t="shared" si="82"/>
        <v>0</v>
      </c>
      <c r="H2649" s="39" t="s">
        <v>9</v>
      </c>
      <c r="I2649" s="3"/>
      <c r="J2649" s="42"/>
      <c r="K2649" s="3"/>
      <c r="M2649" s="20">
        <v>42154</v>
      </c>
      <c r="N2649" s="183">
        <v>22781</v>
      </c>
      <c r="O2649" s="14" t="s">
        <v>111</v>
      </c>
      <c r="P2649" s="105">
        <v>21538</v>
      </c>
      <c r="Q2649" s="23"/>
      <c r="R2649" s="106"/>
      <c r="S2649" s="31">
        <f t="shared" si="83"/>
        <v>21538</v>
      </c>
      <c r="T2649" s="39" t="s">
        <v>94</v>
      </c>
    </row>
    <row r="2650" spans="1:20" x14ac:dyDescent="0.25">
      <c r="A2650" s="20">
        <v>42149</v>
      </c>
      <c r="B2650" s="183">
        <v>22224</v>
      </c>
      <c r="C2650" s="14" t="s">
        <v>262</v>
      </c>
      <c r="D2650" s="105">
        <v>3186.6</v>
      </c>
      <c r="E2650" s="65">
        <v>42151</v>
      </c>
      <c r="F2650" s="106">
        <v>3186.6</v>
      </c>
      <c r="G2650" s="31">
        <f t="shared" si="82"/>
        <v>0</v>
      </c>
      <c r="H2650" s="39" t="s">
        <v>149</v>
      </c>
      <c r="I2650" s="3"/>
      <c r="J2650" s="42"/>
      <c r="K2650" s="3"/>
      <c r="M2650" s="20">
        <v>42155</v>
      </c>
      <c r="N2650" s="183">
        <v>22855</v>
      </c>
      <c r="O2650" s="14" t="s">
        <v>111</v>
      </c>
      <c r="P2650" s="105">
        <v>58561.120000000003</v>
      </c>
      <c r="Q2650" s="23"/>
      <c r="R2650" s="106"/>
      <c r="S2650" s="31">
        <f t="shared" si="83"/>
        <v>58561.120000000003</v>
      </c>
      <c r="T2650" s="39" t="s">
        <v>773</v>
      </c>
    </row>
    <row r="2651" spans="1:20" x14ac:dyDescent="0.25">
      <c r="A2651" s="20">
        <v>42149</v>
      </c>
      <c r="B2651" s="183">
        <v>22225</v>
      </c>
      <c r="C2651" s="14" t="s">
        <v>206</v>
      </c>
      <c r="D2651" s="105">
        <v>67951.649999999994</v>
      </c>
      <c r="E2651" s="74" t="s">
        <v>1455</v>
      </c>
      <c r="F2651" s="144">
        <v>67951.649999999994</v>
      </c>
      <c r="G2651" s="31">
        <f t="shared" si="82"/>
        <v>0</v>
      </c>
      <c r="H2651" s="39" t="s">
        <v>149</v>
      </c>
      <c r="I2651" s="3"/>
      <c r="J2651" s="42"/>
      <c r="K2651" s="3"/>
      <c r="M2651" s="20">
        <v>42130</v>
      </c>
      <c r="N2651" s="183">
        <v>20164</v>
      </c>
      <c r="O2651" s="14" t="s">
        <v>1324</v>
      </c>
      <c r="P2651" s="105">
        <v>1790.88</v>
      </c>
      <c r="Q2651" s="30" t="s">
        <v>1325</v>
      </c>
      <c r="R2651" s="106">
        <v>1790.88</v>
      </c>
      <c r="S2651" s="31">
        <f t="shared" si="83"/>
        <v>0</v>
      </c>
      <c r="T2651" s="39" t="s">
        <v>9</v>
      </c>
    </row>
    <row r="2652" spans="1:20" x14ac:dyDescent="0.25">
      <c r="A2652" s="20">
        <v>42149</v>
      </c>
      <c r="B2652" s="183">
        <v>22226</v>
      </c>
      <c r="C2652" s="14" t="s">
        <v>203</v>
      </c>
      <c r="D2652" s="105">
        <v>3867.6</v>
      </c>
      <c r="E2652" s="65">
        <v>42151</v>
      </c>
      <c r="F2652" s="106">
        <v>3867.6</v>
      </c>
      <c r="G2652" s="31">
        <f t="shared" si="82"/>
        <v>0</v>
      </c>
      <c r="H2652" s="39" t="s">
        <v>149</v>
      </c>
      <c r="I2652" s="3"/>
      <c r="J2652" s="42"/>
      <c r="K2652" s="3"/>
      <c r="M2652" s="20">
        <v>42144</v>
      </c>
      <c r="N2652" s="183">
        <v>21689</v>
      </c>
      <c r="O2652" s="14" t="s">
        <v>1324</v>
      </c>
      <c r="P2652" s="105">
        <v>3543.15</v>
      </c>
      <c r="Q2652" s="23"/>
      <c r="R2652" s="106"/>
      <c r="S2652" s="31">
        <f t="shared" si="83"/>
        <v>3543.15</v>
      </c>
      <c r="T2652" s="39" t="s">
        <v>9</v>
      </c>
    </row>
    <row r="2653" spans="1:20" x14ac:dyDescent="0.25">
      <c r="A2653" s="20">
        <v>42149</v>
      </c>
      <c r="B2653" s="183">
        <v>22227</v>
      </c>
      <c r="C2653" s="14" t="s">
        <v>420</v>
      </c>
      <c r="D2653" s="105">
        <v>6255.2</v>
      </c>
      <c r="E2653" s="65">
        <v>42151</v>
      </c>
      <c r="F2653" s="106">
        <v>6255.2</v>
      </c>
      <c r="G2653" s="31">
        <f t="shared" si="82"/>
        <v>0</v>
      </c>
      <c r="H2653" s="39" t="s">
        <v>9</v>
      </c>
      <c r="I2653" s="3"/>
      <c r="J2653" s="42"/>
      <c r="K2653" s="3"/>
      <c r="M2653" s="20">
        <v>42137</v>
      </c>
      <c r="N2653" s="183">
        <v>20926</v>
      </c>
      <c r="O2653" s="14" t="s">
        <v>245</v>
      </c>
      <c r="P2653" s="105">
        <v>1255.8</v>
      </c>
      <c r="Q2653" s="23">
        <v>42140</v>
      </c>
      <c r="R2653" s="106">
        <v>1255.8</v>
      </c>
      <c r="S2653" s="31">
        <f t="shared" si="83"/>
        <v>0</v>
      </c>
      <c r="T2653" s="19" t="s">
        <v>9</v>
      </c>
    </row>
    <row r="2654" spans="1:20" x14ac:dyDescent="0.25">
      <c r="A2654" s="20">
        <v>42149</v>
      </c>
      <c r="B2654" s="183">
        <v>22228</v>
      </c>
      <c r="C2654" s="14" t="s">
        <v>204</v>
      </c>
      <c r="D2654" s="105">
        <v>4358.2</v>
      </c>
      <c r="E2654" s="65">
        <v>42151</v>
      </c>
      <c r="F2654" s="106">
        <v>4358.2</v>
      </c>
      <c r="G2654" s="31">
        <f t="shared" si="82"/>
        <v>0</v>
      </c>
      <c r="H2654" s="39" t="s">
        <v>149</v>
      </c>
      <c r="I2654" s="3"/>
      <c r="J2654" s="42"/>
      <c r="K2654" s="3"/>
      <c r="M2654" s="20">
        <v>42151</v>
      </c>
      <c r="N2654" s="183">
        <v>22384</v>
      </c>
      <c r="O2654" s="14" t="s">
        <v>245</v>
      </c>
      <c r="P2654" s="105">
        <v>3127.41</v>
      </c>
      <c r="Q2654" s="23"/>
      <c r="R2654" s="106"/>
      <c r="S2654" s="31">
        <f t="shared" si="83"/>
        <v>3127.41</v>
      </c>
      <c r="T2654" s="39" t="s">
        <v>9</v>
      </c>
    </row>
    <row r="2655" spans="1:20" x14ac:dyDescent="0.25">
      <c r="A2655" s="20">
        <v>42149</v>
      </c>
      <c r="B2655" s="183">
        <v>22229</v>
      </c>
      <c r="C2655" s="14" t="s">
        <v>877</v>
      </c>
      <c r="D2655" s="105">
        <v>5948</v>
      </c>
      <c r="E2655" s="65">
        <v>42151</v>
      </c>
      <c r="F2655" s="106">
        <v>5948</v>
      </c>
      <c r="G2655" s="31">
        <f t="shared" si="82"/>
        <v>0</v>
      </c>
      <c r="H2655" s="39" t="s">
        <v>149</v>
      </c>
      <c r="I2655" s="3"/>
      <c r="J2655" s="42"/>
      <c r="K2655" s="3"/>
      <c r="M2655" s="20">
        <v>42138</v>
      </c>
      <c r="N2655" s="183">
        <v>21016</v>
      </c>
      <c r="O2655" s="14" t="s">
        <v>33</v>
      </c>
      <c r="P2655" s="105">
        <v>2120.4</v>
      </c>
      <c r="Q2655" s="23">
        <v>42138</v>
      </c>
      <c r="R2655" s="106">
        <v>2120.4</v>
      </c>
      <c r="S2655" s="48">
        <f t="shared" si="83"/>
        <v>0</v>
      </c>
      <c r="T2655" s="39" t="s">
        <v>9</v>
      </c>
    </row>
    <row r="2656" spans="1:20" x14ac:dyDescent="0.25">
      <c r="A2656" s="20">
        <v>42149</v>
      </c>
      <c r="B2656" s="183">
        <v>22230</v>
      </c>
      <c r="C2656" s="14" t="s">
        <v>697</v>
      </c>
      <c r="D2656" s="105">
        <v>8355.6</v>
      </c>
      <c r="E2656" s="74" t="s">
        <v>1480</v>
      </c>
      <c r="F2656" s="144">
        <v>8355.6</v>
      </c>
      <c r="G2656" s="31">
        <f t="shared" si="82"/>
        <v>0</v>
      </c>
      <c r="H2656" s="39" t="s">
        <v>9</v>
      </c>
      <c r="I2656" s="3"/>
      <c r="J2656" s="42"/>
      <c r="K2656" s="3"/>
      <c r="M2656" s="20">
        <v>42151</v>
      </c>
      <c r="N2656" s="183">
        <v>22364</v>
      </c>
      <c r="O2656" s="14" t="s">
        <v>33</v>
      </c>
      <c r="P2656" s="105">
        <v>5109.8</v>
      </c>
      <c r="Q2656" s="65">
        <v>42151</v>
      </c>
      <c r="R2656" s="106">
        <v>5109.8</v>
      </c>
      <c r="S2656" s="31">
        <f t="shared" si="83"/>
        <v>0</v>
      </c>
      <c r="T2656" s="39" t="s">
        <v>9</v>
      </c>
    </row>
    <row r="2657" spans="1:20" x14ac:dyDescent="0.25">
      <c r="A2657" s="20">
        <v>42149</v>
      </c>
      <c r="B2657" s="183">
        <v>22231</v>
      </c>
      <c r="C2657" s="14" t="s">
        <v>199</v>
      </c>
      <c r="D2657" s="105">
        <v>10188.799999999999</v>
      </c>
      <c r="E2657" s="65">
        <v>42151</v>
      </c>
      <c r="F2657" s="106">
        <v>10188.799999999999</v>
      </c>
      <c r="G2657" s="31">
        <f t="shared" si="82"/>
        <v>0</v>
      </c>
      <c r="H2657" s="39" t="s">
        <v>149</v>
      </c>
      <c r="I2657" s="3"/>
      <c r="J2657" s="42"/>
      <c r="K2657" s="3"/>
      <c r="M2657" s="20">
        <v>42133</v>
      </c>
      <c r="N2657" s="183">
        <v>20526</v>
      </c>
      <c r="O2657" s="14" t="s">
        <v>294</v>
      </c>
      <c r="P2657" s="105">
        <v>855.2</v>
      </c>
      <c r="Q2657" s="23">
        <v>42133</v>
      </c>
      <c r="R2657" s="106">
        <v>855.2</v>
      </c>
      <c r="S2657" s="31">
        <f t="shared" si="83"/>
        <v>0</v>
      </c>
      <c r="T2657" s="19" t="s">
        <v>9</v>
      </c>
    </row>
    <row r="2658" spans="1:20" x14ac:dyDescent="0.25">
      <c r="A2658" s="20">
        <v>42149</v>
      </c>
      <c r="B2658" s="183">
        <v>22232</v>
      </c>
      <c r="C2658" s="14" t="s">
        <v>195</v>
      </c>
      <c r="D2658" s="105">
        <v>157658.62</v>
      </c>
      <c r="E2658" s="65">
        <v>42151</v>
      </c>
      <c r="F2658" s="106">
        <v>157658.62</v>
      </c>
      <c r="G2658" s="31">
        <f t="shared" si="82"/>
        <v>0</v>
      </c>
      <c r="H2658" s="39" t="s">
        <v>149</v>
      </c>
      <c r="I2658" s="3"/>
      <c r="J2658" s="42"/>
      <c r="K2658" s="3"/>
      <c r="M2658" s="20">
        <v>42133</v>
      </c>
      <c r="N2658" s="183">
        <v>20527</v>
      </c>
      <c r="O2658" s="14" t="s">
        <v>294</v>
      </c>
      <c r="P2658" s="105">
        <v>390</v>
      </c>
      <c r="Q2658" s="23">
        <v>42133</v>
      </c>
      <c r="R2658" s="106">
        <v>390</v>
      </c>
      <c r="S2658" s="31">
        <f t="shared" si="83"/>
        <v>0</v>
      </c>
      <c r="T2658" s="19" t="s">
        <v>9</v>
      </c>
    </row>
    <row r="2659" spans="1:20" x14ac:dyDescent="0.25">
      <c r="A2659" s="20">
        <v>42149</v>
      </c>
      <c r="B2659" s="183">
        <v>22233</v>
      </c>
      <c r="C2659" s="14" t="s">
        <v>90</v>
      </c>
      <c r="D2659" s="105">
        <v>1088.4000000000001</v>
      </c>
      <c r="E2659" s="74"/>
      <c r="F2659" s="144"/>
      <c r="G2659" s="31">
        <f t="shared" si="82"/>
        <v>1088.4000000000001</v>
      </c>
      <c r="H2659" s="39" t="s">
        <v>9</v>
      </c>
      <c r="I2659" s="3"/>
      <c r="J2659" s="42"/>
      <c r="K2659" s="3"/>
      <c r="M2659" s="20">
        <v>42141</v>
      </c>
      <c r="N2659" s="183">
        <v>21345</v>
      </c>
      <c r="O2659" s="14" t="s">
        <v>294</v>
      </c>
      <c r="P2659" s="105">
        <v>6623.3</v>
      </c>
      <c r="Q2659" s="23">
        <v>42141</v>
      </c>
      <c r="R2659" s="118">
        <v>6623.3</v>
      </c>
      <c r="S2659" s="31">
        <f t="shared" si="83"/>
        <v>0</v>
      </c>
      <c r="T2659" s="62" t="s">
        <v>9</v>
      </c>
    </row>
    <row r="2660" spans="1:20" x14ac:dyDescent="0.25">
      <c r="A2660" s="20">
        <v>42149</v>
      </c>
      <c r="B2660" s="183">
        <v>22234</v>
      </c>
      <c r="C2660" s="14" t="s">
        <v>411</v>
      </c>
      <c r="D2660" s="105">
        <v>1836</v>
      </c>
      <c r="E2660" s="65">
        <v>42149</v>
      </c>
      <c r="F2660" s="106">
        <v>1836</v>
      </c>
      <c r="G2660" s="31">
        <f t="shared" si="82"/>
        <v>0</v>
      </c>
      <c r="H2660" s="39" t="s">
        <v>9</v>
      </c>
      <c r="I2660" s="3"/>
      <c r="J2660" s="42"/>
      <c r="K2660" s="3"/>
      <c r="M2660" s="20">
        <v>42146</v>
      </c>
      <c r="N2660" s="183">
        <v>21853</v>
      </c>
      <c r="O2660" s="14" t="s">
        <v>294</v>
      </c>
      <c r="P2660" s="105">
        <v>4064.1</v>
      </c>
      <c r="Q2660" s="23">
        <v>42146</v>
      </c>
      <c r="R2660" s="106">
        <v>4064.1</v>
      </c>
      <c r="S2660" s="31">
        <f t="shared" si="83"/>
        <v>0</v>
      </c>
      <c r="T2660" s="39" t="s">
        <v>9</v>
      </c>
    </row>
    <row r="2661" spans="1:20" x14ac:dyDescent="0.25">
      <c r="A2661" s="20">
        <v>42149</v>
      </c>
      <c r="B2661" s="183">
        <v>22235</v>
      </c>
      <c r="C2661" s="14" t="s">
        <v>207</v>
      </c>
      <c r="D2661" s="105">
        <v>29326.799999999999</v>
      </c>
      <c r="E2661" s="65">
        <v>42154</v>
      </c>
      <c r="F2661" s="106">
        <v>29326.799999999999</v>
      </c>
      <c r="G2661" s="31">
        <f t="shared" si="82"/>
        <v>0</v>
      </c>
      <c r="H2661" s="39" t="s">
        <v>149</v>
      </c>
      <c r="I2661" s="3"/>
      <c r="J2661" s="42"/>
      <c r="K2661" s="3"/>
      <c r="M2661" s="20">
        <v>42146</v>
      </c>
      <c r="N2661" s="183">
        <v>21855</v>
      </c>
      <c r="O2661" s="14" t="s">
        <v>294</v>
      </c>
      <c r="P2661" s="105">
        <v>516.79999999999995</v>
      </c>
      <c r="Q2661" s="23">
        <v>42146</v>
      </c>
      <c r="R2661" s="106">
        <v>516.79999999999995</v>
      </c>
      <c r="S2661" s="31">
        <f t="shared" si="83"/>
        <v>0</v>
      </c>
      <c r="T2661" s="39" t="s">
        <v>9</v>
      </c>
    </row>
    <row r="2662" spans="1:20" x14ac:dyDescent="0.25">
      <c r="A2662" s="20">
        <v>42149</v>
      </c>
      <c r="B2662" s="183">
        <v>22236</v>
      </c>
      <c r="C2662" s="14" t="s">
        <v>1103</v>
      </c>
      <c r="D2662" s="105">
        <v>19428.2</v>
      </c>
      <c r="E2662" s="65">
        <v>42151</v>
      </c>
      <c r="F2662" s="106">
        <v>19428.2</v>
      </c>
      <c r="G2662" s="31">
        <f t="shared" si="82"/>
        <v>0</v>
      </c>
      <c r="H2662" s="39" t="s">
        <v>149</v>
      </c>
      <c r="I2662" s="3"/>
      <c r="J2662" s="42"/>
      <c r="K2662" s="3"/>
      <c r="M2662" s="20">
        <v>42147</v>
      </c>
      <c r="N2662" s="183">
        <v>21988</v>
      </c>
      <c r="O2662" s="14" t="s">
        <v>294</v>
      </c>
      <c r="P2662" s="105">
        <v>12414.5</v>
      </c>
      <c r="Q2662" s="65">
        <v>42147</v>
      </c>
      <c r="R2662" s="106">
        <v>12414.5</v>
      </c>
      <c r="S2662" s="31">
        <f t="shared" si="83"/>
        <v>0</v>
      </c>
      <c r="T2662" s="39" t="s">
        <v>9</v>
      </c>
    </row>
    <row r="2663" spans="1:20" x14ac:dyDescent="0.25">
      <c r="A2663" s="20">
        <v>42149</v>
      </c>
      <c r="B2663" s="183">
        <v>22237</v>
      </c>
      <c r="C2663" s="14" t="s">
        <v>574</v>
      </c>
      <c r="D2663" s="105">
        <v>46869</v>
      </c>
      <c r="E2663" s="65">
        <v>42151</v>
      </c>
      <c r="F2663" s="106">
        <v>46869</v>
      </c>
      <c r="G2663" s="31">
        <f t="shared" si="82"/>
        <v>0</v>
      </c>
      <c r="H2663" s="39" t="s">
        <v>149</v>
      </c>
      <c r="I2663" s="3"/>
      <c r="J2663" s="42"/>
      <c r="K2663" s="3"/>
      <c r="M2663" s="20">
        <v>42147</v>
      </c>
      <c r="N2663" s="183">
        <v>21992</v>
      </c>
      <c r="O2663" s="14" t="s">
        <v>294</v>
      </c>
      <c r="P2663" s="105">
        <v>496</v>
      </c>
      <c r="Q2663" s="65">
        <v>42147</v>
      </c>
      <c r="R2663" s="106">
        <v>496</v>
      </c>
      <c r="S2663" s="31">
        <f t="shared" si="83"/>
        <v>0</v>
      </c>
      <c r="T2663" s="39" t="s">
        <v>9</v>
      </c>
    </row>
    <row r="2664" spans="1:20" x14ac:dyDescent="0.25">
      <c r="A2664" s="20">
        <v>42149</v>
      </c>
      <c r="B2664" s="183">
        <v>22238</v>
      </c>
      <c r="C2664" s="14" t="s">
        <v>1275</v>
      </c>
      <c r="D2664" s="105">
        <v>5267.5</v>
      </c>
      <c r="E2664" s="65">
        <v>42151</v>
      </c>
      <c r="F2664" s="106">
        <v>5267.5</v>
      </c>
      <c r="G2664" s="31">
        <f t="shared" si="82"/>
        <v>0</v>
      </c>
      <c r="H2664" s="39" t="s">
        <v>773</v>
      </c>
      <c r="I2664" s="3"/>
      <c r="J2664" s="42"/>
      <c r="K2664" s="3"/>
      <c r="M2664" s="20">
        <v>42148</v>
      </c>
      <c r="N2664" s="183">
        <v>22084</v>
      </c>
      <c r="O2664" s="14" t="s">
        <v>294</v>
      </c>
      <c r="P2664" s="105">
        <v>8495.7999999999993</v>
      </c>
      <c r="Q2664" s="65">
        <v>42148</v>
      </c>
      <c r="R2664" s="106">
        <v>8495.7999999999993</v>
      </c>
      <c r="S2664" s="31">
        <f t="shared" si="83"/>
        <v>0</v>
      </c>
      <c r="T2664" s="39" t="s">
        <v>9</v>
      </c>
    </row>
    <row r="2665" spans="1:20" x14ac:dyDescent="0.25">
      <c r="A2665" s="20">
        <v>42149</v>
      </c>
      <c r="B2665" s="183">
        <v>22239</v>
      </c>
      <c r="C2665" s="14" t="s">
        <v>213</v>
      </c>
      <c r="D2665" s="105">
        <v>530400.05000000005</v>
      </c>
      <c r="E2665" s="65">
        <v>42149</v>
      </c>
      <c r="F2665" s="106">
        <v>530400.05000000005</v>
      </c>
      <c r="G2665" s="31">
        <f t="shared" si="82"/>
        <v>0</v>
      </c>
      <c r="H2665" s="39" t="s">
        <v>9</v>
      </c>
      <c r="I2665" s="3"/>
      <c r="J2665" s="42"/>
      <c r="K2665" s="3"/>
      <c r="M2665" s="20">
        <v>42148</v>
      </c>
      <c r="N2665" s="183">
        <v>22086</v>
      </c>
      <c r="O2665" s="14" t="s">
        <v>294</v>
      </c>
      <c r="P2665" s="105">
        <v>433.2</v>
      </c>
      <c r="Q2665" s="65">
        <v>42148</v>
      </c>
      <c r="R2665" s="106">
        <v>433.2</v>
      </c>
      <c r="S2665" s="31">
        <f t="shared" si="83"/>
        <v>0</v>
      </c>
      <c r="T2665" s="39" t="s">
        <v>9</v>
      </c>
    </row>
    <row r="2666" spans="1:20" x14ac:dyDescent="0.25">
      <c r="A2666" s="20">
        <v>42149</v>
      </c>
      <c r="B2666" s="183">
        <v>22240</v>
      </c>
      <c r="C2666" s="14" t="s">
        <v>213</v>
      </c>
      <c r="D2666" s="105">
        <v>142.85</v>
      </c>
      <c r="E2666" s="65">
        <v>42149</v>
      </c>
      <c r="F2666" s="106">
        <v>142.85</v>
      </c>
      <c r="G2666" s="31">
        <f t="shared" si="82"/>
        <v>0</v>
      </c>
      <c r="H2666" s="39" t="s">
        <v>9</v>
      </c>
      <c r="I2666" s="3"/>
      <c r="J2666" s="42"/>
      <c r="K2666" s="3"/>
      <c r="M2666" s="20">
        <v>42149</v>
      </c>
      <c r="N2666" s="183">
        <v>22165</v>
      </c>
      <c r="O2666" s="14" t="s">
        <v>294</v>
      </c>
      <c r="P2666" s="105">
        <v>3370.8</v>
      </c>
      <c r="Q2666" s="65">
        <v>42149</v>
      </c>
      <c r="R2666" s="106">
        <v>3370.8</v>
      </c>
      <c r="S2666" s="31">
        <f t="shared" si="83"/>
        <v>0</v>
      </c>
      <c r="T2666" s="39" t="s">
        <v>9</v>
      </c>
    </row>
    <row r="2667" spans="1:20" x14ac:dyDescent="0.25">
      <c r="A2667" s="20">
        <v>42149</v>
      </c>
      <c r="B2667" s="183">
        <v>22241</v>
      </c>
      <c r="C2667" s="14" t="s">
        <v>198</v>
      </c>
      <c r="D2667" s="105">
        <v>23275.72</v>
      </c>
      <c r="E2667" s="65">
        <v>42151</v>
      </c>
      <c r="F2667" s="106">
        <v>23275.72</v>
      </c>
      <c r="G2667" s="31">
        <f t="shared" si="82"/>
        <v>0</v>
      </c>
      <c r="H2667" s="39" t="s">
        <v>149</v>
      </c>
      <c r="I2667" s="3"/>
      <c r="J2667" s="42"/>
      <c r="K2667" s="3"/>
      <c r="M2667" s="20">
        <v>42151</v>
      </c>
      <c r="N2667" s="183">
        <v>22367</v>
      </c>
      <c r="O2667" s="14" t="s">
        <v>294</v>
      </c>
      <c r="P2667" s="105">
        <v>6557.28</v>
      </c>
      <c r="Q2667" s="65">
        <v>42151</v>
      </c>
      <c r="R2667" s="106">
        <v>6557.28</v>
      </c>
      <c r="S2667" s="31">
        <f t="shared" si="83"/>
        <v>0</v>
      </c>
      <c r="T2667" s="39" t="s">
        <v>9</v>
      </c>
    </row>
    <row r="2668" spans="1:20" x14ac:dyDescent="0.25">
      <c r="A2668" s="20">
        <v>42149</v>
      </c>
      <c r="B2668" s="183">
        <v>22242</v>
      </c>
      <c r="C2668" s="14" t="s">
        <v>454</v>
      </c>
      <c r="D2668" s="105">
        <v>1857.6</v>
      </c>
      <c r="E2668" s="65">
        <v>42150</v>
      </c>
      <c r="F2668" s="106">
        <v>1857.6</v>
      </c>
      <c r="G2668" s="31">
        <f t="shared" si="82"/>
        <v>0</v>
      </c>
      <c r="H2668" s="39" t="s">
        <v>1257</v>
      </c>
      <c r="I2668" s="3"/>
      <c r="J2668" s="42"/>
      <c r="K2668" s="3"/>
      <c r="M2668" s="20">
        <v>42152</v>
      </c>
      <c r="N2668" s="183">
        <v>22465</v>
      </c>
      <c r="O2668" s="14" t="s">
        <v>294</v>
      </c>
      <c r="P2668" s="105">
        <v>5848.2</v>
      </c>
      <c r="Q2668" s="23">
        <v>42152</v>
      </c>
      <c r="R2668" s="106">
        <v>5848.2</v>
      </c>
      <c r="S2668" s="31">
        <f t="shared" si="83"/>
        <v>0</v>
      </c>
      <c r="T2668" s="39" t="s">
        <v>9</v>
      </c>
    </row>
    <row r="2669" spans="1:20" x14ac:dyDescent="0.25">
      <c r="A2669" s="20">
        <v>42149</v>
      </c>
      <c r="B2669" s="183">
        <v>22243</v>
      </c>
      <c r="C2669" s="14" t="s">
        <v>161</v>
      </c>
      <c r="D2669" s="105">
        <v>26974.799999999999</v>
      </c>
      <c r="E2669" s="65">
        <v>42150</v>
      </c>
      <c r="F2669" s="106">
        <v>26974.799999999999</v>
      </c>
      <c r="G2669" s="31">
        <f t="shared" si="82"/>
        <v>0</v>
      </c>
      <c r="H2669" s="39" t="s">
        <v>1273</v>
      </c>
      <c r="I2669" s="3"/>
      <c r="J2669" s="42"/>
      <c r="K2669" s="3"/>
      <c r="M2669" s="20">
        <v>42154</v>
      </c>
      <c r="N2669" s="183">
        <v>22684</v>
      </c>
      <c r="O2669" s="14" t="s">
        <v>294</v>
      </c>
      <c r="P2669" s="105">
        <v>9089.2000000000007</v>
      </c>
      <c r="Q2669" s="23">
        <v>42154</v>
      </c>
      <c r="R2669" s="106">
        <v>9089.2000000000007</v>
      </c>
      <c r="S2669" s="31">
        <f t="shared" si="83"/>
        <v>0</v>
      </c>
      <c r="T2669" s="39" t="s">
        <v>9</v>
      </c>
    </row>
    <row r="2670" spans="1:20" x14ac:dyDescent="0.25">
      <c r="A2670" s="20">
        <v>42149</v>
      </c>
      <c r="B2670" s="183">
        <v>22244</v>
      </c>
      <c r="C2670" s="14" t="s">
        <v>199</v>
      </c>
      <c r="D2670" s="105">
        <v>2457.6</v>
      </c>
      <c r="E2670" s="65">
        <v>42151</v>
      </c>
      <c r="F2670" s="106">
        <v>2457.6</v>
      </c>
      <c r="G2670" s="31">
        <f t="shared" si="82"/>
        <v>0</v>
      </c>
      <c r="H2670" s="39" t="s">
        <v>149</v>
      </c>
      <c r="I2670" s="3"/>
      <c r="J2670" s="42"/>
      <c r="K2670" s="3"/>
      <c r="M2670" s="20">
        <v>42154</v>
      </c>
      <c r="N2670" s="183">
        <v>22691</v>
      </c>
      <c r="O2670" s="14" t="s">
        <v>294</v>
      </c>
      <c r="P2670" s="105">
        <v>502.8</v>
      </c>
      <c r="Q2670" s="23">
        <v>42154</v>
      </c>
      <c r="R2670" s="106">
        <v>502.8</v>
      </c>
      <c r="S2670" s="31">
        <f t="shared" si="83"/>
        <v>0</v>
      </c>
      <c r="T2670" s="39" t="s">
        <v>9</v>
      </c>
    </row>
    <row r="2671" spans="1:20" x14ac:dyDescent="0.25">
      <c r="A2671" s="20">
        <v>42149</v>
      </c>
      <c r="B2671" s="183">
        <v>22245</v>
      </c>
      <c r="C2671" s="14" t="s">
        <v>851</v>
      </c>
      <c r="D2671" s="105">
        <v>2527.1999999999998</v>
      </c>
      <c r="E2671" s="65">
        <v>42150</v>
      </c>
      <c r="F2671" s="106">
        <v>2527.1999999999998</v>
      </c>
      <c r="G2671" s="31">
        <f t="shared" si="82"/>
        <v>0</v>
      </c>
      <c r="H2671" s="39" t="s">
        <v>1257</v>
      </c>
      <c r="I2671" s="3"/>
      <c r="J2671" s="42"/>
      <c r="K2671" s="3"/>
      <c r="M2671" s="20">
        <v>42155</v>
      </c>
      <c r="N2671" s="183">
        <v>22809</v>
      </c>
      <c r="O2671" s="14" t="s">
        <v>294</v>
      </c>
      <c r="P2671" s="105">
        <v>7854.1</v>
      </c>
      <c r="Q2671" s="23">
        <v>42155</v>
      </c>
      <c r="R2671" s="106">
        <v>7854.1</v>
      </c>
      <c r="S2671" s="31">
        <f t="shared" si="83"/>
        <v>0</v>
      </c>
      <c r="T2671" s="39" t="s">
        <v>9</v>
      </c>
    </row>
    <row r="2672" spans="1:20" x14ac:dyDescent="0.25">
      <c r="A2672" s="20">
        <v>42149</v>
      </c>
      <c r="B2672" s="183">
        <v>22246</v>
      </c>
      <c r="C2672" s="14" t="s">
        <v>350</v>
      </c>
      <c r="D2672" s="105">
        <v>395.2</v>
      </c>
      <c r="E2672" s="65">
        <v>42151</v>
      </c>
      <c r="F2672" s="106">
        <v>395.2</v>
      </c>
      <c r="G2672" s="31">
        <f t="shared" si="82"/>
        <v>0</v>
      </c>
      <c r="H2672" s="39" t="s">
        <v>149</v>
      </c>
      <c r="I2672" s="3"/>
      <c r="J2672" s="42"/>
      <c r="K2672" s="3"/>
      <c r="M2672" s="20">
        <v>42155</v>
      </c>
      <c r="N2672" s="183">
        <v>22812</v>
      </c>
      <c r="O2672" s="14" t="s">
        <v>294</v>
      </c>
      <c r="P2672" s="105">
        <v>755</v>
      </c>
      <c r="Q2672" s="23">
        <v>42155</v>
      </c>
      <c r="R2672" s="106">
        <v>755</v>
      </c>
      <c r="S2672" s="31">
        <f t="shared" si="83"/>
        <v>0</v>
      </c>
      <c r="T2672" s="39" t="s">
        <v>9</v>
      </c>
    </row>
    <row r="2673" spans="1:20" x14ac:dyDescent="0.25">
      <c r="A2673" s="20">
        <v>42149</v>
      </c>
      <c r="B2673" s="183">
        <v>22247</v>
      </c>
      <c r="C2673" s="14" t="s">
        <v>733</v>
      </c>
      <c r="D2673" s="105">
        <v>11932.8</v>
      </c>
      <c r="E2673" s="65">
        <v>42151</v>
      </c>
      <c r="F2673" s="106">
        <v>11932.8</v>
      </c>
      <c r="G2673" s="31">
        <f t="shared" si="82"/>
        <v>0</v>
      </c>
      <c r="H2673" s="39" t="s">
        <v>149</v>
      </c>
      <c r="I2673" s="3"/>
      <c r="J2673" s="42"/>
      <c r="K2673" s="3"/>
      <c r="M2673" s="20">
        <v>42140</v>
      </c>
      <c r="N2673" s="183">
        <v>21259</v>
      </c>
      <c r="O2673" s="14" t="s">
        <v>140</v>
      </c>
      <c r="P2673" s="105">
        <v>6978.4</v>
      </c>
      <c r="Q2673" s="23">
        <v>42140</v>
      </c>
      <c r="R2673" s="106">
        <v>6978.4</v>
      </c>
      <c r="S2673" s="31">
        <f t="shared" si="83"/>
        <v>0</v>
      </c>
      <c r="T2673" s="62" t="s">
        <v>94</v>
      </c>
    </row>
    <row r="2674" spans="1:20" x14ac:dyDescent="0.25">
      <c r="A2674" s="20">
        <v>42149</v>
      </c>
      <c r="B2674" s="183">
        <v>22248</v>
      </c>
      <c r="C2674" s="14" t="s">
        <v>1140</v>
      </c>
      <c r="D2674" s="105">
        <v>8757.4</v>
      </c>
      <c r="E2674" s="65">
        <v>42151</v>
      </c>
      <c r="F2674" s="106">
        <v>8757.4</v>
      </c>
      <c r="G2674" s="31">
        <f t="shared" si="82"/>
        <v>0</v>
      </c>
      <c r="H2674" s="39" t="s">
        <v>1273</v>
      </c>
      <c r="I2674" s="3"/>
      <c r="J2674" s="42"/>
      <c r="K2674" s="3"/>
      <c r="M2674" s="20">
        <v>42133</v>
      </c>
      <c r="N2674" s="183">
        <v>20483</v>
      </c>
      <c r="O2674" s="14" t="s">
        <v>320</v>
      </c>
      <c r="P2674" s="105">
        <v>42036.7</v>
      </c>
      <c r="Q2674" s="23">
        <v>42133</v>
      </c>
      <c r="R2674" s="106">
        <v>42036.7</v>
      </c>
      <c r="S2674" s="31">
        <f t="shared" si="83"/>
        <v>0</v>
      </c>
      <c r="T2674" s="39" t="s">
        <v>9</v>
      </c>
    </row>
    <row r="2675" spans="1:20" x14ac:dyDescent="0.25">
      <c r="A2675" s="20">
        <v>42150</v>
      </c>
      <c r="B2675" s="183">
        <v>22249</v>
      </c>
      <c r="C2675" s="148" t="s">
        <v>24</v>
      </c>
      <c r="D2675" s="149">
        <v>13574.4</v>
      </c>
      <c r="E2675" s="74">
        <v>42173</v>
      </c>
      <c r="F2675" s="144">
        <v>13574.4</v>
      </c>
      <c r="G2675" s="31">
        <f t="shared" si="82"/>
        <v>0</v>
      </c>
      <c r="H2675" s="39" t="s">
        <v>1273</v>
      </c>
      <c r="I2675" s="3"/>
      <c r="J2675" s="42"/>
      <c r="K2675" s="3"/>
      <c r="M2675" s="20">
        <v>42136</v>
      </c>
      <c r="N2675" s="183">
        <v>20805</v>
      </c>
      <c r="O2675" s="14" t="s">
        <v>320</v>
      </c>
      <c r="P2675" s="105">
        <v>23152.9</v>
      </c>
      <c r="Q2675" s="23">
        <v>42136</v>
      </c>
      <c r="R2675" s="106">
        <v>23152.9</v>
      </c>
      <c r="S2675" s="31">
        <f t="shared" si="83"/>
        <v>0</v>
      </c>
      <c r="T2675" s="39" t="s">
        <v>9</v>
      </c>
    </row>
    <row r="2676" spans="1:20" x14ac:dyDescent="0.25">
      <c r="A2676" s="20">
        <v>42150</v>
      </c>
      <c r="B2676" s="183">
        <v>22250</v>
      </c>
      <c r="C2676" s="14" t="s">
        <v>111</v>
      </c>
      <c r="D2676" s="105">
        <v>83729.5</v>
      </c>
      <c r="E2676" s="65">
        <v>42152</v>
      </c>
      <c r="F2676" s="106">
        <v>83729.5</v>
      </c>
      <c r="G2676" s="31">
        <f t="shared" si="82"/>
        <v>0</v>
      </c>
      <c r="H2676" s="39" t="s">
        <v>9</v>
      </c>
      <c r="I2676" s="3"/>
      <c r="J2676" s="42"/>
      <c r="K2676" s="3"/>
      <c r="M2676" s="20">
        <v>42138</v>
      </c>
      <c r="N2676" s="183">
        <v>21001</v>
      </c>
      <c r="O2676" s="14" t="s">
        <v>320</v>
      </c>
      <c r="P2676" s="105">
        <v>7239</v>
      </c>
      <c r="Q2676" s="23">
        <v>42138</v>
      </c>
      <c r="R2676" s="106">
        <v>7239</v>
      </c>
      <c r="S2676" s="48">
        <f t="shared" si="83"/>
        <v>0</v>
      </c>
      <c r="T2676" s="19" t="s">
        <v>9</v>
      </c>
    </row>
    <row r="2677" spans="1:20" x14ac:dyDescent="0.25">
      <c r="A2677" s="20">
        <v>42150</v>
      </c>
      <c r="B2677" s="183">
        <v>22251</v>
      </c>
      <c r="C2677" s="14" t="s">
        <v>720</v>
      </c>
      <c r="D2677" s="105">
        <v>13699.8</v>
      </c>
      <c r="E2677" s="65">
        <v>42150</v>
      </c>
      <c r="F2677" s="106">
        <v>13699.8</v>
      </c>
      <c r="G2677" s="31">
        <f t="shared" si="82"/>
        <v>0</v>
      </c>
      <c r="H2677" s="39" t="s">
        <v>9</v>
      </c>
      <c r="I2677" s="3"/>
      <c r="J2677" s="42"/>
      <c r="K2677" s="3"/>
      <c r="M2677" s="20">
        <v>42138</v>
      </c>
      <c r="N2677" s="183">
        <v>21002</v>
      </c>
      <c r="O2677" s="14" t="s">
        <v>320</v>
      </c>
      <c r="P2677" s="105">
        <v>9216</v>
      </c>
      <c r="Q2677" s="23">
        <v>42138</v>
      </c>
      <c r="R2677" s="106">
        <v>9216</v>
      </c>
      <c r="S2677" s="48">
        <f t="shared" si="83"/>
        <v>0</v>
      </c>
      <c r="T2677" s="19" t="s">
        <v>9</v>
      </c>
    </row>
    <row r="2678" spans="1:20" x14ac:dyDescent="0.25">
      <c r="A2678" s="20">
        <v>42150</v>
      </c>
      <c r="B2678" s="183">
        <v>22252</v>
      </c>
      <c r="C2678" s="14" t="s">
        <v>112</v>
      </c>
      <c r="D2678" s="105">
        <v>16625.400000000001</v>
      </c>
      <c r="E2678" s="65">
        <v>42153</v>
      </c>
      <c r="F2678" s="106">
        <v>16625.400000000001</v>
      </c>
      <c r="G2678" s="31">
        <f t="shared" si="82"/>
        <v>0</v>
      </c>
      <c r="H2678" s="39" t="s">
        <v>9</v>
      </c>
      <c r="I2678" s="3"/>
      <c r="J2678" s="42"/>
      <c r="K2678" s="3"/>
      <c r="M2678" s="20">
        <v>42139</v>
      </c>
      <c r="N2678" s="183">
        <v>21101</v>
      </c>
      <c r="O2678" s="14" t="s">
        <v>320</v>
      </c>
      <c r="P2678" s="105">
        <v>11204.8</v>
      </c>
      <c r="Q2678" s="23">
        <v>42139</v>
      </c>
      <c r="R2678" s="106">
        <v>11204.8</v>
      </c>
      <c r="S2678" s="48">
        <f t="shared" si="83"/>
        <v>0</v>
      </c>
      <c r="T2678" s="39" t="s">
        <v>1327</v>
      </c>
    </row>
    <row r="2679" spans="1:20" x14ac:dyDescent="0.25">
      <c r="A2679" s="20">
        <v>42150</v>
      </c>
      <c r="B2679" s="183">
        <v>22253</v>
      </c>
      <c r="C2679" s="14" t="s">
        <v>383</v>
      </c>
      <c r="D2679" s="105">
        <v>2923.8</v>
      </c>
      <c r="E2679" s="65">
        <v>42150</v>
      </c>
      <c r="F2679" s="106">
        <v>2923.8</v>
      </c>
      <c r="G2679" s="31">
        <f t="shared" si="82"/>
        <v>0</v>
      </c>
      <c r="H2679" s="39" t="s">
        <v>9</v>
      </c>
      <c r="I2679" s="3"/>
      <c r="J2679" s="42"/>
      <c r="K2679" s="3"/>
      <c r="M2679" s="20">
        <v>42140</v>
      </c>
      <c r="N2679" s="183">
        <v>21279</v>
      </c>
      <c r="O2679" s="14" t="s">
        <v>320</v>
      </c>
      <c r="P2679" s="105">
        <v>23215.4</v>
      </c>
      <c r="Q2679" s="23">
        <v>42140</v>
      </c>
      <c r="R2679" s="118">
        <v>23215.4</v>
      </c>
      <c r="S2679" s="31">
        <f t="shared" si="83"/>
        <v>0</v>
      </c>
      <c r="T2679" s="62" t="s">
        <v>587</v>
      </c>
    </row>
    <row r="2680" spans="1:20" x14ac:dyDescent="0.25">
      <c r="A2680" s="20">
        <v>42150</v>
      </c>
      <c r="B2680" s="183">
        <v>22254</v>
      </c>
      <c r="C2680" s="14" t="s">
        <v>14</v>
      </c>
      <c r="D2680" s="105">
        <v>24441.3</v>
      </c>
      <c r="E2680" s="65">
        <v>42153</v>
      </c>
      <c r="F2680" s="106">
        <v>24441.3</v>
      </c>
      <c r="G2680" s="31">
        <f t="shared" si="82"/>
        <v>0</v>
      </c>
      <c r="H2680" s="39" t="s">
        <v>9</v>
      </c>
      <c r="I2680" s="3"/>
      <c r="J2680" s="42"/>
      <c r="K2680" s="3"/>
      <c r="M2680" s="20">
        <v>42142</v>
      </c>
      <c r="N2680" s="183">
        <v>21436</v>
      </c>
      <c r="O2680" s="14" t="s">
        <v>320</v>
      </c>
      <c r="P2680" s="105">
        <v>2818.2</v>
      </c>
      <c r="Q2680" s="23">
        <v>42142</v>
      </c>
      <c r="R2680" s="106">
        <v>2818.2</v>
      </c>
      <c r="S2680" s="31">
        <f t="shared" si="83"/>
        <v>0</v>
      </c>
      <c r="T2680" s="39" t="s">
        <v>1257</v>
      </c>
    </row>
    <row r="2681" spans="1:20" x14ac:dyDescent="0.25">
      <c r="A2681" s="20">
        <v>42150</v>
      </c>
      <c r="B2681" s="183">
        <v>22255</v>
      </c>
      <c r="C2681" s="14" t="s">
        <v>14</v>
      </c>
      <c r="D2681" s="105">
        <v>6684.6</v>
      </c>
      <c r="E2681" s="65">
        <v>42153</v>
      </c>
      <c r="F2681" s="106">
        <v>6684.6</v>
      </c>
      <c r="G2681" s="31">
        <f t="shared" si="82"/>
        <v>0</v>
      </c>
      <c r="H2681" s="39" t="s">
        <v>9</v>
      </c>
      <c r="I2681" s="3"/>
      <c r="J2681" s="42"/>
      <c r="K2681" s="3"/>
      <c r="M2681" s="20">
        <v>42143</v>
      </c>
      <c r="N2681" s="183">
        <v>21568</v>
      </c>
      <c r="O2681" s="14" t="s">
        <v>320</v>
      </c>
      <c r="P2681" s="105">
        <v>8827.2000000000007</v>
      </c>
      <c r="Q2681" s="23">
        <v>42143</v>
      </c>
      <c r="R2681" s="118">
        <v>8827.2000000000007</v>
      </c>
      <c r="S2681" s="31">
        <f t="shared" si="83"/>
        <v>0</v>
      </c>
      <c r="T2681" s="56" t="s">
        <v>9</v>
      </c>
    </row>
    <row r="2682" spans="1:20" x14ac:dyDescent="0.25">
      <c r="A2682" s="20">
        <v>42150</v>
      </c>
      <c r="B2682" s="183">
        <v>22256</v>
      </c>
      <c r="C2682" s="26" t="s">
        <v>218</v>
      </c>
      <c r="D2682" s="108">
        <v>0</v>
      </c>
      <c r="E2682" s="74"/>
      <c r="F2682" s="144"/>
      <c r="G2682" s="31">
        <f t="shared" si="82"/>
        <v>0</v>
      </c>
      <c r="H2682" s="39" t="s">
        <v>13</v>
      </c>
      <c r="I2682" s="3"/>
      <c r="J2682" s="42"/>
      <c r="K2682" s="3"/>
      <c r="M2682" s="20">
        <v>42147</v>
      </c>
      <c r="N2682" s="183">
        <v>21974</v>
      </c>
      <c r="O2682" s="14" t="s">
        <v>320</v>
      </c>
      <c r="P2682" s="105">
        <v>32646.25</v>
      </c>
      <c r="Q2682" s="65">
        <v>42147</v>
      </c>
      <c r="R2682" s="106">
        <v>32646.25</v>
      </c>
      <c r="S2682" s="31">
        <f t="shared" si="83"/>
        <v>0</v>
      </c>
      <c r="T2682" s="39" t="s">
        <v>587</v>
      </c>
    </row>
    <row r="2683" spans="1:20" x14ac:dyDescent="0.25">
      <c r="A2683" s="20">
        <v>42150</v>
      </c>
      <c r="B2683" s="183">
        <v>22257</v>
      </c>
      <c r="C2683" s="14" t="s">
        <v>161</v>
      </c>
      <c r="D2683" s="105">
        <v>2643.2</v>
      </c>
      <c r="E2683" s="65">
        <v>42150</v>
      </c>
      <c r="F2683" s="106">
        <v>2643.2</v>
      </c>
      <c r="G2683" s="31">
        <f t="shared" si="82"/>
        <v>0</v>
      </c>
      <c r="H2683" s="39" t="s">
        <v>9</v>
      </c>
      <c r="I2683" s="3"/>
      <c r="J2683" s="42"/>
      <c r="K2683" s="3"/>
      <c r="M2683" s="20">
        <v>42153</v>
      </c>
      <c r="N2683" s="183">
        <v>22581</v>
      </c>
      <c r="O2683" s="14" t="s">
        <v>320</v>
      </c>
      <c r="P2683" s="105">
        <v>17640.099999999999</v>
      </c>
      <c r="Q2683" s="23">
        <v>42153</v>
      </c>
      <c r="R2683" s="106">
        <v>17640.099999999999</v>
      </c>
      <c r="S2683" s="31">
        <f t="shared" si="83"/>
        <v>0</v>
      </c>
      <c r="T2683" s="39" t="s">
        <v>587</v>
      </c>
    </row>
    <row r="2684" spans="1:20" x14ac:dyDescent="0.25">
      <c r="A2684" s="20">
        <v>42150</v>
      </c>
      <c r="B2684" s="183">
        <v>22258</v>
      </c>
      <c r="C2684" s="14" t="s">
        <v>1256</v>
      </c>
      <c r="D2684" s="105">
        <v>3807.3</v>
      </c>
      <c r="E2684" s="65">
        <v>42150</v>
      </c>
      <c r="F2684" s="106">
        <v>3807.3</v>
      </c>
      <c r="G2684" s="31">
        <f t="shared" si="82"/>
        <v>0</v>
      </c>
      <c r="H2684" s="39" t="s">
        <v>1273</v>
      </c>
      <c r="I2684" s="3"/>
      <c r="J2684" s="42"/>
      <c r="K2684" s="3"/>
      <c r="M2684" s="20">
        <v>42154</v>
      </c>
      <c r="N2684" s="183">
        <v>22687</v>
      </c>
      <c r="O2684" s="14" t="s">
        <v>320</v>
      </c>
      <c r="P2684" s="105">
        <v>34572.300000000003</v>
      </c>
      <c r="Q2684" s="23">
        <v>42154</v>
      </c>
      <c r="R2684" s="106">
        <v>34572.300000000003</v>
      </c>
      <c r="S2684" s="31">
        <f t="shared" si="83"/>
        <v>0</v>
      </c>
      <c r="T2684" s="39" t="s">
        <v>587</v>
      </c>
    </row>
    <row r="2685" spans="1:20" x14ac:dyDescent="0.25">
      <c r="A2685" s="20">
        <v>42150</v>
      </c>
      <c r="B2685" s="183">
        <v>22259</v>
      </c>
      <c r="C2685" s="14" t="s">
        <v>18</v>
      </c>
      <c r="D2685" s="105">
        <v>3062.4</v>
      </c>
      <c r="E2685" s="65">
        <v>42150</v>
      </c>
      <c r="F2685" s="106">
        <v>3062.4</v>
      </c>
      <c r="G2685" s="31">
        <f t="shared" si="82"/>
        <v>0</v>
      </c>
      <c r="H2685" s="39" t="s">
        <v>9</v>
      </c>
      <c r="I2685" s="3"/>
      <c r="J2685" s="42"/>
      <c r="K2685" s="3"/>
      <c r="M2685" s="20">
        <v>42146</v>
      </c>
      <c r="N2685" s="183">
        <v>21854</v>
      </c>
      <c r="O2685" s="14" t="s">
        <v>926</v>
      </c>
      <c r="P2685" s="105">
        <v>8874</v>
      </c>
      <c r="Q2685" s="23">
        <v>42147</v>
      </c>
      <c r="R2685" s="106">
        <v>8874</v>
      </c>
      <c r="S2685" s="31">
        <f t="shared" si="83"/>
        <v>0</v>
      </c>
      <c r="T2685" s="39" t="s">
        <v>587</v>
      </c>
    </row>
    <row r="2686" spans="1:20" x14ac:dyDescent="0.25">
      <c r="A2686" s="20">
        <v>42150</v>
      </c>
      <c r="B2686" s="183">
        <v>22260</v>
      </c>
      <c r="C2686" s="14" t="s">
        <v>333</v>
      </c>
      <c r="D2686" s="105">
        <v>8208</v>
      </c>
      <c r="E2686" s="65">
        <v>42150</v>
      </c>
      <c r="F2686" s="106">
        <v>8208</v>
      </c>
      <c r="G2686" s="31">
        <f t="shared" si="82"/>
        <v>0</v>
      </c>
      <c r="H2686" s="39" t="s">
        <v>9</v>
      </c>
      <c r="I2686" s="3"/>
      <c r="J2686" s="42"/>
      <c r="K2686" s="3"/>
      <c r="M2686" s="20">
        <v>42127</v>
      </c>
      <c r="N2686" s="183">
        <v>19865</v>
      </c>
      <c r="O2686" s="40" t="s">
        <v>38</v>
      </c>
      <c r="P2686" s="105">
        <v>3768</v>
      </c>
      <c r="Q2686" s="23">
        <v>42130</v>
      </c>
      <c r="R2686" s="106">
        <v>3768</v>
      </c>
      <c r="S2686" s="31">
        <f t="shared" si="83"/>
        <v>0</v>
      </c>
      <c r="T2686" s="41" t="s">
        <v>62</v>
      </c>
    </row>
    <row r="2687" spans="1:20" x14ac:dyDescent="0.25">
      <c r="A2687" s="20">
        <v>42150</v>
      </c>
      <c r="B2687" s="183">
        <v>22261</v>
      </c>
      <c r="C2687" s="14" t="s">
        <v>1425</v>
      </c>
      <c r="D2687" s="105">
        <v>3102</v>
      </c>
      <c r="E2687" s="65">
        <v>42151</v>
      </c>
      <c r="F2687" s="106">
        <v>3102</v>
      </c>
      <c r="G2687" s="31">
        <f t="shared" si="82"/>
        <v>0</v>
      </c>
      <c r="H2687" s="39" t="s">
        <v>9</v>
      </c>
      <c r="I2687" s="3"/>
      <c r="J2687" s="42"/>
      <c r="K2687" s="3"/>
      <c r="M2687" s="20">
        <v>42129</v>
      </c>
      <c r="N2687" s="183">
        <v>20095</v>
      </c>
      <c r="O2687" s="14" t="s">
        <v>38</v>
      </c>
      <c r="P2687" s="105">
        <v>17815.3</v>
      </c>
      <c r="Q2687" s="23" t="s">
        <v>1317</v>
      </c>
      <c r="R2687" s="106">
        <f>30.15+17785.15</f>
        <v>17815.300000000003</v>
      </c>
      <c r="S2687" s="31">
        <f t="shared" si="83"/>
        <v>0</v>
      </c>
      <c r="T2687" s="39" t="s">
        <v>9</v>
      </c>
    </row>
    <row r="2688" spans="1:20" x14ac:dyDescent="0.25">
      <c r="A2688" s="20">
        <v>42150</v>
      </c>
      <c r="B2688" s="183">
        <v>22262</v>
      </c>
      <c r="C2688" s="14" t="s">
        <v>125</v>
      </c>
      <c r="D2688" s="105">
        <v>12992</v>
      </c>
      <c r="E2688" s="65">
        <v>42150</v>
      </c>
      <c r="F2688" s="106">
        <v>12992</v>
      </c>
      <c r="G2688" s="31">
        <f t="shared" si="82"/>
        <v>0</v>
      </c>
      <c r="H2688" s="39" t="s">
        <v>94</v>
      </c>
      <c r="I2688" s="3"/>
      <c r="J2688" s="42"/>
      <c r="K2688" s="3"/>
      <c r="M2688" s="20">
        <v>42130</v>
      </c>
      <c r="N2688" s="183">
        <v>20194</v>
      </c>
      <c r="O2688" s="14" t="s">
        <v>38</v>
      </c>
      <c r="P2688" s="105">
        <v>33881.9</v>
      </c>
      <c r="Q2688" s="23" t="s">
        <v>1326</v>
      </c>
      <c r="R2688" s="106">
        <f>87+33794.9</f>
        <v>33881.9</v>
      </c>
      <c r="S2688" s="31">
        <f t="shared" si="83"/>
        <v>0</v>
      </c>
      <c r="T2688" s="39" t="s">
        <v>9</v>
      </c>
    </row>
    <row r="2689" spans="1:20" x14ac:dyDescent="0.25">
      <c r="A2689" s="20">
        <v>42150</v>
      </c>
      <c r="B2689" s="183">
        <v>22263</v>
      </c>
      <c r="C2689" s="14" t="s">
        <v>1279</v>
      </c>
      <c r="D2689" s="105">
        <v>110271.9</v>
      </c>
      <c r="E2689" s="74">
        <v>42156</v>
      </c>
      <c r="F2689" s="144">
        <v>110271.9</v>
      </c>
      <c r="G2689" s="31">
        <f t="shared" si="82"/>
        <v>0</v>
      </c>
      <c r="H2689" s="39" t="s">
        <v>9</v>
      </c>
      <c r="I2689" s="3"/>
      <c r="J2689" s="42"/>
      <c r="K2689" s="3"/>
      <c r="M2689" s="20">
        <v>42131</v>
      </c>
      <c r="N2689" s="183">
        <v>20265</v>
      </c>
      <c r="O2689" s="14" t="s">
        <v>38</v>
      </c>
      <c r="P2689" s="105">
        <v>33634</v>
      </c>
      <c r="Q2689" s="23">
        <v>42138</v>
      </c>
      <c r="R2689" s="106">
        <v>33634</v>
      </c>
      <c r="S2689" s="31">
        <f t="shared" si="83"/>
        <v>0</v>
      </c>
      <c r="T2689" s="19" t="s">
        <v>94</v>
      </c>
    </row>
    <row r="2690" spans="1:20" x14ac:dyDescent="0.25">
      <c r="A2690" s="20">
        <v>42150</v>
      </c>
      <c r="B2690" s="183">
        <v>22264</v>
      </c>
      <c r="C2690" s="14" t="s">
        <v>114</v>
      </c>
      <c r="D2690" s="105">
        <v>3294</v>
      </c>
      <c r="E2690" s="65">
        <v>42150</v>
      </c>
      <c r="F2690" s="106">
        <v>3294</v>
      </c>
      <c r="G2690" s="31">
        <f t="shared" si="82"/>
        <v>0</v>
      </c>
      <c r="H2690" s="39" t="s">
        <v>9</v>
      </c>
      <c r="I2690" s="3"/>
      <c r="J2690" s="42"/>
      <c r="K2690" s="3"/>
      <c r="M2690" s="20">
        <v>42133</v>
      </c>
      <c r="N2690" s="183">
        <v>20565</v>
      </c>
      <c r="O2690" s="14" t="s">
        <v>38</v>
      </c>
      <c r="P2690" s="105">
        <v>33751.25</v>
      </c>
      <c r="Q2690" s="23" t="s">
        <v>1359</v>
      </c>
      <c r="R2690" s="106">
        <f>50.25+33701</f>
        <v>33751.25</v>
      </c>
      <c r="S2690" s="31">
        <f t="shared" si="83"/>
        <v>0</v>
      </c>
      <c r="T2690" s="19" t="s">
        <v>1013</v>
      </c>
    </row>
    <row r="2691" spans="1:20" x14ac:dyDescent="0.25">
      <c r="A2691" s="20">
        <v>42150</v>
      </c>
      <c r="B2691" s="183">
        <v>22265</v>
      </c>
      <c r="C2691" s="14" t="s">
        <v>114</v>
      </c>
      <c r="D2691" s="105">
        <v>728</v>
      </c>
      <c r="E2691" s="65">
        <v>42150</v>
      </c>
      <c r="F2691" s="106">
        <v>728</v>
      </c>
      <c r="G2691" s="31">
        <f t="shared" ref="G2691:G2754" si="84">D2691-F2691</f>
        <v>0</v>
      </c>
      <c r="H2691" s="39" t="s">
        <v>9</v>
      </c>
      <c r="I2691" s="3"/>
      <c r="J2691" s="42"/>
      <c r="K2691" s="3"/>
      <c r="M2691" s="20">
        <v>42140</v>
      </c>
      <c r="N2691" s="183">
        <v>21300</v>
      </c>
      <c r="O2691" s="14" t="s">
        <v>38</v>
      </c>
      <c r="P2691" s="105">
        <v>17731</v>
      </c>
      <c r="Q2691" s="23"/>
      <c r="R2691" s="118"/>
      <c r="S2691" s="31">
        <f t="shared" ref="S2691:S2754" si="85">P2691-R2691</f>
        <v>17731</v>
      </c>
      <c r="T2691" s="62" t="s">
        <v>1257</v>
      </c>
    </row>
    <row r="2692" spans="1:20" x14ac:dyDescent="0.25">
      <c r="A2692" s="20">
        <v>42150</v>
      </c>
      <c r="B2692" s="183">
        <v>22266</v>
      </c>
      <c r="C2692" s="14" t="s">
        <v>1435</v>
      </c>
      <c r="D2692" s="105">
        <v>4677</v>
      </c>
      <c r="E2692" s="65">
        <v>42150</v>
      </c>
      <c r="F2692" s="106">
        <v>4677</v>
      </c>
      <c r="G2692" s="31">
        <f t="shared" si="84"/>
        <v>0</v>
      </c>
      <c r="H2692" s="39" t="s">
        <v>9</v>
      </c>
      <c r="I2692" s="3"/>
      <c r="J2692" s="42"/>
      <c r="K2692" s="3"/>
      <c r="M2692" s="20">
        <v>42130</v>
      </c>
      <c r="N2692" s="183">
        <v>20163</v>
      </c>
      <c r="O2692" s="14" t="s">
        <v>891</v>
      </c>
      <c r="P2692" s="105">
        <v>2342.6999999999998</v>
      </c>
      <c r="Q2692" s="23">
        <v>42130</v>
      </c>
      <c r="R2692" s="106">
        <v>2342.6999999999998</v>
      </c>
      <c r="S2692" s="31">
        <f t="shared" si="85"/>
        <v>0</v>
      </c>
      <c r="T2692" s="39" t="s">
        <v>9</v>
      </c>
    </row>
    <row r="2693" spans="1:20" x14ac:dyDescent="0.25">
      <c r="A2693" s="20">
        <v>42150</v>
      </c>
      <c r="B2693" s="183">
        <v>22267</v>
      </c>
      <c r="C2693" s="14" t="s">
        <v>20</v>
      </c>
      <c r="D2693" s="105">
        <v>8894</v>
      </c>
      <c r="E2693" s="65">
        <v>42150</v>
      </c>
      <c r="F2693" s="106">
        <v>8894</v>
      </c>
      <c r="G2693" s="31">
        <f t="shared" si="84"/>
        <v>0</v>
      </c>
      <c r="H2693" s="39" t="s">
        <v>94</v>
      </c>
      <c r="I2693" s="3"/>
      <c r="J2693" s="42"/>
      <c r="K2693" s="3"/>
      <c r="M2693" s="20">
        <v>42126</v>
      </c>
      <c r="N2693" s="183">
        <v>19793</v>
      </c>
      <c r="O2693" s="40" t="s">
        <v>104</v>
      </c>
      <c r="P2693" s="105">
        <v>5029.2</v>
      </c>
      <c r="Q2693" s="23">
        <v>42128</v>
      </c>
      <c r="R2693" s="106">
        <v>5029.2</v>
      </c>
      <c r="S2693" s="31">
        <f t="shared" si="85"/>
        <v>0</v>
      </c>
      <c r="T2693" s="41" t="s">
        <v>19</v>
      </c>
    </row>
    <row r="2694" spans="1:20" x14ac:dyDescent="0.25">
      <c r="A2694" s="20">
        <v>42150</v>
      </c>
      <c r="B2694" s="183">
        <v>22268</v>
      </c>
      <c r="C2694" s="14" t="s">
        <v>226</v>
      </c>
      <c r="D2694" s="105">
        <v>2447.1999999999998</v>
      </c>
      <c r="E2694" s="65">
        <v>42152</v>
      </c>
      <c r="F2694" s="106">
        <v>2447.1999999999998</v>
      </c>
      <c r="G2694" s="31">
        <f t="shared" si="84"/>
        <v>0</v>
      </c>
      <c r="H2694" s="39" t="s">
        <v>9</v>
      </c>
      <c r="I2694" s="3"/>
      <c r="J2694" s="42"/>
      <c r="K2694" s="3"/>
      <c r="M2694" s="20">
        <v>42130</v>
      </c>
      <c r="N2694" s="183">
        <v>20186</v>
      </c>
      <c r="O2694" s="14" t="s">
        <v>104</v>
      </c>
      <c r="P2694" s="105">
        <v>5459.52</v>
      </c>
      <c r="Q2694" s="23">
        <v>42131</v>
      </c>
      <c r="R2694" s="106">
        <v>5459.52</v>
      </c>
      <c r="S2694" s="31">
        <f t="shared" si="85"/>
        <v>0</v>
      </c>
      <c r="T2694" s="39" t="s">
        <v>94</v>
      </c>
    </row>
    <row r="2695" spans="1:20" x14ac:dyDescent="0.25">
      <c r="A2695" s="20">
        <v>42150</v>
      </c>
      <c r="B2695" s="183">
        <v>22269</v>
      </c>
      <c r="C2695" s="14" t="s">
        <v>1381</v>
      </c>
      <c r="D2695" s="105">
        <v>4907.1000000000004</v>
      </c>
      <c r="E2695" s="65">
        <v>42150</v>
      </c>
      <c r="F2695" s="106">
        <v>4907.1000000000004</v>
      </c>
      <c r="G2695" s="31">
        <f t="shared" si="84"/>
        <v>0</v>
      </c>
      <c r="H2695" s="39" t="s">
        <v>9</v>
      </c>
      <c r="I2695" s="3"/>
      <c r="J2695" s="42"/>
      <c r="K2695" s="3"/>
      <c r="M2695" s="20">
        <v>42132</v>
      </c>
      <c r="N2695" s="183">
        <v>20417</v>
      </c>
      <c r="O2695" s="14" t="s">
        <v>104</v>
      </c>
      <c r="P2695" s="105">
        <v>668.8</v>
      </c>
      <c r="Q2695" s="23">
        <v>42133</v>
      </c>
      <c r="R2695" s="106">
        <v>668.8</v>
      </c>
      <c r="S2695" s="31">
        <f t="shared" si="85"/>
        <v>0</v>
      </c>
      <c r="T2695" s="19" t="s">
        <v>94</v>
      </c>
    </row>
    <row r="2696" spans="1:20" x14ac:dyDescent="0.25">
      <c r="A2696" s="20">
        <v>42150</v>
      </c>
      <c r="B2696" s="183">
        <v>22270</v>
      </c>
      <c r="C2696" s="14" t="s">
        <v>24</v>
      </c>
      <c r="D2696" s="105">
        <v>19896.8</v>
      </c>
      <c r="E2696" s="74">
        <v>42173</v>
      </c>
      <c r="F2696" s="144">
        <v>19896.8</v>
      </c>
      <c r="G2696" s="31">
        <f t="shared" si="84"/>
        <v>0</v>
      </c>
      <c r="H2696" s="39" t="s">
        <v>773</v>
      </c>
      <c r="I2696" s="3"/>
      <c r="J2696" s="42"/>
      <c r="K2696" s="3"/>
      <c r="M2696" s="20">
        <v>42139</v>
      </c>
      <c r="N2696" s="183">
        <v>21178</v>
      </c>
      <c r="O2696" s="14" t="s">
        <v>104</v>
      </c>
      <c r="P2696" s="105">
        <v>2366.6</v>
      </c>
      <c r="Q2696" s="23">
        <v>42140</v>
      </c>
      <c r="R2696" s="106">
        <v>2366.6</v>
      </c>
      <c r="S2696" s="48">
        <f t="shared" si="85"/>
        <v>0</v>
      </c>
      <c r="T2696" s="39" t="s">
        <v>1273</v>
      </c>
    </row>
    <row r="2697" spans="1:20" x14ac:dyDescent="0.25">
      <c r="A2697" s="20">
        <v>42150</v>
      </c>
      <c r="B2697" s="183">
        <v>22271</v>
      </c>
      <c r="C2697" s="14" t="s">
        <v>1117</v>
      </c>
      <c r="D2697" s="105">
        <v>2846.8</v>
      </c>
      <c r="E2697" s="65">
        <v>42150</v>
      </c>
      <c r="F2697" s="106">
        <v>2846.8</v>
      </c>
      <c r="G2697" s="31">
        <f t="shared" si="84"/>
        <v>0</v>
      </c>
      <c r="H2697" s="39" t="s">
        <v>9</v>
      </c>
      <c r="I2697" s="3"/>
      <c r="J2697" s="42"/>
      <c r="K2697" s="3"/>
      <c r="M2697" s="20">
        <v>42143</v>
      </c>
      <c r="N2697" s="183">
        <v>21600</v>
      </c>
      <c r="O2697" s="14" t="s">
        <v>104</v>
      </c>
      <c r="P2697" s="105">
        <v>1292.5</v>
      </c>
      <c r="Q2697" s="23">
        <v>42144</v>
      </c>
      <c r="R2697" s="118">
        <v>1292.5</v>
      </c>
      <c r="S2697" s="31">
        <f t="shared" si="85"/>
        <v>0</v>
      </c>
      <c r="T2697" s="56" t="s">
        <v>1273</v>
      </c>
    </row>
    <row r="2698" spans="1:20" x14ac:dyDescent="0.25">
      <c r="A2698" s="20">
        <v>42150</v>
      </c>
      <c r="B2698" s="183">
        <v>22272</v>
      </c>
      <c r="C2698" s="110">
        <v>105</v>
      </c>
      <c r="D2698" s="105">
        <v>1880</v>
      </c>
      <c r="E2698" s="65">
        <v>42152</v>
      </c>
      <c r="F2698" s="106">
        <v>1880</v>
      </c>
      <c r="G2698" s="31">
        <f t="shared" si="84"/>
        <v>0</v>
      </c>
      <c r="H2698" s="39" t="s">
        <v>59</v>
      </c>
      <c r="I2698" s="3"/>
      <c r="J2698" s="42"/>
      <c r="K2698" s="3"/>
      <c r="M2698" s="20">
        <v>42146</v>
      </c>
      <c r="N2698" s="183">
        <v>21939</v>
      </c>
      <c r="O2698" s="14" t="s">
        <v>104</v>
      </c>
      <c r="P2698" s="105">
        <v>5212.2</v>
      </c>
      <c r="Q2698" s="23">
        <v>42147</v>
      </c>
      <c r="R2698" s="106">
        <v>5212.2</v>
      </c>
      <c r="S2698" s="31">
        <f t="shared" si="85"/>
        <v>0</v>
      </c>
      <c r="T2698" s="39" t="s">
        <v>1273</v>
      </c>
    </row>
    <row r="2699" spans="1:20" x14ac:dyDescent="0.25">
      <c r="A2699" s="20">
        <v>42150</v>
      </c>
      <c r="B2699" s="183">
        <v>22273</v>
      </c>
      <c r="C2699" s="14" t="s">
        <v>151</v>
      </c>
      <c r="D2699" s="105">
        <v>2440</v>
      </c>
      <c r="E2699" s="65">
        <v>42151</v>
      </c>
      <c r="F2699" s="106">
        <v>2440</v>
      </c>
      <c r="G2699" s="31">
        <f t="shared" si="84"/>
        <v>0</v>
      </c>
      <c r="H2699" s="39" t="s">
        <v>9</v>
      </c>
      <c r="I2699" s="3"/>
      <c r="J2699" s="42"/>
      <c r="K2699" s="3"/>
      <c r="M2699" s="20">
        <v>42147</v>
      </c>
      <c r="N2699" s="183">
        <v>22043</v>
      </c>
      <c r="O2699" s="14" t="s">
        <v>104</v>
      </c>
      <c r="P2699" s="105">
        <v>7097.7</v>
      </c>
      <c r="Q2699" s="65">
        <v>42149</v>
      </c>
      <c r="R2699" s="106">
        <v>7097.7</v>
      </c>
      <c r="S2699" s="31">
        <f t="shared" si="85"/>
        <v>0</v>
      </c>
      <c r="T2699" s="39" t="s">
        <v>1273</v>
      </c>
    </row>
    <row r="2700" spans="1:20" x14ac:dyDescent="0.25">
      <c r="A2700" s="20">
        <v>42150</v>
      </c>
      <c r="B2700" s="183">
        <v>22274</v>
      </c>
      <c r="C2700" s="14" t="s">
        <v>82</v>
      </c>
      <c r="D2700" s="105">
        <v>4764</v>
      </c>
      <c r="E2700" s="65">
        <v>42150</v>
      </c>
      <c r="F2700" s="106">
        <v>4764</v>
      </c>
      <c r="G2700" s="31">
        <f t="shared" si="84"/>
        <v>0</v>
      </c>
      <c r="H2700" s="39" t="s">
        <v>59</v>
      </c>
      <c r="I2700" s="3"/>
      <c r="J2700" s="42"/>
      <c r="K2700" s="3"/>
      <c r="M2700" s="20">
        <v>42149</v>
      </c>
      <c r="N2700" s="183">
        <v>22202</v>
      </c>
      <c r="O2700" s="14" t="s">
        <v>104</v>
      </c>
      <c r="P2700" s="105">
        <v>646.79999999999995</v>
      </c>
      <c r="Q2700" s="65">
        <v>42150</v>
      </c>
      <c r="R2700" s="106">
        <v>646.79999999999995</v>
      </c>
      <c r="S2700" s="31">
        <f t="shared" si="85"/>
        <v>0</v>
      </c>
      <c r="T2700" s="39" t="s">
        <v>94</v>
      </c>
    </row>
    <row r="2701" spans="1:20" x14ac:dyDescent="0.25">
      <c r="A2701" s="20">
        <v>42150</v>
      </c>
      <c r="B2701" s="183">
        <v>22275</v>
      </c>
      <c r="C2701" s="14" t="s">
        <v>734</v>
      </c>
      <c r="D2701" s="105">
        <v>5558</v>
      </c>
      <c r="E2701" s="65">
        <v>42150</v>
      </c>
      <c r="F2701" s="106">
        <v>5558</v>
      </c>
      <c r="G2701" s="31">
        <f t="shared" si="84"/>
        <v>0</v>
      </c>
      <c r="H2701" s="39" t="s">
        <v>59</v>
      </c>
      <c r="I2701" s="3"/>
      <c r="J2701" s="42"/>
      <c r="K2701" s="3"/>
      <c r="M2701" s="20">
        <v>42150</v>
      </c>
      <c r="N2701" s="183">
        <v>22295</v>
      </c>
      <c r="O2701" s="14" t="s">
        <v>104</v>
      </c>
      <c r="P2701" s="105">
        <v>6678</v>
      </c>
      <c r="Q2701" s="65">
        <v>42151</v>
      </c>
      <c r="R2701" s="106">
        <v>6678</v>
      </c>
      <c r="S2701" s="31">
        <f t="shared" si="85"/>
        <v>0</v>
      </c>
      <c r="T2701" s="39" t="s">
        <v>62</v>
      </c>
    </row>
    <row r="2702" spans="1:20" x14ac:dyDescent="0.25">
      <c r="A2702" s="20">
        <v>42150</v>
      </c>
      <c r="B2702" s="183">
        <v>22276</v>
      </c>
      <c r="C2702" s="14" t="s">
        <v>81</v>
      </c>
      <c r="D2702" s="105">
        <v>1517.3</v>
      </c>
      <c r="E2702" s="65">
        <v>42150</v>
      </c>
      <c r="F2702" s="106">
        <v>1517.3</v>
      </c>
      <c r="G2702" s="31">
        <f t="shared" si="84"/>
        <v>0</v>
      </c>
      <c r="H2702" s="39" t="s">
        <v>59</v>
      </c>
      <c r="I2702" s="3"/>
      <c r="J2702" s="42"/>
      <c r="K2702" s="3"/>
      <c r="M2702" s="20">
        <v>42152</v>
      </c>
      <c r="N2702" s="183">
        <v>22493</v>
      </c>
      <c r="O2702" s="14" t="s">
        <v>104</v>
      </c>
      <c r="P2702" s="105">
        <v>1201.5</v>
      </c>
      <c r="Q2702" s="23">
        <v>42153</v>
      </c>
      <c r="R2702" s="106">
        <v>1201.5</v>
      </c>
      <c r="S2702" s="31">
        <f t="shared" si="85"/>
        <v>0</v>
      </c>
      <c r="T2702" s="39" t="s">
        <v>94</v>
      </c>
    </row>
    <row r="2703" spans="1:20" x14ac:dyDescent="0.25">
      <c r="A2703" s="20">
        <v>42150</v>
      </c>
      <c r="B2703" s="183">
        <v>22277</v>
      </c>
      <c r="C2703" s="14" t="s">
        <v>57</v>
      </c>
      <c r="D2703" s="105">
        <v>800</v>
      </c>
      <c r="E2703" s="65">
        <v>42150</v>
      </c>
      <c r="F2703" s="106">
        <v>800</v>
      </c>
      <c r="G2703" s="31">
        <f t="shared" si="84"/>
        <v>0</v>
      </c>
      <c r="H2703" s="39" t="s">
        <v>59</v>
      </c>
      <c r="I2703" s="3"/>
      <c r="J2703" s="42"/>
      <c r="K2703" s="3"/>
      <c r="M2703" s="20">
        <v>42132</v>
      </c>
      <c r="N2703" s="183">
        <v>20395</v>
      </c>
      <c r="O2703" s="14" t="s">
        <v>413</v>
      </c>
      <c r="P2703" s="105">
        <v>2724.8</v>
      </c>
      <c r="Q2703" s="23">
        <v>42132</v>
      </c>
      <c r="R2703" s="106">
        <v>2724.8</v>
      </c>
      <c r="S2703" s="31">
        <f t="shared" si="85"/>
        <v>0</v>
      </c>
      <c r="T2703" s="19" t="s">
        <v>9</v>
      </c>
    </row>
    <row r="2704" spans="1:20" x14ac:dyDescent="0.25">
      <c r="A2704" s="20">
        <v>42150</v>
      </c>
      <c r="B2704" s="183">
        <v>22278</v>
      </c>
      <c r="C2704" s="14" t="s">
        <v>102</v>
      </c>
      <c r="D2704" s="105">
        <v>2085.6999999999998</v>
      </c>
      <c r="E2704" s="65">
        <v>42150</v>
      </c>
      <c r="F2704" s="106">
        <v>2085.6999999999998</v>
      </c>
      <c r="G2704" s="31">
        <f t="shared" si="84"/>
        <v>0</v>
      </c>
      <c r="H2704" s="39" t="s">
        <v>9</v>
      </c>
      <c r="I2704" s="3"/>
      <c r="J2704" s="42"/>
      <c r="K2704" s="3"/>
      <c r="M2704" s="20">
        <v>42130</v>
      </c>
      <c r="N2704" s="183">
        <v>20201</v>
      </c>
      <c r="O2704" s="150" t="s">
        <v>675</v>
      </c>
      <c r="P2704" s="105">
        <v>638</v>
      </c>
      <c r="Q2704" s="23">
        <v>42130</v>
      </c>
      <c r="R2704" s="106">
        <v>638</v>
      </c>
      <c r="S2704" s="31">
        <f t="shared" si="85"/>
        <v>0</v>
      </c>
      <c r="T2704" s="39" t="s">
        <v>9</v>
      </c>
    </row>
    <row r="2705" spans="1:20" x14ac:dyDescent="0.25">
      <c r="A2705" s="20">
        <v>42150</v>
      </c>
      <c r="B2705" s="183">
        <v>22279</v>
      </c>
      <c r="C2705" s="150" t="s">
        <v>169</v>
      </c>
      <c r="D2705" s="105">
        <v>6946.4</v>
      </c>
      <c r="E2705" s="65">
        <v>42152</v>
      </c>
      <c r="F2705" s="106">
        <v>6946.4</v>
      </c>
      <c r="G2705" s="31">
        <f t="shared" si="84"/>
        <v>0</v>
      </c>
      <c r="H2705" s="39" t="s">
        <v>59</v>
      </c>
      <c r="I2705" s="3"/>
      <c r="J2705" s="42"/>
      <c r="K2705" s="3"/>
      <c r="M2705" s="20">
        <v>42135</v>
      </c>
      <c r="N2705" s="183">
        <v>20755</v>
      </c>
      <c r="O2705" s="14" t="s">
        <v>675</v>
      </c>
      <c r="P2705" s="105">
        <v>268.60000000000002</v>
      </c>
      <c r="Q2705" s="23">
        <v>42135</v>
      </c>
      <c r="R2705" s="106">
        <v>268.60000000000002</v>
      </c>
      <c r="S2705" s="31">
        <f t="shared" si="85"/>
        <v>0</v>
      </c>
      <c r="T2705" s="19" t="s">
        <v>9</v>
      </c>
    </row>
    <row r="2706" spans="1:20" x14ac:dyDescent="0.25">
      <c r="A2706" s="20">
        <v>42150</v>
      </c>
      <c r="B2706" s="183">
        <v>22280</v>
      </c>
      <c r="C2706" s="14" t="s">
        <v>43</v>
      </c>
      <c r="D2706" s="105">
        <v>12476.2</v>
      </c>
      <c r="E2706" s="65">
        <v>42150</v>
      </c>
      <c r="F2706" s="106">
        <v>12476.2</v>
      </c>
      <c r="G2706" s="31">
        <f t="shared" si="84"/>
        <v>0</v>
      </c>
      <c r="H2706" s="39" t="s">
        <v>9</v>
      </c>
      <c r="I2706" s="3"/>
      <c r="J2706" s="42"/>
      <c r="K2706" s="3"/>
      <c r="M2706" s="20">
        <v>42135</v>
      </c>
      <c r="N2706" s="183">
        <v>20756</v>
      </c>
      <c r="O2706" s="14" t="s">
        <v>675</v>
      </c>
      <c r="P2706" s="105">
        <v>55.8</v>
      </c>
      <c r="Q2706" s="23">
        <v>42135</v>
      </c>
      <c r="R2706" s="106">
        <v>55.8</v>
      </c>
      <c r="S2706" s="31">
        <f t="shared" si="85"/>
        <v>0</v>
      </c>
      <c r="T2706" s="19" t="s">
        <v>9</v>
      </c>
    </row>
    <row r="2707" spans="1:20" x14ac:dyDescent="0.25">
      <c r="A2707" s="20">
        <v>42150</v>
      </c>
      <c r="B2707" s="183">
        <v>22281</v>
      </c>
      <c r="C2707" s="14" t="s">
        <v>714</v>
      </c>
      <c r="D2707" s="105">
        <v>1466.5</v>
      </c>
      <c r="E2707" s="65">
        <v>42150</v>
      </c>
      <c r="F2707" s="106">
        <v>1466.5</v>
      </c>
      <c r="G2707" s="31">
        <f t="shared" si="84"/>
        <v>0</v>
      </c>
      <c r="H2707" s="39" t="s">
        <v>9</v>
      </c>
      <c r="I2707" s="3"/>
      <c r="J2707" s="42"/>
      <c r="K2707" s="3"/>
      <c r="M2707" s="20">
        <v>42143</v>
      </c>
      <c r="N2707" s="183">
        <v>21542</v>
      </c>
      <c r="O2707" s="14" t="s">
        <v>675</v>
      </c>
      <c r="P2707" s="105">
        <v>75.599999999999994</v>
      </c>
      <c r="Q2707" s="23">
        <v>42143</v>
      </c>
      <c r="R2707" s="118">
        <v>75.599999999999994</v>
      </c>
      <c r="S2707" s="31">
        <f t="shared" si="85"/>
        <v>0</v>
      </c>
      <c r="T2707" s="56" t="s">
        <v>9</v>
      </c>
    </row>
    <row r="2708" spans="1:20" x14ac:dyDescent="0.25">
      <c r="A2708" s="20">
        <v>42150</v>
      </c>
      <c r="B2708" s="183">
        <v>22282</v>
      </c>
      <c r="C2708" s="14" t="s">
        <v>169</v>
      </c>
      <c r="D2708" s="105">
        <v>2549.8000000000002</v>
      </c>
      <c r="E2708" s="65">
        <v>42150</v>
      </c>
      <c r="F2708" s="106">
        <v>2549.8000000000002</v>
      </c>
      <c r="G2708" s="31">
        <f t="shared" si="84"/>
        <v>0</v>
      </c>
      <c r="H2708" s="39" t="s">
        <v>59</v>
      </c>
      <c r="I2708" s="3"/>
      <c r="J2708" s="42"/>
      <c r="K2708" s="3"/>
      <c r="M2708" s="20">
        <v>42147</v>
      </c>
      <c r="N2708" s="183">
        <v>22006</v>
      </c>
      <c r="O2708" s="14" t="s">
        <v>675</v>
      </c>
      <c r="P2708" s="105">
        <v>84.6</v>
      </c>
      <c r="Q2708" s="65">
        <v>42147</v>
      </c>
      <c r="R2708" s="106">
        <v>84.6</v>
      </c>
      <c r="S2708" s="31">
        <f t="shared" si="85"/>
        <v>0</v>
      </c>
      <c r="T2708" s="39" t="s">
        <v>9</v>
      </c>
    </row>
    <row r="2709" spans="1:20" x14ac:dyDescent="0.25">
      <c r="A2709" s="20">
        <v>42150</v>
      </c>
      <c r="B2709" s="183">
        <v>22283</v>
      </c>
      <c r="C2709" s="14" t="s">
        <v>164</v>
      </c>
      <c r="D2709" s="105">
        <v>1156.5</v>
      </c>
      <c r="E2709" s="65">
        <v>42150</v>
      </c>
      <c r="F2709" s="106">
        <v>1156.5</v>
      </c>
      <c r="G2709" s="31">
        <f t="shared" si="84"/>
        <v>0</v>
      </c>
      <c r="H2709" s="39" t="s">
        <v>9</v>
      </c>
      <c r="I2709" s="3"/>
      <c r="J2709" s="42"/>
      <c r="K2709" s="3"/>
      <c r="M2709" s="20">
        <v>42148</v>
      </c>
      <c r="N2709" s="183">
        <v>22081</v>
      </c>
      <c r="O2709" s="14" t="s">
        <v>675</v>
      </c>
      <c r="P2709" s="105">
        <v>600</v>
      </c>
      <c r="Q2709" s="65">
        <v>42148</v>
      </c>
      <c r="R2709" s="106">
        <v>600</v>
      </c>
      <c r="S2709" s="31">
        <f t="shared" si="85"/>
        <v>0</v>
      </c>
      <c r="T2709" s="39" t="s">
        <v>9</v>
      </c>
    </row>
    <row r="2710" spans="1:20" x14ac:dyDescent="0.25">
      <c r="A2710" s="20">
        <v>42150</v>
      </c>
      <c r="B2710" s="183">
        <v>22284</v>
      </c>
      <c r="C2710" s="14" t="s">
        <v>131</v>
      </c>
      <c r="D2710" s="105">
        <v>7246.1</v>
      </c>
      <c r="E2710" s="65">
        <v>42151</v>
      </c>
      <c r="F2710" s="106">
        <v>7246.1</v>
      </c>
      <c r="G2710" s="31">
        <f t="shared" si="84"/>
        <v>0</v>
      </c>
      <c r="H2710" s="39" t="s">
        <v>1257</v>
      </c>
      <c r="I2710" s="3"/>
      <c r="J2710" s="42"/>
      <c r="K2710" s="3"/>
      <c r="M2710" s="20">
        <v>42154</v>
      </c>
      <c r="N2710" s="183">
        <v>22702</v>
      </c>
      <c r="O2710" s="14" t="s">
        <v>675</v>
      </c>
      <c r="P2710" s="105">
        <v>756</v>
      </c>
      <c r="Q2710" s="23">
        <v>42154</v>
      </c>
      <c r="R2710" s="106">
        <v>756</v>
      </c>
      <c r="S2710" s="31">
        <f t="shared" si="85"/>
        <v>0</v>
      </c>
      <c r="T2710" s="39" t="s">
        <v>9</v>
      </c>
    </row>
    <row r="2711" spans="1:20" x14ac:dyDescent="0.25">
      <c r="A2711" s="20">
        <v>42150</v>
      </c>
      <c r="B2711" s="183">
        <v>22285</v>
      </c>
      <c r="C2711" s="14" t="s">
        <v>137</v>
      </c>
      <c r="D2711" s="105">
        <v>3131.7</v>
      </c>
      <c r="E2711" s="65">
        <v>42150</v>
      </c>
      <c r="F2711" s="106">
        <v>3131.7</v>
      </c>
      <c r="G2711" s="31">
        <f t="shared" si="84"/>
        <v>0</v>
      </c>
      <c r="H2711" s="39" t="s">
        <v>9</v>
      </c>
      <c r="I2711" s="3"/>
      <c r="J2711" s="42"/>
      <c r="K2711" s="3"/>
      <c r="M2711" s="20">
        <v>42154</v>
      </c>
      <c r="N2711" s="183">
        <v>22774</v>
      </c>
      <c r="O2711" s="14" t="s">
        <v>675</v>
      </c>
      <c r="P2711" s="105">
        <v>428.2</v>
      </c>
      <c r="Q2711" s="23">
        <v>42154</v>
      </c>
      <c r="R2711" s="106">
        <v>428.2</v>
      </c>
      <c r="S2711" s="31">
        <f t="shared" si="85"/>
        <v>0</v>
      </c>
      <c r="T2711" s="39" t="s">
        <v>62</v>
      </c>
    </row>
    <row r="2712" spans="1:20" x14ac:dyDescent="0.25">
      <c r="A2712" s="20">
        <v>42150</v>
      </c>
      <c r="B2712" s="183">
        <v>22286</v>
      </c>
      <c r="C2712" s="14" t="s">
        <v>422</v>
      </c>
      <c r="D2712" s="105">
        <v>202.2</v>
      </c>
      <c r="E2712" s="65">
        <v>42150</v>
      </c>
      <c r="F2712" s="106">
        <v>202.2</v>
      </c>
      <c r="G2712" s="31">
        <f t="shared" si="84"/>
        <v>0</v>
      </c>
      <c r="H2712" s="39" t="s">
        <v>9</v>
      </c>
      <c r="I2712" s="3"/>
      <c r="J2712" s="42"/>
      <c r="K2712" s="3"/>
      <c r="M2712" s="20">
        <v>42126</v>
      </c>
      <c r="N2712" s="183">
        <v>19781</v>
      </c>
      <c r="O2712" s="40" t="s">
        <v>118</v>
      </c>
      <c r="P2712" s="105">
        <v>2041.2</v>
      </c>
      <c r="Q2712" s="23">
        <v>42136</v>
      </c>
      <c r="R2712" s="106">
        <v>2041.2</v>
      </c>
      <c r="S2712" s="31">
        <f t="shared" si="85"/>
        <v>0</v>
      </c>
      <c r="T2712" s="41" t="s">
        <v>9</v>
      </c>
    </row>
    <row r="2713" spans="1:20" x14ac:dyDescent="0.25">
      <c r="A2713" s="20">
        <v>42150</v>
      </c>
      <c r="B2713" s="183">
        <v>22287</v>
      </c>
      <c r="C2713" s="14" t="s">
        <v>217</v>
      </c>
      <c r="D2713" s="105">
        <v>4092</v>
      </c>
      <c r="E2713" s="65">
        <v>42150</v>
      </c>
      <c r="F2713" s="106">
        <v>4092</v>
      </c>
      <c r="G2713" s="31">
        <f t="shared" si="84"/>
        <v>0</v>
      </c>
      <c r="H2713" s="39" t="s">
        <v>59</v>
      </c>
      <c r="I2713" s="3"/>
      <c r="J2713" s="42"/>
      <c r="K2713" s="3"/>
      <c r="M2713" s="20">
        <v>42126</v>
      </c>
      <c r="N2713" s="183">
        <v>19782</v>
      </c>
      <c r="O2713" s="40" t="s">
        <v>118</v>
      </c>
      <c r="P2713" s="105">
        <v>760</v>
      </c>
      <c r="Q2713" s="23">
        <v>42126</v>
      </c>
      <c r="R2713" s="106">
        <v>760</v>
      </c>
      <c r="S2713" s="31">
        <f t="shared" si="85"/>
        <v>0</v>
      </c>
      <c r="T2713" s="41" t="s">
        <v>9</v>
      </c>
    </row>
    <row r="2714" spans="1:20" x14ac:dyDescent="0.25">
      <c r="A2714" s="20">
        <v>42150</v>
      </c>
      <c r="B2714" s="183">
        <v>22288</v>
      </c>
      <c r="C2714" s="14" t="s">
        <v>137</v>
      </c>
      <c r="D2714" s="105">
        <v>80</v>
      </c>
      <c r="E2714" s="65">
        <v>42150</v>
      </c>
      <c r="F2714" s="106">
        <v>80</v>
      </c>
      <c r="G2714" s="31">
        <f t="shared" si="84"/>
        <v>0</v>
      </c>
      <c r="H2714" s="39" t="s">
        <v>9</v>
      </c>
      <c r="I2714" s="3"/>
      <c r="J2714" s="42"/>
      <c r="K2714" s="3"/>
      <c r="M2714" s="20">
        <v>42129</v>
      </c>
      <c r="N2714" s="183">
        <v>20096</v>
      </c>
      <c r="O2714" s="14" t="s">
        <v>118</v>
      </c>
      <c r="P2714" s="105">
        <v>3645.6</v>
      </c>
      <c r="Q2714" s="23">
        <v>42136</v>
      </c>
      <c r="R2714" s="106">
        <v>3645.6</v>
      </c>
      <c r="S2714" s="31">
        <f t="shared" si="85"/>
        <v>0</v>
      </c>
      <c r="T2714" s="39" t="s">
        <v>62</v>
      </c>
    </row>
    <row r="2715" spans="1:20" x14ac:dyDescent="0.25">
      <c r="A2715" s="20">
        <v>42150</v>
      </c>
      <c r="B2715" s="183">
        <v>22289</v>
      </c>
      <c r="C2715" s="14" t="s">
        <v>95</v>
      </c>
      <c r="D2715" s="105">
        <v>1535.2</v>
      </c>
      <c r="E2715" s="65">
        <v>42151</v>
      </c>
      <c r="F2715" s="106">
        <v>1535.2</v>
      </c>
      <c r="G2715" s="31">
        <f t="shared" si="84"/>
        <v>0</v>
      </c>
      <c r="H2715" s="39" t="s">
        <v>62</v>
      </c>
      <c r="I2715" s="3"/>
      <c r="J2715" s="42"/>
      <c r="K2715" s="3"/>
      <c r="M2715" s="20">
        <v>42131</v>
      </c>
      <c r="N2715" s="183">
        <v>20243</v>
      </c>
      <c r="O2715" s="14" t="s">
        <v>118</v>
      </c>
      <c r="P2715" s="105">
        <v>4228</v>
      </c>
      <c r="Q2715" s="23">
        <v>42136</v>
      </c>
      <c r="R2715" s="106">
        <v>4228</v>
      </c>
      <c r="S2715" s="31">
        <f t="shared" si="85"/>
        <v>0</v>
      </c>
      <c r="T2715" s="19" t="s">
        <v>59</v>
      </c>
    </row>
    <row r="2716" spans="1:20" x14ac:dyDescent="0.25">
      <c r="A2716" s="20">
        <v>42150</v>
      </c>
      <c r="B2716" s="183">
        <v>22290</v>
      </c>
      <c r="C2716" s="14" t="s">
        <v>1387</v>
      </c>
      <c r="D2716" s="105">
        <v>6097.4</v>
      </c>
      <c r="E2716" s="65">
        <v>42150</v>
      </c>
      <c r="F2716" s="106">
        <v>6097.4</v>
      </c>
      <c r="G2716" s="31">
        <f t="shared" si="84"/>
        <v>0</v>
      </c>
      <c r="H2716" s="39" t="s">
        <v>59</v>
      </c>
      <c r="I2716" s="3"/>
      <c r="J2716" s="42"/>
      <c r="K2716" s="3"/>
      <c r="M2716" s="20">
        <v>42132</v>
      </c>
      <c r="N2716" s="183">
        <v>20384</v>
      </c>
      <c r="O2716" s="14" t="s">
        <v>118</v>
      </c>
      <c r="P2716" s="105">
        <v>564</v>
      </c>
      <c r="Q2716" s="23">
        <v>42144</v>
      </c>
      <c r="R2716" s="106">
        <v>564</v>
      </c>
      <c r="S2716" s="31">
        <f t="shared" si="85"/>
        <v>0</v>
      </c>
      <c r="T2716" s="19" t="s">
        <v>59</v>
      </c>
    </row>
    <row r="2717" spans="1:20" x14ac:dyDescent="0.25">
      <c r="A2717" s="20">
        <v>42150</v>
      </c>
      <c r="B2717" s="183">
        <v>22291</v>
      </c>
      <c r="C2717" s="14" t="s">
        <v>135</v>
      </c>
      <c r="D2717" s="105">
        <v>1548</v>
      </c>
      <c r="E2717" s="65">
        <v>42150</v>
      </c>
      <c r="F2717" s="106">
        <v>1548</v>
      </c>
      <c r="G2717" s="31">
        <f t="shared" si="84"/>
        <v>0</v>
      </c>
      <c r="H2717" s="39" t="s">
        <v>9</v>
      </c>
      <c r="I2717" s="3"/>
      <c r="J2717" s="42"/>
      <c r="K2717" s="3"/>
      <c r="M2717" s="20">
        <v>42132</v>
      </c>
      <c r="N2717" s="183">
        <v>20422</v>
      </c>
      <c r="O2717" s="14" t="s">
        <v>118</v>
      </c>
      <c r="P2717" s="105">
        <v>954.2</v>
      </c>
      <c r="Q2717" s="23">
        <v>42132</v>
      </c>
      <c r="R2717" s="106">
        <v>954.2</v>
      </c>
      <c r="S2717" s="31">
        <f t="shared" si="85"/>
        <v>0</v>
      </c>
      <c r="T2717" s="19" t="s">
        <v>9</v>
      </c>
    </row>
    <row r="2718" spans="1:20" x14ac:dyDescent="0.25">
      <c r="A2718" s="20">
        <v>42150</v>
      </c>
      <c r="B2718" s="183">
        <v>22292</v>
      </c>
      <c r="C2718" s="14" t="s">
        <v>915</v>
      </c>
      <c r="D2718" s="105">
        <v>434</v>
      </c>
      <c r="E2718" s="65">
        <v>42150</v>
      </c>
      <c r="F2718" s="106">
        <v>434</v>
      </c>
      <c r="G2718" s="31">
        <f t="shared" si="84"/>
        <v>0</v>
      </c>
      <c r="H2718" s="39" t="s">
        <v>59</v>
      </c>
      <c r="I2718" s="3"/>
      <c r="J2718" s="42"/>
      <c r="K2718" s="3"/>
      <c r="M2718" s="20">
        <v>42133</v>
      </c>
      <c r="N2718" s="183">
        <v>20513</v>
      </c>
      <c r="O2718" s="14" t="s">
        <v>118</v>
      </c>
      <c r="P2718" s="105">
        <v>6182.6</v>
      </c>
      <c r="Q2718" s="23">
        <v>42144</v>
      </c>
      <c r="R2718" s="106">
        <v>6182.6</v>
      </c>
      <c r="S2718" s="31">
        <f t="shared" si="85"/>
        <v>0</v>
      </c>
      <c r="T2718" s="19" t="s">
        <v>59</v>
      </c>
    </row>
    <row r="2719" spans="1:20" x14ac:dyDescent="0.25">
      <c r="A2719" s="20">
        <v>42150</v>
      </c>
      <c r="B2719" s="183">
        <v>22293</v>
      </c>
      <c r="C2719" s="14" t="s">
        <v>128</v>
      </c>
      <c r="D2719" s="105">
        <v>5253</v>
      </c>
      <c r="E2719" s="65">
        <v>42151</v>
      </c>
      <c r="F2719" s="106">
        <v>5253</v>
      </c>
      <c r="G2719" s="31">
        <f t="shared" si="84"/>
        <v>0</v>
      </c>
      <c r="H2719" s="39" t="s">
        <v>9</v>
      </c>
      <c r="I2719" s="3"/>
      <c r="J2719" s="42"/>
      <c r="K2719" s="3"/>
      <c r="M2719" s="20">
        <v>42136</v>
      </c>
      <c r="N2719" s="183">
        <v>20811</v>
      </c>
      <c r="O2719" s="14" t="s">
        <v>118</v>
      </c>
      <c r="P2719" s="105">
        <v>18504</v>
      </c>
      <c r="Q2719" s="23">
        <v>42144</v>
      </c>
      <c r="R2719" s="106">
        <v>18504</v>
      </c>
      <c r="S2719" s="31">
        <f t="shared" si="85"/>
        <v>0</v>
      </c>
      <c r="T2719" s="39" t="s">
        <v>9</v>
      </c>
    </row>
    <row r="2720" spans="1:20" x14ac:dyDescent="0.25">
      <c r="A2720" s="20">
        <v>42150</v>
      </c>
      <c r="B2720" s="183">
        <v>22294</v>
      </c>
      <c r="C2720" s="14" t="s">
        <v>185</v>
      </c>
      <c r="D2720" s="105">
        <v>36013.199999999997</v>
      </c>
      <c r="E2720" s="65">
        <v>42151</v>
      </c>
      <c r="F2720" s="106">
        <v>36013.199999999997</v>
      </c>
      <c r="G2720" s="31">
        <f t="shared" si="84"/>
        <v>0</v>
      </c>
      <c r="H2720" s="39" t="s">
        <v>46</v>
      </c>
      <c r="I2720" s="3"/>
      <c r="J2720" s="42"/>
      <c r="K2720" s="3"/>
      <c r="M2720" s="20">
        <v>42138</v>
      </c>
      <c r="N2720" s="183">
        <v>21006</v>
      </c>
      <c r="O2720" s="14" t="s">
        <v>118</v>
      </c>
      <c r="P2720" s="105">
        <v>2149.1999999999998</v>
      </c>
      <c r="Q2720" s="23">
        <v>42138</v>
      </c>
      <c r="R2720" s="106">
        <v>2149.1999999999998</v>
      </c>
      <c r="S2720" s="48">
        <f t="shared" si="85"/>
        <v>0</v>
      </c>
      <c r="T2720" s="19" t="s">
        <v>59</v>
      </c>
    </row>
    <row r="2721" spans="1:20" x14ac:dyDescent="0.25">
      <c r="A2721" s="20">
        <v>42150</v>
      </c>
      <c r="B2721" s="183">
        <v>22295</v>
      </c>
      <c r="C2721" s="14" t="s">
        <v>104</v>
      </c>
      <c r="D2721" s="105">
        <v>6678</v>
      </c>
      <c r="E2721" s="65">
        <v>42151</v>
      </c>
      <c r="F2721" s="106">
        <v>6678</v>
      </c>
      <c r="G2721" s="31">
        <f t="shared" si="84"/>
        <v>0</v>
      </c>
      <c r="H2721" s="39" t="s">
        <v>62</v>
      </c>
      <c r="I2721" s="3"/>
      <c r="J2721" s="42"/>
      <c r="K2721" s="3"/>
      <c r="M2721" s="20">
        <v>42138</v>
      </c>
      <c r="N2721" s="183">
        <v>21009</v>
      </c>
      <c r="O2721" s="14" t="s">
        <v>118</v>
      </c>
      <c r="P2721" s="105">
        <v>2578.4</v>
      </c>
      <c r="Q2721" s="23"/>
      <c r="R2721" s="106"/>
      <c r="S2721" s="48">
        <f t="shared" si="85"/>
        <v>2578.4</v>
      </c>
      <c r="T2721" s="19" t="s">
        <v>59</v>
      </c>
    </row>
    <row r="2722" spans="1:20" x14ac:dyDescent="0.25">
      <c r="A2722" s="20">
        <v>42150</v>
      </c>
      <c r="B2722" s="183">
        <v>22296</v>
      </c>
      <c r="C2722" s="14" t="s">
        <v>165</v>
      </c>
      <c r="D2722" s="105">
        <v>2851.2</v>
      </c>
      <c r="E2722" s="65">
        <v>42150</v>
      </c>
      <c r="F2722" s="106">
        <v>2851.2</v>
      </c>
      <c r="G2722" s="31">
        <f t="shared" si="84"/>
        <v>0</v>
      </c>
      <c r="H2722" s="39" t="s">
        <v>1257</v>
      </c>
      <c r="I2722" s="3"/>
      <c r="J2722" s="42"/>
      <c r="K2722" s="3"/>
      <c r="M2722" s="20">
        <v>42140</v>
      </c>
      <c r="N2722" s="183">
        <v>21249</v>
      </c>
      <c r="O2722" s="14" t="s">
        <v>118</v>
      </c>
      <c r="P2722" s="105">
        <v>11315.6</v>
      </c>
      <c r="Q2722" s="23"/>
      <c r="R2722" s="106"/>
      <c r="S2722" s="48">
        <f t="shared" si="85"/>
        <v>11315.6</v>
      </c>
      <c r="T2722" s="19" t="s">
        <v>59</v>
      </c>
    </row>
    <row r="2723" spans="1:20" x14ac:dyDescent="0.25">
      <c r="A2723" s="20">
        <v>42150</v>
      </c>
      <c r="B2723" s="183">
        <v>22297</v>
      </c>
      <c r="C2723" s="14" t="s">
        <v>256</v>
      </c>
      <c r="D2723" s="105">
        <v>3029</v>
      </c>
      <c r="E2723" s="65">
        <v>42150</v>
      </c>
      <c r="F2723" s="106">
        <v>3029</v>
      </c>
      <c r="G2723" s="31">
        <f t="shared" si="84"/>
        <v>0</v>
      </c>
      <c r="H2723" s="39" t="s">
        <v>773</v>
      </c>
      <c r="I2723" s="3"/>
      <c r="J2723" s="42"/>
      <c r="K2723" s="3"/>
      <c r="M2723" s="20">
        <v>42143</v>
      </c>
      <c r="N2723" s="183">
        <v>21576</v>
      </c>
      <c r="O2723" s="14" t="s">
        <v>118</v>
      </c>
      <c r="P2723" s="105">
        <v>2010.9</v>
      </c>
      <c r="Q2723" s="23">
        <v>42143</v>
      </c>
      <c r="R2723" s="118">
        <v>2010.9</v>
      </c>
      <c r="S2723" s="31">
        <f t="shared" si="85"/>
        <v>0</v>
      </c>
      <c r="T2723" s="56" t="s">
        <v>59</v>
      </c>
    </row>
    <row r="2724" spans="1:20" x14ac:dyDescent="0.25">
      <c r="A2724" s="20">
        <v>42150</v>
      </c>
      <c r="B2724" s="183">
        <v>22298</v>
      </c>
      <c r="C2724" s="14" t="s">
        <v>1182</v>
      </c>
      <c r="D2724" s="105">
        <v>66.7</v>
      </c>
      <c r="E2724" s="65">
        <v>42150</v>
      </c>
      <c r="F2724" s="106">
        <v>66.7</v>
      </c>
      <c r="G2724" s="31">
        <f t="shared" si="84"/>
        <v>0</v>
      </c>
      <c r="H2724" s="39" t="s">
        <v>9</v>
      </c>
      <c r="I2724" s="3"/>
      <c r="J2724" s="42"/>
      <c r="K2724" s="3"/>
      <c r="M2724" s="20">
        <v>42144</v>
      </c>
      <c r="N2724" s="183">
        <v>21701</v>
      </c>
      <c r="O2724" s="14" t="s">
        <v>118</v>
      </c>
      <c r="P2724" s="105">
        <v>11050.4</v>
      </c>
      <c r="Q2724" s="23"/>
      <c r="R2724" s="106"/>
      <c r="S2724" s="31">
        <f t="shared" si="85"/>
        <v>11050.4</v>
      </c>
      <c r="T2724" s="39" t="s">
        <v>94</v>
      </c>
    </row>
    <row r="2725" spans="1:20" x14ac:dyDescent="0.25">
      <c r="A2725" s="20">
        <v>42150</v>
      </c>
      <c r="B2725" s="183">
        <v>22299</v>
      </c>
      <c r="C2725" s="14" t="s">
        <v>56</v>
      </c>
      <c r="D2725" s="105">
        <v>11311.6</v>
      </c>
      <c r="E2725" s="65">
        <v>42150</v>
      </c>
      <c r="F2725" s="106">
        <v>11311.6</v>
      </c>
      <c r="G2725" s="31">
        <f t="shared" si="84"/>
        <v>0</v>
      </c>
      <c r="H2725" s="39" t="s">
        <v>773</v>
      </c>
      <c r="I2725" s="3"/>
      <c r="J2725" s="42"/>
      <c r="K2725" s="3"/>
      <c r="M2725" s="20">
        <v>42146</v>
      </c>
      <c r="N2725" s="183">
        <v>21864</v>
      </c>
      <c r="O2725" s="14" t="s">
        <v>118</v>
      </c>
      <c r="P2725" s="105">
        <v>1443.2</v>
      </c>
      <c r="Q2725" s="23"/>
      <c r="R2725" s="106"/>
      <c r="S2725" s="31">
        <f t="shared" si="85"/>
        <v>1443.2</v>
      </c>
      <c r="T2725" s="39" t="s">
        <v>59</v>
      </c>
    </row>
    <row r="2726" spans="1:20" x14ac:dyDescent="0.25">
      <c r="A2726" s="20">
        <v>42150</v>
      </c>
      <c r="B2726" s="183">
        <v>22300</v>
      </c>
      <c r="C2726" s="14" t="s">
        <v>624</v>
      </c>
      <c r="D2726" s="105">
        <v>4776.8</v>
      </c>
      <c r="E2726" s="65">
        <v>42150</v>
      </c>
      <c r="F2726" s="106">
        <v>4776.8</v>
      </c>
      <c r="G2726" s="31">
        <f t="shared" si="84"/>
        <v>0</v>
      </c>
      <c r="H2726" s="39" t="s">
        <v>1257</v>
      </c>
      <c r="I2726" s="3"/>
      <c r="J2726" s="42"/>
      <c r="K2726" s="3"/>
      <c r="M2726" s="20">
        <v>42151</v>
      </c>
      <c r="N2726" s="183">
        <v>22378</v>
      </c>
      <c r="O2726" s="14" t="s">
        <v>118</v>
      </c>
      <c r="P2726" s="105">
        <v>9194.6</v>
      </c>
      <c r="Q2726" s="23"/>
      <c r="R2726" s="106"/>
      <c r="S2726" s="31">
        <f t="shared" si="85"/>
        <v>9194.6</v>
      </c>
      <c r="T2726" s="39" t="s">
        <v>773</v>
      </c>
    </row>
    <row r="2727" spans="1:20" x14ac:dyDescent="0.25">
      <c r="A2727" s="20">
        <v>42150</v>
      </c>
      <c r="B2727" s="183">
        <v>22301</v>
      </c>
      <c r="C2727" s="14" t="s">
        <v>1367</v>
      </c>
      <c r="D2727" s="105">
        <v>7614</v>
      </c>
      <c r="E2727" s="65">
        <v>42151</v>
      </c>
      <c r="F2727" s="106">
        <v>7614</v>
      </c>
      <c r="G2727" s="31">
        <f t="shared" si="84"/>
        <v>0</v>
      </c>
      <c r="H2727" s="39" t="s">
        <v>9</v>
      </c>
      <c r="I2727" s="3"/>
      <c r="J2727" s="42"/>
      <c r="K2727" s="3"/>
      <c r="M2727" s="20">
        <v>42154</v>
      </c>
      <c r="N2727" s="183">
        <v>22730</v>
      </c>
      <c r="O2727" s="14" t="s">
        <v>118</v>
      </c>
      <c r="P2727" s="105">
        <v>2956.8</v>
      </c>
      <c r="Q2727" s="23"/>
      <c r="R2727" s="106"/>
      <c r="S2727" s="31">
        <f t="shared" si="85"/>
        <v>2956.8</v>
      </c>
      <c r="T2727" s="39" t="s">
        <v>59</v>
      </c>
    </row>
    <row r="2728" spans="1:20" x14ac:dyDescent="0.25">
      <c r="A2728" s="20">
        <v>42150</v>
      </c>
      <c r="B2728" s="183">
        <v>22302</v>
      </c>
      <c r="C2728" s="14" t="s">
        <v>225</v>
      </c>
      <c r="D2728" s="105">
        <v>3161.4</v>
      </c>
      <c r="E2728" s="65">
        <v>42150</v>
      </c>
      <c r="F2728" s="106">
        <v>3161.4</v>
      </c>
      <c r="G2728" s="31">
        <f t="shared" si="84"/>
        <v>0</v>
      </c>
      <c r="H2728" s="39" t="s">
        <v>9</v>
      </c>
      <c r="I2728" s="3"/>
      <c r="J2728" s="42"/>
      <c r="K2728" s="3"/>
      <c r="M2728" s="20">
        <v>42126</v>
      </c>
      <c r="N2728" s="183">
        <v>19746</v>
      </c>
      <c r="O2728" s="40" t="s">
        <v>59</v>
      </c>
      <c r="P2728" s="105">
        <v>40.200000000000003</v>
      </c>
      <c r="Q2728" s="23">
        <v>42128</v>
      </c>
      <c r="R2728" s="106">
        <v>40.200000000000003</v>
      </c>
      <c r="S2728" s="25">
        <f t="shared" si="85"/>
        <v>0</v>
      </c>
      <c r="T2728" s="41" t="s">
        <v>9</v>
      </c>
    </row>
    <row r="2729" spans="1:20" x14ac:dyDescent="0.25">
      <c r="A2729" s="20">
        <v>42150</v>
      </c>
      <c r="B2729" s="183">
        <v>22303</v>
      </c>
      <c r="C2729" s="14" t="s">
        <v>130</v>
      </c>
      <c r="D2729" s="105">
        <v>1303.4000000000001</v>
      </c>
      <c r="E2729" s="65">
        <v>42152</v>
      </c>
      <c r="F2729" s="106">
        <v>1303.4000000000001</v>
      </c>
      <c r="G2729" s="31">
        <f t="shared" si="84"/>
        <v>0</v>
      </c>
      <c r="H2729" s="39" t="s">
        <v>1273</v>
      </c>
      <c r="I2729" s="3"/>
      <c r="J2729" s="42"/>
      <c r="K2729" s="3"/>
      <c r="M2729" s="20">
        <v>42128</v>
      </c>
      <c r="N2729" s="183">
        <v>20008</v>
      </c>
      <c r="O2729" s="14" t="s">
        <v>59</v>
      </c>
      <c r="P2729" s="105">
        <v>80</v>
      </c>
      <c r="Q2729" s="23">
        <v>42128</v>
      </c>
      <c r="R2729" s="106">
        <v>80</v>
      </c>
      <c r="S2729" s="31">
        <f t="shared" si="85"/>
        <v>0</v>
      </c>
      <c r="T2729" s="19" t="s">
        <v>9</v>
      </c>
    </row>
    <row r="2730" spans="1:20" x14ac:dyDescent="0.25">
      <c r="A2730" s="20">
        <v>42150</v>
      </c>
      <c r="B2730" s="183">
        <v>22304</v>
      </c>
      <c r="C2730" s="14" t="s">
        <v>226</v>
      </c>
      <c r="D2730" s="105">
        <v>6049.6</v>
      </c>
      <c r="E2730" s="65">
        <v>42152</v>
      </c>
      <c r="F2730" s="106">
        <v>6049.6</v>
      </c>
      <c r="G2730" s="31">
        <f t="shared" si="84"/>
        <v>0</v>
      </c>
      <c r="H2730" s="39" t="s">
        <v>62</v>
      </c>
      <c r="I2730" s="3"/>
      <c r="J2730" s="42"/>
      <c r="K2730" s="3"/>
      <c r="M2730" s="20">
        <v>42132</v>
      </c>
      <c r="N2730" s="183">
        <v>20408</v>
      </c>
      <c r="O2730" s="14" t="s">
        <v>59</v>
      </c>
      <c r="P2730" s="105">
        <v>4553.2</v>
      </c>
      <c r="Q2730" s="23">
        <v>42133</v>
      </c>
      <c r="R2730" s="106">
        <v>4553.2</v>
      </c>
      <c r="S2730" s="31">
        <f t="shared" si="85"/>
        <v>0</v>
      </c>
      <c r="T2730" s="19" t="s">
        <v>773</v>
      </c>
    </row>
    <row r="2731" spans="1:20" x14ac:dyDescent="0.25">
      <c r="A2731" s="20">
        <v>42150</v>
      </c>
      <c r="B2731" s="183">
        <v>22305</v>
      </c>
      <c r="C2731" s="150" t="s">
        <v>32</v>
      </c>
      <c r="D2731" s="105">
        <v>100838.39999999999</v>
      </c>
      <c r="E2731" s="74">
        <v>42171</v>
      </c>
      <c r="F2731" s="144">
        <v>100838.39999999999</v>
      </c>
      <c r="G2731" s="31">
        <f t="shared" si="84"/>
        <v>0</v>
      </c>
      <c r="H2731" s="39" t="s">
        <v>187</v>
      </c>
      <c r="I2731" s="3"/>
      <c r="J2731" s="42"/>
      <c r="K2731" s="3"/>
      <c r="M2731" s="20">
        <v>42133</v>
      </c>
      <c r="N2731" s="183">
        <v>20581</v>
      </c>
      <c r="O2731" s="14" t="s">
        <v>59</v>
      </c>
      <c r="P2731" s="105">
        <v>138.6</v>
      </c>
      <c r="Q2731" s="23">
        <v>42135</v>
      </c>
      <c r="R2731" s="106">
        <v>138.6</v>
      </c>
      <c r="S2731" s="31">
        <f t="shared" si="85"/>
        <v>0</v>
      </c>
      <c r="T2731" s="39" t="s">
        <v>9</v>
      </c>
    </row>
    <row r="2732" spans="1:20" x14ac:dyDescent="0.25">
      <c r="A2732" s="20">
        <v>42150</v>
      </c>
      <c r="B2732" s="183">
        <v>22306</v>
      </c>
      <c r="C2732" s="14" t="s">
        <v>55</v>
      </c>
      <c r="D2732" s="105">
        <v>25379</v>
      </c>
      <c r="E2732" s="65">
        <v>42150</v>
      </c>
      <c r="F2732" s="106">
        <v>25379</v>
      </c>
      <c r="G2732" s="31">
        <f t="shared" si="84"/>
        <v>0</v>
      </c>
      <c r="H2732" s="39" t="s">
        <v>9</v>
      </c>
      <c r="I2732" s="3"/>
      <c r="J2732" s="42"/>
      <c r="K2732" s="3"/>
      <c r="M2732" s="20">
        <v>42138</v>
      </c>
      <c r="N2732" s="183">
        <v>21073</v>
      </c>
      <c r="O2732" s="14" t="s">
        <v>59</v>
      </c>
      <c r="P2732" s="105">
        <v>88.4</v>
      </c>
      <c r="Q2732" s="23">
        <v>42138</v>
      </c>
      <c r="R2732" s="106">
        <v>88.4</v>
      </c>
      <c r="S2732" s="48">
        <f t="shared" si="85"/>
        <v>0</v>
      </c>
      <c r="T2732" s="39" t="s">
        <v>9</v>
      </c>
    </row>
    <row r="2733" spans="1:20" x14ac:dyDescent="0.25">
      <c r="A2733" s="20">
        <v>42150</v>
      </c>
      <c r="B2733" s="183">
        <v>22307</v>
      </c>
      <c r="C2733" s="14" t="s">
        <v>906</v>
      </c>
      <c r="D2733" s="105">
        <v>1219.8</v>
      </c>
      <c r="E2733" s="65">
        <v>42151</v>
      </c>
      <c r="F2733" s="106">
        <v>1219.8</v>
      </c>
      <c r="G2733" s="31">
        <f t="shared" si="84"/>
        <v>0</v>
      </c>
      <c r="H2733" s="39" t="s">
        <v>62</v>
      </c>
      <c r="I2733" s="3"/>
      <c r="J2733" s="42"/>
      <c r="K2733" s="3"/>
      <c r="M2733" s="20">
        <v>42143</v>
      </c>
      <c r="N2733" s="183">
        <v>21611</v>
      </c>
      <c r="O2733" s="14" t="s">
        <v>59</v>
      </c>
      <c r="P2733" s="105">
        <v>134.4</v>
      </c>
      <c r="Q2733" s="23">
        <v>42146</v>
      </c>
      <c r="R2733" s="118">
        <v>134.4</v>
      </c>
      <c r="S2733" s="31">
        <f t="shared" si="85"/>
        <v>0</v>
      </c>
      <c r="T2733" s="56" t="s">
        <v>59</v>
      </c>
    </row>
    <row r="2734" spans="1:20" x14ac:dyDescent="0.25">
      <c r="A2734" s="20">
        <v>42150</v>
      </c>
      <c r="B2734" s="183">
        <v>22308</v>
      </c>
      <c r="C2734" s="14" t="s">
        <v>89</v>
      </c>
      <c r="D2734" s="105">
        <v>3694.8</v>
      </c>
      <c r="E2734" s="65">
        <v>42150</v>
      </c>
      <c r="F2734" s="106">
        <v>3694.8</v>
      </c>
      <c r="G2734" s="31">
        <f t="shared" si="84"/>
        <v>0</v>
      </c>
      <c r="H2734" s="39" t="s">
        <v>9</v>
      </c>
      <c r="I2734" s="3"/>
      <c r="J2734" s="42"/>
      <c r="K2734" s="3"/>
      <c r="M2734" s="20">
        <v>42151</v>
      </c>
      <c r="N2734" s="183">
        <v>22398</v>
      </c>
      <c r="O2734" s="14" t="s">
        <v>59</v>
      </c>
      <c r="P2734" s="105">
        <v>154</v>
      </c>
      <c r="Q2734" s="23"/>
      <c r="R2734" s="106"/>
      <c r="S2734" s="31">
        <f t="shared" si="85"/>
        <v>154</v>
      </c>
      <c r="T2734" s="39" t="s">
        <v>773</v>
      </c>
    </row>
    <row r="2735" spans="1:20" x14ac:dyDescent="0.25">
      <c r="A2735" s="20">
        <v>42150</v>
      </c>
      <c r="B2735" s="183">
        <v>22309</v>
      </c>
      <c r="C2735" s="14" t="s">
        <v>100</v>
      </c>
      <c r="D2735" s="105">
        <v>1365</v>
      </c>
      <c r="E2735" s="65">
        <v>42150</v>
      </c>
      <c r="F2735" s="106">
        <v>1365</v>
      </c>
      <c r="G2735" s="31">
        <f t="shared" si="84"/>
        <v>0</v>
      </c>
      <c r="H2735" s="39" t="s">
        <v>9</v>
      </c>
      <c r="I2735" s="3"/>
      <c r="J2735" s="42"/>
      <c r="K2735" s="3"/>
      <c r="M2735" s="20">
        <v>42152</v>
      </c>
      <c r="N2735" s="183">
        <v>22459</v>
      </c>
      <c r="O2735" s="14" t="s">
        <v>59</v>
      </c>
      <c r="P2735" s="105">
        <v>8940.4</v>
      </c>
      <c r="Q2735" s="23"/>
      <c r="R2735" s="106"/>
      <c r="S2735" s="31">
        <f t="shared" si="85"/>
        <v>8940.4</v>
      </c>
      <c r="T2735" s="39" t="s">
        <v>9</v>
      </c>
    </row>
    <row r="2736" spans="1:20" x14ac:dyDescent="0.25">
      <c r="A2736" s="20">
        <v>42150</v>
      </c>
      <c r="B2736" s="183">
        <v>22310</v>
      </c>
      <c r="C2736" s="14" t="s">
        <v>1328</v>
      </c>
      <c r="D2736" s="105">
        <v>18144</v>
      </c>
      <c r="E2736" s="65">
        <v>42150</v>
      </c>
      <c r="F2736" s="106">
        <v>18144</v>
      </c>
      <c r="G2736" s="31">
        <f t="shared" si="84"/>
        <v>0</v>
      </c>
      <c r="H2736" s="39" t="s">
        <v>587</v>
      </c>
      <c r="I2736" s="3"/>
      <c r="J2736" s="42"/>
      <c r="K2736" s="3"/>
      <c r="M2736" s="20">
        <v>42153</v>
      </c>
      <c r="N2736" s="183">
        <v>22655</v>
      </c>
      <c r="O2736" s="14" t="s">
        <v>59</v>
      </c>
      <c r="P2736" s="105">
        <v>1390.8</v>
      </c>
      <c r="Q2736" s="23">
        <v>42154</v>
      </c>
      <c r="R2736" s="106">
        <v>1390.8</v>
      </c>
      <c r="S2736" s="31">
        <f t="shared" si="85"/>
        <v>0</v>
      </c>
      <c r="T2736" s="39" t="s">
        <v>9</v>
      </c>
    </row>
    <row r="2737" spans="1:20" x14ac:dyDescent="0.25">
      <c r="A2737" s="20">
        <v>42150</v>
      </c>
      <c r="B2737" s="183">
        <v>22311</v>
      </c>
      <c r="C2737" s="14" t="s">
        <v>1261</v>
      </c>
      <c r="D2737" s="105">
        <v>13737.6</v>
      </c>
      <c r="E2737" s="65">
        <v>42150</v>
      </c>
      <c r="F2737" s="106">
        <v>13737.6</v>
      </c>
      <c r="G2737" s="31">
        <f t="shared" si="84"/>
        <v>0</v>
      </c>
      <c r="H2737" s="39" t="s">
        <v>587</v>
      </c>
      <c r="I2737" s="3"/>
      <c r="J2737" s="42"/>
      <c r="K2737" s="3"/>
      <c r="M2737" s="20">
        <v>42155</v>
      </c>
      <c r="N2737" s="183">
        <v>22853</v>
      </c>
      <c r="O2737" s="14" t="s">
        <v>59</v>
      </c>
      <c r="P2737" s="105">
        <v>196</v>
      </c>
      <c r="Q2737" s="23">
        <v>42155</v>
      </c>
      <c r="R2737" s="106">
        <v>196</v>
      </c>
      <c r="S2737" s="31">
        <f t="shared" si="85"/>
        <v>0</v>
      </c>
      <c r="T2737" s="39" t="s">
        <v>9</v>
      </c>
    </row>
    <row r="2738" spans="1:20" x14ac:dyDescent="0.25">
      <c r="A2738" s="20">
        <v>42150</v>
      </c>
      <c r="B2738" s="183">
        <v>22312</v>
      </c>
      <c r="C2738" s="14" t="s">
        <v>332</v>
      </c>
      <c r="D2738" s="105">
        <v>2743.8</v>
      </c>
      <c r="E2738" s="65">
        <v>42150</v>
      </c>
      <c r="F2738" s="106">
        <v>2743.8</v>
      </c>
      <c r="G2738" s="31">
        <f t="shared" si="84"/>
        <v>0</v>
      </c>
      <c r="H2738" s="39" t="s">
        <v>9</v>
      </c>
      <c r="I2738" s="3"/>
      <c r="J2738" s="42"/>
      <c r="K2738" s="3"/>
      <c r="M2738" s="20">
        <v>42125</v>
      </c>
      <c r="N2738" s="183">
        <v>19633</v>
      </c>
      <c r="O2738" s="14" t="s">
        <v>133</v>
      </c>
      <c r="P2738" s="105">
        <v>29019.1</v>
      </c>
      <c r="Q2738" s="23">
        <v>42125</v>
      </c>
      <c r="R2738" s="106">
        <v>29019.1</v>
      </c>
      <c r="S2738" s="25">
        <f t="shared" si="85"/>
        <v>0</v>
      </c>
      <c r="T2738" s="19" t="s">
        <v>9</v>
      </c>
    </row>
    <row r="2739" spans="1:20" x14ac:dyDescent="0.25">
      <c r="A2739" s="20">
        <v>42150</v>
      </c>
      <c r="B2739" s="183">
        <v>22313</v>
      </c>
      <c r="C2739" s="14" t="s">
        <v>1366</v>
      </c>
      <c r="D2739" s="105">
        <v>21605.5</v>
      </c>
      <c r="E2739" s="65">
        <v>42151</v>
      </c>
      <c r="F2739" s="106">
        <v>21605.5</v>
      </c>
      <c r="G2739" s="31">
        <f t="shared" si="84"/>
        <v>0</v>
      </c>
      <c r="H2739" s="39" t="s">
        <v>1273</v>
      </c>
      <c r="I2739" s="3"/>
      <c r="J2739" s="42"/>
      <c r="K2739" s="3"/>
      <c r="M2739" s="20">
        <v>42125</v>
      </c>
      <c r="N2739" s="183">
        <v>19635</v>
      </c>
      <c r="O2739" s="14" t="s">
        <v>133</v>
      </c>
      <c r="P2739" s="105">
        <v>4537.2</v>
      </c>
      <c r="Q2739" s="23">
        <v>42125</v>
      </c>
      <c r="R2739" s="106">
        <v>4537.2</v>
      </c>
      <c r="S2739" s="25">
        <f t="shared" si="85"/>
        <v>0</v>
      </c>
      <c r="T2739" s="19" t="s">
        <v>9</v>
      </c>
    </row>
    <row r="2740" spans="1:20" x14ac:dyDescent="0.25">
      <c r="A2740" s="20">
        <v>42150</v>
      </c>
      <c r="B2740" s="183">
        <v>22314</v>
      </c>
      <c r="C2740" s="14" t="s">
        <v>1262</v>
      </c>
      <c r="D2740" s="105">
        <v>28982</v>
      </c>
      <c r="E2740" s="65">
        <v>42153</v>
      </c>
      <c r="F2740" s="106">
        <v>28982</v>
      </c>
      <c r="G2740" s="31">
        <f t="shared" si="84"/>
        <v>0</v>
      </c>
      <c r="H2740" s="39" t="s">
        <v>94</v>
      </c>
      <c r="I2740" s="3"/>
      <c r="J2740" s="42"/>
      <c r="K2740" s="3"/>
      <c r="M2740" s="20">
        <v>42126</v>
      </c>
      <c r="N2740" s="183">
        <v>19754</v>
      </c>
      <c r="O2740" s="40" t="s">
        <v>133</v>
      </c>
      <c r="P2740" s="105">
        <v>2942.45</v>
      </c>
      <c r="Q2740" s="23">
        <v>42126</v>
      </c>
      <c r="R2740" s="106">
        <v>2942.45</v>
      </c>
      <c r="S2740" s="25">
        <f t="shared" si="85"/>
        <v>0</v>
      </c>
      <c r="T2740" s="41" t="s">
        <v>9</v>
      </c>
    </row>
    <row r="2741" spans="1:20" x14ac:dyDescent="0.25">
      <c r="A2741" s="20">
        <v>42150</v>
      </c>
      <c r="B2741" s="183">
        <v>22315</v>
      </c>
      <c r="C2741" s="14" t="s">
        <v>136</v>
      </c>
      <c r="D2741" s="105">
        <v>15249</v>
      </c>
      <c r="E2741" s="65">
        <v>42150</v>
      </c>
      <c r="F2741" s="106">
        <v>15249</v>
      </c>
      <c r="G2741" s="31">
        <f t="shared" si="84"/>
        <v>0</v>
      </c>
      <c r="H2741" s="39" t="s">
        <v>9</v>
      </c>
      <c r="I2741" s="3"/>
      <c r="J2741" s="42"/>
      <c r="K2741" s="3"/>
      <c r="M2741" s="20">
        <v>42131</v>
      </c>
      <c r="N2741" s="183">
        <v>20259</v>
      </c>
      <c r="O2741" s="14" t="s">
        <v>133</v>
      </c>
      <c r="P2741" s="105">
        <v>7986</v>
      </c>
      <c r="Q2741" s="23">
        <v>42131</v>
      </c>
      <c r="R2741" s="106">
        <v>7986</v>
      </c>
      <c r="S2741" s="31">
        <f t="shared" si="85"/>
        <v>0</v>
      </c>
      <c r="T2741" s="19" t="s">
        <v>9</v>
      </c>
    </row>
    <row r="2742" spans="1:20" x14ac:dyDescent="0.25">
      <c r="A2742" s="20">
        <v>42150</v>
      </c>
      <c r="B2742" s="183">
        <v>22316</v>
      </c>
      <c r="C2742" s="14" t="s">
        <v>21</v>
      </c>
      <c r="D2742" s="105">
        <v>3015.8</v>
      </c>
      <c r="E2742" s="65">
        <v>42150</v>
      </c>
      <c r="F2742" s="106">
        <v>3015.8</v>
      </c>
      <c r="G2742" s="31">
        <f t="shared" si="84"/>
        <v>0</v>
      </c>
      <c r="H2742" s="39" t="s">
        <v>9</v>
      </c>
      <c r="I2742" s="3"/>
      <c r="J2742" s="42"/>
      <c r="K2742" s="3"/>
      <c r="M2742" s="20">
        <v>42132</v>
      </c>
      <c r="N2742" s="183">
        <v>20387</v>
      </c>
      <c r="O2742" s="14" t="s">
        <v>133</v>
      </c>
      <c r="P2742" s="105">
        <v>33158.050000000003</v>
      </c>
      <c r="Q2742" s="23">
        <v>42132</v>
      </c>
      <c r="R2742" s="106">
        <v>33158.050000000003</v>
      </c>
      <c r="S2742" s="31">
        <f t="shared" si="85"/>
        <v>0</v>
      </c>
      <c r="T2742" s="19" t="s">
        <v>9</v>
      </c>
    </row>
    <row r="2743" spans="1:20" x14ac:dyDescent="0.25">
      <c r="A2743" s="20">
        <v>42150</v>
      </c>
      <c r="B2743" s="183">
        <v>22317</v>
      </c>
      <c r="C2743" s="26" t="s">
        <v>1445</v>
      </c>
      <c r="D2743" s="105">
        <v>0</v>
      </c>
      <c r="E2743" s="214" t="s">
        <v>1457</v>
      </c>
      <c r="F2743" s="144"/>
      <c r="G2743" s="31">
        <f t="shared" si="84"/>
        <v>0</v>
      </c>
      <c r="H2743" s="39" t="s">
        <v>9</v>
      </c>
      <c r="I2743" s="3"/>
      <c r="J2743" s="42"/>
      <c r="K2743" s="3"/>
      <c r="M2743" s="20">
        <v>42139</v>
      </c>
      <c r="N2743" s="183">
        <v>21153</v>
      </c>
      <c r="O2743" s="14" t="s">
        <v>133</v>
      </c>
      <c r="P2743" s="105">
        <v>1328.4</v>
      </c>
      <c r="Q2743" s="23">
        <v>42139</v>
      </c>
      <c r="R2743" s="106">
        <v>1328.4</v>
      </c>
      <c r="S2743" s="48">
        <f t="shared" si="85"/>
        <v>0</v>
      </c>
      <c r="T2743" s="39" t="s">
        <v>9</v>
      </c>
    </row>
    <row r="2744" spans="1:20" x14ac:dyDescent="0.25">
      <c r="A2744" s="20">
        <v>42150</v>
      </c>
      <c r="B2744" s="183">
        <v>22318</v>
      </c>
      <c r="C2744" s="14" t="s">
        <v>285</v>
      </c>
      <c r="D2744" s="105">
        <v>1683.6</v>
      </c>
      <c r="E2744" s="65">
        <v>42151</v>
      </c>
      <c r="F2744" s="106">
        <v>1683.6</v>
      </c>
      <c r="G2744" s="31">
        <f t="shared" si="84"/>
        <v>0</v>
      </c>
      <c r="H2744" s="39" t="s">
        <v>1273</v>
      </c>
      <c r="I2744" s="3"/>
      <c r="J2744" s="42"/>
      <c r="K2744" s="3"/>
      <c r="M2744" s="20">
        <v>42146</v>
      </c>
      <c r="N2744" s="183">
        <v>21884</v>
      </c>
      <c r="O2744" s="14" t="s">
        <v>133</v>
      </c>
      <c r="P2744" s="105">
        <v>36840.339999999997</v>
      </c>
      <c r="Q2744" s="23">
        <v>42146</v>
      </c>
      <c r="R2744" s="106">
        <v>36840.339999999997</v>
      </c>
      <c r="S2744" s="31">
        <f t="shared" si="85"/>
        <v>0</v>
      </c>
      <c r="T2744" s="39" t="s">
        <v>9</v>
      </c>
    </row>
    <row r="2745" spans="1:20" x14ac:dyDescent="0.25">
      <c r="A2745" s="20">
        <v>42150</v>
      </c>
      <c r="B2745" s="183">
        <v>22319</v>
      </c>
      <c r="C2745" s="14" t="s">
        <v>252</v>
      </c>
      <c r="D2745" s="105">
        <v>5350.8</v>
      </c>
      <c r="E2745" s="65">
        <v>42150</v>
      </c>
      <c r="F2745" s="106">
        <v>5350.8</v>
      </c>
      <c r="G2745" s="31">
        <f t="shared" si="84"/>
        <v>0</v>
      </c>
      <c r="H2745" s="39" t="s">
        <v>9</v>
      </c>
      <c r="I2745" s="3"/>
      <c r="J2745" s="42"/>
      <c r="K2745" s="3"/>
      <c r="M2745" s="20">
        <v>42146</v>
      </c>
      <c r="N2745" s="183">
        <v>21885</v>
      </c>
      <c r="O2745" s="14" t="s">
        <v>133</v>
      </c>
      <c r="P2745" s="105">
        <v>5283.82</v>
      </c>
      <c r="Q2745" s="23">
        <v>42146</v>
      </c>
      <c r="R2745" s="106">
        <v>5283.82</v>
      </c>
      <c r="S2745" s="31">
        <f t="shared" si="85"/>
        <v>0</v>
      </c>
      <c r="T2745" s="39" t="s">
        <v>9</v>
      </c>
    </row>
    <row r="2746" spans="1:20" x14ac:dyDescent="0.25">
      <c r="A2746" s="20">
        <v>42150</v>
      </c>
      <c r="B2746" s="183">
        <v>22320</v>
      </c>
      <c r="C2746" s="14" t="s">
        <v>108</v>
      </c>
      <c r="D2746" s="105">
        <v>13455.2</v>
      </c>
      <c r="E2746" s="74">
        <v>42178</v>
      </c>
      <c r="F2746" s="144">
        <v>13455.2</v>
      </c>
      <c r="G2746" s="31">
        <f t="shared" si="84"/>
        <v>0</v>
      </c>
      <c r="H2746" s="39" t="s">
        <v>94</v>
      </c>
      <c r="I2746" s="3"/>
      <c r="J2746" s="42"/>
      <c r="K2746" s="3"/>
      <c r="M2746" s="20">
        <v>42147</v>
      </c>
      <c r="N2746" s="183">
        <v>22020</v>
      </c>
      <c r="O2746" s="14" t="s">
        <v>133</v>
      </c>
      <c r="P2746" s="105">
        <v>343.2</v>
      </c>
      <c r="Q2746" s="65">
        <v>42147</v>
      </c>
      <c r="R2746" s="106">
        <v>343.2</v>
      </c>
      <c r="S2746" s="31">
        <f t="shared" si="85"/>
        <v>0</v>
      </c>
      <c r="T2746" s="39" t="s">
        <v>59</v>
      </c>
    </row>
    <row r="2747" spans="1:20" x14ac:dyDescent="0.25">
      <c r="A2747" s="20">
        <v>42150</v>
      </c>
      <c r="B2747" s="183">
        <v>22321</v>
      </c>
      <c r="C2747" s="14" t="s">
        <v>24</v>
      </c>
      <c r="D2747" s="105">
        <v>58520.4</v>
      </c>
      <c r="E2747" s="74">
        <v>42173</v>
      </c>
      <c r="F2747" s="144">
        <v>58520.4</v>
      </c>
      <c r="G2747" s="31">
        <f t="shared" si="84"/>
        <v>0</v>
      </c>
      <c r="H2747" s="39" t="s">
        <v>187</v>
      </c>
      <c r="I2747" s="3"/>
      <c r="J2747" s="42"/>
      <c r="K2747" s="3"/>
      <c r="M2747" s="20">
        <v>42153</v>
      </c>
      <c r="N2747" s="183">
        <v>22593</v>
      </c>
      <c r="O2747" s="14" t="s">
        <v>133</v>
      </c>
      <c r="P2747" s="105">
        <v>36930.720000000001</v>
      </c>
      <c r="Q2747" s="23">
        <v>42153</v>
      </c>
      <c r="R2747" s="106">
        <v>36930.720000000001</v>
      </c>
      <c r="S2747" s="31">
        <f t="shared" si="85"/>
        <v>0</v>
      </c>
      <c r="T2747" s="39" t="s">
        <v>9</v>
      </c>
    </row>
    <row r="2748" spans="1:20" x14ac:dyDescent="0.25">
      <c r="A2748" s="20">
        <v>42150</v>
      </c>
      <c r="B2748" s="183">
        <v>22322</v>
      </c>
      <c r="C2748" s="14" t="s">
        <v>24</v>
      </c>
      <c r="D2748" s="105">
        <v>202131.42</v>
      </c>
      <c r="E2748" s="74">
        <v>42173</v>
      </c>
      <c r="F2748" s="144">
        <v>202131.42</v>
      </c>
      <c r="G2748" s="31">
        <f t="shared" si="84"/>
        <v>0</v>
      </c>
      <c r="H2748" s="39" t="s">
        <v>187</v>
      </c>
      <c r="I2748" s="3"/>
      <c r="J2748" s="42"/>
      <c r="K2748" s="3"/>
      <c r="M2748" s="20">
        <v>42132</v>
      </c>
      <c r="N2748" s="183">
        <v>20357</v>
      </c>
      <c r="O2748" s="14" t="s">
        <v>254</v>
      </c>
      <c r="P2748" s="105">
        <v>5511.6</v>
      </c>
      <c r="Q2748" s="23">
        <v>42132</v>
      </c>
      <c r="R2748" s="106">
        <v>5511.6</v>
      </c>
      <c r="S2748" s="31">
        <f t="shared" si="85"/>
        <v>0</v>
      </c>
      <c r="T2748" s="19" t="s">
        <v>9</v>
      </c>
    </row>
    <row r="2749" spans="1:20" x14ac:dyDescent="0.25">
      <c r="A2749" s="20">
        <v>42150</v>
      </c>
      <c r="B2749" s="183">
        <v>22323</v>
      </c>
      <c r="C2749" s="14" t="s">
        <v>35</v>
      </c>
      <c r="D2749" s="105">
        <v>24137.49</v>
      </c>
      <c r="E2749" s="65">
        <v>42151</v>
      </c>
      <c r="F2749" s="106">
        <v>24137.49</v>
      </c>
      <c r="G2749" s="31">
        <f t="shared" si="84"/>
        <v>0</v>
      </c>
      <c r="H2749" s="39" t="s">
        <v>1257</v>
      </c>
      <c r="I2749" s="3"/>
      <c r="J2749" s="42"/>
      <c r="K2749" s="3"/>
      <c r="M2749" s="20">
        <v>42132</v>
      </c>
      <c r="N2749" s="183">
        <v>20360</v>
      </c>
      <c r="O2749" s="14" t="s">
        <v>254</v>
      </c>
      <c r="P2749" s="105">
        <v>3067.4</v>
      </c>
      <c r="Q2749" s="23">
        <v>42132</v>
      </c>
      <c r="R2749" s="106">
        <v>3067.4</v>
      </c>
      <c r="S2749" s="31">
        <f t="shared" si="85"/>
        <v>0</v>
      </c>
      <c r="T2749" s="19" t="s">
        <v>9</v>
      </c>
    </row>
    <row r="2750" spans="1:20" x14ac:dyDescent="0.25">
      <c r="A2750" s="20">
        <v>42150</v>
      </c>
      <c r="B2750" s="183">
        <v>22324</v>
      </c>
      <c r="C2750" s="14" t="s">
        <v>111</v>
      </c>
      <c r="D2750" s="105">
        <v>134822</v>
      </c>
      <c r="E2750" s="65">
        <v>42152</v>
      </c>
      <c r="F2750" s="106">
        <v>134822</v>
      </c>
      <c r="G2750" s="31">
        <f t="shared" si="84"/>
        <v>0</v>
      </c>
      <c r="H2750" s="39" t="s">
        <v>9</v>
      </c>
      <c r="I2750" s="3"/>
      <c r="J2750" s="42"/>
      <c r="K2750" s="3"/>
      <c r="M2750" s="20">
        <v>42138</v>
      </c>
      <c r="N2750" s="183">
        <v>20987</v>
      </c>
      <c r="O2750" s="14" t="s">
        <v>254</v>
      </c>
      <c r="P2750" s="105">
        <v>7113.8</v>
      </c>
      <c r="Q2750" s="23">
        <v>42138</v>
      </c>
      <c r="R2750" s="106">
        <v>7113.8</v>
      </c>
      <c r="S2750" s="31">
        <f t="shared" si="85"/>
        <v>0</v>
      </c>
      <c r="T2750" s="19" t="s">
        <v>9</v>
      </c>
    </row>
    <row r="2751" spans="1:20" x14ac:dyDescent="0.25">
      <c r="A2751" s="20">
        <v>42150</v>
      </c>
      <c r="B2751" s="183">
        <v>22325</v>
      </c>
      <c r="C2751" s="14" t="s">
        <v>1142</v>
      </c>
      <c r="D2751" s="105">
        <v>896.7</v>
      </c>
      <c r="E2751" s="65">
        <v>42150</v>
      </c>
      <c r="F2751" s="106">
        <v>896.7</v>
      </c>
      <c r="G2751" s="31">
        <f t="shared" si="84"/>
        <v>0</v>
      </c>
      <c r="H2751" s="39" t="s">
        <v>9</v>
      </c>
      <c r="I2751" s="3"/>
      <c r="J2751" s="42"/>
      <c r="K2751" s="3"/>
      <c r="M2751" s="20">
        <v>42125</v>
      </c>
      <c r="N2751" s="183">
        <v>19624</v>
      </c>
      <c r="O2751" s="14" t="s">
        <v>131</v>
      </c>
      <c r="P2751" s="105">
        <v>7477.4</v>
      </c>
      <c r="Q2751" s="23">
        <v>42125</v>
      </c>
      <c r="R2751" s="106">
        <v>7477.4</v>
      </c>
      <c r="S2751" s="25">
        <f t="shared" si="85"/>
        <v>0</v>
      </c>
      <c r="T2751" s="19" t="s">
        <v>1257</v>
      </c>
    </row>
    <row r="2752" spans="1:20" x14ac:dyDescent="0.25">
      <c r="A2752" s="20">
        <v>42150</v>
      </c>
      <c r="B2752" s="183">
        <v>22326</v>
      </c>
      <c r="C2752" s="14" t="s">
        <v>1053</v>
      </c>
      <c r="D2752" s="105">
        <v>69365.2</v>
      </c>
      <c r="E2752" s="65">
        <v>42153</v>
      </c>
      <c r="F2752" s="106">
        <v>69365.2</v>
      </c>
      <c r="G2752" s="31">
        <f t="shared" si="84"/>
        <v>0</v>
      </c>
      <c r="H2752" s="39" t="s">
        <v>773</v>
      </c>
      <c r="I2752" s="3"/>
      <c r="J2752" s="42"/>
      <c r="K2752" s="3"/>
      <c r="M2752" s="20">
        <v>42126</v>
      </c>
      <c r="N2752" s="183">
        <v>19749</v>
      </c>
      <c r="O2752" s="40" t="s">
        <v>131</v>
      </c>
      <c r="P2752" s="105">
        <v>9649.25</v>
      </c>
      <c r="Q2752" s="23">
        <v>42126</v>
      </c>
      <c r="R2752" s="106">
        <v>9649.25</v>
      </c>
      <c r="S2752" s="25">
        <f t="shared" si="85"/>
        <v>0</v>
      </c>
      <c r="T2752" s="41" t="s">
        <v>1257</v>
      </c>
    </row>
    <row r="2753" spans="1:20" x14ac:dyDescent="0.25">
      <c r="A2753" s="20">
        <v>42150</v>
      </c>
      <c r="B2753" s="183">
        <v>22327</v>
      </c>
      <c r="C2753" s="148" t="s">
        <v>697</v>
      </c>
      <c r="D2753" s="105">
        <v>24409.88</v>
      </c>
      <c r="E2753" s="74" t="s">
        <v>1458</v>
      </c>
      <c r="F2753" s="144">
        <v>24409.88</v>
      </c>
      <c r="G2753" s="31">
        <f t="shared" si="84"/>
        <v>0</v>
      </c>
      <c r="H2753" s="39" t="s">
        <v>9</v>
      </c>
      <c r="I2753" s="3"/>
      <c r="J2753" s="42"/>
      <c r="K2753" s="3"/>
      <c r="M2753" s="20">
        <v>42127</v>
      </c>
      <c r="N2753" s="183">
        <v>19828</v>
      </c>
      <c r="O2753" s="40" t="s">
        <v>131</v>
      </c>
      <c r="P2753" s="105">
        <v>5625.8</v>
      </c>
      <c r="Q2753" s="23">
        <v>42128</v>
      </c>
      <c r="R2753" s="106">
        <v>5625.8</v>
      </c>
      <c r="S2753" s="31">
        <f t="shared" si="85"/>
        <v>0</v>
      </c>
      <c r="T2753" s="41" t="s">
        <v>1257</v>
      </c>
    </row>
    <row r="2754" spans="1:20" x14ac:dyDescent="0.25">
      <c r="A2754" s="20">
        <v>42150</v>
      </c>
      <c r="B2754" s="183">
        <v>22328</v>
      </c>
      <c r="C2754" s="14" t="s">
        <v>454</v>
      </c>
      <c r="D2754" s="105">
        <v>1961</v>
      </c>
      <c r="E2754" s="65">
        <v>42152</v>
      </c>
      <c r="F2754" s="106">
        <v>1961</v>
      </c>
      <c r="G2754" s="31">
        <f t="shared" si="84"/>
        <v>0</v>
      </c>
      <c r="H2754" s="39" t="s">
        <v>59</v>
      </c>
      <c r="I2754" s="3"/>
      <c r="J2754" s="42"/>
      <c r="K2754" s="3"/>
      <c r="M2754" s="20">
        <v>42127</v>
      </c>
      <c r="N2754" s="183">
        <v>19863</v>
      </c>
      <c r="O2754" s="40" t="s">
        <v>131</v>
      </c>
      <c r="P2754" s="105">
        <v>7620</v>
      </c>
      <c r="Q2754" s="23">
        <v>42127</v>
      </c>
      <c r="R2754" s="106">
        <v>7620</v>
      </c>
      <c r="S2754" s="31">
        <f t="shared" si="85"/>
        <v>0</v>
      </c>
      <c r="T2754" s="41" t="s">
        <v>9</v>
      </c>
    </row>
    <row r="2755" spans="1:20" x14ac:dyDescent="0.25">
      <c r="A2755" s="20">
        <v>42151</v>
      </c>
      <c r="B2755" s="183">
        <v>22329</v>
      </c>
      <c r="C2755" s="14" t="s">
        <v>1338</v>
      </c>
      <c r="D2755" s="105">
        <v>75207.360000000001</v>
      </c>
      <c r="E2755" s="65">
        <v>42153</v>
      </c>
      <c r="F2755" s="106">
        <v>75207.360000000001</v>
      </c>
      <c r="G2755" s="31">
        <f t="shared" ref="G2755:G2818" si="86">D2755-F2755</f>
        <v>0</v>
      </c>
      <c r="H2755" s="39" t="s">
        <v>94</v>
      </c>
      <c r="I2755" s="3"/>
      <c r="J2755" s="42"/>
      <c r="K2755" s="3"/>
      <c r="M2755" s="20">
        <v>42128</v>
      </c>
      <c r="N2755" s="183">
        <v>19939</v>
      </c>
      <c r="O2755" s="14" t="s">
        <v>131</v>
      </c>
      <c r="P2755" s="105">
        <v>7477.2</v>
      </c>
      <c r="Q2755" s="23">
        <v>42128</v>
      </c>
      <c r="R2755" s="106">
        <v>7477.2</v>
      </c>
      <c r="S2755" s="31">
        <f t="shared" ref="S2755:S2818" si="87">P2755-R2755</f>
        <v>0</v>
      </c>
      <c r="T2755" s="19" t="s">
        <v>1257</v>
      </c>
    </row>
    <row r="2756" spans="1:20" x14ac:dyDescent="0.25">
      <c r="A2756" s="20">
        <v>42151</v>
      </c>
      <c r="B2756" s="183">
        <v>22330</v>
      </c>
      <c r="C2756" s="14" t="s">
        <v>1256</v>
      </c>
      <c r="D2756" s="105">
        <v>4314.2</v>
      </c>
      <c r="E2756" s="65">
        <v>42151</v>
      </c>
      <c r="F2756" s="106">
        <v>4314.2</v>
      </c>
      <c r="G2756" s="31">
        <f t="shared" si="86"/>
        <v>0</v>
      </c>
      <c r="H2756" s="39" t="s">
        <v>1257</v>
      </c>
      <c r="I2756" s="3"/>
      <c r="J2756" s="42"/>
      <c r="K2756" s="3"/>
      <c r="M2756" s="20">
        <v>42128</v>
      </c>
      <c r="N2756" s="183">
        <v>19966</v>
      </c>
      <c r="O2756" s="14" t="s">
        <v>131</v>
      </c>
      <c r="P2756" s="105">
        <v>11829.9</v>
      </c>
      <c r="Q2756" s="23">
        <v>42131</v>
      </c>
      <c r="R2756" s="106">
        <v>11829.9</v>
      </c>
      <c r="S2756" s="31">
        <f t="shared" si="87"/>
        <v>0</v>
      </c>
      <c r="T2756" s="19" t="s">
        <v>94</v>
      </c>
    </row>
    <row r="2757" spans="1:20" x14ac:dyDescent="0.25">
      <c r="A2757" s="20">
        <v>42151</v>
      </c>
      <c r="B2757" s="183">
        <v>22331</v>
      </c>
      <c r="C2757" s="14" t="s">
        <v>383</v>
      </c>
      <c r="D2757" s="105">
        <v>3337.4</v>
      </c>
      <c r="E2757" s="65">
        <v>42151</v>
      </c>
      <c r="F2757" s="106">
        <v>3337.4</v>
      </c>
      <c r="G2757" s="31">
        <f t="shared" si="86"/>
        <v>0</v>
      </c>
      <c r="H2757" s="39" t="s">
        <v>9</v>
      </c>
      <c r="I2757" s="3"/>
      <c r="J2757" s="42"/>
      <c r="K2757" s="3"/>
      <c r="M2757" s="20">
        <v>42129</v>
      </c>
      <c r="N2757" s="183">
        <v>20074</v>
      </c>
      <c r="O2757" s="14" t="s">
        <v>131</v>
      </c>
      <c r="P2757" s="105">
        <v>4670.3999999999996</v>
      </c>
      <c r="Q2757" s="23">
        <v>42129</v>
      </c>
      <c r="R2757" s="106">
        <v>4670.3999999999996</v>
      </c>
      <c r="S2757" s="31">
        <f t="shared" si="87"/>
        <v>0</v>
      </c>
      <c r="T2757" s="39" t="s">
        <v>1257</v>
      </c>
    </row>
    <row r="2758" spans="1:20" x14ac:dyDescent="0.25">
      <c r="A2758" s="20">
        <v>42151</v>
      </c>
      <c r="B2758" s="183">
        <v>22332</v>
      </c>
      <c r="C2758" s="14" t="s">
        <v>14</v>
      </c>
      <c r="D2758" s="105">
        <v>25972.7</v>
      </c>
      <c r="E2758" s="65">
        <v>42153</v>
      </c>
      <c r="F2758" s="106">
        <v>25972.7</v>
      </c>
      <c r="G2758" s="31">
        <f t="shared" si="86"/>
        <v>0</v>
      </c>
      <c r="H2758" s="39" t="s">
        <v>15</v>
      </c>
      <c r="I2758" s="3"/>
      <c r="J2758" s="42"/>
      <c r="K2758" s="3"/>
      <c r="M2758" s="20">
        <v>42130</v>
      </c>
      <c r="N2758" s="183">
        <v>20156</v>
      </c>
      <c r="O2758" s="14" t="s">
        <v>131</v>
      </c>
      <c r="P2758" s="105">
        <v>9296.4</v>
      </c>
      <c r="Q2758" s="23">
        <v>42130</v>
      </c>
      <c r="R2758" s="106">
        <v>9296.4</v>
      </c>
      <c r="S2758" s="31">
        <f t="shared" si="87"/>
        <v>0</v>
      </c>
      <c r="T2758" s="39" t="s">
        <v>46</v>
      </c>
    </row>
    <row r="2759" spans="1:20" x14ac:dyDescent="0.25">
      <c r="A2759" s="20">
        <v>42151</v>
      </c>
      <c r="B2759" s="183">
        <v>22333</v>
      </c>
      <c r="C2759" s="150" t="s">
        <v>213</v>
      </c>
      <c r="D2759" s="105">
        <v>4256</v>
      </c>
      <c r="E2759" s="65">
        <v>42151</v>
      </c>
      <c r="F2759" s="106">
        <v>4256</v>
      </c>
      <c r="G2759" s="31">
        <f t="shared" si="86"/>
        <v>0</v>
      </c>
      <c r="H2759" s="39" t="s">
        <v>9</v>
      </c>
      <c r="I2759" s="3"/>
      <c r="J2759" s="42"/>
      <c r="K2759" s="3"/>
      <c r="M2759" s="20">
        <v>42131</v>
      </c>
      <c r="N2759" s="183">
        <v>20266</v>
      </c>
      <c r="O2759" s="14" t="s">
        <v>131</v>
      </c>
      <c r="P2759" s="105">
        <v>9573.7999999999993</v>
      </c>
      <c r="Q2759" s="23">
        <v>42132</v>
      </c>
      <c r="R2759" s="106">
        <v>9573.7999999999993</v>
      </c>
      <c r="S2759" s="31">
        <f t="shared" si="87"/>
        <v>0</v>
      </c>
      <c r="T2759" s="19" t="s">
        <v>1257</v>
      </c>
    </row>
    <row r="2760" spans="1:20" x14ac:dyDescent="0.25">
      <c r="A2760" s="20">
        <v>42151</v>
      </c>
      <c r="B2760" s="183">
        <v>22334</v>
      </c>
      <c r="C2760" s="14" t="s">
        <v>121</v>
      </c>
      <c r="D2760" s="105">
        <v>3162</v>
      </c>
      <c r="E2760" s="65">
        <v>42151</v>
      </c>
      <c r="F2760" s="106">
        <v>3162</v>
      </c>
      <c r="G2760" s="31">
        <f t="shared" si="86"/>
        <v>0</v>
      </c>
      <c r="H2760" s="39" t="s">
        <v>9</v>
      </c>
      <c r="I2760" s="3"/>
      <c r="J2760" s="42"/>
      <c r="K2760" s="3"/>
      <c r="M2760" s="20">
        <v>42131</v>
      </c>
      <c r="N2760" s="183">
        <v>20269</v>
      </c>
      <c r="O2760" s="14" t="s">
        <v>131</v>
      </c>
      <c r="P2760" s="105">
        <v>380.9</v>
      </c>
      <c r="Q2760" s="23">
        <v>42131</v>
      </c>
      <c r="R2760" s="106">
        <v>380.9</v>
      </c>
      <c r="S2760" s="31">
        <f t="shared" si="87"/>
        <v>0</v>
      </c>
      <c r="T2760" s="19" t="s">
        <v>1257</v>
      </c>
    </row>
    <row r="2761" spans="1:20" x14ac:dyDescent="0.25">
      <c r="A2761" s="20">
        <v>42151</v>
      </c>
      <c r="B2761" s="183">
        <v>22335</v>
      </c>
      <c r="C2761" s="14" t="s">
        <v>829</v>
      </c>
      <c r="D2761" s="105">
        <v>2558.4</v>
      </c>
      <c r="E2761" s="65">
        <v>42151</v>
      </c>
      <c r="F2761" s="106">
        <v>2558.4</v>
      </c>
      <c r="G2761" s="31">
        <f t="shared" si="86"/>
        <v>0</v>
      </c>
      <c r="H2761" s="39" t="s">
        <v>9</v>
      </c>
      <c r="I2761" s="3"/>
      <c r="J2761" s="42"/>
      <c r="K2761" s="3"/>
      <c r="M2761" s="20">
        <v>42132</v>
      </c>
      <c r="N2761" s="183">
        <v>20390</v>
      </c>
      <c r="O2761" s="14" t="s">
        <v>131</v>
      </c>
      <c r="P2761" s="105">
        <v>14252.45</v>
      </c>
      <c r="Q2761" s="23">
        <v>42135</v>
      </c>
      <c r="R2761" s="106">
        <v>14252.45</v>
      </c>
      <c r="S2761" s="31">
        <f t="shared" si="87"/>
        <v>0</v>
      </c>
      <c r="T2761" s="19" t="s">
        <v>1257</v>
      </c>
    </row>
    <row r="2762" spans="1:20" x14ac:dyDescent="0.25">
      <c r="A2762" s="20">
        <v>42151</v>
      </c>
      <c r="B2762" s="183">
        <v>22336</v>
      </c>
      <c r="C2762" s="14" t="s">
        <v>720</v>
      </c>
      <c r="D2762" s="105">
        <v>10784.8</v>
      </c>
      <c r="E2762" s="65">
        <v>42151</v>
      </c>
      <c r="F2762" s="106">
        <v>10784.8</v>
      </c>
      <c r="G2762" s="31">
        <f t="shared" si="86"/>
        <v>0</v>
      </c>
      <c r="H2762" s="39" t="s">
        <v>9</v>
      </c>
      <c r="I2762" s="3"/>
      <c r="J2762" s="42"/>
      <c r="K2762" s="3"/>
      <c r="M2762" s="20">
        <v>42133</v>
      </c>
      <c r="N2762" s="183">
        <v>20529</v>
      </c>
      <c r="O2762" s="14" t="s">
        <v>131</v>
      </c>
      <c r="P2762" s="105">
        <v>11405.7</v>
      </c>
      <c r="Q2762" s="23">
        <v>42133</v>
      </c>
      <c r="R2762" s="106">
        <v>11405.7</v>
      </c>
      <c r="S2762" s="31">
        <f t="shared" si="87"/>
        <v>0</v>
      </c>
      <c r="T2762" s="19" t="s">
        <v>9</v>
      </c>
    </row>
    <row r="2763" spans="1:20" x14ac:dyDescent="0.25">
      <c r="A2763" s="20">
        <v>42151</v>
      </c>
      <c r="B2763" s="183">
        <v>22337</v>
      </c>
      <c r="C2763" s="14" t="s">
        <v>464</v>
      </c>
      <c r="D2763" s="105">
        <v>2629.1</v>
      </c>
      <c r="E2763" s="65">
        <v>42151</v>
      </c>
      <c r="F2763" s="106">
        <v>2629.1</v>
      </c>
      <c r="G2763" s="31">
        <f t="shared" si="86"/>
        <v>0</v>
      </c>
      <c r="H2763" s="39" t="s">
        <v>9</v>
      </c>
      <c r="I2763" s="3"/>
      <c r="J2763" s="42"/>
      <c r="K2763" s="3"/>
      <c r="M2763" s="20">
        <v>42134</v>
      </c>
      <c r="N2763" s="183">
        <v>20614</v>
      </c>
      <c r="O2763" s="14" t="s">
        <v>131</v>
      </c>
      <c r="P2763" s="105">
        <v>9980.7000000000007</v>
      </c>
      <c r="Q2763" s="23">
        <v>42135</v>
      </c>
      <c r="R2763" s="118">
        <v>9980.7000000000007</v>
      </c>
      <c r="S2763" s="31">
        <f t="shared" si="87"/>
        <v>0</v>
      </c>
      <c r="T2763" s="56" t="s">
        <v>1257</v>
      </c>
    </row>
    <row r="2764" spans="1:20" x14ac:dyDescent="0.25">
      <c r="A2764" s="20">
        <v>42151</v>
      </c>
      <c r="B2764" s="183">
        <v>22338</v>
      </c>
      <c r="C2764" s="14" t="s">
        <v>1172</v>
      </c>
      <c r="D2764" s="105">
        <v>7872.48</v>
      </c>
      <c r="E2764" s="65">
        <v>42151</v>
      </c>
      <c r="F2764" s="106">
        <v>7872.48</v>
      </c>
      <c r="G2764" s="31">
        <f t="shared" si="86"/>
        <v>0</v>
      </c>
      <c r="H2764" s="39" t="s">
        <v>587</v>
      </c>
      <c r="I2764" s="3"/>
      <c r="J2764" s="42"/>
      <c r="K2764" s="3"/>
      <c r="M2764" s="20">
        <v>42135</v>
      </c>
      <c r="N2764" s="183">
        <v>20709</v>
      </c>
      <c r="O2764" s="14" t="s">
        <v>131</v>
      </c>
      <c r="P2764" s="105">
        <v>7503.45</v>
      </c>
      <c r="Q2764" s="23">
        <v>42136</v>
      </c>
      <c r="R2764" s="106">
        <v>7503.45</v>
      </c>
      <c r="S2764" s="31">
        <f t="shared" si="87"/>
        <v>0</v>
      </c>
      <c r="T2764" s="19" t="s">
        <v>1257</v>
      </c>
    </row>
    <row r="2765" spans="1:20" x14ac:dyDescent="0.25">
      <c r="A2765" s="20">
        <v>42151</v>
      </c>
      <c r="B2765" s="183">
        <v>22339</v>
      </c>
      <c r="C2765" s="14" t="s">
        <v>1186</v>
      </c>
      <c r="D2765" s="105">
        <v>13360.2</v>
      </c>
      <c r="E2765" s="65">
        <v>42151</v>
      </c>
      <c r="F2765" s="106">
        <v>13360.2</v>
      </c>
      <c r="G2765" s="31">
        <f t="shared" si="86"/>
        <v>0</v>
      </c>
      <c r="H2765" s="39" t="s">
        <v>587</v>
      </c>
      <c r="I2765" s="3"/>
      <c r="J2765" s="42"/>
      <c r="K2765" s="3"/>
      <c r="M2765" s="20">
        <v>42136</v>
      </c>
      <c r="N2765" s="183">
        <v>20835</v>
      </c>
      <c r="O2765" s="14" t="s">
        <v>131</v>
      </c>
      <c r="P2765" s="105">
        <v>5324</v>
      </c>
      <c r="Q2765" s="23">
        <v>42139</v>
      </c>
      <c r="R2765" s="106">
        <v>5324</v>
      </c>
      <c r="S2765" s="31">
        <f t="shared" si="87"/>
        <v>0</v>
      </c>
      <c r="T2765" s="39" t="s">
        <v>1257</v>
      </c>
    </row>
    <row r="2766" spans="1:20" x14ac:dyDescent="0.25">
      <c r="A2766" s="20">
        <v>42151</v>
      </c>
      <c r="B2766" s="183">
        <v>22340</v>
      </c>
      <c r="C2766" s="14" t="s">
        <v>1261</v>
      </c>
      <c r="D2766" s="105">
        <v>7005.2</v>
      </c>
      <c r="E2766" s="65">
        <v>42151</v>
      </c>
      <c r="F2766" s="106">
        <v>7005.2</v>
      </c>
      <c r="G2766" s="31">
        <f t="shared" si="86"/>
        <v>0</v>
      </c>
      <c r="H2766" s="39" t="s">
        <v>587</v>
      </c>
      <c r="I2766" s="3"/>
      <c r="J2766" s="42"/>
      <c r="K2766" s="3"/>
      <c r="M2766" s="20">
        <v>42137</v>
      </c>
      <c r="N2766" s="183">
        <v>20930</v>
      </c>
      <c r="O2766" s="14" t="s">
        <v>131</v>
      </c>
      <c r="P2766" s="105">
        <v>2697.2</v>
      </c>
      <c r="Q2766" s="23">
        <v>42137</v>
      </c>
      <c r="R2766" s="106">
        <v>2697.2</v>
      </c>
      <c r="S2766" s="31">
        <f t="shared" si="87"/>
        <v>0</v>
      </c>
      <c r="T2766" s="19" t="s">
        <v>9</v>
      </c>
    </row>
    <row r="2767" spans="1:20" x14ac:dyDescent="0.25">
      <c r="A2767" s="20">
        <v>42151</v>
      </c>
      <c r="B2767" s="183">
        <v>22341</v>
      </c>
      <c r="C2767" s="14" t="s">
        <v>1330</v>
      </c>
      <c r="D2767" s="105">
        <v>1112.4000000000001</v>
      </c>
      <c r="E2767" s="65">
        <v>42151</v>
      </c>
      <c r="F2767" s="106">
        <v>1112.4000000000001</v>
      </c>
      <c r="G2767" s="31">
        <f t="shared" si="86"/>
        <v>0</v>
      </c>
      <c r="H2767" s="39" t="s">
        <v>9</v>
      </c>
      <c r="I2767" s="3"/>
      <c r="J2767" s="42"/>
      <c r="K2767" s="3"/>
      <c r="M2767" s="20">
        <v>42138</v>
      </c>
      <c r="N2767" s="183">
        <v>21019</v>
      </c>
      <c r="O2767" s="14" t="s">
        <v>131</v>
      </c>
      <c r="P2767" s="105">
        <v>7765.8</v>
      </c>
      <c r="Q2767" s="23">
        <v>42139</v>
      </c>
      <c r="R2767" s="106">
        <v>7765.8</v>
      </c>
      <c r="S2767" s="48">
        <f t="shared" si="87"/>
        <v>0</v>
      </c>
      <c r="T2767" s="39" t="s">
        <v>1257</v>
      </c>
    </row>
    <row r="2768" spans="1:20" x14ac:dyDescent="0.25">
      <c r="A2768" s="20">
        <v>42151</v>
      </c>
      <c r="B2768" s="183">
        <v>22342</v>
      </c>
      <c r="C2768" s="14" t="s">
        <v>1425</v>
      </c>
      <c r="D2768" s="105">
        <v>5867</v>
      </c>
      <c r="E2768" s="65">
        <v>42152</v>
      </c>
      <c r="F2768" s="106">
        <v>5867</v>
      </c>
      <c r="G2768" s="31">
        <f t="shared" si="86"/>
        <v>0</v>
      </c>
      <c r="H2768" s="39" t="s">
        <v>9</v>
      </c>
      <c r="I2768" s="3"/>
      <c r="J2768" s="42"/>
      <c r="K2768" s="3"/>
      <c r="M2768" s="20">
        <v>42139</v>
      </c>
      <c r="N2768" s="183">
        <v>21149</v>
      </c>
      <c r="O2768" s="14" t="s">
        <v>131</v>
      </c>
      <c r="P2768" s="105">
        <v>8291.7999999999993</v>
      </c>
      <c r="Q2768" s="23">
        <v>42141</v>
      </c>
      <c r="R2768" s="106">
        <v>8291.7999999999993</v>
      </c>
      <c r="S2768" s="48">
        <f t="shared" si="87"/>
        <v>0</v>
      </c>
      <c r="T2768" s="39" t="s">
        <v>9</v>
      </c>
    </row>
    <row r="2769" spans="1:20" x14ac:dyDescent="0.25">
      <c r="A2769" s="20">
        <v>42151</v>
      </c>
      <c r="B2769" s="183">
        <v>22343</v>
      </c>
      <c r="C2769" s="26" t="s">
        <v>218</v>
      </c>
      <c r="D2769" s="108">
        <v>0</v>
      </c>
      <c r="E2769" s="65"/>
      <c r="F2769" s="106"/>
      <c r="G2769" s="31">
        <f t="shared" si="86"/>
        <v>0</v>
      </c>
      <c r="H2769" s="39" t="s">
        <v>9</v>
      </c>
      <c r="I2769" s="3"/>
      <c r="J2769" s="42"/>
      <c r="K2769" s="3"/>
      <c r="M2769" s="20">
        <v>42140</v>
      </c>
      <c r="N2769" s="183">
        <v>21262</v>
      </c>
      <c r="O2769" s="14" t="s">
        <v>131</v>
      </c>
      <c r="P2769" s="105">
        <v>14525.3</v>
      </c>
      <c r="Q2769" s="23">
        <v>42142</v>
      </c>
      <c r="R2769" s="106">
        <v>14525.3</v>
      </c>
      <c r="S2769" s="31">
        <f t="shared" si="87"/>
        <v>0</v>
      </c>
      <c r="T2769" s="62" t="s">
        <v>1257</v>
      </c>
    </row>
    <row r="2770" spans="1:20" x14ac:dyDescent="0.25">
      <c r="A2770" s="20">
        <v>42151</v>
      </c>
      <c r="B2770" s="183">
        <v>22344</v>
      </c>
      <c r="C2770" s="14" t="s">
        <v>114</v>
      </c>
      <c r="D2770" s="105">
        <v>2635.2</v>
      </c>
      <c r="E2770" s="65">
        <v>42151</v>
      </c>
      <c r="F2770" s="106">
        <v>2635.2</v>
      </c>
      <c r="G2770" s="31">
        <f t="shared" si="86"/>
        <v>0</v>
      </c>
      <c r="H2770" s="39" t="s">
        <v>9</v>
      </c>
      <c r="I2770" s="3"/>
      <c r="J2770" s="42"/>
      <c r="K2770" s="3"/>
      <c r="M2770" s="20">
        <v>42141</v>
      </c>
      <c r="N2770" s="183">
        <v>21356</v>
      </c>
      <c r="O2770" s="14" t="s">
        <v>131</v>
      </c>
      <c r="P2770" s="105">
        <v>20805.599999999999</v>
      </c>
      <c r="Q2770" s="23">
        <v>42143</v>
      </c>
      <c r="R2770" s="118">
        <v>20805.599999999999</v>
      </c>
      <c r="S2770" s="31">
        <f t="shared" si="87"/>
        <v>0</v>
      </c>
      <c r="T2770" s="62" t="s">
        <v>59</v>
      </c>
    </row>
    <row r="2771" spans="1:20" x14ac:dyDescent="0.25">
      <c r="A2771" s="20">
        <v>42151</v>
      </c>
      <c r="B2771" s="183">
        <v>22345</v>
      </c>
      <c r="C2771" s="14" t="s">
        <v>1328</v>
      </c>
      <c r="D2771" s="105">
        <v>13414.4</v>
      </c>
      <c r="E2771" s="65">
        <v>42151</v>
      </c>
      <c r="F2771" s="106">
        <v>13414.4</v>
      </c>
      <c r="G2771" s="31">
        <f t="shared" si="86"/>
        <v>0</v>
      </c>
      <c r="H2771" s="39" t="s">
        <v>9</v>
      </c>
      <c r="I2771" s="3"/>
      <c r="J2771" s="42"/>
      <c r="K2771" s="3"/>
      <c r="M2771" s="20">
        <v>42142</v>
      </c>
      <c r="N2771" s="183">
        <v>21422</v>
      </c>
      <c r="O2771" s="14" t="s">
        <v>131</v>
      </c>
      <c r="P2771" s="105">
        <v>12021.2</v>
      </c>
      <c r="Q2771" s="23">
        <v>42142</v>
      </c>
      <c r="R2771" s="118">
        <v>12021.2</v>
      </c>
      <c r="S2771" s="31">
        <f t="shared" si="87"/>
        <v>0</v>
      </c>
      <c r="T2771" s="56" t="s">
        <v>1257</v>
      </c>
    </row>
    <row r="2772" spans="1:20" x14ac:dyDescent="0.25">
      <c r="A2772" s="20">
        <v>42151</v>
      </c>
      <c r="B2772" s="183">
        <v>22346</v>
      </c>
      <c r="C2772" s="14" t="s">
        <v>49</v>
      </c>
      <c r="D2772" s="105">
        <v>1373.4</v>
      </c>
      <c r="E2772" s="65">
        <v>42151</v>
      </c>
      <c r="F2772" s="106">
        <v>1373.4</v>
      </c>
      <c r="G2772" s="31">
        <f t="shared" si="86"/>
        <v>0</v>
      </c>
      <c r="H2772" s="39" t="s">
        <v>94</v>
      </c>
      <c r="I2772" s="3"/>
      <c r="J2772" s="42"/>
      <c r="K2772" s="3"/>
      <c r="M2772" s="20">
        <v>42143</v>
      </c>
      <c r="N2772" s="183">
        <v>21583</v>
      </c>
      <c r="O2772" s="14" t="s">
        <v>131</v>
      </c>
      <c r="P2772" s="105">
        <v>7328.4</v>
      </c>
      <c r="Q2772" s="23">
        <v>42145</v>
      </c>
      <c r="R2772" s="106">
        <v>7328.4</v>
      </c>
      <c r="S2772" s="31">
        <f t="shared" si="87"/>
        <v>0</v>
      </c>
      <c r="T2772" s="56" t="s">
        <v>46</v>
      </c>
    </row>
    <row r="2773" spans="1:20" x14ac:dyDescent="0.25">
      <c r="A2773" s="20">
        <v>42151</v>
      </c>
      <c r="B2773" s="183">
        <v>22347</v>
      </c>
      <c r="C2773" s="14" t="s">
        <v>912</v>
      </c>
      <c r="D2773" s="105">
        <v>31593.95</v>
      </c>
      <c r="E2773" s="65">
        <v>42151</v>
      </c>
      <c r="F2773" s="106">
        <v>31593.95</v>
      </c>
      <c r="G2773" s="31">
        <f t="shared" si="86"/>
        <v>0</v>
      </c>
      <c r="H2773" s="39" t="s">
        <v>1273</v>
      </c>
      <c r="I2773" s="3"/>
      <c r="J2773" s="42"/>
      <c r="K2773" s="3"/>
      <c r="M2773" s="20">
        <v>42144</v>
      </c>
      <c r="N2773" s="183">
        <v>21673</v>
      </c>
      <c r="O2773" s="14" t="s">
        <v>131</v>
      </c>
      <c r="P2773" s="105">
        <v>5294.8</v>
      </c>
      <c r="Q2773" s="23">
        <v>42145</v>
      </c>
      <c r="R2773" s="118">
        <v>5294.8</v>
      </c>
      <c r="S2773" s="31">
        <f t="shared" si="87"/>
        <v>0</v>
      </c>
      <c r="T2773" s="62" t="s">
        <v>1257</v>
      </c>
    </row>
    <row r="2774" spans="1:20" x14ac:dyDescent="0.25">
      <c r="A2774" s="20">
        <v>42151</v>
      </c>
      <c r="B2774" s="183">
        <v>22348</v>
      </c>
      <c r="C2774" s="14" t="s">
        <v>20</v>
      </c>
      <c r="D2774" s="105">
        <v>13600</v>
      </c>
      <c r="E2774" s="65">
        <v>42151</v>
      </c>
      <c r="F2774" s="106">
        <v>13600</v>
      </c>
      <c r="G2774" s="31">
        <f t="shared" si="86"/>
        <v>0</v>
      </c>
      <c r="H2774" s="39" t="s">
        <v>9</v>
      </c>
      <c r="I2774" s="3"/>
      <c r="J2774" s="42"/>
      <c r="K2774" s="3"/>
      <c r="M2774" s="20">
        <v>42145</v>
      </c>
      <c r="N2774" s="183">
        <v>21765</v>
      </c>
      <c r="O2774" s="15" t="s">
        <v>131</v>
      </c>
      <c r="P2774" s="122">
        <v>11017.8</v>
      </c>
      <c r="Q2774" s="23">
        <v>42149</v>
      </c>
      <c r="R2774" s="118">
        <v>11017.8</v>
      </c>
      <c r="S2774" s="31">
        <f t="shared" si="87"/>
        <v>0</v>
      </c>
      <c r="T2774" s="68" t="s">
        <v>9</v>
      </c>
    </row>
    <row r="2775" spans="1:20" x14ac:dyDescent="0.25">
      <c r="A2775" s="20">
        <v>42151</v>
      </c>
      <c r="B2775" s="183">
        <v>22349</v>
      </c>
      <c r="C2775" s="14" t="s">
        <v>158</v>
      </c>
      <c r="D2775" s="105">
        <v>2916</v>
      </c>
      <c r="E2775" s="65">
        <v>42151</v>
      </c>
      <c r="F2775" s="106">
        <v>2916</v>
      </c>
      <c r="G2775" s="31">
        <f t="shared" si="86"/>
        <v>0</v>
      </c>
      <c r="H2775" s="39" t="s">
        <v>9</v>
      </c>
      <c r="I2775" s="3"/>
      <c r="J2775" s="42"/>
      <c r="K2775" s="3"/>
      <c r="M2775" s="20">
        <v>42146</v>
      </c>
      <c r="N2775" s="183">
        <v>21863</v>
      </c>
      <c r="O2775" s="14" t="s">
        <v>131</v>
      </c>
      <c r="P2775" s="105">
        <v>4867.5</v>
      </c>
      <c r="Q2775" s="23">
        <v>42147</v>
      </c>
      <c r="R2775" s="106">
        <v>4867.5</v>
      </c>
      <c r="S2775" s="31">
        <f t="shared" si="87"/>
        <v>0</v>
      </c>
      <c r="T2775" s="39" t="s">
        <v>1257</v>
      </c>
    </row>
    <row r="2776" spans="1:20" x14ac:dyDescent="0.25">
      <c r="A2776" s="20">
        <v>42151</v>
      </c>
      <c r="B2776" s="183">
        <v>22350</v>
      </c>
      <c r="C2776" s="14" t="s">
        <v>215</v>
      </c>
      <c r="D2776" s="105">
        <v>24232.799999999999</v>
      </c>
      <c r="E2776" s="65">
        <v>42151</v>
      </c>
      <c r="F2776" s="106">
        <v>24232.799999999999</v>
      </c>
      <c r="G2776" s="31">
        <f t="shared" si="86"/>
        <v>0</v>
      </c>
      <c r="H2776" s="39" t="s">
        <v>1273</v>
      </c>
      <c r="I2776" s="3"/>
      <c r="J2776" s="42"/>
      <c r="K2776" s="3"/>
      <c r="M2776" s="20">
        <v>42147</v>
      </c>
      <c r="N2776" s="183">
        <v>22007</v>
      </c>
      <c r="O2776" s="14" t="s">
        <v>131</v>
      </c>
      <c r="P2776" s="105">
        <v>11966.15</v>
      </c>
      <c r="Q2776" s="65">
        <v>42148</v>
      </c>
      <c r="R2776" s="106">
        <v>11966.15</v>
      </c>
      <c r="S2776" s="31">
        <f t="shared" si="87"/>
        <v>0</v>
      </c>
      <c r="T2776" s="39" t="s">
        <v>1257</v>
      </c>
    </row>
    <row r="2777" spans="1:20" x14ac:dyDescent="0.25">
      <c r="A2777" s="20">
        <v>42151</v>
      </c>
      <c r="B2777" s="183">
        <v>22351</v>
      </c>
      <c r="C2777" s="14" t="s">
        <v>23</v>
      </c>
      <c r="D2777" s="105">
        <v>3709.2</v>
      </c>
      <c r="E2777" s="65">
        <v>42151</v>
      </c>
      <c r="F2777" s="106">
        <v>3709.2</v>
      </c>
      <c r="G2777" s="31">
        <f t="shared" si="86"/>
        <v>0</v>
      </c>
      <c r="H2777" s="39" t="s">
        <v>9</v>
      </c>
      <c r="I2777" s="3"/>
      <c r="J2777" s="42"/>
      <c r="K2777" s="3"/>
      <c r="M2777" s="20">
        <v>42147</v>
      </c>
      <c r="N2777" s="183">
        <v>22054</v>
      </c>
      <c r="O2777" s="14" t="s">
        <v>131</v>
      </c>
      <c r="P2777" s="105">
        <v>2082</v>
      </c>
      <c r="Q2777" s="65">
        <v>42147</v>
      </c>
      <c r="R2777" s="106">
        <v>2082</v>
      </c>
      <c r="S2777" s="31">
        <f t="shared" si="87"/>
        <v>0</v>
      </c>
      <c r="T2777" s="39" t="s">
        <v>9</v>
      </c>
    </row>
    <row r="2778" spans="1:20" x14ac:dyDescent="0.25">
      <c r="A2778" s="20">
        <v>42151</v>
      </c>
      <c r="B2778" s="183">
        <v>22352</v>
      </c>
      <c r="C2778" s="14" t="s">
        <v>125</v>
      </c>
      <c r="D2778" s="105">
        <v>14348.8</v>
      </c>
      <c r="E2778" s="65">
        <v>42151</v>
      </c>
      <c r="F2778" s="106">
        <v>13348.8</v>
      </c>
      <c r="G2778" s="31">
        <f t="shared" si="86"/>
        <v>1000</v>
      </c>
      <c r="H2778" s="39" t="s">
        <v>9</v>
      </c>
      <c r="I2778" s="3"/>
      <c r="J2778" s="42"/>
      <c r="K2778" s="3"/>
      <c r="M2778" s="20">
        <v>42147</v>
      </c>
      <c r="N2778" s="183">
        <v>22063</v>
      </c>
      <c r="O2778" s="14" t="s">
        <v>131</v>
      </c>
      <c r="P2778" s="105">
        <v>1734</v>
      </c>
      <c r="Q2778" s="65">
        <v>42147</v>
      </c>
      <c r="R2778" s="106">
        <v>1734</v>
      </c>
      <c r="S2778" s="31">
        <f t="shared" si="87"/>
        <v>0</v>
      </c>
      <c r="T2778" s="39" t="s">
        <v>9</v>
      </c>
    </row>
    <row r="2779" spans="1:20" x14ac:dyDescent="0.25">
      <c r="A2779" s="20">
        <v>42151</v>
      </c>
      <c r="B2779" s="183">
        <v>22353</v>
      </c>
      <c r="C2779" s="14" t="s">
        <v>14</v>
      </c>
      <c r="D2779" s="105">
        <v>256830.8</v>
      </c>
      <c r="E2779" s="74">
        <v>42172</v>
      </c>
      <c r="F2779" s="144">
        <v>256830.8</v>
      </c>
      <c r="G2779" s="31">
        <f t="shared" si="86"/>
        <v>0</v>
      </c>
      <c r="H2779" s="39" t="s">
        <v>9</v>
      </c>
      <c r="I2779" s="3"/>
      <c r="J2779" s="42"/>
      <c r="K2779" s="3"/>
      <c r="M2779" s="20">
        <v>42148</v>
      </c>
      <c r="N2779" s="183">
        <v>22110</v>
      </c>
      <c r="O2779" s="14" t="s">
        <v>131</v>
      </c>
      <c r="P2779" s="105">
        <v>13860.3</v>
      </c>
      <c r="Q2779" s="65">
        <v>42149</v>
      </c>
      <c r="R2779" s="106">
        <v>13860.3</v>
      </c>
      <c r="S2779" s="31">
        <f t="shared" si="87"/>
        <v>0</v>
      </c>
      <c r="T2779" s="39" t="s">
        <v>9</v>
      </c>
    </row>
    <row r="2780" spans="1:20" x14ac:dyDescent="0.25">
      <c r="A2780" s="20">
        <v>42151</v>
      </c>
      <c r="B2780" s="183">
        <v>22354</v>
      </c>
      <c r="C2780" s="14" t="s">
        <v>1381</v>
      </c>
      <c r="D2780" s="105">
        <v>6223.8</v>
      </c>
      <c r="E2780" s="65">
        <v>42151</v>
      </c>
      <c r="F2780" s="106">
        <v>6223.8</v>
      </c>
      <c r="G2780" s="31">
        <f t="shared" si="86"/>
        <v>0</v>
      </c>
      <c r="H2780" s="39" t="s">
        <v>9</v>
      </c>
      <c r="I2780" s="3"/>
      <c r="J2780" s="42"/>
      <c r="K2780" s="3"/>
      <c r="M2780" s="20">
        <v>42149</v>
      </c>
      <c r="N2780" s="183">
        <v>22179</v>
      </c>
      <c r="O2780" s="14" t="s">
        <v>131</v>
      </c>
      <c r="P2780" s="105">
        <v>7518</v>
      </c>
      <c r="Q2780" s="65">
        <v>42150</v>
      </c>
      <c r="R2780" s="106">
        <v>7518</v>
      </c>
      <c r="S2780" s="31">
        <f t="shared" si="87"/>
        <v>0</v>
      </c>
      <c r="T2780" s="39" t="s">
        <v>1257</v>
      </c>
    </row>
    <row r="2781" spans="1:20" x14ac:dyDescent="0.25">
      <c r="A2781" s="20">
        <v>42151</v>
      </c>
      <c r="B2781" s="183">
        <v>22355</v>
      </c>
      <c r="C2781" s="14" t="s">
        <v>157</v>
      </c>
      <c r="D2781" s="105">
        <v>3221.3</v>
      </c>
      <c r="E2781" s="65">
        <v>42151</v>
      </c>
      <c r="F2781" s="106">
        <v>3221.3</v>
      </c>
      <c r="G2781" s="31">
        <f t="shared" si="86"/>
        <v>0</v>
      </c>
      <c r="H2781" s="39" t="s">
        <v>9</v>
      </c>
      <c r="I2781" s="3"/>
      <c r="J2781" s="42"/>
      <c r="K2781" s="3"/>
      <c r="M2781" s="20">
        <v>42150</v>
      </c>
      <c r="N2781" s="183">
        <v>22284</v>
      </c>
      <c r="O2781" s="14" t="s">
        <v>131</v>
      </c>
      <c r="P2781" s="105">
        <v>7246.1</v>
      </c>
      <c r="Q2781" s="65">
        <v>42151</v>
      </c>
      <c r="R2781" s="106">
        <v>7246.1</v>
      </c>
      <c r="S2781" s="31">
        <f t="shared" si="87"/>
        <v>0</v>
      </c>
      <c r="T2781" s="39" t="s">
        <v>1257</v>
      </c>
    </row>
    <row r="2782" spans="1:20" x14ac:dyDescent="0.25">
      <c r="A2782" s="20">
        <v>42151</v>
      </c>
      <c r="B2782" s="183">
        <v>22356</v>
      </c>
      <c r="C2782" s="14" t="s">
        <v>24</v>
      </c>
      <c r="D2782" s="105">
        <v>9051.6</v>
      </c>
      <c r="E2782" s="74">
        <v>42173</v>
      </c>
      <c r="F2782" s="144">
        <v>9051.6</v>
      </c>
      <c r="G2782" s="31">
        <f t="shared" si="86"/>
        <v>0</v>
      </c>
      <c r="H2782" s="39" t="s">
        <v>773</v>
      </c>
      <c r="I2782" s="3"/>
      <c r="J2782" s="42"/>
      <c r="K2782" s="3"/>
      <c r="M2782" s="20">
        <v>42151</v>
      </c>
      <c r="N2782" s="183">
        <v>22359</v>
      </c>
      <c r="O2782" s="14" t="s">
        <v>131</v>
      </c>
      <c r="P2782" s="105">
        <v>17364.599999999999</v>
      </c>
      <c r="Q2782" s="65">
        <v>42152</v>
      </c>
      <c r="R2782" s="106">
        <v>17364.599999999999</v>
      </c>
      <c r="S2782" s="31">
        <f t="shared" si="87"/>
        <v>0</v>
      </c>
      <c r="T2782" s="39" t="s">
        <v>1257</v>
      </c>
    </row>
    <row r="2783" spans="1:20" x14ac:dyDescent="0.25">
      <c r="A2783" s="20">
        <v>42151</v>
      </c>
      <c r="B2783" s="183">
        <v>22357</v>
      </c>
      <c r="C2783" s="14" t="s">
        <v>14</v>
      </c>
      <c r="D2783" s="105">
        <v>266021.84000000003</v>
      </c>
      <c r="E2783" s="74">
        <v>42172</v>
      </c>
      <c r="F2783" s="144">
        <v>266021.84000000003</v>
      </c>
      <c r="G2783" s="31">
        <f t="shared" si="86"/>
        <v>0</v>
      </c>
      <c r="H2783" s="39" t="s">
        <v>9</v>
      </c>
      <c r="I2783" s="3"/>
      <c r="J2783" s="42"/>
      <c r="K2783" s="3"/>
      <c r="M2783" s="20">
        <v>42152</v>
      </c>
      <c r="N2783" s="183">
        <v>22476</v>
      </c>
      <c r="O2783" s="14" t="s">
        <v>131</v>
      </c>
      <c r="P2783" s="105">
        <v>11131.6</v>
      </c>
      <c r="Q2783" s="23"/>
      <c r="R2783" s="106"/>
      <c r="S2783" s="31">
        <f t="shared" si="87"/>
        <v>11131.6</v>
      </c>
      <c r="T2783" s="39" t="s">
        <v>9</v>
      </c>
    </row>
    <row r="2784" spans="1:20" x14ac:dyDescent="0.25">
      <c r="A2784" s="20">
        <v>42151</v>
      </c>
      <c r="B2784" s="183">
        <v>22358</v>
      </c>
      <c r="C2784" s="14" t="s">
        <v>128</v>
      </c>
      <c r="D2784" s="105">
        <v>6470</v>
      </c>
      <c r="E2784" s="65">
        <v>42151</v>
      </c>
      <c r="F2784" s="106">
        <v>6470</v>
      </c>
      <c r="G2784" s="31">
        <f t="shared" si="86"/>
        <v>0</v>
      </c>
      <c r="H2784" s="39" t="s">
        <v>9</v>
      </c>
      <c r="I2784" s="3"/>
      <c r="J2784" s="42"/>
      <c r="K2784" s="3"/>
      <c r="M2784" s="20">
        <v>42153</v>
      </c>
      <c r="N2784" s="183">
        <v>22597</v>
      </c>
      <c r="O2784" s="14" t="s">
        <v>131</v>
      </c>
      <c r="P2784" s="105">
        <v>14965.1</v>
      </c>
      <c r="Q2784" s="23"/>
      <c r="R2784" s="106"/>
      <c r="S2784" s="31">
        <f t="shared" si="87"/>
        <v>14965.1</v>
      </c>
      <c r="T2784" s="39" t="s">
        <v>9</v>
      </c>
    </row>
    <row r="2785" spans="1:20" x14ac:dyDescent="0.25">
      <c r="A2785" s="20">
        <v>42151</v>
      </c>
      <c r="B2785" s="183">
        <v>22359</v>
      </c>
      <c r="C2785" s="14" t="s">
        <v>131</v>
      </c>
      <c r="D2785" s="105">
        <v>17364.599999999999</v>
      </c>
      <c r="E2785" s="65">
        <v>42152</v>
      </c>
      <c r="F2785" s="106">
        <v>17364.599999999999</v>
      </c>
      <c r="G2785" s="31">
        <f t="shared" si="86"/>
        <v>0</v>
      </c>
      <c r="H2785" s="39" t="s">
        <v>1257</v>
      </c>
      <c r="I2785" s="3"/>
      <c r="J2785" s="42"/>
      <c r="K2785" s="3"/>
      <c r="M2785" s="20">
        <v>42154</v>
      </c>
      <c r="N2785" s="183">
        <v>22732</v>
      </c>
      <c r="O2785" s="14" t="s">
        <v>131</v>
      </c>
      <c r="P2785" s="105">
        <v>15005.8</v>
      </c>
      <c r="Q2785" s="23">
        <v>42154</v>
      </c>
      <c r="R2785" s="106">
        <v>15005.8</v>
      </c>
      <c r="S2785" s="31">
        <f t="shared" si="87"/>
        <v>0</v>
      </c>
      <c r="T2785" s="39" t="s">
        <v>1257</v>
      </c>
    </row>
    <row r="2786" spans="1:20" x14ac:dyDescent="0.25">
      <c r="A2786" s="20">
        <v>42151</v>
      </c>
      <c r="B2786" s="183">
        <v>22360</v>
      </c>
      <c r="C2786" s="14" t="s">
        <v>130</v>
      </c>
      <c r="D2786" s="105">
        <v>5678</v>
      </c>
      <c r="E2786" s="65">
        <v>42152</v>
      </c>
      <c r="F2786" s="106">
        <v>5678</v>
      </c>
      <c r="G2786" s="31">
        <f t="shared" si="86"/>
        <v>0</v>
      </c>
      <c r="H2786" s="39" t="s">
        <v>1257</v>
      </c>
      <c r="I2786" s="3"/>
      <c r="J2786" s="42"/>
      <c r="K2786" s="3"/>
      <c r="M2786" s="20">
        <v>42155</v>
      </c>
      <c r="N2786" s="183">
        <v>22822</v>
      </c>
      <c r="O2786" s="14" t="s">
        <v>131</v>
      </c>
      <c r="P2786" s="105">
        <v>8225.4</v>
      </c>
      <c r="Q2786" s="23">
        <v>42155</v>
      </c>
      <c r="R2786" s="106">
        <v>8225.4</v>
      </c>
      <c r="S2786" s="31">
        <f t="shared" si="87"/>
        <v>0</v>
      </c>
      <c r="T2786" s="39" t="s">
        <v>1257</v>
      </c>
    </row>
    <row r="2787" spans="1:20" x14ac:dyDescent="0.25">
      <c r="A2787" s="20">
        <v>42151</v>
      </c>
      <c r="B2787" s="183">
        <v>22361</v>
      </c>
      <c r="C2787" s="14" t="s">
        <v>165</v>
      </c>
      <c r="D2787" s="105">
        <v>2640</v>
      </c>
      <c r="E2787" s="65">
        <v>42151</v>
      </c>
      <c r="F2787" s="106">
        <v>2640</v>
      </c>
      <c r="G2787" s="31">
        <f t="shared" si="86"/>
        <v>0</v>
      </c>
      <c r="H2787" s="39" t="s">
        <v>1257</v>
      </c>
      <c r="I2787" s="3"/>
      <c r="J2787" s="42"/>
      <c r="K2787" s="3"/>
      <c r="M2787" s="20">
        <v>42155</v>
      </c>
      <c r="N2787" s="183">
        <v>22840</v>
      </c>
      <c r="O2787" s="14" t="s">
        <v>131</v>
      </c>
      <c r="P2787" s="105">
        <v>5122</v>
      </c>
      <c r="Q2787" s="23">
        <v>42155</v>
      </c>
      <c r="R2787" s="106">
        <v>5122</v>
      </c>
      <c r="S2787" s="31">
        <f t="shared" si="87"/>
        <v>0</v>
      </c>
      <c r="T2787" s="39" t="s">
        <v>1257</v>
      </c>
    </row>
    <row r="2788" spans="1:20" x14ac:dyDescent="0.25">
      <c r="A2788" s="20">
        <v>42151</v>
      </c>
      <c r="B2788" s="183">
        <v>22362</v>
      </c>
      <c r="C2788" s="14" t="s">
        <v>213</v>
      </c>
      <c r="D2788" s="105">
        <v>13721.08</v>
      </c>
      <c r="E2788" s="65">
        <v>42151</v>
      </c>
      <c r="F2788" s="106">
        <v>13721.08</v>
      </c>
      <c r="G2788" s="31">
        <f t="shared" si="86"/>
        <v>0</v>
      </c>
      <c r="H2788" s="39" t="s">
        <v>46</v>
      </c>
      <c r="I2788" s="3"/>
      <c r="J2788" s="42"/>
      <c r="K2788" s="3"/>
      <c r="M2788" s="20">
        <v>42126</v>
      </c>
      <c r="N2788" s="183">
        <v>19808</v>
      </c>
      <c r="O2788" s="40" t="s">
        <v>440</v>
      </c>
      <c r="P2788" s="105">
        <v>10444.5</v>
      </c>
      <c r="Q2788" s="23">
        <v>42126</v>
      </c>
      <c r="R2788" s="106">
        <v>10444.5</v>
      </c>
      <c r="S2788" s="31">
        <f t="shared" si="87"/>
        <v>0</v>
      </c>
      <c r="T2788" s="41" t="s">
        <v>9</v>
      </c>
    </row>
    <row r="2789" spans="1:20" x14ac:dyDescent="0.25">
      <c r="A2789" s="20">
        <v>42151</v>
      </c>
      <c r="B2789" s="183">
        <v>22363</v>
      </c>
      <c r="C2789" s="14" t="s">
        <v>699</v>
      </c>
      <c r="D2789" s="105">
        <v>2697</v>
      </c>
      <c r="E2789" s="74">
        <v>42181</v>
      </c>
      <c r="F2789" s="144">
        <v>2697</v>
      </c>
      <c r="G2789" s="31">
        <f t="shared" si="86"/>
        <v>0</v>
      </c>
      <c r="H2789" s="39" t="s">
        <v>9</v>
      </c>
      <c r="I2789" s="3"/>
      <c r="J2789" s="42"/>
      <c r="K2789" s="3"/>
      <c r="M2789" s="20">
        <v>42130</v>
      </c>
      <c r="N2789" s="183">
        <v>20109</v>
      </c>
      <c r="O2789" s="14" t="s">
        <v>440</v>
      </c>
      <c r="P2789" s="105">
        <v>6795.7</v>
      </c>
      <c r="Q2789" s="23">
        <v>42130</v>
      </c>
      <c r="R2789" s="106">
        <v>6795.7</v>
      </c>
      <c r="S2789" s="31">
        <f t="shared" si="87"/>
        <v>0</v>
      </c>
      <c r="T2789" s="39" t="s">
        <v>9</v>
      </c>
    </row>
    <row r="2790" spans="1:20" x14ac:dyDescent="0.25">
      <c r="A2790" s="20">
        <v>42151</v>
      </c>
      <c r="B2790" s="183">
        <v>22364</v>
      </c>
      <c r="C2790" s="14" t="s">
        <v>33</v>
      </c>
      <c r="D2790" s="105">
        <v>5109.8</v>
      </c>
      <c r="E2790" s="65">
        <v>42151</v>
      </c>
      <c r="F2790" s="106">
        <v>5109.8</v>
      </c>
      <c r="G2790" s="31">
        <f t="shared" si="86"/>
        <v>0</v>
      </c>
      <c r="H2790" s="39" t="s">
        <v>9</v>
      </c>
      <c r="I2790" s="3"/>
      <c r="J2790" s="42"/>
      <c r="K2790" s="3"/>
      <c r="M2790" s="20">
        <v>42133</v>
      </c>
      <c r="N2790" s="183">
        <v>20573</v>
      </c>
      <c r="O2790" s="14" t="s">
        <v>440</v>
      </c>
      <c r="P2790" s="105">
        <v>13827</v>
      </c>
      <c r="Q2790" s="23">
        <v>42133</v>
      </c>
      <c r="R2790" s="106">
        <v>13827</v>
      </c>
      <c r="S2790" s="31">
        <f t="shared" si="87"/>
        <v>0</v>
      </c>
      <c r="T2790" s="19" t="s">
        <v>9</v>
      </c>
    </row>
    <row r="2791" spans="1:20" x14ac:dyDescent="0.25">
      <c r="A2791" s="20">
        <v>42151</v>
      </c>
      <c r="B2791" s="183">
        <v>22365</v>
      </c>
      <c r="C2791" s="14" t="s">
        <v>864</v>
      </c>
      <c r="D2791" s="105">
        <v>1197.2</v>
      </c>
      <c r="E2791" s="65">
        <v>42151</v>
      </c>
      <c r="F2791" s="106">
        <v>1197.2</v>
      </c>
      <c r="G2791" s="31">
        <f t="shared" si="86"/>
        <v>0</v>
      </c>
      <c r="H2791" s="39" t="s">
        <v>9</v>
      </c>
      <c r="I2791" s="3"/>
      <c r="J2791" s="42"/>
      <c r="K2791" s="3"/>
      <c r="M2791" s="20">
        <v>42133</v>
      </c>
      <c r="N2791" s="183">
        <v>20578</v>
      </c>
      <c r="O2791" s="14" t="s">
        <v>440</v>
      </c>
      <c r="P2791" s="105">
        <v>534.6</v>
      </c>
      <c r="Q2791" s="23">
        <v>42133</v>
      </c>
      <c r="R2791" s="106">
        <v>534.6</v>
      </c>
      <c r="S2791" s="31">
        <f t="shared" si="87"/>
        <v>0</v>
      </c>
      <c r="T2791" s="19" t="s">
        <v>9</v>
      </c>
    </row>
    <row r="2792" spans="1:20" x14ac:dyDescent="0.25">
      <c r="A2792" s="20">
        <v>42151</v>
      </c>
      <c r="B2792" s="183">
        <v>22366</v>
      </c>
      <c r="C2792" s="14" t="s">
        <v>151</v>
      </c>
      <c r="D2792" s="105">
        <v>1576.4</v>
      </c>
      <c r="E2792" s="65">
        <v>42152</v>
      </c>
      <c r="F2792" s="106">
        <v>1576.4</v>
      </c>
      <c r="G2792" s="31">
        <f t="shared" si="86"/>
        <v>0</v>
      </c>
      <c r="H2792" s="39" t="s">
        <v>9</v>
      </c>
      <c r="I2792" s="3"/>
      <c r="J2792" s="42"/>
      <c r="K2792" s="3"/>
      <c r="M2792" s="20">
        <v>42140</v>
      </c>
      <c r="N2792" s="183">
        <v>21257</v>
      </c>
      <c r="O2792" s="14" t="s">
        <v>440</v>
      </c>
      <c r="P2792" s="105">
        <v>16350.6</v>
      </c>
      <c r="Q2792" s="23">
        <v>42140</v>
      </c>
      <c r="R2792" s="106">
        <v>16350.6</v>
      </c>
      <c r="S2792" s="31">
        <f t="shared" si="87"/>
        <v>0</v>
      </c>
      <c r="T2792" s="62" t="s">
        <v>9</v>
      </c>
    </row>
    <row r="2793" spans="1:20" x14ac:dyDescent="0.25">
      <c r="A2793" s="20">
        <v>42151</v>
      </c>
      <c r="B2793" s="183">
        <v>22367</v>
      </c>
      <c r="C2793" s="14" t="s">
        <v>294</v>
      </c>
      <c r="D2793" s="105">
        <v>6557.28</v>
      </c>
      <c r="E2793" s="65">
        <v>42151</v>
      </c>
      <c r="F2793" s="106">
        <v>6557.28</v>
      </c>
      <c r="G2793" s="31">
        <f t="shared" si="86"/>
        <v>0</v>
      </c>
      <c r="H2793" s="39" t="s">
        <v>9</v>
      </c>
      <c r="I2793" s="3"/>
      <c r="J2793" s="42"/>
      <c r="K2793" s="3"/>
      <c r="M2793" s="20">
        <v>42141</v>
      </c>
      <c r="N2793" s="183">
        <v>21380</v>
      </c>
      <c r="O2793" s="14" t="s">
        <v>440</v>
      </c>
      <c r="P2793" s="105">
        <v>1026</v>
      </c>
      <c r="Q2793" s="23">
        <v>42141</v>
      </c>
      <c r="R2793" s="118">
        <v>1026</v>
      </c>
      <c r="S2793" s="31">
        <f t="shared" si="87"/>
        <v>0</v>
      </c>
      <c r="T2793" s="56" t="s">
        <v>9</v>
      </c>
    </row>
    <row r="2794" spans="1:20" x14ac:dyDescent="0.25">
      <c r="A2794" s="20">
        <v>42151</v>
      </c>
      <c r="B2794" s="183">
        <v>22368</v>
      </c>
      <c r="C2794" s="14" t="s">
        <v>1338</v>
      </c>
      <c r="D2794" s="105">
        <v>3326.4</v>
      </c>
      <c r="E2794" s="65">
        <v>42153</v>
      </c>
      <c r="F2794" s="106">
        <v>3326.4</v>
      </c>
      <c r="G2794" s="31">
        <f t="shared" si="86"/>
        <v>0</v>
      </c>
      <c r="H2794" s="39" t="s">
        <v>9</v>
      </c>
      <c r="I2794" s="3"/>
      <c r="J2794" s="42"/>
      <c r="K2794" s="3"/>
      <c r="M2794" s="20">
        <v>42148</v>
      </c>
      <c r="N2794" s="183">
        <v>22120</v>
      </c>
      <c r="O2794" s="14" t="s">
        <v>440</v>
      </c>
      <c r="P2794" s="105">
        <v>11382</v>
      </c>
      <c r="Q2794" s="65">
        <v>42148</v>
      </c>
      <c r="R2794" s="106">
        <v>11382</v>
      </c>
      <c r="S2794" s="31">
        <f t="shared" si="87"/>
        <v>0</v>
      </c>
      <c r="T2794" s="39" t="s">
        <v>9</v>
      </c>
    </row>
    <row r="2795" spans="1:20" x14ac:dyDescent="0.25">
      <c r="A2795" s="20">
        <v>42151</v>
      </c>
      <c r="B2795" s="183">
        <v>22369</v>
      </c>
      <c r="C2795" s="14" t="s">
        <v>422</v>
      </c>
      <c r="D2795" s="105">
        <v>356.9</v>
      </c>
      <c r="E2795" s="65">
        <v>42151</v>
      </c>
      <c r="F2795" s="106">
        <v>356.9</v>
      </c>
      <c r="G2795" s="31">
        <f t="shared" si="86"/>
        <v>0</v>
      </c>
      <c r="H2795" s="39" t="s">
        <v>9</v>
      </c>
      <c r="I2795" s="3"/>
      <c r="J2795" s="42"/>
      <c r="K2795" s="3"/>
      <c r="M2795" s="20">
        <v>42154</v>
      </c>
      <c r="N2795" s="183">
        <v>22710</v>
      </c>
      <c r="O2795" s="14" t="s">
        <v>440</v>
      </c>
      <c r="P2795" s="105">
        <v>11780.8</v>
      </c>
      <c r="Q2795" s="23">
        <v>42154</v>
      </c>
      <c r="R2795" s="106">
        <v>11780.8</v>
      </c>
      <c r="S2795" s="31">
        <f t="shared" si="87"/>
        <v>0</v>
      </c>
      <c r="T2795" s="39" t="s">
        <v>9</v>
      </c>
    </row>
    <row r="2796" spans="1:20" x14ac:dyDescent="0.25">
      <c r="A2796" s="20">
        <v>42151</v>
      </c>
      <c r="B2796" s="183">
        <v>22370</v>
      </c>
      <c r="C2796" s="14" t="s">
        <v>589</v>
      </c>
      <c r="D2796" s="105">
        <v>5649.6</v>
      </c>
      <c r="E2796" s="65">
        <v>42151</v>
      </c>
      <c r="F2796" s="106">
        <v>5649.6</v>
      </c>
      <c r="G2796" s="31">
        <f t="shared" si="86"/>
        <v>0</v>
      </c>
      <c r="H2796" s="39" t="s">
        <v>9</v>
      </c>
      <c r="I2796" s="3"/>
      <c r="J2796" s="42"/>
      <c r="K2796" s="3"/>
      <c r="M2796" s="20">
        <v>42125</v>
      </c>
      <c r="N2796" s="183">
        <v>19603</v>
      </c>
      <c r="O2796" s="14" t="s">
        <v>863</v>
      </c>
      <c r="P2796" s="105">
        <v>11810.2</v>
      </c>
      <c r="Q2796" s="23">
        <v>42125</v>
      </c>
      <c r="R2796" s="106">
        <v>11810.2</v>
      </c>
      <c r="S2796" s="25">
        <f t="shared" si="87"/>
        <v>0</v>
      </c>
      <c r="T2796" s="19" t="s">
        <v>9</v>
      </c>
    </row>
    <row r="2797" spans="1:20" x14ac:dyDescent="0.25">
      <c r="A2797" s="20">
        <v>42151</v>
      </c>
      <c r="B2797" s="183">
        <v>22371</v>
      </c>
      <c r="C2797" s="14" t="s">
        <v>57</v>
      </c>
      <c r="D2797" s="105">
        <v>1200</v>
      </c>
      <c r="E2797" s="65">
        <v>42151</v>
      </c>
      <c r="F2797" s="106">
        <v>1200</v>
      </c>
      <c r="G2797" s="31">
        <f t="shared" si="86"/>
        <v>0</v>
      </c>
      <c r="H2797" s="39" t="s">
        <v>1257</v>
      </c>
      <c r="I2797" s="3"/>
      <c r="J2797" s="42"/>
      <c r="K2797" s="3"/>
      <c r="M2797" s="20">
        <v>42127</v>
      </c>
      <c r="N2797" s="183">
        <v>19826</v>
      </c>
      <c r="O2797" s="40" t="s">
        <v>863</v>
      </c>
      <c r="P2797" s="105">
        <v>9310.7000000000007</v>
      </c>
      <c r="Q2797" s="23">
        <v>42127</v>
      </c>
      <c r="R2797" s="106">
        <v>9310.7000000000007</v>
      </c>
      <c r="S2797" s="31">
        <f t="shared" si="87"/>
        <v>0</v>
      </c>
      <c r="T2797" s="41" t="s">
        <v>9</v>
      </c>
    </row>
    <row r="2798" spans="1:20" x14ac:dyDescent="0.25">
      <c r="A2798" s="20">
        <v>42151</v>
      </c>
      <c r="B2798" s="183">
        <v>22372</v>
      </c>
      <c r="C2798" s="150" t="s">
        <v>53</v>
      </c>
      <c r="D2798" s="105">
        <v>1238.8</v>
      </c>
      <c r="E2798" s="65">
        <v>42151</v>
      </c>
      <c r="F2798" s="106">
        <v>1238.8</v>
      </c>
      <c r="G2798" s="31">
        <f t="shared" si="86"/>
        <v>0</v>
      </c>
      <c r="H2798" s="39" t="s">
        <v>1257</v>
      </c>
      <c r="I2798" s="3"/>
      <c r="J2798" s="42"/>
      <c r="K2798" s="3"/>
      <c r="M2798" s="20">
        <v>42129</v>
      </c>
      <c r="N2798" s="183">
        <v>20045</v>
      </c>
      <c r="O2798" s="14" t="s">
        <v>863</v>
      </c>
      <c r="P2798" s="105">
        <v>8203</v>
      </c>
      <c r="Q2798" s="23">
        <v>42129</v>
      </c>
      <c r="R2798" s="106">
        <v>8203</v>
      </c>
      <c r="S2798" s="31">
        <f t="shared" si="87"/>
        <v>0</v>
      </c>
      <c r="T2798" s="39" t="s">
        <v>9</v>
      </c>
    </row>
    <row r="2799" spans="1:20" x14ac:dyDescent="0.25">
      <c r="A2799" s="20">
        <v>42151</v>
      </c>
      <c r="B2799" s="183">
        <v>22373</v>
      </c>
      <c r="C2799" s="14" t="s">
        <v>729</v>
      </c>
      <c r="D2799" s="105">
        <v>1528.8</v>
      </c>
      <c r="E2799" s="65">
        <v>42151</v>
      </c>
      <c r="F2799" s="106">
        <v>1528.8</v>
      </c>
      <c r="G2799" s="31">
        <f t="shared" si="86"/>
        <v>0</v>
      </c>
      <c r="H2799" s="39" t="s">
        <v>41</v>
      </c>
      <c r="I2799" s="3"/>
      <c r="J2799" s="42"/>
      <c r="K2799" s="3"/>
      <c r="M2799" s="20">
        <v>42133</v>
      </c>
      <c r="N2799" s="183">
        <v>20471</v>
      </c>
      <c r="O2799" s="14" t="s">
        <v>863</v>
      </c>
      <c r="P2799" s="105">
        <v>8525.2999999999993</v>
      </c>
      <c r="Q2799" s="23">
        <v>42133</v>
      </c>
      <c r="R2799" s="106">
        <v>8525.2999999999993</v>
      </c>
      <c r="S2799" s="31">
        <f t="shared" si="87"/>
        <v>0</v>
      </c>
      <c r="T2799" s="39" t="s">
        <v>9</v>
      </c>
    </row>
    <row r="2800" spans="1:20" x14ac:dyDescent="0.25">
      <c r="A2800" s="20">
        <v>42151</v>
      </c>
      <c r="B2800" s="183">
        <v>22374</v>
      </c>
      <c r="C2800" s="14" t="s">
        <v>292</v>
      </c>
      <c r="D2800" s="105">
        <v>2200.8000000000002</v>
      </c>
      <c r="E2800" s="65">
        <v>42151</v>
      </c>
      <c r="F2800" s="106">
        <v>2200.8000000000002</v>
      </c>
      <c r="G2800" s="31">
        <f t="shared" si="86"/>
        <v>0</v>
      </c>
      <c r="H2800" s="39" t="s">
        <v>1257</v>
      </c>
      <c r="I2800" s="3"/>
      <c r="J2800" s="42"/>
      <c r="K2800" s="3"/>
      <c r="M2800" s="20">
        <v>42134</v>
      </c>
      <c r="N2800" s="183">
        <v>20644</v>
      </c>
      <c r="O2800" s="14" t="s">
        <v>863</v>
      </c>
      <c r="P2800" s="105">
        <v>5350</v>
      </c>
      <c r="Q2800" s="23">
        <v>42134</v>
      </c>
      <c r="R2800" s="106">
        <v>5350</v>
      </c>
      <c r="S2800" s="31">
        <f t="shared" si="87"/>
        <v>0</v>
      </c>
      <c r="T2800" s="39" t="s">
        <v>9</v>
      </c>
    </row>
    <row r="2801" spans="1:20" x14ac:dyDescent="0.25">
      <c r="A2801" s="20">
        <v>42151</v>
      </c>
      <c r="B2801" s="183">
        <v>22375</v>
      </c>
      <c r="C2801" s="14" t="s">
        <v>167</v>
      </c>
      <c r="D2801" s="105">
        <v>429.6</v>
      </c>
      <c r="E2801" s="23">
        <v>42151</v>
      </c>
      <c r="F2801" s="106">
        <v>429.6</v>
      </c>
      <c r="G2801" s="31">
        <f t="shared" si="86"/>
        <v>0</v>
      </c>
      <c r="H2801" s="39" t="s">
        <v>1257</v>
      </c>
      <c r="I2801" s="3"/>
      <c r="J2801" s="42"/>
      <c r="K2801" s="3"/>
      <c r="M2801" s="20">
        <v>42134</v>
      </c>
      <c r="N2801" s="183">
        <v>20645</v>
      </c>
      <c r="O2801" s="14" t="s">
        <v>863</v>
      </c>
      <c r="P2801" s="105">
        <v>390</v>
      </c>
      <c r="Q2801" s="23">
        <v>42134</v>
      </c>
      <c r="R2801" s="106">
        <v>390</v>
      </c>
      <c r="S2801" s="31">
        <f t="shared" si="87"/>
        <v>0</v>
      </c>
      <c r="T2801" s="39" t="s">
        <v>9</v>
      </c>
    </row>
    <row r="2802" spans="1:20" x14ac:dyDescent="0.25">
      <c r="A2802" s="20">
        <v>42151</v>
      </c>
      <c r="B2802" s="183">
        <v>22376</v>
      </c>
      <c r="C2802" s="14" t="s">
        <v>915</v>
      </c>
      <c r="D2802" s="105">
        <v>1094.4000000000001</v>
      </c>
      <c r="E2802" s="23">
        <v>42151</v>
      </c>
      <c r="F2802" s="106">
        <v>1094.4000000000001</v>
      </c>
      <c r="G2802" s="31">
        <f t="shared" si="86"/>
        <v>0</v>
      </c>
      <c r="H2802" s="39" t="s">
        <v>773</v>
      </c>
      <c r="I2802" s="3"/>
      <c r="J2802" s="42"/>
      <c r="K2802" s="3"/>
      <c r="M2802" s="20">
        <v>42137</v>
      </c>
      <c r="N2802" s="183">
        <v>20871</v>
      </c>
      <c r="O2802" s="14" t="s">
        <v>863</v>
      </c>
      <c r="P2802" s="105">
        <v>3819</v>
      </c>
      <c r="Q2802" s="23">
        <v>42137</v>
      </c>
      <c r="R2802" s="106">
        <v>3819</v>
      </c>
      <c r="S2802" s="31">
        <f t="shared" si="87"/>
        <v>0</v>
      </c>
      <c r="T2802" s="39" t="s">
        <v>9</v>
      </c>
    </row>
    <row r="2803" spans="1:20" x14ac:dyDescent="0.25">
      <c r="A2803" s="20">
        <v>42151</v>
      </c>
      <c r="B2803" s="183">
        <v>22377</v>
      </c>
      <c r="C2803" s="14" t="s">
        <v>1182</v>
      </c>
      <c r="D2803" s="103">
        <v>2805.7</v>
      </c>
      <c r="E2803" s="23">
        <v>42151</v>
      </c>
      <c r="F2803" s="106">
        <v>2805.7</v>
      </c>
      <c r="G2803" s="31">
        <f t="shared" si="86"/>
        <v>0</v>
      </c>
      <c r="H2803" s="132" t="s">
        <v>1257</v>
      </c>
      <c r="I2803" s="3"/>
      <c r="J2803" s="42"/>
      <c r="K2803" s="3"/>
      <c r="M2803" s="20">
        <v>42139</v>
      </c>
      <c r="N2803" s="183">
        <v>21109</v>
      </c>
      <c r="O2803" s="14" t="s">
        <v>863</v>
      </c>
      <c r="P2803" s="103">
        <v>5771</v>
      </c>
      <c r="Q2803" s="23">
        <v>42139</v>
      </c>
      <c r="R2803" s="106">
        <v>5771</v>
      </c>
      <c r="S2803" s="48">
        <f t="shared" si="87"/>
        <v>0</v>
      </c>
      <c r="T2803" s="132" t="s">
        <v>9</v>
      </c>
    </row>
    <row r="2804" spans="1:20" x14ac:dyDescent="0.25">
      <c r="A2804" s="20">
        <v>42151</v>
      </c>
      <c r="B2804" s="183">
        <v>22378</v>
      </c>
      <c r="C2804" s="14" t="s">
        <v>118</v>
      </c>
      <c r="D2804" s="103">
        <v>9194.6</v>
      </c>
      <c r="E2804" s="30">
        <v>42157</v>
      </c>
      <c r="F2804" s="144">
        <v>9194.6</v>
      </c>
      <c r="G2804" s="31">
        <f t="shared" si="86"/>
        <v>0</v>
      </c>
      <c r="H2804" s="132" t="s">
        <v>773</v>
      </c>
      <c r="I2804" s="3"/>
      <c r="J2804" s="42"/>
      <c r="K2804" s="3"/>
      <c r="M2804" s="20">
        <v>42141</v>
      </c>
      <c r="N2804" s="183">
        <v>21330</v>
      </c>
      <c r="O2804" s="14" t="s">
        <v>863</v>
      </c>
      <c r="P2804" s="103">
        <v>3561.2</v>
      </c>
      <c r="Q2804" s="23">
        <v>42141</v>
      </c>
      <c r="R2804" s="118">
        <v>3561.2</v>
      </c>
      <c r="S2804" s="31">
        <f t="shared" si="87"/>
        <v>0</v>
      </c>
      <c r="T2804" s="180" t="s">
        <v>9</v>
      </c>
    </row>
    <row r="2805" spans="1:20" x14ac:dyDescent="0.25">
      <c r="A2805" s="20">
        <v>42151</v>
      </c>
      <c r="B2805" s="183">
        <v>22379</v>
      </c>
      <c r="C2805" s="14" t="s">
        <v>99</v>
      </c>
      <c r="D2805" s="103">
        <v>358.4</v>
      </c>
      <c r="E2805" s="23">
        <v>42151</v>
      </c>
      <c r="F2805" s="106">
        <v>358.4</v>
      </c>
      <c r="G2805" s="31">
        <f t="shared" si="86"/>
        <v>0</v>
      </c>
      <c r="H2805" s="132" t="s">
        <v>9</v>
      </c>
      <c r="I2805" s="3"/>
      <c r="J2805" s="42"/>
      <c r="K2805" s="3"/>
      <c r="M2805" s="20">
        <v>42143</v>
      </c>
      <c r="N2805" s="183">
        <v>21536</v>
      </c>
      <c r="O2805" s="14" t="s">
        <v>863</v>
      </c>
      <c r="P2805" s="103">
        <v>8718.7999999999993</v>
      </c>
      <c r="Q2805" s="23">
        <v>42143</v>
      </c>
      <c r="R2805" s="118">
        <v>8718.7999999999993</v>
      </c>
      <c r="S2805" s="31">
        <f t="shared" si="87"/>
        <v>0</v>
      </c>
      <c r="T2805" s="28" t="s">
        <v>9</v>
      </c>
    </row>
    <row r="2806" spans="1:20" x14ac:dyDescent="0.25">
      <c r="A2806" s="20">
        <v>42151</v>
      </c>
      <c r="B2806" s="183">
        <v>22380</v>
      </c>
      <c r="C2806" s="14" t="s">
        <v>285</v>
      </c>
      <c r="D2806" s="103">
        <v>810.35</v>
      </c>
      <c r="E2806" s="23">
        <v>42151</v>
      </c>
      <c r="F2806" s="106">
        <v>810.35</v>
      </c>
      <c r="G2806" s="31">
        <f t="shared" si="86"/>
        <v>0</v>
      </c>
      <c r="H2806" s="132" t="s">
        <v>187</v>
      </c>
      <c r="I2806" s="3"/>
      <c r="J2806" s="42"/>
      <c r="K2806" s="3"/>
      <c r="M2806" s="20">
        <v>42146</v>
      </c>
      <c r="N2806" s="183">
        <v>21839</v>
      </c>
      <c r="O2806" s="15" t="s">
        <v>863</v>
      </c>
      <c r="P2806" s="133">
        <v>8845.5</v>
      </c>
      <c r="Q2806" s="23">
        <v>42146</v>
      </c>
      <c r="R2806" s="118">
        <v>8845.5</v>
      </c>
      <c r="S2806" s="31">
        <f t="shared" si="87"/>
        <v>0</v>
      </c>
      <c r="T2806" s="46" t="s">
        <v>9</v>
      </c>
    </row>
    <row r="2807" spans="1:20" x14ac:dyDescent="0.25">
      <c r="A2807" s="20">
        <v>42151</v>
      </c>
      <c r="B2807" s="183">
        <v>22381</v>
      </c>
      <c r="C2807" s="14" t="s">
        <v>47</v>
      </c>
      <c r="D2807" s="103">
        <v>56792.03</v>
      </c>
      <c r="E2807" s="23">
        <v>42151</v>
      </c>
      <c r="F2807" s="106">
        <v>56792.03</v>
      </c>
      <c r="G2807" s="31">
        <f t="shared" si="86"/>
        <v>0</v>
      </c>
      <c r="H2807" s="132" t="s">
        <v>9</v>
      </c>
      <c r="I2807" s="3"/>
      <c r="J2807" s="42"/>
      <c r="K2807" s="3"/>
      <c r="M2807" s="20">
        <v>42148</v>
      </c>
      <c r="N2807" s="183">
        <v>22075</v>
      </c>
      <c r="O2807" s="14" t="s">
        <v>863</v>
      </c>
      <c r="P2807" s="103">
        <v>12153.2</v>
      </c>
      <c r="Q2807" s="65">
        <v>42148</v>
      </c>
      <c r="R2807" s="106">
        <v>12153.2</v>
      </c>
      <c r="S2807" s="31">
        <f t="shared" si="87"/>
        <v>0</v>
      </c>
      <c r="T2807" s="132" t="s">
        <v>9</v>
      </c>
    </row>
    <row r="2808" spans="1:20" x14ac:dyDescent="0.25">
      <c r="A2808" s="20">
        <v>42151</v>
      </c>
      <c r="B2808" s="183">
        <v>22382</v>
      </c>
      <c r="C2808" s="14" t="s">
        <v>108</v>
      </c>
      <c r="D2808" s="103">
        <v>48778.54</v>
      </c>
      <c r="E2808" s="30">
        <v>42178</v>
      </c>
      <c r="F2808" s="144">
        <v>48778.54</v>
      </c>
      <c r="G2808" s="31">
        <f t="shared" si="86"/>
        <v>0</v>
      </c>
      <c r="H2808" s="132" t="s">
        <v>46</v>
      </c>
      <c r="I2808" s="3"/>
      <c r="J2808" s="42"/>
      <c r="K2808" s="3"/>
      <c r="M2808" s="20">
        <v>42152</v>
      </c>
      <c r="N2808" s="183">
        <v>22426</v>
      </c>
      <c r="O2808" s="14" t="s">
        <v>863</v>
      </c>
      <c r="P2808" s="103">
        <v>9210</v>
      </c>
      <c r="Q2808" s="23">
        <v>42152</v>
      </c>
      <c r="R2808" s="106">
        <v>9210</v>
      </c>
      <c r="S2808" s="31">
        <f t="shared" si="87"/>
        <v>0</v>
      </c>
      <c r="T2808" s="132" t="s">
        <v>9</v>
      </c>
    </row>
    <row r="2809" spans="1:20" x14ac:dyDescent="0.25">
      <c r="A2809" s="20">
        <v>42151</v>
      </c>
      <c r="B2809" s="183">
        <v>22383</v>
      </c>
      <c r="C2809" s="14" t="s">
        <v>20</v>
      </c>
      <c r="D2809" s="103">
        <v>4032.8</v>
      </c>
      <c r="E2809" s="23">
        <v>42151</v>
      </c>
      <c r="F2809" s="106">
        <v>4032.8</v>
      </c>
      <c r="G2809" s="31">
        <f t="shared" si="86"/>
        <v>0</v>
      </c>
      <c r="H2809" s="132" t="s">
        <v>94</v>
      </c>
      <c r="I2809" s="3"/>
      <c r="J2809" s="42"/>
      <c r="K2809" s="3"/>
      <c r="M2809" s="20">
        <v>42154</v>
      </c>
      <c r="N2809" s="183">
        <v>22740</v>
      </c>
      <c r="O2809" s="14" t="s">
        <v>863</v>
      </c>
      <c r="P2809" s="103">
        <v>977.6</v>
      </c>
      <c r="Q2809" s="23">
        <v>42154</v>
      </c>
      <c r="R2809" s="106">
        <v>977.6</v>
      </c>
      <c r="S2809" s="31">
        <f t="shared" si="87"/>
        <v>0</v>
      </c>
      <c r="T2809" s="132" t="s">
        <v>9</v>
      </c>
    </row>
    <row r="2810" spans="1:20" x14ac:dyDescent="0.25">
      <c r="A2810" s="20">
        <v>42151</v>
      </c>
      <c r="B2810" s="183">
        <v>22384</v>
      </c>
      <c r="C2810" s="14" t="s">
        <v>245</v>
      </c>
      <c r="D2810" s="103">
        <v>3127.41</v>
      </c>
      <c r="E2810" s="30">
        <v>42156</v>
      </c>
      <c r="F2810" s="144">
        <v>3127.41</v>
      </c>
      <c r="G2810" s="31">
        <f t="shared" si="86"/>
        <v>0</v>
      </c>
      <c r="H2810" s="132" t="s">
        <v>9</v>
      </c>
      <c r="I2810" s="3"/>
      <c r="J2810" s="42"/>
      <c r="K2810" s="3"/>
      <c r="M2810" s="20">
        <v>42155</v>
      </c>
      <c r="N2810" s="183">
        <v>22799</v>
      </c>
      <c r="O2810" s="14" t="s">
        <v>863</v>
      </c>
      <c r="P2810" s="103">
        <v>9814.2000000000007</v>
      </c>
      <c r="Q2810" s="23">
        <v>42155</v>
      </c>
      <c r="R2810" s="106">
        <v>9814.2000000000007</v>
      </c>
      <c r="S2810" s="31">
        <f t="shared" si="87"/>
        <v>0</v>
      </c>
      <c r="T2810" s="132" t="s">
        <v>9</v>
      </c>
    </row>
    <row r="2811" spans="1:20" x14ac:dyDescent="0.25">
      <c r="A2811" s="20">
        <v>42151</v>
      </c>
      <c r="B2811" s="183">
        <v>22385</v>
      </c>
      <c r="C2811" s="14" t="s">
        <v>335</v>
      </c>
      <c r="D2811" s="103">
        <v>582.4</v>
      </c>
      <c r="E2811" s="23">
        <v>42151</v>
      </c>
      <c r="F2811" s="106">
        <v>582.4</v>
      </c>
      <c r="G2811" s="31">
        <f t="shared" si="86"/>
        <v>0</v>
      </c>
      <c r="H2811" s="132" t="s">
        <v>9</v>
      </c>
      <c r="I2811" s="3"/>
      <c r="J2811" s="42"/>
      <c r="K2811" s="3"/>
      <c r="M2811" s="20">
        <v>42128</v>
      </c>
      <c r="N2811" s="183">
        <v>19917</v>
      </c>
      <c r="O2811" s="14" t="s">
        <v>233</v>
      </c>
      <c r="P2811" s="103">
        <v>11962.4</v>
      </c>
      <c r="Q2811" s="23">
        <v>42128</v>
      </c>
      <c r="R2811" s="106">
        <v>11962.4</v>
      </c>
      <c r="S2811" s="31">
        <f t="shared" si="87"/>
        <v>0</v>
      </c>
      <c r="T2811" s="209" t="s">
        <v>773</v>
      </c>
    </row>
    <row r="2812" spans="1:20" x14ac:dyDescent="0.25">
      <c r="A2812" s="20">
        <v>42151</v>
      </c>
      <c r="B2812" s="183">
        <v>22386</v>
      </c>
      <c r="C2812" s="14" t="s">
        <v>78</v>
      </c>
      <c r="D2812" s="103">
        <v>6653.4</v>
      </c>
      <c r="E2812" s="23">
        <v>42152</v>
      </c>
      <c r="F2812" s="106">
        <v>6653.4</v>
      </c>
      <c r="G2812" s="31">
        <f t="shared" si="86"/>
        <v>0</v>
      </c>
      <c r="H2812" s="132" t="s">
        <v>62</v>
      </c>
      <c r="I2812" s="3"/>
      <c r="J2812" s="42"/>
      <c r="K2812" s="3"/>
      <c r="M2812" s="20">
        <v>42130</v>
      </c>
      <c r="N2812" s="183">
        <v>20174</v>
      </c>
      <c r="O2812" s="14" t="s">
        <v>233</v>
      </c>
      <c r="P2812" s="103">
        <v>5349.45</v>
      </c>
      <c r="Q2812" s="23">
        <v>42131</v>
      </c>
      <c r="R2812" s="106">
        <v>5349.45</v>
      </c>
      <c r="S2812" s="31">
        <f t="shared" si="87"/>
        <v>0</v>
      </c>
      <c r="T2812" s="132" t="s">
        <v>9</v>
      </c>
    </row>
    <row r="2813" spans="1:20" x14ac:dyDescent="0.25">
      <c r="A2813" s="20">
        <v>42151</v>
      </c>
      <c r="B2813" s="183">
        <v>22387</v>
      </c>
      <c r="C2813" s="14" t="s">
        <v>67</v>
      </c>
      <c r="D2813" s="103">
        <v>3578.4</v>
      </c>
      <c r="E2813" s="23">
        <v>42152</v>
      </c>
      <c r="F2813" s="106">
        <v>3578.4</v>
      </c>
      <c r="G2813" s="31">
        <f t="shared" si="86"/>
        <v>0</v>
      </c>
      <c r="H2813" s="132" t="s">
        <v>62</v>
      </c>
      <c r="I2813" s="3"/>
      <c r="J2813" s="42"/>
      <c r="K2813" s="3"/>
      <c r="M2813" s="20">
        <v>42135</v>
      </c>
      <c r="N2813" s="183">
        <v>20695</v>
      </c>
      <c r="O2813" s="14" t="s">
        <v>233</v>
      </c>
      <c r="P2813" s="103">
        <v>13474</v>
      </c>
      <c r="Q2813" s="23">
        <v>42136</v>
      </c>
      <c r="R2813" s="106">
        <v>13474</v>
      </c>
      <c r="S2813" s="31">
        <f t="shared" si="87"/>
        <v>0</v>
      </c>
      <c r="T2813" s="132" t="s">
        <v>773</v>
      </c>
    </row>
    <row r="2814" spans="1:20" x14ac:dyDescent="0.25">
      <c r="A2814" s="20">
        <v>42151</v>
      </c>
      <c r="B2814" s="183">
        <v>22388</v>
      </c>
      <c r="C2814" s="14" t="s">
        <v>89</v>
      </c>
      <c r="D2814" s="103">
        <v>2343.4</v>
      </c>
      <c r="E2814" s="23">
        <v>42151</v>
      </c>
      <c r="F2814" s="106">
        <v>2343.4</v>
      </c>
      <c r="G2814" s="31">
        <f t="shared" si="86"/>
        <v>0</v>
      </c>
      <c r="H2814" s="132" t="s">
        <v>9</v>
      </c>
      <c r="I2814" s="3"/>
      <c r="J2814" s="42"/>
      <c r="K2814" s="3"/>
      <c r="M2814" s="20">
        <v>42140</v>
      </c>
      <c r="N2814" s="183">
        <v>21284</v>
      </c>
      <c r="O2814" s="14" t="s">
        <v>233</v>
      </c>
      <c r="P2814" s="103">
        <v>15448</v>
      </c>
      <c r="Q2814" s="23">
        <v>42141</v>
      </c>
      <c r="R2814" s="118">
        <v>15448</v>
      </c>
      <c r="S2814" s="31">
        <f t="shared" si="87"/>
        <v>0</v>
      </c>
      <c r="T2814" s="180" t="s">
        <v>773</v>
      </c>
    </row>
    <row r="2815" spans="1:20" x14ac:dyDescent="0.25">
      <c r="A2815" s="20">
        <v>42151</v>
      </c>
      <c r="B2815" s="183">
        <v>22389</v>
      </c>
      <c r="C2815" s="14" t="s">
        <v>170</v>
      </c>
      <c r="D2815" s="103">
        <v>4742.3999999999996</v>
      </c>
      <c r="E2815" s="23">
        <v>42152</v>
      </c>
      <c r="F2815" s="106">
        <v>4742.3999999999996</v>
      </c>
      <c r="G2815" s="31">
        <f t="shared" si="86"/>
        <v>0</v>
      </c>
      <c r="H2815" s="132" t="s">
        <v>62</v>
      </c>
      <c r="I2815" s="3"/>
      <c r="J2815" s="42"/>
      <c r="K2815" s="3"/>
      <c r="M2815" s="20">
        <v>42145</v>
      </c>
      <c r="N2815" s="183">
        <v>21763</v>
      </c>
      <c r="O2815" s="15" t="s">
        <v>233</v>
      </c>
      <c r="P2815" s="133">
        <v>17411</v>
      </c>
      <c r="Q2815" s="23">
        <v>42146</v>
      </c>
      <c r="R2815" s="118">
        <v>17411</v>
      </c>
      <c r="S2815" s="31">
        <f t="shared" si="87"/>
        <v>0</v>
      </c>
      <c r="T2815" s="46" t="s">
        <v>773</v>
      </c>
    </row>
    <row r="2816" spans="1:20" x14ac:dyDescent="0.25">
      <c r="A2816" s="20">
        <v>42151</v>
      </c>
      <c r="B2816" s="183">
        <v>22390</v>
      </c>
      <c r="C2816" s="14" t="s">
        <v>591</v>
      </c>
      <c r="D2816" s="103">
        <v>12995.2</v>
      </c>
      <c r="E2816" s="23">
        <v>42152</v>
      </c>
      <c r="F2816" s="106">
        <v>12995.2</v>
      </c>
      <c r="G2816" s="31">
        <f t="shared" si="86"/>
        <v>0</v>
      </c>
      <c r="H2816" s="132" t="s">
        <v>773</v>
      </c>
      <c r="I2816" s="3"/>
      <c r="J2816" s="42"/>
      <c r="K2816" s="3"/>
      <c r="M2816" s="20">
        <v>42151</v>
      </c>
      <c r="N2816" s="183">
        <v>22397</v>
      </c>
      <c r="O2816" s="14" t="s">
        <v>233</v>
      </c>
      <c r="P2816" s="103">
        <v>15961.2</v>
      </c>
      <c r="Q2816" s="23">
        <v>42152</v>
      </c>
      <c r="R2816" s="106">
        <v>15961.2</v>
      </c>
      <c r="S2816" s="31">
        <f t="shared" si="87"/>
        <v>0</v>
      </c>
      <c r="T2816" s="132" t="s">
        <v>773</v>
      </c>
    </row>
    <row r="2817" spans="1:20" x14ac:dyDescent="0.25">
      <c r="A2817" s="20">
        <v>42151</v>
      </c>
      <c r="B2817" s="183">
        <v>22391</v>
      </c>
      <c r="C2817" s="14" t="s">
        <v>256</v>
      </c>
      <c r="D2817" s="103">
        <v>4992.6000000000004</v>
      </c>
      <c r="E2817" s="23">
        <v>42152</v>
      </c>
      <c r="F2817" s="106">
        <v>4992.6000000000004</v>
      </c>
      <c r="G2817" s="31">
        <f t="shared" si="86"/>
        <v>0</v>
      </c>
      <c r="H2817" s="132" t="s">
        <v>773</v>
      </c>
      <c r="I2817" s="3"/>
      <c r="J2817" s="42"/>
      <c r="K2817" s="3"/>
      <c r="M2817" s="20">
        <v>42125</v>
      </c>
      <c r="N2817" s="183">
        <v>19689</v>
      </c>
      <c r="O2817" s="14" t="s">
        <v>35</v>
      </c>
      <c r="P2817" s="103">
        <v>23730.57</v>
      </c>
      <c r="Q2817" s="23">
        <v>42126</v>
      </c>
      <c r="R2817" s="106">
        <v>23730.57</v>
      </c>
      <c r="S2817" s="25">
        <f t="shared" si="87"/>
        <v>0</v>
      </c>
      <c r="T2817" s="132" t="s">
        <v>773</v>
      </c>
    </row>
    <row r="2818" spans="1:20" x14ac:dyDescent="0.25">
      <c r="A2818" s="20">
        <v>42151</v>
      </c>
      <c r="B2818" s="183">
        <v>22392</v>
      </c>
      <c r="C2818" s="14" t="s">
        <v>75</v>
      </c>
      <c r="D2818" s="103">
        <v>16650.400000000001</v>
      </c>
      <c r="E2818" s="23">
        <v>42152</v>
      </c>
      <c r="F2818" s="106">
        <v>16650.400000000001</v>
      </c>
      <c r="G2818" s="31">
        <f t="shared" si="86"/>
        <v>0</v>
      </c>
      <c r="H2818" s="132" t="s">
        <v>62</v>
      </c>
      <c r="I2818" s="3"/>
      <c r="J2818" s="42"/>
      <c r="K2818" s="3"/>
      <c r="M2818" s="20">
        <v>42126</v>
      </c>
      <c r="N2818" s="183">
        <v>19739</v>
      </c>
      <c r="O2818" s="40" t="s">
        <v>35</v>
      </c>
      <c r="P2818" s="103">
        <v>25007.4</v>
      </c>
      <c r="Q2818" s="23">
        <v>42126</v>
      </c>
      <c r="R2818" s="106">
        <v>25007.4</v>
      </c>
      <c r="S2818" s="25">
        <f t="shared" si="87"/>
        <v>0</v>
      </c>
      <c r="T2818" s="210" t="s">
        <v>773</v>
      </c>
    </row>
    <row r="2819" spans="1:20" x14ac:dyDescent="0.25">
      <c r="A2819" s="20">
        <v>42151</v>
      </c>
      <c r="B2819" s="183">
        <v>22393</v>
      </c>
      <c r="C2819" s="14" t="s">
        <v>1402</v>
      </c>
      <c r="D2819" s="103">
        <v>8800</v>
      </c>
      <c r="E2819" s="23">
        <v>42152</v>
      </c>
      <c r="F2819" s="106">
        <v>8800</v>
      </c>
      <c r="G2819" s="31">
        <f t="shared" ref="G2819:G2882" si="88">D2819-F2819</f>
        <v>0</v>
      </c>
      <c r="H2819" s="132" t="s">
        <v>62</v>
      </c>
      <c r="I2819" s="3"/>
      <c r="J2819" s="42"/>
      <c r="K2819" s="3"/>
      <c r="M2819" s="20">
        <v>42127</v>
      </c>
      <c r="N2819" s="183">
        <v>19868</v>
      </c>
      <c r="O2819" s="14" t="s">
        <v>35</v>
      </c>
      <c r="P2819" s="103">
        <v>24880.85</v>
      </c>
      <c r="Q2819" s="23">
        <v>42127</v>
      </c>
      <c r="R2819" s="106">
        <v>24880.85</v>
      </c>
      <c r="S2819" s="31">
        <f t="shared" ref="S2819:S2882" si="89">P2819-R2819</f>
        <v>0</v>
      </c>
      <c r="T2819" s="209" t="s">
        <v>773</v>
      </c>
    </row>
    <row r="2820" spans="1:20" x14ac:dyDescent="0.25">
      <c r="A2820" s="20">
        <v>42151</v>
      </c>
      <c r="B2820" s="183">
        <v>22394</v>
      </c>
      <c r="C2820" s="14" t="s">
        <v>1197</v>
      </c>
      <c r="D2820" s="103">
        <v>1616.5</v>
      </c>
      <c r="E2820" s="23">
        <v>42151</v>
      </c>
      <c r="F2820" s="106">
        <v>1616.5</v>
      </c>
      <c r="G2820" s="31">
        <f t="shared" si="88"/>
        <v>0</v>
      </c>
      <c r="H2820" s="132" t="s">
        <v>9</v>
      </c>
      <c r="I2820" s="3"/>
      <c r="J2820" s="42"/>
      <c r="K2820" s="3"/>
      <c r="M2820" s="20">
        <v>42127</v>
      </c>
      <c r="N2820" s="183">
        <v>19869</v>
      </c>
      <c r="O2820" s="14" t="s">
        <v>35</v>
      </c>
      <c r="P2820" s="103">
        <v>252</v>
      </c>
      <c r="Q2820" s="23">
        <v>42127</v>
      </c>
      <c r="R2820" s="106">
        <v>252</v>
      </c>
      <c r="S2820" s="31">
        <f t="shared" si="89"/>
        <v>0</v>
      </c>
      <c r="T2820" s="209" t="s">
        <v>62</v>
      </c>
    </row>
    <row r="2821" spans="1:20" x14ac:dyDescent="0.25">
      <c r="A2821" s="20">
        <v>42151</v>
      </c>
      <c r="B2821" s="183">
        <v>22395</v>
      </c>
      <c r="C2821" s="14" t="s">
        <v>123</v>
      </c>
      <c r="D2821" s="103">
        <v>17234.400000000001</v>
      </c>
      <c r="E2821" s="23">
        <v>42152</v>
      </c>
      <c r="F2821" s="106">
        <v>17234.400000000001</v>
      </c>
      <c r="G2821" s="31">
        <f t="shared" si="88"/>
        <v>0</v>
      </c>
      <c r="H2821" s="132" t="s">
        <v>773</v>
      </c>
      <c r="I2821" s="3"/>
      <c r="J2821" s="42"/>
      <c r="K2821" s="3"/>
      <c r="M2821" s="20">
        <v>42128</v>
      </c>
      <c r="N2821" s="183">
        <v>19916</v>
      </c>
      <c r="O2821" s="14" t="s">
        <v>35</v>
      </c>
      <c r="P2821" s="103">
        <v>24496.6</v>
      </c>
      <c r="Q2821" s="23">
        <v>42128</v>
      </c>
      <c r="R2821" s="106">
        <v>24496.6</v>
      </c>
      <c r="S2821" s="31">
        <f t="shared" si="89"/>
        <v>0</v>
      </c>
      <c r="T2821" s="209" t="s">
        <v>773</v>
      </c>
    </row>
    <row r="2822" spans="1:20" x14ac:dyDescent="0.25">
      <c r="A2822" s="20">
        <v>42151</v>
      </c>
      <c r="B2822" s="183">
        <v>22396</v>
      </c>
      <c r="C2822" s="14" t="s">
        <v>173</v>
      </c>
      <c r="D2822" s="103">
        <v>21998.1</v>
      </c>
      <c r="E2822" s="30" t="s">
        <v>1466</v>
      </c>
      <c r="F2822" s="144">
        <v>21998.1</v>
      </c>
      <c r="G2822" s="31">
        <f t="shared" si="88"/>
        <v>0</v>
      </c>
      <c r="H2822" s="132" t="s">
        <v>62</v>
      </c>
      <c r="I2822" s="3"/>
      <c r="J2822" s="42"/>
      <c r="K2822" s="3"/>
      <c r="M2822" s="20">
        <v>42130</v>
      </c>
      <c r="N2822" s="183">
        <v>20173</v>
      </c>
      <c r="O2822" s="14" t="s">
        <v>35</v>
      </c>
      <c r="P2822" s="103">
        <v>25223.4</v>
      </c>
      <c r="Q2822" s="23">
        <v>42131</v>
      </c>
      <c r="R2822" s="106">
        <v>25223.4</v>
      </c>
      <c r="S2822" s="31">
        <f t="shared" si="89"/>
        <v>0</v>
      </c>
      <c r="T2822" s="132" t="s">
        <v>773</v>
      </c>
    </row>
    <row r="2823" spans="1:20" x14ac:dyDescent="0.25">
      <c r="A2823" s="20">
        <v>42151</v>
      </c>
      <c r="B2823" s="183">
        <v>22397</v>
      </c>
      <c r="C2823" s="14" t="s">
        <v>233</v>
      </c>
      <c r="D2823" s="103">
        <v>15961.2</v>
      </c>
      <c r="E2823" s="23">
        <v>42152</v>
      </c>
      <c r="F2823" s="106">
        <v>15961.2</v>
      </c>
      <c r="G2823" s="31">
        <f t="shared" si="88"/>
        <v>0</v>
      </c>
      <c r="H2823" s="132" t="s">
        <v>773</v>
      </c>
      <c r="I2823" s="3"/>
      <c r="J2823" s="42"/>
      <c r="K2823" s="3"/>
      <c r="M2823" s="20">
        <v>42131</v>
      </c>
      <c r="N2823" s="183">
        <v>20271</v>
      </c>
      <c r="O2823" s="14" t="s">
        <v>35</v>
      </c>
      <c r="P2823" s="103">
        <v>23435.27</v>
      </c>
      <c r="Q2823" s="23">
        <v>42131</v>
      </c>
      <c r="R2823" s="106">
        <v>23435.27</v>
      </c>
      <c r="S2823" s="31">
        <f t="shared" si="89"/>
        <v>0</v>
      </c>
      <c r="T2823" s="209" t="s">
        <v>46</v>
      </c>
    </row>
    <row r="2824" spans="1:20" x14ac:dyDescent="0.25">
      <c r="A2824" s="20">
        <v>42151</v>
      </c>
      <c r="B2824" s="183">
        <v>22398</v>
      </c>
      <c r="C2824" s="14" t="s">
        <v>59</v>
      </c>
      <c r="D2824" s="103">
        <v>154</v>
      </c>
      <c r="E2824" s="30">
        <v>42177</v>
      </c>
      <c r="F2824" s="144">
        <v>154</v>
      </c>
      <c r="G2824" s="31">
        <f t="shared" si="88"/>
        <v>0</v>
      </c>
      <c r="H2824" s="132" t="s">
        <v>773</v>
      </c>
      <c r="I2824" s="3"/>
      <c r="J2824" s="42"/>
      <c r="K2824" s="3"/>
      <c r="M2824" s="20">
        <v>42132</v>
      </c>
      <c r="N2824" s="183">
        <v>20407</v>
      </c>
      <c r="O2824" s="14" t="s">
        <v>35</v>
      </c>
      <c r="P2824" s="103">
        <v>24817.15</v>
      </c>
      <c r="Q2824" s="23">
        <v>42133</v>
      </c>
      <c r="R2824" s="106">
        <v>24817.15</v>
      </c>
      <c r="S2824" s="31">
        <f t="shared" si="89"/>
        <v>0</v>
      </c>
      <c r="T2824" s="209" t="s">
        <v>773</v>
      </c>
    </row>
    <row r="2825" spans="1:20" x14ac:dyDescent="0.25">
      <c r="A2825" s="20">
        <v>42151</v>
      </c>
      <c r="B2825" s="183">
        <v>22399</v>
      </c>
      <c r="C2825" s="14" t="s">
        <v>66</v>
      </c>
      <c r="D2825" s="103">
        <v>2604.4</v>
      </c>
      <c r="E2825" s="23">
        <v>42151</v>
      </c>
      <c r="F2825" s="106">
        <v>2604.4</v>
      </c>
      <c r="G2825" s="31">
        <f t="shared" si="88"/>
        <v>0</v>
      </c>
      <c r="H2825" s="132" t="s">
        <v>9</v>
      </c>
      <c r="I2825" s="3"/>
      <c r="J2825" s="42"/>
      <c r="K2825" s="3"/>
      <c r="M2825" s="20">
        <v>42133</v>
      </c>
      <c r="N2825" s="183">
        <v>20514</v>
      </c>
      <c r="O2825" s="14" t="s">
        <v>35</v>
      </c>
      <c r="P2825" s="103">
        <v>24088.5</v>
      </c>
      <c r="Q2825" s="23">
        <v>42133</v>
      </c>
      <c r="R2825" s="106">
        <v>24088.5</v>
      </c>
      <c r="S2825" s="31">
        <f t="shared" si="89"/>
        <v>0</v>
      </c>
      <c r="T2825" s="209" t="s">
        <v>773</v>
      </c>
    </row>
    <row r="2826" spans="1:20" x14ac:dyDescent="0.25">
      <c r="A2826" s="20">
        <v>42151</v>
      </c>
      <c r="B2826" s="183">
        <v>22400</v>
      </c>
      <c r="C2826" s="14" t="s">
        <v>426</v>
      </c>
      <c r="D2826" s="103">
        <v>19363.5</v>
      </c>
      <c r="E2826" s="23">
        <v>42152</v>
      </c>
      <c r="F2826" s="106">
        <v>19363.5</v>
      </c>
      <c r="G2826" s="31">
        <f t="shared" si="88"/>
        <v>0</v>
      </c>
      <c r="H2826" s="132" t="s">
        <v>62</v>
      </c>
      <c r="I2826" s="3"/>
      <c r="J2826" s="42"/>
      <c r="K2826" s="3"/>
      <c r="M2826" s="20">
        <v>42133</v>
      </c>
      <c r="N2826" s="183">
        <v>20515</v>
      </c>
      <c r="O2826" s="14" t="s">
        <v>35</v>
      </c>
      <c r="P2826" s="103">
        <v>525</v>
      </c>
      <c r="Q2826" s="23">
        <v>42133</v>
      </c>
      <c r="R2826" s="106">
        <v>525</v>
      </c>
      <c r="S2826" s="31">
        <f t="shared" si="89"/>
        <v>0</v>
      </c>
      <c r="T2826" s="209" t="s">
        <v>773</v>
      </c>
    </row>
    <row r="2827" spans="1:20" x14ac:dyDescent="0.25">
      <c r="A2827" s="20">
        <v>42151</v>
      </c>
      <c r="B2827" s="183">
        <v>22401</v>
      </c>
      <c r="C2827" s="14" t="s">
        <v>84</v>
      </c>
      <c r="D2827" s="103">
        <v>6421.8</v>
      </c>
      <c r="E2827" s="30" t="s">
        <v>1454</v>
      </c>
      <c r="F2827" s="144">
        <v>6421.8</v>
      </c>
      <c r="G2827" s="31">
        <f t="shared" si="88"/>
        <v>0</v>
      </c>
      <c r="H2827" s="132" t="s">
        <v>62</v>
      </c>
      <c r="I2827" s="3"/>
      <c r="J2827" s="42"/>
      <c r="K2827" s="3"/>
      <c r="M2827" s="20">
        <v>42133</v>
      </c>
      <c r="N2827" s="183">
        <v>20583</v>
      </c>
      <c r="O2827" s="14" t="s">
        <v>35</v>
      </c>
      <c r="P2827" s="103">
        <v>25597</v>
      </c>
      <c r="Q2827" s="23">
        <v>42134</v>
      </c>
      <c r="R2827" s="106">
        <v>25597</v>
      </c>
      <c r="S2827" s="31">
        <f t="shared" si="89"/>
        <v>0</v>
      </c>
      <c r="T2827" s="132" t="s">
        <v>773</v>
      </c>
    </row>
    <row r="2828" spans="1:20" x14ac:dyDescent="0.25">
      <c r="A2828" s="20">
        <v>42151</v>
      </c>
      <c r="B2828" s="183">
        <v>22402</v>
      </c>
      <c r="C2828" s="26" t="s">
        <v>218</v>
      </c>
      <c r="D2828" s="153">
        <v>0</v>
      </c>
      <c r="E2828" s="23"/>
      <c r="F2828" s="106"/>
      <c r="G2828" s="31">
        <f t="shared" si="88"/>
        <v>0</v>
      </c>
      <c r="H2828" s="132" t="s">
        <v>13</v>
      </c>
      <c r="I2828" s="3"/>
      <c r="J2828" s="42"/>
      <c r="K2828" s="3"/>
      <c r="M2828" s="20">
        <v>42134</v>
      </c>
      <c r="N2828" s="183">
        <v>20641</v>
      </c>
      <c r="O2828" s="14" t="s">
        <v>35</v>
      </c>
      <c r="P2828" s="103">
        <v>25470.5</v>
      </c>
      <c r="Q2828" s="23">
        <v>42135</v>
      </c>
      <c r="R2828" s="106">
        <v>25470.5</v>
      </c>
      <c r="S2828" s="31">
        <f t="shared" si="89"/>
        <v>0</v>
      </c>
      <c r="T2828" s="132" t="s">
        <v>9</v>
      </c>
    </row>
    <row r="2829" spans="1:20" x14ac:dyDescent="0.25">
      <c r="A2829" s="20">
        <v>42151</v>
      </c>
      <c r="B2829" s="183">
        <v>22403</v>
      </c>
      <c r="C2829" s="14" t="s">
        <v>1402</v>
      </c>
      <c r="D2829" s="103">
        <v>5974.8</v>
      </c>
      <c r="E2829" s="23">
        <v>42152</v>
      </c>
      <c r="F2829" s="106">
        <v>5974.8</v>
      </c>
      <c r="G2829" s="31">
        <f t="shared" si="88"/>
        <v>0</v>
      </c>
      <c r="H2829" s="132" t="s">
        <v>62</v>
      </c>
      <c r="I2829" s="3"/>
      <c r="J2829" s="42"/>
      <c r="K2829" s="3"/>
      <c r="M2829" s="20">
        <v>42134</v>
      </c>
      <c r="N2829" s="183">
        <v>20654</v>
      </c>
      <c r="O2829" s="14" t="s">
        <v>35</v>
      </c>
      <c r="P2829" s="103">
        <v>180</v>
      </c>
      <c r="Q2829" s="23">
        <v>42134</v>
      </c>
      <c r="R2829" s="106">
        <v>180</v>
      </c>
      <c r="S2829" s="31">
        <f t="shared" si="89"/>
        <v>0</v>
      </c>
      <c r="T2829" s="132" t="s">
        <v>9</v>
      </c>
    </row>
    <row r="2830" spans="1:20" x14ac:dyDescent="0.25">
      <c r="A2830" s="20">
        <v>42151</v>
      </c>
      <c r="B2830" s="183">
        <v>22404</v>
      </c>
      <c r="C2830" s="14" t="s">
        <v>61</v>
      </c>
      <c r="D2830" s="103">
        <v>9032.08</v>
      </c>
      <c r="E2830" s="23">
        <v>42152</v>
      </c>
      <c r="F2830" s="106">
        <v>9032.08</v>
      </c>
      <c r="G2830" s="31">
        <f t="shared" si="88"/>
        <v>0</v>
      </c>
      <c r="H2830" s="132" t="s">
        <v>62</v>
      </c>
      <c r="I2830" s="3"/>
      <c r="J2830" s="42"/>
      <c r="K2830" s="3"/>
      <c r="M2830" s="20">
        <v>42137</v>
      </c>
      <c r="N2830" s="183">
        <v>20907</v>
      </c>
      <c r="O2830" s="14" t="s">
        <v>35</v>
      </c>
      <c r="P2830" s="103">
        <v>24459.87</v>
      </c>
      <c r="Q2830" s="23">
        <v>42137</v>
      </c>
      <c r="R2830" s="106">
        <v>24459.87</v>
      </c>
      <c r="S2830" s="31">
        <f t="shared" si="89"/>
        <v>0</v>
      </c>
      <c r="T2830" s="209" t="s">
        <v>46</v>
      </c>
    </row>
    <row r="2831" spans="1:20" x14ac:dyDescent="0.25">
      <c r="A2831" s="20">
        <v>42151</v>
      </c>
      <c r="B2831" s="183">
        <v>22405</v>
      </c>
      <c r="C2831" s="150" t="s">
        <v>78</v>
      </c>
      <c r="D2831" s="103">
        <v>978.9</v>
      </c>
      <c r="E2831" s="23">
        <v>42152</v>
      </c>
      <c r="F2831" s="106">
        <v>978.9</v>
      </c>
      <c r="G2831" s="31">
        <f t="shared" si="88"/>
        <v>0</v>
      </c>
      <c r="H2831" s="132" t="s">
        <v>62</v>
      </c>
      <c r="I2831" s="3"/>
      <c r="J2831" s="42"/>
      <c r="K2831" s="3"/>
      <c r="M2831" s="20">
        <v>42138</v>
      </c>
      <c r="N2831" s="183">
        <v>21026</v>
      </c>
      <c r="O2831" s="14" t="s">
        <v>35</v>
      </c>
      <c r="P2831" s="103">
        <v>23072.5</v>
      </c>
      <c r="Q2831" s="23">
        <v>42139</v>
      </c>
      <c r="R2831" s="106">
        <v>23072.5</v>
      </c>
      <c r="S2831" s="48">
        <f t="shared" si="89"/>
        <v>0</v>
      </c>
      <c r="T2831" s="132" t="s">
        <v>62</v>
      </c>
    </row>
    <row r="2832" spans="1:20" x14ac:dyDescent="0.25">
      <c r="A2832" s="20">
        <v>42151</v>
      </c>
      <c r="B2832" s="183">
        <v>22406</v>
      </c>
      <c r="C2832" s="14" t="s">
        <v>84</v>
      </c>
      <c r="D2832" s="103">
        <v>60</v>
      </c>
      <c r="E2832" s="30" t="s">
        <v>1454</v>
      </c>
      <c r="F2832" s="144">
        <v>60</v>
      </c>
      <c r="G2832" s="31">
        <f t="shared" si="88"/>
        <v>0</v>
      </c>
      <c r="H2832" s="132" t="s">
        <v>62</v>
      </c>
      <c r="I2832" s="3"/>
      <c r="J2832" s="42"/>
      <c r="K2832" s="3"/>
      <c r="M2832" s="20">
        <v>42140</v>
      </c>
      <c r="N2832" s="183">
        <v>21253</v>
      </c>
      <c r="O2832" s="14" t="s">
        <v>35</v>
      </c>
      <c r="P2832" s="103">
        <v>25984</v>
      </c>
      <c r="Q2832" s="23">
        <v>42140</v>
      </c>
      <c r="R2832" s="106">
        <v>25984</v>
      </c>
      <c r="S2832" s="31">
        <f t="shared" si="89"/>
        <v>0</v>
      </c>
      <c r="T2832" s="209" t="s">
        <v>773</v>
      </c>
    </row>
    <row r="2833" spans="1:20" x14ac:dyDescent="0.25">
      <c r="A2833" s="20">
        <v>42151</v>
      </c>
      <c r="B2833" s="183">
        <v>22407</v>
      </c>
      <c r="C2833" s="14" t="s">
        <v>158</v>
      </c>
      <c r="D2833" s="103">
        <v>2948.4</v>
      </c>
      <c r="E2833" s="23">
        <v>42151</v>
      </c>
      <c r="F2833" s="106">
        <v>2948.4</v>
      </c>
      <c r="G2833" s="31">
        <f t="shared" si="88"/>
        <v>0</v>
      </c>
      <c r="H2833" s="132" t="s">
        <v>9</v>
      </c>
      <c r="I2833" s="3"/>
      <c r="J2833" s="42"/>
      <c r="K2833" s="3"/>
      <c r="M2833" s="20">
        <v>42141</v>
      </c>
      <c r="N2833" s="183">
        <v>21347</v>
      </c>
      <c r="O2833" s="14" t="s">
        <v>35</v>
      </c>
      <c r="P2833" s="103">
        <v>25782.400000000001</v>
      </c>
      <c r="Q2833" s="23">
        <v>42142</v>
      </c>
      <c r="R2833" s="118">
        <v>25782.400000000001</v>
      </c>
      <c r="S2833" s="31">
        <f t="shared" si="89"/>
        <v>0</v>
      </c>
      <c r="T2833" s="180" t="s">
        <v>773</v>
      </c>
    </row>
    <row r="2834" spans="1:20" x14ac:dyDescent="0.25">
      <c r="A2834" s="20">
        <v>42151</v>
      </c>
      <c r="B2834" s="183">
        <v>22408</v>
      </c>
      <c r="C2834" s="14" t="s">
        <v>1262</v>
      </c>
      <c r="D2834" s="103">
        <v>26360.1</v>
      </c>
      <c r="E2834" s="30">
        <v>42165</v>
      </c>
      <c r="F2834" s="144">
        <v>26360.1</v>
      </c>
      <c r="G2834" s="31">
        <f t="shared" si="88"/>
        <v>0</v>
      </c>
      <c r="H2834" s="132" t="s">
        <v>94</v>
      </c>
      <c r="I2834" s="3"/>
      <c r="J2834" s="42"/>
      <c r="K2834" s="3"/>
      <c r="M2834" s="20">
        <v>42142</v>
      </c>
      <c r="N2834" s="183">
        <v>21498</v>
      </c>
      <c r="O2834" s="14" t="s">
        <v>35</v>
      </c>
      <c r="P2834" s="103">
        <v>26656.05</v>
      </c>
      <c r="Q2834" s="23">
        <v>42143</v>
      </c>
      <c r="R2834" s="106">
        <v>26656.05</v>
      </c>
      <c r="S2834" s="31">
        <f t="shared" si="89"/>
        <v>0</v>
      </c>
      <c r="T2834" s="209" t="s">
        <v>773</v>
      </c>
    </row>
    <row r="2835" spans="1:20" x14ac:dyDescent="0.25">
      <c r="A2835" s="20">
        <v>42151</v>
      </c>
      <c r="B2835" s="183">
        <v>22409</v>
      </c>
      <c r="C2835" s="14" t="s">
        <v>136</v>
      </c>
      <c r="D2835" s="103">
        <v>12113.4</v>
      </c>
      <c r="E2835" s="23">
        <v>42151</v>
      </c>
      <c r="F2835" s="106">
        <v>12113.4</v>
      </c>
      <c r="G2835" s="31">
        <f t="shared" si="88"/>
        <v>0</v>
      </c>
      <c r="H2835" s="132" t="s">
        <v>9</v>
      </c>
      <c r="I2835" s="3"/>
      <c r="J2835" s="42"/>
      <c r="K2835" s="3"/>
      <c r="M2835" s="20">
        <v>42143</v>
      </c>
      <c r="N2835" s="183">
        <v>21596</v>
      </c>
      <c r="O2835" s="14" t="s">
        <v>35</v>
      </c>
      <c r="P2835" s="103">
        <v>584.20000000000005</v>
      </c>
      <c r="Q2835" s="23">
        <v>42145</v>
      </c>
      <c r="R2835" s="118">
        <v>584.20000000000005</v>
      </c>
      <c r="S2835" s="31">
        <f t="shared" si="89"/>
        <v>0</v>
      </c>
      <c r="T2835" s="28" t="s">
        <v>1257</v>
      </c>
    </row>
    <row r="2836" spans="1:20" x14ac:dyDescent="0.25">
      <c r="A2836" s="20">
        <v>42151</v>
      </c>
      <c r="B2836" s="183">
        <v>22410</v>
      </c>
      <c r="C2836" s="14" t="s">
        <v>35</v>
      </c>
      <c r="D2836" s="103">
        <v>400</v>
      </c>
      <c r="E2836" s="23">
        <v>42151</v>
      </c>
      <c r="F2836" s="106">
        <v>400</v>
      </c>
      <c r="G2836" s="31">
        <f t="shared" si="88"/>
        <v>0</v>
      </c>
      <c r="H2836" s="132" t="s">
        <v>9</v>
      </c>
      <c r="I2836" s="3"/>
      <c r="J2836" s="42"/>
      <c r="K2836" s="3"/>
      <c r="M2836" s="20">
        <v>42144</v>
      </c>
      <c r="N2836" s="183">
        <v>21637</v>
      </c>
      <c r="O2836" s="14" t="s">
        <v>35</v>
      </c>
      <c r="P2836" s="103">
        <v>25553.1</v>
      </c>
      <c r="Q2836" s="23">
        <v>42145</v>
      </c>
      <c r="R2836" s="118">
        <v>25553.1</v>
      </c>
      <c r="S2836" s="31">
        <f t="shared" si="89"/>
        <v>0</v>
      </c>
      <c r="T2836" s="180" t="s">
        <v>773</v>
      </c>
    </row>
    <row r="2837" spans="1:20" x14ac:dyDescent="0.25">
      <c r="A2837" s="20">
        <v>42151</v>
      </c>
      <c r="B2837" s="183">
        <v>22411</v>
      </c>
      <c r="C2837" s="14" t="s">
        <v>1369</v>
      </c>
      <c r="D2837" s="103">
        <v>29422</v>
      </c>
      <c r="E2837" s="23">
        <v>42152</v>
      </c>
      <c r="F2837" s="106">
        <v>29422</v>
      </c>
      <c r="G2837" s="31">
        <f t="shared" si="88"/>
        <v>0</v>
      </c>
      <c r="H2837" s="132" t="s">
        <v>1273</v>
      </c>
      <c r="I2837" s="3"/>
      <c r="J2837" s="42"/>
      <c r="K2837" s="3"/>
      <c r="M2837" s="20">
        <v>42145</v>
      </c>
      <c r="N2837" s="183">
        <v>21754</v>
      </c>
      <c r="O2837" s="15" t="s">
        <v>35</v>
      </c>
      <c r="P2837" s="133">
        <v>27008.15</v>
      </c>
      <c r="Q2837" s="23">
        <v>42146</v>
      </c>
      <c r="R2837" s="118">
        <v>27008.15</v>
      </c>
      <c r="S2837" s="31">
        <f t="shared" si="89"/>
        <v>0</v>
      </c>
      <c r="T2837" s="46" t="s">
        <v>773</v>
      </c>
    </row>
    <row r="2838" spans="1:20" x14ac:dyDescent="0.25">
      <c r="A2838" s="20">
        <v>42151</v>
      </c>
      <c r="B2838" s="183">
        <v>22412</v>
      </c>
      <c r="C2838" s="14" t="s">
        <v>98</v>
      </c>
      <c r="D2838" s="103">
        <v>2485.9</v>
      </c>
      <c r="E2838" s="23">
        <v>42152</v>
      </c>
      <c r="F2838" s="106">
        <v>2485.9</v>
      </c>
      <c r="G2838" s="31">
        <f t="shared" si="88"/>
        <v>0</v>
      </c>
      <c r="H2838" s="132" t="s">
        <v>1273</v>
      </c>
      <c r="I2838" s="3"/>
      <c r="J2838" s="42"/>
      <c r="K2838" s="3"/>
      <c r="M2838" s="20">
        <v>42146</v>
      </c>
      <c r="N2838" s="183">
        <v>21920</v>
      </c>
      <c r="O2838" s="14" t="s">
        <v>35</v>
      </c>
      <c r="P2838" s="103">
        <v>26543.7</v>
      </c>
      <c r="Q2838" s="23">
        <v>42147</v>
      </c>
      <c r="R2838" s="106">
        <v>26543.7</v>
      </c>
      <c r="S2838" s="31">
        <f t="shared" si="89"/>
        <v>0</v>
      </c>
      <c r="T2838" s="132" t="s">
        <v>1257</v>
      </c>
    </row>
    <row r="2839" spans="1:20" x14ac:dyDescent="0.25">
      <c r="A2839" s="20">
        <v>42151</v>
      </c>
      <c r="B2839" s="183">
        <v>22413</v>
      </c>
      <c r="C2839" s="14" t="s">
        <v>14</v>
      </c>
      <c r="D2839" s="103">
        <v>14033.6</v>
      </c>
      <c r="E2839" s="30">
        <v>42172</v>
      </c>
      <c r="F2839" s="144">
        <v>14033.6</v>
      </c>
      <c r="G2839" s="31">
        <f t="shared" si="88"/>
        <v>0</v>
      </c>
      <c r="H2839" s="132" t="s">
        <v>1013</v>
      </c>
      <c r="I2839" s="3"/>
      <c r="J2839" s="42"/>
      <c r="K2839" s="3"/>
      <c r="M2839" s="20">
        <v>42147</v>
      </c>
      <c r="N2839" s="183">
        <v>22049</v>
      </c>
      <c r="O2839" s="14" t="s">
        <v>35</v>
      </c>
      <c r="P2839" s="103">
        <v>27544.2</v>
      </c>
      <c r="Q2839" s="65">
        <v>42148</v>
      </c>
      <c r="R2839" s="106">
        <v>27544.2</v>
      </c>
      <c r="S2839" s="31">
        <f t="shared" si="89"/>
        <v>0</v>
      </c>
      <c r="T2839" s="132" t="s">
        <v>773</v>
      </c>
    </row>
    <row r="2840" spans="1:20" x14ac:dyDescent="0.25">
      <c r="A2840" s="20">
        <v>42151</v>
      </c>
      <c r="B2840" s="183">
        <v>22414</v>
      </c>
      <c r="C2840" s="14" t="s">
        <v>411</v>
      </c>
      <c r="D2840" s="103">
        <v>858.9</v>
      </c>
      <c r="E2840" s="23">
        <v>42151</v>
      </c>
      <c r="F2840" s="106">
        <v>858.9</v>
      </c>
      <c r="G2840" s="31">
        <f t="shared" si="88"/>
        <v>0</v>
      </c>
      <c r="H2840" s="132" t="s">
        <v>9</v>
      </c>
      <c r="I2840" s="3"/>
      <c r="J2840" s="42"/>
      <c r="K2840" s="3"/>
      <c r="M2840" s="20">
        <v>42148</v>
      </c>
      <c r="N2840" s="183">
        <v>22108</v>
      </c>
      <c r="O2840" s="14" t="s">
        <v>35</v>
      </c>
      <c r="P2840" s="103">
        <v>2590</v>
      </c>
      <c r="Q2840" s="65">
        <v>42148</v>
      </c>
      <c r="R2840" s="106">
        <v>2590</v>
      </c>
      <c r="S2840" s="31">
        <f t="shared" si="89"/>
        <v>0</v>
      </c>
      <c r="T2840" s="132" t="s">
        <v>773</v>
      </c>
    </row>
    <row r="2841" spans="1:20" x14ac:dyDescent="0.25">
      <c r="A2841" s="20">
        <v>42151</v>
      </c>
      <c r="B2841" s="183">
        <v>22415</v>
      </c>
      <c r="C2841" s="14" t="s">
        <v>697</v>
      </c>
      <c r="D2841" s="103">
        <v>23058.49</v>
      </c>
      <c r="E2841" s="30" t="s">
        <v>1458</v>
      </c>
      <c r="F2841" s="144">
        <v>23058.49</v>
      </c>
      <c r="G2841" s="31">
        <f t="shared" si="88"/>
        <v>0</v>
      </c>
      <c r="H2841" s="132" t="s">
        <v>9</v>
      </c>
      <c r="I2841" s="3"/>
      <c r="J2841" s="42"/>
      <c r="K2841" s="3"/>
      <c r="M2841" s="20">
        <v>42149</v>
      </c>
      <c r="N2841" s="183">
        <v>22187</v>
      </c>
      <c r="O2841" s="14" t="s">
        <v>35</v>
      </c>
      <c r="P2841" s="103">
        <v>28314.1</v>
      </c>
      <c r="Q2841" s="65">
        <v>42149</v>
      </c>
      <c r="R2841" s="106">
        <v>28314.1</v>
      </c>
      <c r="S2841" s="31">
        <f t="shared" si="89"/>
        <v>0</v>
      </c>
      <c r="T2841" s="132" t="s">
        <v>773</v>
      </c>
    </row>
    <row r="2842" spans="1:20" x14ac:dyDescent="0.25">
      <c r="A2842" s="20">
        <v>42151</v>
      </c>
      <c r="B2842" s="183">
        <v>22416</v>
      </c>
      <c r="C2842" s="14" t="s">
        <v>32</v>
      </c>
      <c r="D2842" s="103">
        <v>200225.6</v>
      </c>
      <c r="E2842" s="30">
        <v>42171</v>
      </c>
      <c r="F2842" s="144">
        <v>200225.6</v>
      </c>
      <c r="G2842" s="31">
        <f t="shared" si="88"/>
        <v>0</v>
      </c>
      <c r="H2842" s="132" t="s">
        <v>149</v>
      </c>
      <c r="I2842" s="3"/>
      <c r="J2842" s="42"/>
      <c r="K2842" s="3"/>
      <c r="M2842" s="20">
        <v>42149</v>
      </c>
      <c r="N2842" s="183">
        <v>22188</v>
      </c>
      <c r="O2842" s="14" t="s">
        <v>35</v>
      </c>
      <c r="P2842" s="103">
        <v>1980</v>
      </c>
      <c r="Q2842" s="65">
        <v>42149</v>
      </c>
      <c r="R2842" s="106">
        <v>1980</v>
      </c>
      <c r="S2842" s="31">
        <f t="shared" si="89"/>
        <v>0</v>
      </c>
      <c r="T2842" s="132" t="s">
        <v>773</v>
      </c>
    </row>
    <row r="2843" spans="1:20" x14ac:dyDescent="0.25">
      <c r="A2843" s="20">
        <v>42151</v>
      </c>
      <c r="B2843" s="183">
        <v>22417</v>
      </c>
      <c r="C2843" s="14" t="s">
        <v>1318</v>
      </c>
      <c r="D2843" s="103">
        <v>28547.4</v>
      </c>
      <c r="E2843" s="23">
        <v>42151</v>
      </c>
      <c r="F2843" s="106">
        <v>28547.4</v>
      </c>
      <c r="G2843" s="31">
        <f t="shared" si="88"/>
        <v>0</v>
      </c>
      <c r="H2843" s="132" t="s">
        <v>9</v>
      </c>
      <c r="I2843" s="3"/>
      <c r="J2843" s="42"/>
      <c r="K2843" s="3"/>
      <c r="M2843" s="20">
        <v>42150</v>
      </c>
      <c r="N2843" s="183">
        <v>22323</v>
      </c>
      <c r="O2843" s="14" t="s">
        <v>35</v>
      </c>
      <c r="P2843" s="103">
        <v>24137.49</v>
      </c>
      <c r="Q2843" s="65">
        <v>42151</v>
      </c>
      <c r="R2843" s="106">
        <v>24137.49</v>
      </c>
      <c r="S2843" s="31">
        <f t="shared" si="89"/>
        <v>0</v>
      </c>
      <c r="T2843" s="132" t="s">
        <v>1257</v>
      </c>
    </row>
    <row r="2844" spans="1:20" x14ac:dyDescent="0.25">
      <c r="A2844" s="20">
        <v>42151</v>
      </c>
      <c r="B2844" s="183">
        <v>22418</v>
      </c>
      <c r="C2844" s="14" t="s">
        <v>111</v>
      </c>
      <c r="D2844" s="103">
        <v>146080</v>
      </c>
      <c r="E2844" s="23">
        <v>42153</v>
      </c>
      <c r="F2844" s="106">
        <v>146080</v>
      </c>
      <c r="G2844" s="31">
        <f t="shared" si="88"/>
        <v>0</v>
      </c>
      <c r="H2844" s="132" t="s">
        <v>9</v>
      </c>
      <c r="I2844" s="3"/>
      <c r="J2844" s="42"/>
      <c r="K2844" s="3"/>
      <c r="M2844" s="20">
        <v>42151</v>
      </c>
      <c r="N2844" s="183">
        <v>22410</v>
      </c>
      <c r="O2844" s="14" t="s">
        <v>35</v>
      </c>
      <c r="P2844" s="103">
        <v>400</v>
      </c>
      <c r="Q2844" s="23">
        <v>42151</v>
      </c>
      <c r="R2844" s="106">
        <v>400</v>
      </c>
      <c r="S2844" s="31">
        <f t="shared" si="89"/>
        <v>0</v>
      </c>
      <c r="T2844" s="132" t="s">
        <v>9</v>
      </c>
    </row>
    <row r="2845" spans="1:20" x14ac:dyDescent="0.25">
      <c r="A2845" s="20">
        <v>42151</v>
      </c>
      <c r="B2845" s="183">
        <v>22419</v>
      </c>
      <c r="C2845" s="14" t="s">
        <v>697</v>
      </c>
      <c r="D2845" s="103">
        <v>22218.31</v>
      </c>
      <c r="E2845" s="30" t="s">
        <v>1458</v>
      </c>
      <c r="F2845" s="144">
        <v>22218.31</v>
      </c>
      <c r="G2845" s="31">
        <f t="shared" si="88"/>
        <v>0</v>
      </c>
      <c r="H2845" s="132" t="s">
        <v>9</v>
      </c>
      <c r="I2845" s="3"/>
      <c r="J2845" s="42"/>
      <c r="K2845" s="3"/>
      <c r="M2845" s="20">
        <v>42153</v>
      </c>
      <c r="N2845" s="183">
        <v>22647</v>
      </c>
      <c r="O2845" s="14" t="s">
        <v>35</v>
      </c>
      <c r="P2845" s="103">
        <v>26624.9</v>
      </c>
      <c r="Q2845" s="23">
        <v>42154</v>
      </c>
      <c r="R2845" s="106">
        <v>26624.9</v>
      </c>
      <c r="S2845" s="31">
        <f t="shared" si="89"/>
        <v>0</v>
      </c>
      <c r="T2845" s="132" t="s">
        <v>773</v>
      </c>
    </row>
    <row r="2846" spans="1:20" x14ac:dyDescent="0.25">
      <c r="A2846" s="20">
        <v>42151</v>
      </c>
      <c r="B2846" s="183">
        <v>22420</v>
      </c>
      <c r="C2846" s="14" t="s">
        <v>14</v>
      </c>
      <c r="D2846" s="103">
        <v>39440.550000000003</v>
      </c>
      <c r="E2846" s="30" t="s">
        <v>1471</v>
      </c>
      <c r="F2846" s="144">
        <f>11897.89+2950+24592.66</f>
        <v>39440.550000000003</v>
      </c>
      <c r="G2846" s="31">
        <f t="shared" si="88"/>
        <v>0</v>
      </c>
      <c r="H2846" s="132" t="s">
        <v>9</v>
      </c>
      <c r="I2846" s="3"/>
      <c r="J2846" s="42"/>
      <c r="K2846" s="3"/>
      <c r="M2846" s="20">
        <v>42154</v>
      </c>
      <c r="N2846" s="183">
        <v>22681</v>
      </c>
      <c r="O2846" s="14" t="s">
        <v>35</v>
      </c>
      <c r="P2846" s="103">
        <v>27518.1</v>
      </c>
      <c r="Q2846" s="23">
        <v>42154</v>
      </c>
      <c r="R2846" s="106">
        <v>27518.1</v>
      </c>
      <c r="S2846" s="31">
        <f t="shared" si="89"/>
        <v>0</v>
      </c>
      <c r="T2846" s="132" t="s">
        <v>773</v>
      </c>
    </row>
    <row r="2847" spans="1:20" x14ac:dyDescent="0.25">
      <c r="A2847" s="20">
        <v>42151</v>
      </c>
      <c r="B2847" s="183">
        <v>22421</v>
      </c>
      <c r="C2847" s="14" t="s">
        <v>111</v>
      </c>
      <c r="D2847" s="103">
        <v>147784.95999999999</v>
      </c>
      <c r="E2847" s="23">
        <v>42152</v>
      </c>
      <c r="F2847" s="106">
        <v>147784.95999999999</v>
      </c>
      <c r="G2847" s="31">
        <f t="shared" si="88"/>
        <v>0</v>
      </c>
      <c r="H2847" s="132" t="s">
        <v>94</v>
      </c>
      <c r="I2847" s="3"/>
      <c r="J2847" s="42"/>
      <c r="K2847" s="3"/>
      <c r="M2847" s="20">
        <v>42155</v>
      </c>
      <c r="N2847" s="183">
        <v>22804</v>
      </c>
      <c r="O2847" s="14" t="s">
        <v>35</v>
      </c>
      <c r="P2847" s="103">
        <v>28181.35</v>
      </c>
      <c r="Q2847" s="23">
        <v>42155</v>
      </c>
      <c r="R2847" s="106">
        <v>28181.35</v>
      </c>
      <c r="S2847" s="31">
        <f t="shared" si="89"/>
        <v>0</v>
      </c>
      <c r="T2847" s="132" t="s">
        <v>773</v>
      </c>
    </row>
    <row r="2848" spans="1:20" x14ac:dyDescent="0.25">
      <c r="A2848" s="20">
        <v>42151</v>
      </c>
      <c r="B2848" s="183">
        <v>22422</v>
      </c>
      <c r="C2848" s="14" t="s">
        <v>235</v>
      </c>
      <c r="D2848" s="103">
        <v>2360.4</v>
      </c>
      <c r="E2848" s="23">
        <v>42152</v>
      </c>
      <c r="F2848" s="106">
        <v>2360.4</v>
      </c>
      <c r="G2848" s="31">
        <f t="shared" si="88"/>
        <v>0</v>
      </c>
      <c r="H2848" s="132" t="s">
        <v>1257</v>
      </c>
      <c r="I2848" s="3"/>
      <c r="J2848" s="42"/>
      <c r="K2848" s="3"/>
      <c r="M2848" s="20">
        <v>42126</v>
      </c>
      <c r="N2848" s="183">
        <v>19753</v>
      </c>
      <c r="O2848" s="40" t="s">
        <v>165</v>
      </c>
      <c r="P2848" s="103">
        <v>2277</v>
      </c>
      <c r="Q2848" s="23">
        <v>42126</v>
      </c>
      <c r="R2848" s="106">
        <v>2277</v>
      </c>
      <c r="S2848" s="25">
        <f t="shared" si="89"/>
        <v>0</v>
      </c>
      <c r="T2848" s="210" t="s">
        <v>1257</v>
      </c>
    </row>
    <row r="2849" spans="1:20" x14ac:dyDescent="0.25">
      <c r="A2849" s="20">
        <v>42151</v>
      </c>
      <c r="B2849" s="183">
        <v>22423</v>
      </c>
      <c r="C2849" s="14" t="s">
        <v>24</v>
      </c>
      <c r="D2849" s="103">
        <v>34758.339999999997</v>
      </c>
      <c r="E2849" s="30">
        <v>42173</v>
      </c>
      <c r="F2849" s="144">
        <v>34758.339999999997</v>
      </c>
      <c r="G2849" s="31">
        <f t="shared" si="88"/>
        <v>0</v>
      </c>
      <c r="H2849" s="132" t="s">
        <v>9</v>
      </c>
      <c r="I2849" s="3"/>
      <c r="J2849" s="42"/>
      <c r="K2849" s="3"/>
      <c r="M2849" s="20">
        <v>42129</v>
      </c>
      <c r="N2849" s="183">
        <v>20073</v>
      </c>
      <c r="O2849" s="14" t="s">
        <v>165</v>
      </c>
      <c r="P2849" s="103">
        <v>2077.6</v>
      </c>
      <c r="Q2849" s="23">
        <v>42129</v>
      </c>
      <c r="R2849" s="106">
        <v>2077.6</v>
      </c>
      <c r="S2849" s="31">
        <f t="shared" si="89"/>
        <v>0</v>
      </c>
      <c r="T2849" s="132" t="s">
        <v>1257</v>
      </c>
    </row>
    <row r="2850" spans="1:20" x14ac:dyDescent="0.25">
      <c r="A2850" s="20">
        <v>42152</v>
      </c>
      <c r="B2850" s="183">
        <v>22424</v>
      </c>
      <c r="C2850" s="150" t="s">
        <v>1370</v>
      </c>
      <c r="D2850" s="103">
        <v>1154.5999999999999</v>
      </c>
      <c r="E2850" s="23">
        <v>42152</v>
      </c>
      <c r="F2850" s="106">
        <v>1154.5999999999999</v>
      </c>
      <c r="G2850" s="31">
        <f t="shared" si="88"/>
        <v>0</v>
      </c>
      <c r="H2850" s="132" t="s">
        <v>9</v>
      </c>
      <c r="I2850" s="3"/>
      <c r="J2850" s="42"/>
      <c r="K2850" s="3"/>
      <c r="M2850" s="20">
        <v>42130</v>
      </c>
      <c r="N2850" s="183">
        <v>20162</v>
      </c>
      <c r="O2850" s="14" t="s">
        <v>165</v>
      </c>
      <c r="P2850" s="103">
        <v>2704.8</v>
      </c>
      <c r="Q2850" s="23">
        <v>42130</v>
      </c>
      <c r="R2850" s="106">
        <v>2704.8</v>
      </c>
      <c r="S2850" s="31">
        <f t="shared" si="89"/>
        <v>0</v>
      </c>
      <c r="T2850" s="132" t="s">
        <v>46</v>
      </c>
    </row>
    <row r="2851" spans="1:20" x14ac:dyDescent="0.25">
      <c r="A2851" s="20">
        <v>42152</v>
      </c>
      <c r="B2851" s="183">
        <v>22425</v>
      </c>
      <c r="C2851" s="14" t="s">
        <v>720</v>
      </c>
      <c r="D2851" s="103">
        <v>8577</v>
      </c>
      <c r="E2851" s="23">
        <v>42152</v>
      </c>
      <c r="F2851" s="106">
        <v>8577</v>
      </c>
      <c r="G2851" s="31">
        <f t="shared" si="88"/>
        <v>0</v>
      </c>
      <c r="H2851" s="132" t="s">
        <v>9</v>
      </c>
      <c r="I2851" s="3"/>
      <c r="J2851" s="42"/>
      <c r="K2851" s="3"/>
      <c r="M2851" s="20">
        <v>42131</v>
      </c>
      <c r="N2851" s="183">
        <v>20264</v>
      </c>
      <c r="O2851" s="14" t="s">
        <v>165</v>
      </c>
      <c r="P2851" s="103">
        <v>2346.4</v>
      </c>
      <c r="Q2851" s="23">
        <v>42131</v>
      </c>
      <c r="R2851" s="106">
        <v>2346.4</v>
      </c>
      <c r="S2851" s="31">
        <f t="shared" si="89"/>
        <v>0</v>
      </c>
      <c r="T2851" s="209" t="s">
        <v>1257</v>
      </c>
    </row>
    <row r="2852" spans="1:20" x14ac:dyDescent="0.25">
      <c r="A2852" s="20">
        <v>42152</v>
      </c>
      <c r="B2852" s="183">
        <v>22426</v>
      </c>
      <c r="C2852" s="14" t="s">
        <v>863</v>
      </c>
      <c r="D2852" s="103">
        <v>9210</v>
      </c>
      <c r="E2852" s="23">
        <v>42152</v>
      </c>
      <c r="F2852" s="106">
        <v>9210</v>
      </c>
      <c r="G2852" s="31">
        <f t="shared" si="88"/>
        <v>0</v>
      </c>
      <c r="H2852" s="132" t="s">
        <v>9</v>
      </c>
      <c r="I2852" s="3"/>
      <c r="J2852" s="42"/>
      <c r="K2852" s="3"/>
      <c r="M2852" s="20">
        <v>42134</v>
      </c>
      <c r="N2852" s="183">
        <v>20615</v>
      </c>
      <c r="O2852" s="14" t="s">
        <v>165</v>
      </c>
      <c r="P2852" s="103">
        <v>2394</v>
      </c>
      <c r="Q2852" s="23">
        <v>42135</v>
      </c>
      <c r="R2852" s="118">
        <v>2394</v>
      </c>
      <c r="S2852" s="31">
        <f t="shared" si="89"/>
        <v>0</v>
      </c>
      <c r="T2852" s="28" t="s">
        <v>1257</v>
      </c>
    </row>
    <row r="2853" spans="1:20" x14ac:dyDescent="0.25">
      <c r="A2853" s="20">
        <v>42152</v>
      </c>
      <c r="B2853" s="183">
        <v>22427</v>
      </c>
      <c r="C2853" s="14" t="s">
        <v>383</v>
      </c>
      <c r="D2853" s="103">
        <v>5293.2</v>
      </c>
      <c r="E2853" s="23">
        <v>42152</v>
      </c>
      <c r="F2853" s="106">
        <v>5293.2</v>
      </c>
      <c r="G2853" s="31">
        <f t="shared" si="88"/>
        <v>0</v>
      </c>
      <c r="H2853" s="132" t="s">
        <v>9</v>
      </c>
      <c r="I2853" s="3"/>
      <c r="J2853" s="42"/>
      <c r="K2853" s="3"/>
      <c r="M2853" s="20">
        <v>42137</v>
      </c>
      <c r="N2853" s="183">
        <v>20912</v>
      </c>
      <c r="O2853" s="14" t="s">
        <v>165</v>
      </c>
      <c r="P2853" s="103">
        <v>2516.35</v>
      </c>
      <c r="Q2853" s="23">
        <v>42137</v>
      </c>
      <c r="R2853" s="106">
        <v>2516.35</v>
      </c>
      <c r="S2853" s="31">
        <f t="shared" si="89"/>
        <v>0</v>
      </c>
      <c r="T2853" s="209" t="s">
        <v>1257</v>
      </c>
    </row>
    <row r="2854" spans="1:20" x14ac:dyDescent="0.25">
      <c r="A2854" s="20">
        <v>42152</v>
      </c>
      <c r="B2854" s="183">
        <v>22428</v>
      </c>
      <c r="C2854" s="14" t="s">
        <v>1256</v>
      </c>
      <c r="D2854" s="103">
        <v>5029.6000000000004</v>
      </c>
      <c r="E2854" s="23">
        <v>42152</v>
      </c>
      <c r="F2854" s="106">
        <v>5029.6000000000004</v>
      </c>
      <c r="G2854" s="31">
        <f t="shared" si="88"/>
        <v>0</v>
      </c>
      <c r="H2854" s="132" t="s">
        <v>9</v>
      </c>
      <c r="I2854" s="3"/>
      <c r="J2854" s="42"/>
      <c r="K2854" s="3"/>
      <c r="M2854" s="20">
        <v>42138</v>
      </c>
      <c r="N2854" s="183">
        <v>21020</v>
      </c>
      <c r="O2854" s="14" t="s">
        <v>165</v>
      </c>
      <c r="P2854" s="103">
        <v>2336.4</v>
      </c>
      <c r="Q2854" s="23">
        <v>42138</v>
      </c>
      <c r="R2854" s="106">
        <v>2336.4</v>
      </c>
      <c r="S2854" s="48">
        <f t="shared" si="89"/>
        <v>0</v>
      </c>
      <c r="T2854" s="132" t="s">
        <v>1257</v>
      </c>
    </row>
    <row r="2855" spans="1:20" x14ac:dyDescent="0.25">
      <c r="A2855" s="20">
        <v>42152</v>
      </c>
      <c r="B2855" s="183">
        <v>22429</v>
      </c>
      <c r="C2855" s="14" t="s">
        <v>1279</v>
      </c>
      <c r="D2855" s="103">
        <v>127859.4</v>
      </c>
      <c r="E2855" s="30">
        <v>42160</v>
      </c>
      <c r="F2855" s="144">
        <v>127859.4</v>
      </c>
      <c r="G2855" s="31">
        <f t="shared" si="88"/>
        <v>0</v>
      </c>
      <c r="H2855" s="132" t="s">
        <v>9</v>
      </c>
      <c r="I2855" s="3"/>
      <c r="J2855" s="42"/>
      <c r="K2855" s="3"/>
      <c r="M2855" s="20">
        <v>42141</v>
      </c>
      <c r="N2855" s="183">
        <v>21357</v>
      </c>
      <c r="O2855" s="14" t="s">
        <v>165</v>
      </c>
      <c r="P2855" s="103">
        <v>2271.5</v>
      </c>
      <c r="Q2855" s="23">
        <v>42142</v>
      </c>
      <c r="R2855" s="118">
        <v>2271.5</v>
      </c>
      <c r="S2855" s="31">
        <f t="shared" si="89"/>
        <v>0</v>
      </c>
      <c r="T2855" s="180" t="s">
        <v>1257</v>
      </c>
    </row>
    <row r="2856" spans="1:20" x14ac:dyDescent="0.25">
      <c r="A2856" s="20">
        <v>42152</v>
      </c>
      <c r="B2856" s="183">
        <v>22430</v>
      </c>
      <c r="C2856" s="14" t="s">
        <v>213</v>
      </c>
      <c r="D2856" s="103">
        <v>4459</v>
      </c>
      <c r="E2856" s="23">
        <v>42154</v>
      </c>
      <c r="F2856" s="106">
        <v>4459</v>
      </c>
      <c r="G2856" s="31">
        <f t="shared" si="88"/>
        <v>0</v>
      </c>
      <c r="H2856" s="132" t="s">
        <v>187</v>
      </c>
      <c r="I2856" s="3"/>
      <c r="J2856" s="42"/>
      <c r="K2856" s="3"/>
      <c r="M2856" s="20">
        <v>42142</v>
      </c>
      <c r="N2856" s="183">
        <v>21424</v>
      </c>
      <c r="O2856" s="14" t="s">
        <v>165</v>
      </c>
      <c r="P2856" s="103">
        <v>25514</v>
      </c>
      <c r="Q2856" s="23">
        <v>42142</v>
      </c>
      <c r="R2856" s="118">
        <v>2514</v>
      </c>
      <c r="S2856" s="31">
        <f t="shared" si="89"/>
        <v>23000</v>
      </c>
      <c r="T2856" s="28" t="s">
        <v>1257</v>
      </c>
    </row>
    <row r="2857" spans="1:20" x14ac:dyDescent="0.25">
      <c r="A2857" s="20">
        <v>42152</v>
      </c>
      <c r="B2857" s="183">
        <v>22431</v>
      </c>
      <c r="C2857" s="14" t="s">
        <v>14</v>
      </c>
      <c r="D2857" s="103">
        <v>17250.599999999999</v>
      </c>
      <c r="E2857" s="30">
        <v>42172</v>
      </c>
      <c r="F2857" s="144">
        <v>17250.599999999999</v>
      </c>
      <c r="G2857" s="31">
        <f t="shared" si="88"/>
        <v>0</v>
      </c>
      <c r="H2857" s="132" t="s">
        <v>9</v>
      </c>
      <c r="I2857" s="3"/>
      <c r="J2857" s="42"/>
      <c r="K2857" s="3"/>
      <c r="M2857" s="20">
        <v>42147</v>
      </c>
      <c r="N2857" s="183">
        <v>22003</v>
      </c>
      <c r="O2857" s="14" t="s">
        <v>165</v>
      </c>
      <c r="P2857" s="103">
        <v>2412.9</v>
      </c>
      <c r="Q2857" s="65">
        <v>42147</v>
      </c>
      <c r="R2857" s="106">
        <v>2412.9</v>
      </c>
      <c r="S2857" s="31">
        <f t="shared" si="89"/>
        <v>0</v>
      </c>
      <c r="T2857" s="132" t="s">
        <v>9</v>
      </c>
    </row>
    <row r="2858" spans="1:20" x14ac:dyDescent="0.25">
      <c r="A2858" s="20">
        <v>42152</v>
      </c>
      <c r="B2858" s="183">
        <v>22432</v>
      </c>
      <c r="C2858" s="14" t="s">
        <v>18</v>
      </c>
      <c r="D2858" s="103">
        <v>2708</v>
      </c>
      <c r="E2858" s="23">
        <v>42152</v>
      </c>
      <c r="F2858" s="106">
        <v>2708</v>
      </c>
      <c r="G2858" s="31">
        <f t="shared" si="88"/>
        <v>0</v>
      </c>
      <c r="H2858" s="132" t="s">
        <v>9</v>
      </c>
      <c r="I2858" s="3"/>
      <c r="J2858" s="42"/>
      <c r="K2858" s="3"/>
      <c r="M2858" s="20">
        <v>42148</v>
      </c>
      <c r="N2858" s="183">
        <v>22103</v>
      </c>
      <c r="O2858" s="14" t="s">
        <v>165</v>
      </c>
      <c r="P2858" s="103">
        <v>2683.8</v>
      </c>
      <c r="Q2858" s="65">
        <v>42149</v>
      </c>
      <c r="R2858" s="106">
        <v>2683.8</v>
      </c>
      <c r="S2858" s="31">
        <f t="shared" si="89"/>
        <v>0</v>
      </c>
      <c r="T2858" s="132" t="s">
        <v>773</v>
      </c>
    </row>
    <row r="2859" spans="1:20" x14ac:dyDescent="0.25">
      <c r="A2859" s="20">
        <v>42152</v>
      </c>
      <c r="B2859" s="183">
        <v>22433</v>
      </c>
      <c r="C2859" s="14" t="s">
        <v>24</v>
      </c>
      <c r="D2859" s="103">
        <v>62658</v>
      </c>
      <c r="E2859" s="30">
        <v>42173</v>
      </c>
      <c r="F2859" s="144">
        <v>62658</v>
      </c>
      <c r="G2859" s="31">
        <f t="shared" si="88"/>
        <v>0</v>
      </c>
      <c r="H2859" s="132" t="s">
        <v>9</v>
      </c>
      <c r="I2859" s="3"/>
      <c r="J2859" s="42"/>
      <c r="K2859" s="3"/>
      <c r="M2859" s="20">
        <v>42149</v>
      </c>
      <c r="N2859" s="183">
        <v>22182</v>
      </c>
      <c r="O2859" s="14" t="s">
        <v>165</v>
      </c>
      <c r="P2859" s="103">
        <v>2442</v>
      </c>
      <c r="Q2859" s="65">
        <v>42149</v>
      </c>
      <c r="R2859" s="106">
        <v>2442</v>
      </c>
      <c r="S2859" s="31">
        <f t="shared" si="89"/>
        <v>0</v>
      </c>
      <c r="T2859" s="132" t="s">
        <v>1257</v>
      </c>
    </row>
    <row r="2860" spans="1:20" x14ac:dyDescent="0.25">
      <c r="A2860" s="20">
        <v>42152</v>
      </c>
      <c r="B2860" s="183">
        <v>22434</v>
      </c>
      <c r="C2860" s="14" t="s">
        <v>114</v>
      </c>
      <c r="D2860" s="103">
        <v>2781.6</v>
      </c>
      <c r="E2860" s="23">
        <v>42152</v>
      </c>
      <c r="F2860" s="106">
        <v>2781.6</v>
      </c>
      <c r="G2860" s="31">
        <f t="shared" si="88"/>
        <v>0</v>
      </c>
      <c r="H2860" s="132" t="s">
        <v>9</v>
      </c>
      <c r="I2860" s="3"/>
      <c r="J2860" s="42"/>
      <c r="K2860" s="3"/>
      <c r="M2860" s="20">
        <v>42150</v>
      </c>
      <c r="N2860" s="183">
        <v>22296</v>
      </c>
      <c r="O2860" s="14" t="s">
        <v>165</v>
      </c>
      <c r="P2860" s="103">
        <v>2851.2</v>
      </c>
      <c r="Q2860" s="65">
        <v>42150</v>
      </c>
      <c r="R2860" s="106">
        <v>2851.2</v>
      </c>
      <c r="S2860" s="31">
        <f t="shared" si="89"/>
        <v>0</v>
      </c>
      <c r="T2860" s="132" t="s">
        <v>1257</v>
      </c>
    </row>
    <row r="2861" spans="1:20" x14ac:dyDescent="0.25">
      <c r="A2861" s="20">
        <v>42152</v>
      </c>
      <c r="B2861" s="183">
        <v>22435</v>
      </c>
      <c r="C2861" s="14" t="s">
        <v>1425</v>
      </c>
      <c r="D2861" s="103">
        <v>6765.4</v>
      </c>
      <c r="E2861" s="23">
        <v>42153</v>
      </c>
      <c r="F2861" s="106">
        <v>6765.4</v>
      </c>
      <c r="G2861" s="31">
        <f t="shared" si="88"/>
        <v>0</v>
      </c>
      <c r="H2861" s="132" t="s">
        <v>9</v>
      </c>
      <c r="I2861" s="3"/>
      <c r="J2861" s="42"/>
      <c r="K2861" s="3"/>
      <c r="M2861" s="20">
        <v>42151</v>
      </c>
      <c r="N2861" s="183">
        <v>22361</v>
      </c>
      <c r="O2861" s="14" t="s">
        <v>165</v>
      </c>
      <c r="P2861" s="103">
        <v>2640</v>
      </c>
      <c r="Q2861" s="65">
        <v>42151</v>
      </c>
      <c r="R2861" s="106">
        <v>2640</v>
      </c>
      <c r="S2861" s="31">
        <f t="shared" si="89"/>
        <v>0</v>
      </c>
      <c r="T2861" s="132" t="s">
        <v>1257</v>
      </c>
    </row>
    <row r="2862" spans="1:20" x14ac:dyDescent="0.25">
      <c r="A2862" s="20">
        <v>42152</v>
      </c>
      <c r="B2862" s="183">
        <v>22436</v>
      </c>
      <c r="C2862" s="14" t="s">
        <v>135</v>
      </c>
      <c r="D2862" s="103">
        <v>4716</v>
      </c>
      <c r="E2862" s="23">
        <v>42152</v>
      </c>
      <c r="F2862" s="106">
        <v>4716</v>
      </c>
      <c r="G2862" s="31">
        <f t="shared" si="88"/>
        <v>0</v>
      </c>
      <c r="H2862" s="132" t="s">
        <v>9</v>
      </c>
      <c r="I2862" s="3"/>
      <c r="J2862" s="42"/>
      <c r="K2862" s="3"/>
      <c r="M2862" s="20">
        <v>42155</v>
      </c>
      <c r="N2862" s="183">
        <v>22824</v>
      </c>
      <c r="O2862" s="14" t="s">
        <v>165</v>
      </c>
      <c r="P2862" s="103">
        <v>2597.6</v>
      </c>
      <c r="Q2862" s="23">
        <v>42155</v>
      </c>
      <c r="R2862" s="106">
        <v>2597.6</v>
      </c>
      <c r="S2862" s="31">
        <f t="shared" si="89"/>
        <v>0</v>
      </c>
      <c r="T2862" s="132" t="s">
        <v>1257</v>
      </c>
    </row>
    <row r="2863" spans="1:20" x14ac:dyDescent="0.25">
      <c r="A2863" s="20">
        <v>42152</v>
      </c>
      <c r="B2863" s="183">
        <v>22437</v>
      </c>
      <c r="C2863" s="14" t="s">
        <v>1390</v>
      </c>
      <c r="D2863" s="103">
        <v>2437.1999999999998</v>
      </c>
      <c r="E2863" s="23">
        <v>42152</v>
      </c>
      <c r="F2863" s="106">
        <v>2437.1999999999998</v>
      </c>
      <c r="G2863" s="31">
        <f t="shared" si="88"/>
        <v>0</v>
      </c>
      <c r="H2863" s="132" t="s">
        <v>9</v>
      </c>
      <c r="I2863" s="3"/>
      <c r="J2863" s="42"/>
      <c r="K2863" s="3"/>
      <c r="M2863" s="20">
        <v>42127</v>
      </c>
      <c r="N2863" s="183">
        <v>19834</v>
      </c>
      <c r="O2863" s="146" t="s">
        <v>299</v>
      </c>
      <c r="P2863" s="103">
        <v>2222</v>
      </c>
      <c r="Q2863" s="23">
        <v>42127</v>
      </c>
      <c r="R2863" s="106">
        <v>2222</v>
      </c>
      <c r="S2863" s="31">
        <f t="shared" si="89"/>
        <v>0</v>
      </c>
      <c r="T2863" s="210" t="s">
        <v>1257</v>
      </c>
    </row>
    <row r="2864" spans="1:20" x14ac:dyDescent="0.25">
      <c r="A2864" s="20">
        <v>42152</v>
      </c>
      <c r="B2864" s="183">
        <v>22438</v>
      </c>
      <c r="C2864" s="14" t="s">
        <v>1328</v>
      </c>
      <c r="D2864" s="103">
        <v>5875.2</v>
      </c>
      <c r="E2864" s="23">
        <v>42153</v>
      </c>
      <c r="F2864" s="106">
        <v>5875.2</v>
      </c>
      <c r="G2864" s="31">
        <f t="shared" si="88"/>
        <v>0</v>
      </c>
      <c r="H2864" s="132" t="s">
        <v>587</v>
      </c>
      <c r="I2864" s="3"/>
      <c r="J2864" s="42"/>
      <c r="K2864" s="3"/>
      <c r="M2864" s="20">
        <v>42128</v>
      </c>
      <c r="N2864" s="183">
        <v>19942</v>
      </c>
      <c r="O2864" s="14" t="s">
        <v>299</v>
      </c>
      <c r="P2864" s="103">
        <v>2388.4</v>
      </c>
      <c r="Q2864" s="23">
        <v>42128</v>
      </c>
      <c r="R2864" s="106">
        <v>2388.4</v>
      </c>
      <c r="S2864" s="31">
        <f t="shared" si="89"/>
        <v>0</v>
      </c>
      <c r="T2864" s="209" t="s">
        <v>1257</v>
      </c>
    </row>
    <row r="2865" spans="1:20" x14ac:dyDescent="0.25">
      <c r="A2865" s="20">
        <v>42152</v>
      </c>
      <c r="B2865" s="183">
        <v>22439</v>
      </c>
      <c r="C2865" s="14" t="s">
        <v>1193</v>
      </c>
      <c r="D2865" s="103">
        <v>2656</v>
      </c>
      <c r="E2865" s="23">
        <v>42153</v>
      </c>
      <c r="F2865" s="106">
        <v>2656</v>
      </c>
      <c r="G2865" s="31">
        <f t="shared" si="88"/>
        <v>0</v>
      </c>
      <c r="H2865" s="132" t="s">
        <v>587</v>
      </c>
      <c r="I2865" s="3"/>
      <c r="J2865" s="42"/>
      <c r="K2865" s="3"/>
      <c r="M2865" s="20">
        <v>42133</v>
      </c>
      <c r="N2865" s="183">
        <v>20532</v>
      </c>
      <c r="O2865" s="14" t="s">
        <v>723</v>
      </c>
      <c r="P2865" s="103">
        <v>1938</v>
      </c>
      <c r="Q2865" s="23">
        <v>42133</v>
      </c>
      <c r="R2865" s="106">
        <v>1938</v>
      </c>
      <c r="S2865" s="31">
        <f t="shared" si="89"/>
        <v>0</v>
      </c>
      <c r="T2865" s="209" t="s">
        <v>9</v>
      </c>
    </row>
    <row r="2866" spans="1:20" x14ac:dyDescent="0.25">
      <c r="A2866" s="20">
        <v>42152</v>
      </c>
      <c r="B2866" s="183">
        <v>22440</v>
      </c>
      <c r="C2866" s="14" t="s">
        <v>1290</v>
      </c>
      <c r="D2866" s="103">
        <v>2912</v>
      </c>
      <c r="E2866" s="23">
        <v>42153</v>
      </c>
      <c r="F2866" s="106">
        <v>2912</v>
      </c>
      <c r="G2866" s="31">
        <f t="shared" si="88"/>
        <v>0</v>
      </c>
      <c r="H2866" s="132" t="s">
        <v>587</v>
      </c>
      <c r="I2866" s="3"/>
      <c r="J2866" s="42"/>
      <c r="K2866" s="3"/>
      <c r="M2866" s="20">
        <v>42140</v>
      </c>
      <c r="N2866" s="183">
        <v>21263</v>
      </c>
      <c r="O2866" s="14" t="s">
        <v>723</v>
      </c>
      <c r="P2866" s="103">
        <v>2354.1</v>
      </c>
      <c r="Q2866" s="23">
        <v>42142</v>
      </c>
      <c r="R2866" s="106">
        <v>2354.1</v>
      </c>
      <c r="S2866" s="31">
        <f t="shared" si="89"/>
        <v>0</v>
      </c>
      <c r="T2866" s="180" t="s">
        <v>9</v>
      </c>
    </row>
    <row r="2867" spans="1:20" x14ac:dyDescent="0.25">
      <c r="A2867" s="20">
        <v>42152</v>
      </c>
      <c r="B2867" s="183">
        <v>22441</v>
      </c>
      <c r="C2867" s="14" t="s">
        <v>940</v>
      </c>
      <c r="D2867" s="103">
        <v>2950.4</v>
      </c>
      <c r="E2867" s="23">
        <v>42153</v>
      </c>
      <c r="F2867" s="106">
        <v>2950.4</v>
      </c>
      <c r="G2867" s="31">
        <f t="shared" si="88"/>
        <v>0</v>
      </c>
      <c r="H2867" s="132" t="s">
        <v>587</v>
      </c>
      <c r="I2867" s="3"/>
      <c r="J2867" s="42"/>
      <c r="K2867" s="3"/>
      <c r="M2867" s="20">
        <v>42144</v>
      </c>
      <c r="N2867" s="183">
        <v>21677</v>
      </c>
      <c r="O2867" s="14" t="s">
        <v>723</v>
      </c>
      <c r="P2867" s="103">
        <v>2299.6999999999998</v>
      </c>
      <c r="Q2867" s="23">
        <v>42145</v>
      </c>
      <c r="R2867" s="118">
        <v>2299.6999999999998</v>
      </c>
      <c r="S2867" s="31">
        <f t="shared" si="89"/>
        <v>0</v>
      </c>
      <c r="T2867" s="180" t="s">
        <v>1257</v>
      </c>
    </row>
    <row r="2868" spans="1:20" x14ac:dyDescent="0.25">
      <c r="A2868" s="20">
        <v>42152</v>
      </c>
      <c r="B2868" s="183">
        <v>22442</v>
      </c>
      <c r="C2868" s="14" t="s">
        <v>1172</v>
      </c>
      <c r="D2868" s="103">
        <v>1196.8</v>
      </c>
      <c r="E2868" s="23">
        <v>42153</v>
      </c>
      <c r="F2868" s="106">
        <v>1196.8</v>
      </c>
      <c r="G2868" s="31">
        <f t="shared" si="88"/>
        <v>0</v>
      </c>
      <c r="H2868" s="132" t="s">
        <v>587</v>
      </c>
      <c r="I2868" s="3"/>
      <c r="J2868" s="42"/>
      <c r="K2868" s="3"/>
      <c r="M2868" s="20">
        <v>42145</v>
      </c>
      <c r="N2868" s="183">
        <v>21771</v>
      </c>
      <c r="O2868" s="15" t="s">
        <v>723</v>
      </c>
      <c r="P2868" s="133">
        <v>2433.9</v>
      </c>
      <c r="Q2868" s="23">
        <v>42145</v>
      </c>
      <c r="R2868" s="118">
        <v>2433.9</v>
      </c>
      <c r="S2868" s="31">
        <f t="shared" si="89"/>
        <v>0</v>
      </c>
      <c r="T2868" s="46" t="s">
        <v>1257</v>
      </c>
    </row>
    <row r="2869" spans="1:20" x14ac:dyDescent="0.25">
      <c r="A2869" s="20">
        <v>42152</v>
      </c>
      <c r="B2869" s="183">
        <v>22443</v>
      </c>
      <c r="C2869" s="14" t="s">
        <v>1262</v>
      </c>
      <c r="D2869" s="103">
        <v>30947.119999999999</v>
      </c>
      <c r="E2869" s="30">
        <v>42165</v>
      </c>
      <c r="F2869" s="144">
        <v>30947.119999999999</v>
      </c>
      <c r="G2869" s="31">
        <f t="shared" si="88"/>
        <v>0</v>
      </c>
      <c r="H2869" s="132" t="s">
        <v>1273</v>
      </c>
      <c r="I2869" s="3"/>
      <c r="J2869" s="42"/>
      <c r="K2869" s="3"/>
      <c r="M2869" s="20">
        <v>42130</v>
      </c>
      <c r="N2869" s="183">
        <v>20145</v>
      </c>
      <c r="O2869" s="14" t="s">
        <v>422</v>
      </c>
      <c r="P2869" s="103">
        <v>316</v>
      </c>
      <c r="Q2869" s="23">
        <v>42130</v>
      </c>
      <c r="R2869" s="106">
        <v>316</v>
      </c>
      <c r="S2869" s="31">
        <f t="shared" si="89"/>
        <v>0</v>
      </c>
      <c r="T2869" s="132" t="s">
        <v>9</v>
      </c>
    </row>
    <row r="2870" spans="1:20" x14ac:dyDescent="0.25">
      <c r="A2870" s="20">
        <v>42152</v>
      </c>
      <c r="B2870" s="183">
        <v>22444</v>
      </c>
      <c r="C2870" s="14" t="s">
        <v>1262</v>
      </c>
      <c r="D2870" s="103">
        <v>3714.8</v>
      </c>
      <c r="E2870" s="30">
        <v>42165</v>
      </c>
      <c r="F2870" s="144">
        <v>3714.8</v>
      </c>
      <c r="G2870" s="31">
        <f t="shared" si="88"/>
        <v>0</v>
      </c>
      <c r="H2870" s="132" t="s">
        <v>1273</v>
      </c>
      <c r="I2870" s="3"/>
      <c r="J2870" s="42"/>
      <c r="K2870" s="3"/>
      <c r="M2870" s="20">
        <v>42133</v>
      </c>
      <c r="N2870" s="183">
        <v>20536</v>
      </c>
      <c r="O2870" s="14" t="s">
        <v>422</v>
      </c>
      <c r="P2870" s="103">
        <v>407.4</v>
      </c>
      <c r="Q2870" s="23">
        <v>42133</v>
      </c>
      <c r="R2870" s="106">
        <v>407.4</v>
      </c>
      <c r="S2870" s="31">
        <f t="shared" si="89"/>
        <v>0</v>
      </c>
      <c r="T2870" s="209" t="s">
        <v>9</v>
      </c>
    </row>
    <row r="2871" spans="1:20" x14ac:dyDescent="0.25">
      <c r="A2871" s="20">
        <v>42152</v>
      </c>
      <c r="B2871" s="183">
        <v>22445</v>
      </c>
      <c r="C2871" s="14" t="s">
        <v>1172</v>
      </c>
      <c r="D2871" s="103">
        <v>3393.6</v>
      </c>
      <c r="E2871" s="23">
        <v>42153</v>
      </c>
      <c r="F2871" s="106">
        <v>3393.6</v>
      </c>
      <c r="G2871" s="31">
        <f t="shared" si="88"/>
        <v>0</v>
      </c>
      <c r="H2871" s="132" t="s">
        <v>587</v>
      </c>
      <c r="I2871" s="3"/>
      <c r="J2871" s="42"/>
      <c r="K2871" s="3"/>
      <c r="M2871" s="20">
        <v>42137</v>
      </c>
      <c r="N2871" s="183">
        <v>20924</v>
      </c>
      <c r="O2871" s="14" t="s">
        <v>422</v>
      </c>
      <c r="P2871" s="103">
        <v>324</v>
      </c>
      <c r="Q2871" s="23">
        <v>42137</v>
      </c>
      <c r="R2871" s="106">
        <v>324</v>
      </c>
      <c r="S2871" s="31">
        <f t="shared" si="89"/>
        <v>0</v>
      </c>
      <c r="T2871" s="209" t="s">
        <v>9</v>
      </c>
    </row>
    <row r="2872" spans="1:20" x14ac:dyDescent="0.25">
      <c r="A2872" s="20">
        <v>42152</v>
      </c>
      <c r="B2872" s="183">
        <v>22446</v>
      </c>
      <c r="C2872" s="14" t="s">
        <v>20</v>
      </c>
      <c r="D2872" s="103">
        <v>10242.200000000001</v>
      </c>
      <c r="E2872" s="23">
        <v>42152</v>
      </c>
      <c r="F2872" s="106">
        <v>10242.200000000001</v>
      </c>
      <c r="G2872" s="31">
        <f t="shared" si="88"/>
        <v>0</v>
      </c>
      <c r="H2872" s="132" t="s">
        <v>94</v>
      </c>
      <c r="I2872" s="3"/>
      <c r="J2872" s="42"/>
      <c r="K2872" s="3"/>
      <c r="M2872" s="20">
        <v>42138</v>
      </c>
      <c r="N2872" s="183">
        <v>21003</v>
      </c>
      <c r="O2872" s="14" t="s">
        <v>422</v>
      </c>
      <c r="P2872" s="103">
        <v>463</v>
      </c>
      <c r="Q2872" s="23">
        <v>42138</v>
      </c>
      <c r="R2872" s="106">
        <v>463</v>
      </c>
      <c r="S2872" s="48">
        <f t="shared" si="89"/>
        <v>0</v>
      </c>
      <c r="T2872" s="209" t="s">
        <v>9</v>
      </c>
    </row>
    <row r="2873" spans="1:20" x14ac:dyDescent="0.25">
      <c r="A2873" s="20">
        <v>42152</v>
      </c>
      <c r="B2873" s="183">
        <v>22447</v>
      </c>
      <c r="C2873" s="14" t="s">
        <v>99</v>
      </c>
      <c r="D2873" s="103">
        <v>2356</v>
      </c>
      <c r="E2873" s="23">
        <v>42152</v>
      </c>
      <c r="F2873" s="106">
        <v>2356</v>
      </c>
      <c r="G2873" s="31">
        <f t="shared" si="88"/>
        <v>0</v>
      </c>
      <c r="H2873" s="132" t="s">
        <v>62</v>
      </c>
      <c r="I2873" s="3"/>
      <c r="J2873" s="42"/>
      <c r="K2873" s="3"/>
      <c r="M2873" s="20">
        <v>42142</v>
      </c>
      <c r="N2873" s="183">
        <v>21448</v>
      </c>
      <c r="O2873" s="14" t="s">
        <v>422</v>
      </c>
      <c r="P2873" s="103">
        <v>378</v>
      </c>
      <c r="Q2873" s="65">
        <v>42142</v>
      </c>
      <c r="R2873" s="106">
        <v>378</v>
      </c>
      <c r="S2873" s="31">
        <f t="shared" si="89"/>
        <v>0</v>
      </c>
      <c r="T2873" s="209" t="s">
        <v>9</v>
      </c>
    </row>
    <row r="2874" spans="1:20" x14ac:dyDescent="0.25">
      <c r="A2874" s="20">
        <v>42152</v>
      </c>
      <c r="B2874" s="183">
        <v>22448</v>
      </c>
      <c r="C2874" s="14" t="s">
        <v>125</v>
      </c>
      <c r="D2874" s="103">
        <v>14374.4</v>
      </c>
      <c r="E2874" s="30">
        <v>42158</v>
      </c>
      <c r="F2874" s="144">
        <v>14374.4</v>
      </c>
      <c r="G2874" s="31">
        <f t="shared" si="88"/>
        <v>0</v>
      </c>
      <c r="H2874" s="132" t="s">
        <v>94</v>
      </c>
      <c r="I2874" s="3"/>
      <c r="J2874" s="42"/>
      <c r="K2874" s="3"/>
      <c r="M2874" s="20">
        <v>42143</v>
      </c>
      <c r="N2874" s="183">
        <v>21577</v>
      </c>
      <c r="O2874" s="14" t="s">
        <v>422</v>
      </c>
      <c r="P2874" s="103">
        <v>114</v>
      </c>
      <c r="Q2874" s="23">
        <v>42143</v>
      </c>
      <c r="R2874" s="106">
        <v>114</v>
      </c>
      <c r="S2874" s="31">
        <f t="shared" si="89"/>
        <v>0</v>
      </c>
      <c r="T2874" s="28" t="s">
        <v>9</v>
      </c>
    </row>
    <row r="2875" spans="1:20" x14ac:dyDescent="0.25">
      <c r="A2875" s="20">
        <v>42152</v>
      </c>
      <c r="B2875" s="183">
        <v>22449</v>
      </c>
      <c r="C2875" s="14" t="s">
        <v>226</v>
      </c>
      <c r="D2875" s="103">
        <v>1341.4</v>
      </c>
      <c r="E2875" s="23">
        <v>42152</v>
      </c>
      <c r="F2875" s="106">
        <v>1341.4</v>
      </c>
      <c r="G2875" s="31">
        <f t="shared" si="88"/>
        <v>0</v>
      </c>
      <c r="H2875" s="132" t="s">
        <v>9</v>
      </c>
      <c r="I2875" s="3"/>
      <c r="J2875" s="42"/>
      <c r="K2875" s="3"/>
      <c r="M2875" s="20">
        <v>42146</v>
      </c>
      <c r="N2875" s="183">
        <v>21897</v>
      </c>
      <c r="O2875" s="14" t="s">
        <v>422</v>
      </c>
      <c r="P2875" s="103">
        <v>496.8</v>
      </c>
      <c r="Q2875" s="23">
        <v>42146</v>
      </c>
      <c r="R2875" s="106">
        <v>496.8</v>
      </c>
      <c r="S2875" s="31">
        <f t="shared" si="89"/>
        <v>0</v>
      </c>
      <c r="T2875" s="132" t="s">
        <v>9</v>
      </c>
    </row>
    <row r="2876" spans="1:20" x14ac:dyDescent="0.25">
      <c r="A2876" s="20">
        <v>42152</v>
      </c>
      <c r="B2876" s="183">
        <v>22450</v>
      </c>
      <c r="C2876" s="14" t="s">
        <v>1407</v>
      </c>
      <c r="D2876" s="103">
        <v>2961.4</v>
      </c>
      <c r="E2876" s="23">
        <v>42152</v>
      </c>
      <c r="F2876" s="106">
        <v>2961.4</v>
      </c>
      <c r="G2876" s="31">
        <f t="shared" si="88"/>
        <v>0</v>
      </c>
      <c r="H2876" s="132" t="s">
        <v>9</v>
      </c>
      <c r="I2876" s="3"/>
      <c r="J2876" s="42"/>
      <c r="K2876" s="3"/>
      <c r="M2876" s="20">
        <v>42150</v>
      </c>
      <c r="N2876" s="183">
        <v>22286</v>
      </c>
      <c r="O2876" s="14" t="s">
        <v>422</v>
      </c>
      <c r="P2876" s="103">
        <v>202.2</v>
      </c>
      <c r="Q2876" s="65">
        <v>42150</v>
      </c>
      <c r="R2876" s="106">
        <v>202.2</v>
      </c>
      <c r="S2876" s="31">
        <f t="shared" si="89"/>
        <v>0</v>
      </c>
      <c r="T2876" s="132" t="s">
        <v>9</v>
      </c>
    </row>
    <row r="2877" spans="1:20" x14ac:dyDescent="0.25">
      <c r="A2877" s="20">
        <v>42152</v>
      </c>
      <c r="B2877" s="183">
        <v>22451</v>
      </c>
      <c r="C2877" s="14" t="s">
        <v>23</v>
      </c>
      <c r="D2877" s="103">
        <v>4529.6000000000004</v>
      </c>
      <c r="E2877" s="23">
        <v>42152</v>
      </c>
      <c r="F2877" s="106">
        <v>4529.6000000000004</v>
      </c>
      <c r="G2877" s="31">
        <f t="shared" si="88"/>
        <v>0</v>
      </c>
      <c r="H2877" s="132" t="s">
        <v>9</v>
      </c>
      <c r="I2877" s="3"/>
      <c r="J2877" s="42"/>
      <c r="K2877" s="3"/>
      <c r="M2877" s="20">
        <v>42151</v>
      </c>
      <c r="N2877" s="183">
        <v>22369</v>
      </c>
      <c r="O2877" s="14" t="s">
        <v>422</v>
      </c>
      <c r="P2877" s="103">
        <v>356.9</v>
      </c>
      <c r="Q2877" s="65">
        <v>42151</v>
      </c>
      <c r="R2877" s="106">
        <v>356.9</v>
      </c>
      <c r="S2877" s="31">
        <f t="shared" si="89"/>
        <v>0</v>
      </c>
      <c r="T2877" s="132" t="s">
        <v>9</v>
      </c>
    </row>
    <row r="2878" spans="1:20" x14ac:dyDescent="0.25">
      <c r="A2878" s="20">
        <v>42152</v>
      </c>
      <c r="B2878" s="183">
        <v>22452</v>
      </c>
      <c r="C2878" s="14" t="s">
        <v>37</v>
      </c>
      <c r="D2878" s="103">
        <v>30073.200000000001</v>
      </c>
      <c r="E2878" s="30">
        <v>42157</v>
      </c>
      <c r="F2878" s="144">
        <v>30073.200000000001</v>
      </c>
      <c r="G2878" s="31">
        <f t="shared" si="88"/>
        <v>0</v>
      </c>
      <c r="H2878" s="132" t="s">
        <v>773</v>
      </c>
      <c r="I2878" s="3"/>
      <c r="J2878" s="42"/>
      <c r="K2878" s="3"/>
      <c r="M2878" s="20">
        <v>42154</v>
      </c>
      <c r="N2878" s="183">
        <v>22744</v>
      </c>
      <c r="O2878" s="14" t="s">
        <v>422</v>
      </c>
      <c r="P2878" s="103">
        <v>142.80000000000001</v>
      </c>
      <c r="Q2878" s="23">
        <v>42154</v>
      </c>
      <c r="R2878" s="106">
        <v>142.80000000000001</v>
      </c>
      <c r="S2878" s="31">
        <f t="shared" si="89"/>
        <v>0</v>
      </c>
      <c r="T2878" s="132" t="s">
        <v>9</v>
      </c>
    </row>
    <row r="2879" spans="1:20" x14ac:dyDescent="0.25">
      <c r="A2879" s="20">
        <v>42152</v>
      </c>
      <c r="B2879" s="183">
        <v>22453</v>
      </c>
      <c r="C2879" s="14" t="s">
        <v>56</v>
      </c>
      <c r="D2879" s="103">
        <v>14656.8</v>
      </c>
      <c r="E2879" s="23">
        <v>42152</v>
      </c>
      <c r="F2879" s="106">
        <v>14656.8</v>
      </c>
      <c r="G2879" s="31">
        <f t="shared" si="88"/>
        <v>0</v>
      </c>
      <c r="H2879" s="132" t="s">
        <v>773</v>
      </c>
      <c r="I2879" s="3"/>
      <c r="J2879" s="42"/>
      <c r="K2879" s="3"/>
      <c r="M2879" s="20">
        <v>42130</v>
      </c>
      <c r="N2879" s="183">
        <v>20134</v>
      </c>
      <c r="O2879" s="14" t="s">
        <v>881</v>
      </c>
      <c r="P2879" s="103">
        <v>277.39999999999998</v>
      </c>
      <c r="Q2879" s="23">
        <v>42130</v>
      </c>
      <c r="R2879" s="106">
        <v>277.39999999999998</v>
      </c>
      <c r="S2879" s="31">
        <f t="shared" si="89"/>
        <v>0</v>
      </c>
      <c r="T2879" s="132" t="s">
        <v>9</v>
      </c>
    </row>
    <row r="2880" spans="1:20" x14ac:dyDescent="0.25">
      <c r="A2880" s="20">
        <v>42152</v>
      </c>
      <c r="B2880" s="183">
        <v>22454</v>
      </c>
      <c r="C2880" s="14" t="s">
        <v>121</v>
      </c>
      <c r="D2880" s="103">
        <v>1619</v>
      </c>
      <c r="E2880" s="23">
        <v>42152</v>
      </c>
      <c r="F2880" s="106">
        <v>1619</v>
      </c>
      <c r="G2880" s="31">
        <f t="shared" si="88"/>
        <v>0</v>
      </c>
      <c r="H2880" s="132" t="s">
        <v>9</v>
      </c>
      <c r="I2880" s="3"/>
      <c r="J2880" s="42"/>
      <c r="K2880" s="3"/>
      <c r="M2880" s="20">
        <v>42132</v>
      </c>
      <c r="N2880" s="183">
        <v>20355</v>
      </c>
      <c r="O2880" s="14" t="s">
        <v>881</v>
      </c>
      <c r="P2880" s="103">
        <v>253</v>
      </c>
      <c r="Q2880" s="23">
        <v>42132</v>
      </c>
      <c r="R2880" s="106">
        <v>253</v>
      </c>
      <c r="S2880" s="31">
        <f t="shared" si="89"/>
        <v>0</v>
      </c>
      <c r="T2880" s="209" t="s">
        <v>9</v>
      </c>
    </row>
    <row r="2881" spans="1:20" x14ac:dyDescent="0.25">
      <c r="A2881" s="20">
        <v>42152</v>
      </c>
      <c r="B2881" s="183">
        <v>22455</v>
      </c>
      <c r="C2881" s="14" t="s">
        <v>43</v>
      </c>
      <c r="D2881" s="103">
        <v>5873.04</v>
      </c>
      <c r="E2881" s="23">
        <v>42152</v>
      </c>
      <c r="F2881" s="106">
        <v>5873.04</v>
      </c>
      <c r="G2881" s="31">
        <f t="shared" si="88"/>
        <v>0</v>
      </c>
      <c r="H2881" s="132" t="s">
        <v>9</v>
      </c>
      <c r="I2881" s="3"/>
      <c r="J2881" s="42"/>
      <c r="K2881" s="3"/>
      <c r="M2881" s="20">
        <v>42133</v>
      </c>
      <c r="N2881" s="183">
        <v>20478</v>
      </c>
      <c r="O2881" s="14" t="s">
        <v>881</v>
      </c>
      <c r="P2881" s="103">
        <v>4189.2</v>
      </c>
      <c r="Q2881" s="23">
        <v>42133</v>
      </c>
      <c r="R2881" s="106">
        <v>4189.2</v>
      </c>
      <c r="S2881" s="31">
        <f t="shared" si="89"/>
        <v>0</v>
      </c>
      <c r="T2881" s="132" t="s">
        <v>9</v>
      </c>
    </row>
    <row r="2882" spans="1:20" x14ac:dyDescent="0.25">
      <c r="A2882" s="20">
        <v>42152</v>
      </c>
      <c r="B2882" s="183">
        <v>22456</v>
      </c>
      <c r="C2882" s="14" t="s">
        <v>145</v>
      </c>
      <c r="D2882" s="103">
        <v>2111.4</v>
      </c>
      <c r="E2882" s="23">
        <v>42152</v>
      </c>
      <c r="F2882" s="106">
        <v>2111.4</v>
      </c>
      <c r="G2882" s="31">
        <f t="shared" si="88"/>
        <v>0</v>
      </c>
      <c r="H2882" s="132" t="s">
        <v>9</v>
      </c>
      <c r="I2882" s="3"/>
      <c r="J2882" s="42"/>
      <c r="K2882" s="3"/>
      <c r="M2882" s="20">
        <v>42133</v>
      </c>
      <c r="N2882" s="183">
        <v>20480</v>
      </c>
      <c r="O2882" s="14" t="s">
        <v>881</v>
      </c>
      <c r="P2882" s="103">
        <v>519.20000000000005</v>
      </c>
      <c r="Q2882" s="23">
        <v>42133</v>
      </c>
      <c r="R2882" s="106">
        <v>519.20000000000005</v>
      </c>
      <c r="S2882" s="31">
        <f t="shared" si="89"/>
        <v>0</v>
      </c>
      <c r="T2882" s="132" t="s">
        <v>9</v>
      </c>
    </row>
    <row r="2883" spans="1:20" x14ac:dyDescent="0.25">
      <c r="A2883" s="20">
        <v>42152</v>
      </c>
      <c r="B2883" s="183">
        <v>22457</v>
      </c>
      <c r="C2883" s="14" t="s">
        <v>151</v>
      </c>
      <c r="D2883" s="103">
        <v>2472.4</v>
      </c>
      <c r="E2883" s="23">
        <v>42154</v>
      </c>
      <c r="F2883" s="106">
        <v>2472.4</v>
      </c>
      <c r="G2883" s="31">
        <f t="shared" ref="G2883:G2946" si="90">D2883-F2883</f>
        <v>0</v>
      </c>
      <c r="H2883" s="132" t="s">
        <v>9</v>
      </c>
      <c r="I2883" s="3"/>
      <c r="J2883" s="42"/>
      <c r="K2883" s="3"/>
      <c r="M2883" s="20">
        <v>42140</v>
      </c>
      <c r="N2883" s="183">
        <v>21236</v>
      </c>
      <c r="O2883" s="14" t="s">
        <v>881</v>
      </c>
      <c r="P2883" s="103">
        <v>4727.8</v>
      </c>
      <c r="Q2883" s="23">
        <v>42140</v>
      </c>
      <c r="R2883" s="106">
        <v>4727.8</v>
      </c>
      <c r="S2883" s="48">
        <f t="shared" ref="S2883:S2946" si="91">P2883-R2883</f>
        <v>0</v>
      </c>
      <c r="T2883" s="132" t="s">
        <v>9</v>
      </c>
    </row>
    <row r="2884" spans="1:20" x14ac:dyDescent="0.25">
      <c r="A2884" s="20">
        <v>42152</v>
      </c>
      <c r="B2884" s="183">
        <v>22458</v>
      </c>
      <c r="C2884" s="14" t="s">
        <v>225</v>
      </c>
      <c r="D2884" s="103">
        <v>3003</v>
      </c>
      <c r="E2884" s="23">
        <v>42152</v>
      </c>
      <c r="F2884" s="106">
        <v>3003</v>
      </c>
      <c r="G2884" s="31">
        <f t="shared" si="90"/>
        <v>0</v>
      </c>
      <c r="H2884" s="132" t="s">
        <v>9</v>
      </c>
      <c r="I2884" s="3"/>
      <c r="J2884" s="42"/>
      <c r="K2884" s="3"/>
      <c r="M2884" s="20">
        <v>42141</v>
      </c>
      <c r="N2884" s="183">
        <v>21324</v>
      </c>
      <c r="O2884" s="14" t="s">
        <v>881</v>
      </c>
      <c r="P2884" s="103">
        <v>1378.55</v>
      </c>
      <c r="Q2884" s="23">
        <v>42141</v>
      </c>
      <c r="R2884" s="118">
        <v>1378.55</v>
      </c>
      <c r="S2884" s="31">
        <f t="shared" si="91"/>
        <v>0</v>
      </c>
      <c r="T2884" s="180" t="s">
        <v>9</v>
      </c>
    </row>
    <row r="2885" spans="1:20" x14ac:dyDescent="0.25">
      <c r="A2885" s="20">
        <v>42152</v>
      </c>
      <c r="B2885" s="183">
        <v>22459</v>
      </c>
      <c r="C2885" s="14" t="s">
        <v>59</v>
      </c>
      <c r="D2885" s="103">
        <v>8940.4</v>
      </c>
      <c r="E2885" s="30" t="s">
        <v>1476</v>
      </c>
      <c r="F2885" s="144">
        <f>4811.43+4128.97</f>
        <v>8940.4000000000015</v>
      </c>
      <c r="G2885" s="31">
        <f t="shared" si="90"/>
        <v>0</v>
      </c>
      <c r="H2885" s="132" t="s">
        <v>9</v>
      </c>
      <c r="I2885" s="3"/>
      <c r="J2885" s="42"/>
      <c r="K2885" s="3"/>
      <c r="M2885" s="20">
        <v>42147</v>
      </c>
      <c r="N2885" s="183">
        <v>21983</v>
      </c>
      <c r="O2885" s="14" t="s">
        <v>881</v>
      </c>
      <c r="P2885" s="103">
        <v>3895.2</v>
      </c>
      <c r="Q2885" s="65">
        <v>42147</v>
      </c>
      <c r="R2885" s="106">
        <v>3895.2</v>
      </c>
      <c r="S2885" s="31">
        <f t="shared" si="91"/>
        <v>0</v>
      </c>
      <c r="T2885" s="132" t="s">
        <v>9</v>
      </c>
    </row>
    <row r="2886" spans="1:20" x14ac:dyDescent="0.25">
      <c r="A2886" s="20">
        <v>42152</v>
      </c>
      <c r="B2886" s="183">
        <v>22460</v>
      </c>
      <c r="C2886" s="14" t="s">
        <v>152</v>
      </c>
      <c r="D2886" s="103">
        <v>886.2</v>
      </c>
      <c r="E2886" s="23">
        <v>42152</v>
      </c>
      <c r="F2886" s="106">
        <v>886.2</v>
      </c>
      <c r="G2886" s="31">
        <f t="shared" si="90"/>
        <v>0</v>
      </c>
      <c r="H2886" s="132" t="s">
        <v>59</v>
      </c>
      <c r="I2886" s="3"/>
      <c r="J2886" s="42"/>
      <c r="K2886" s="3"/>
      <c r="M2886" s="20">
        <v>42154</v>
      </c>
      <c r="N2886" s="183">
        <v>22692</v>
      </c>
      <c r="O2886" s="14" t="s">
        <v>881</v>
      </c>
      <c r="P2886" s="103">
        <v>6252.8</v>
      </c>
      <c r="Q2886" s="23">
        <v>42154</v>
      </c>
      <c r="R2886" s="106">
        <v>6252.8</v>
      </c>
      <c r="S2886" s="31">
        <f t="shared" si="91"/>
        <v>0</v>
      </c>
      <c r="T2886" s="132" t="s">
        <v>9</v>
      </c>
    </row>
    <row r="2887" spans="1:20" x14ac:dyDescent="0.25">
      <c r="A2887" s="20">
        <v>42152</v>
      </c>
      <c r="B2887" s="183">
        <v>22461</v>
      </c>
      <c r="C2887" s="14" t="s">
        <v>229</v>
      </c>
      <c r="D2887" s="103">
        <v>6119.2</v>
      </c>
      <c r="E2887" s="23">
        <v>42152</v>
      </c>
      <c r="F2887" s="106">
        <v>6119.2</v>
      </c>
      <c r="G2887" s="31">
        <f t="shared" si="90"/>
        <v>0</v>
      </c>
      <c r="H2887" s="132" t="s">
        <v>9</v>
      </c>
      <c r="I2887" s="3"/>
      <c r="J2887" s="42"/>
      <c r="K2887" s="3"/>
      <c r="M2887" s="20">
        <v>42154</v>
      </c>
      <c r="N2887" s="183">
        <v>22700</v>
      </c>
      <c r="O2887" s="14" t="s">
        <v>881</v>
      </c>
      <c r="P2887" s="103">
        <v>278.39999999999998</v>
      </c>
      <c r="Q2887" s="23">
        <v>42154</v>
      </c>
      <c r="R2887" s="106">
        <v>278.39999999999998</v>
      </c>
      <c r="S2887" s="31">
        <f t="shared" si="91"/>
        <v>0</v>
      </c>
      <c r="T2887" s="132" t="s">
        <v>9</v>
      </c>
    </row>
    <row r="2888" spans="1:20" x14ac:dyDescent="0.25">
      <c r="A2888" s="20">
        <v>42152</v>
      </c>
      <c r="B2888" s="183">
        <v>22462</v>
      </c>
      <c r="C2888" s="14" t="s">
        <v>43</v>
      </c>
      <c r="D2888" s="103">
        <v>1395</v>
      </c>
      <c r="E2888" s="23">
        <v>42152</v>
      </c>
      <c r="F2888" s="106">
        <v>1395</v>
      </c>
      <c r="G2888" s="31">
        <f t="shared" si="90"/>
        <v>0</v>
      </c>
      <c r="H2888" s="132" t="s">
        <v>9</v>
      </c>
      <c r="I2888" s="3"/>
      <c r="J2888" s="42"/>
      <c r="K2888" s="3"/>
      <c r="M2888" s="20">
        <v>42154</v>
      </c>
      <c r="N2888" s="183">
        <v>22742</v>
      </c>
      <c r="O2888" s="14" t="s">
        <v>881</v>
      </c>
      <c r="P2888" s="103">
        <v>2665.6</v>
      </c>
      <c r="Q2888" s="23">
        <v>42154</v>
      </c>
      <c r="R2888" s="106">
        <v>2665.6</v>
      </c>
      <c r="S2888" s="31">
        <f t="shared" si="91"/>
        <v>0</v>
      </c>
      <c r="T2888" s="132" t="s">
        <v>1257</v>
      </c>
    </row>
    <row r="2889" spans="1:20" x14ac:dyDescent="0.25">
      <c r="A2889" s="20">
        <v>42152</v>
      </c>
      <c r="B2889" s="183">
        <v>22463</v>
      </c>
      <c r="C2889" s="14" t="s">
        <v>24</v>
      </c>
      <c r="D2889" s="103">
        <v>33576.5</v>
      </c>
      <c r="E2889" s="30">
        <v>42173</v>
      </c>
      <c r="F2889" s="144">
        <v>33576.5</v>
      </c>
      <c r="G2889" s="31">
        <f t="shared" si="90"/>
        <v>0</v>
      </c>
      <c r="H2889" s="132" t="s">
        <v>9</v>
      </c>
      <c r="I2889" s="3"/>
      <c r="J2889" s="42"/>
      <c r="K2889" s="3"/>
      <c r="M2889" s="20">
        <v>42145</v>
      </c>
      <c r="N2889" s="183">
        <v>21779</v>
      </c>
      <c r="O2889" s="15" t="s">
        <v>1433</v>
      </c>
      <c r="P2889" s="133">
        <v>4572</v>
      </c>
      <c r="Q2889" s="23">
        <v>42145</v>
      </c>
      <c r="R2889" s="118">
        <v>4572</v>
      </c>
      <c r="S2889" s="31">
        <f t="shared" si="91"/>
        <v>0</v>
      </c>
      <c r="T2889" s="46" t="s">
        <v>9</v>
      </c>
    </row>
    <row r="2890" spans="1:20" x14ac:dyDescent="0.25">
      <c r="A2890" s="20">
        <v>42152</v>
      </c>
      <c r="B2890" s="183">
        <v>22464</v>
      </c>
      <c r="C2890" s="14" t="s">
        <v>53</v>
      </c>
      <c r="D2890" s="103">
        <v>1254</v>
      </c>
      <c r="E2890" s="23">
        <v>42152</v>
      </c>
      <c r="F2890" s="106">
        <v>1254</v>
      </c>
      <c r="G2890" s="31">
        <f t="shared" si="90"/>
        <v>0</v>
      </c>
      <c r="H2890" s="132" t="s">
        <v>59</v>
      </c>
      <c r="I2890" s="3"/>
      <c r="J2890" s="42"/>
      <c r="K2890" s="3"/>
      <c r="M2890" s="20">
        <v>42152</v>
      </c>
      <c r="N2890" s="183">
        <v>22498</v>
      </c>
      <c r="O2890" s="14" t="s">
        <v>909</v>
      </c>
      <c r="P2890" s="103">
        <v>280</v>
      </c>
      <c r="Q2890" s="23">
        <v>42152</v>
      </c>
      <c r="R2890" s="106">
        <v>280</v>
      </c>
      <c r="S2890" s="31">
        <f t="shared" si="91"/>
        <v>0</v>
      </c>
      <c r="T2890" s="132" t="s">
        <v>62</v>
      </c>
    </row>
    <row r="2891" spans="1:20" x14ac:dyDescent="0.25">
      <c r="A2891" s="20">
        <v>42152</v>
      </c>
      <c r="B2891" s="183">
        <v>22465</v>
      </c>
      <c r="C2891" s="14" t="s">
        <v>294</v>
      </c>
      <c r="D2891" s="103">
        <v>5848.2</v>
      </c>
      <c r="E2891" s="23">
        <v>42152</v>
      </c>
      <c r="F2891" s="106">
        <v>5848.2</v>
      </c>
      <c r="G2891" s="31">
        <f t="shared" si="90"/>
        <v>0</v>
      </c>
      <c r="H2891" s="132" t="s">
        <v>9</v>
      </c>
      <c r="I2891" s="3"/>
      <c r="J2891" s="42"/>
      <c r="K2891" s="3"/>
      <c r="M2891" s="20">
        <v>42128</v>
      </c>
      <c r="N2891" s="183">
        <v>19923</v>
      </c>
      <c r="O2891" s="14" t="s">
        <v>1187</v>
      </c>
      <c r="P2891" s="103">
        <v>2203.1999999999998</v>
      </c>
      <c r="Q2891" s="23">
        <v>42129</v>
      </c>
      <c r="R2891" s="106">
        <v>2203.1999999999998</v>
      </c>
      <c r="S2891" s="31">
        <f t="shared" si="91"/>
        <v>0</v>
      </c>
      <c r="T2891" s="209" t="s">
        <v>59</v>
      </c>
    </row>
    <row r="2892" spans="1:20" x14ac:dyDescent="0.25">
      <c r="A2892" s="20">
        <v>42152</v>
      </c>
      <c r="B2892" s="183">
        <v>22466</v>
      </c>
      <c r="C2892" s="14" t="s">
        <v>57</v>
      </c>
      <c r="D2892" s="103">
        <v>1400</v>
      </c>
      <c r="E2892" s="23">
        <v>42153</v>
      </c>
      <c r="F2892" s="106">
        <v>1400</v>
      </c>
      <c r="G2892" s="31">
        <f t="shared" si="90"/>
        <v>0</v>
      </c>
      <c r="H2892" s="132" t="s">
        <v>59</v>
      </c>
      <c r="I2892" s="3"/>
      <c r="J2892" s="42"/>
      <c r="K2892" s="3"/>
      <c r="M2892" s="20">
        <v>42130</v>
      </c>
      <c r="N2892" s="183">
        <v>20169</v>
      </c>
      <c r="O2892" s="14" t="s">
        <v>1187</v>
      </c>
      <c r="P2892" s="103">
        <v>1548</v>
      </c>
      <c r="Q2892" s="23">
        <v>42131</v>
      </c>
      <c r="R2892" s="106">
        <v>1548</v>
      </c>
      <c r="S2892" s="31">
        <f t="shared" si="91"/>
        <v>0</v>
      </c>
      <c r="T2892" s="132" t="s">
        <v>46</v>
      </c>
    </row>
    <row r="2893" spans="1:20" x14ac:dyDescent="0.25">
      <c r="A2893" s="20">
        <v>42152</v>
      </c>
      <c r="B2893" s="183">
        <v>22467</v>
      </c>
      <c r="C2893" s="14" t="s">
        <v>1182</v>
      </c>
      <c r="D2893" s="103">
        <v>2534.4</v>
      </c>
      <c r="E2893" s="23">
        <v>42152</v>
      </c>
      <c r="F2893" s="106">
        <v>2534.4</v>
      </c>
      <c r="G2893" s="31">
        <f t="shared" si="90"/>
        <v>0</v>
      </c>
      <c r="H2893" s="132" t="s">
        <v>9</v>
      </c>
      <c r="I2893" s="3"/>
      <c r="J2893" s="42"/>
      <c r="K2893" s="3"/>
      <c r="M2893" s="20">
        <v>42131</v>
      </c>
      <c r="N2893" s="183">
        <v>20248</v>
      </c>
      <c r="O2893" s="14" t="s">
        <v>1187</v>
      </c>
      <c r="P2893" s="103">
        <v>2322.1999999999998</v>
      </c>
      <c r="Q2893" s="23">
        <v>42131</v>
      </c>
      <c r="R2893" s="106">
        <v>2322.1999999999998</v>
      </c>
      <c r="S2893" s="31">
        <f t="shared" si="91"/>
        <v>0</v>
      </c>
      <c r="T2893" s="209" t="s">
        <v>59</v>
      </c>
    </row>
    <row r="2894" spans="1:20" x14ac:dyDescent="0.25">
      <c r="A2894" s="20">
        <v>42152</v>
      </c>
      <c r="B2894" s="183">
        <v>22468</v>
      </c>
      <c r="C2894" s="14" t="s">
        <v>1387</v>
      </c>
      <c r="D2894" s="103">
        <v>6504.6</v>
      </c>
      <c r="E2894" s="23">
        <v>42152</v>
      </c>
      <c r="F2894" s="106">
        <v>6504.6</v>
      </c>
      <c r="G2894" s="31">
        <f t="shared" si="90"/>
        <v>0</v>
      </c>
      <c r="H2894" s="132" t="s">
        <v>59</v>
      </c>
      <c r="I2894" s="3"/>
      <c r="J2894" s="42"/>
      <c r="K2894" s="3"/>
      <c r="M2894" s="20">
        <v>42135</v>
      </c>
      <c r="N2894" s="183">
        <v>20703</v>
      </c>
      <c r="O2894" s="14" t="s">
        <v>1187</v>
      </c>
      <c r="P2894" s="103">
        <v>514.79999999999995</v>
      </c>
      <c r="Q2894" s="23">
        <v>42136</v>
      </c>
      <c r="R2894" s="106">
        <v>514.79999999999995</v>
      </c>
      <c r="S2894" s="31">
        <f t="shared" si="91"/>
        <v>0</v>
      </c>
      <c r="T2894" s="132" t="s">
        <v>59</v>
      </c>
    </row>
    <row r="2895" spans="1:20" x14ac:dyDescent="0.25">
      <c r="A2895" s="20">
        <v>42152</v>
      </c>
      <c r="B2895" s="183">
        <v>22469</v>
      </c>
      <c r="C2895" s="14" t="s">
        <v>82</v>
      </c>
      <c r="D2895" s="103">
        <v>1953</v>
      </c>
      <c r="E2895" s="23">
        <v>42152</v>
      </c>
      <c r="F2895" s="106">
        <v>1953</v>
      </c>
      <c r="G2895" s="31">
        <f t="shared" si="90"/>
        <v>0</v>
      </c>
      <c r="H2895" s="132" t="s">
        <v>59</v>
      </c>
      <c r="I2895" s="3"/>
      <c r="J2895" s="42"/>
      <c r="K2895" s="3"/>
      <c r="M2895" s="20">
        <v>42136</v>
      </c>
      <c r="N2895" s="183">
        <v>20849</v>
      </c>
      <c r="O2895" s="14" t="s">
        <v>1187</v>
      </c>
      <c r="P2895" s="103">
        <v>2012.5</v>
      </c>
      <c r="Q2895" s="23">
        <v>42136</v>
      </c>
      <c r="R2895" s="106">
        <v>2012.5</v>
      </c>
      <c r="S2895" s="31">
        <f t="shared" si="91"/>
        <v>0</v>
      </c>
      <c r="T2895" s="132" t="s">
        <v>9</v>
      </c>
    </row>
    <row r="2896" spans="1:20" x14ac:dyDescent="0.25">
      <c r="A2896" s="20">
        <v>42152</v>
      </c>
      <c r="B2896" s="183">
        <v>22470</v>
      </c>
      <c r="C2896" s="14" t="s">
        <v>155</v>
      </c>
      <c r="D2896" s="103">
        <v>1250.2</v>
      </c>
      <c r="E2896" s="23">
        <v>42152</v>
      </c>
      <c r="F2896" s="106">
        <v>1250.2</v>
      </c>
      <c r="G2896" s="31">
        <f t="shared" si="90"/>
        <v>0</v>
      </c>
      <c r="H2896" s="132" t="s">
        <v>59</v>
      </c>
      <c r="I2896" s="3"/>
      <c r="J2896" s="42"/>
      <c r="K2896" s="3"/>
      <c r="M2896" s="20">
        <v>42138</v>
      </c>
      <c r="N2896" s="183">
        <v>21005</v>
      </c>
      <c r="O2896" s="14" t="s">
        <v>1187</v>
      </c>
      <c r="P2896" s="103">
        <v>2243.5</v>
      </c>
      <c r="Q2896" s="23">
        <v>42139</v>
      </c>
      <c r="R2896" s="106">
        <v>2243.5</v>
      </c>
      <c r="S2896" s="48">
        <f t="shared" si="91"/>
        <v>0</v>
      </c>
      <c r="T2896" s="209" t="s">
        <v>9</v>
      </c>
    </row>
    <row r="2897" spans="1:20" x14ac:dyDescent="0.25">
      <c r="A2897" s="20">
        <v>42152</v>
      </c>
      <c r="B2897" s="183">
        <v>22471</v>
      </c>
      <c r="C2897" s="14" t="s">
        <v>1184</v>
      </c>
      <c r="D2897" s="103">
        <v>393.45</v>
      </c>
      <c r="E2897" s="23">
        <v>42152</v>
      </c>
      <c r="F2897" s="106">
        <v>393.45</v>
      </c>
      <c r="G2897" s="31">
        <f t="shared" si="90"/>
        <v>0</v>
      </c>
      <c r="H2897" s="132" t="s">
        <v>9</v>
      </c>
      <c r="I2897" s="3"/>
      <c r="J2897" s="42"/>
      <c r="K2897" s="3"/>
      <c r="M2897" s="20">
        <v>42138</v>
      </c>
      <c r="N2897" s="183">
        <v>21010</v>
      </c>
      <c r="O2897" s="14" t="s">
        <v>1187</v>
      </c>
      <c r="P2897" s="103">
        <v>200</v>
      </c>
      <c r="Q2897" s="23">
        <v>42138</v>
      </c>
      <c r="R2897" s="106">
        <v>200</v>
      </c>
      <c r="S2897" s="48">
        <f t="shared" si="91"/>
        <v>0</v>
      </c>
      <c r="T2897" s="209" t="s">
        <v>59</v>
      </c>
    </row>
    <row r="2898" spans="1:20" x14ac:dyDescent="0.25">
      <c r="A2898" s="20">
        <v>42152</v>
      </c>
      <c r="B2898" s="183">
        <v>22472</v>
      </c>
      <c r="C2898" s="14" t="s">
        <v>1187</v>
      </c>
      <c r="D2898" s="103">
        <v>2591.6</v>
      </c>
      <c r="E2898" s="23">
        <v>42153</v>
      </c>
      <c r="F2898" s="106">
        <v>2591.6</v>
      </c>
      <c r="G2898" s="31">
        <f t="shared" si="90"/>
        <v>0</v>
      </c>
      <c r="H2898" s="132" t="s">
        <v>59</v>
      </c>
      <c r="I2898" s="3"/>
      <c r="J2898" s="42"/>
      <c r="K2898" s="3"/>
      <c r="M2898" s="20">
        <v>42140</v>
      </c>
      <c r="N2898" s="183">
        <v>21231</v>
      </c>
      <c r="O2898" s="14" t="s">
        <v>1187</v>
      </c>
      <c r="P2898" s="103">
        <v>2299.5</v>
      </c>
      <c r="Q2898" s="23">
        <v>42140</v>
      </c>
      <c r="R2898" s="106">
        <v>2299.5</v>
      </c>
      <c r="S2898" s="48">
        <f t="shared" si="91"/>
        <v>0</v>
      </c>
      <c r="T2898" s="132" t="s">
        <v>59</v>
      </c>
    </row>
    <row r="2899" spans="1:20" x14ac:dyDescent="0.25">
      <c r="A2899" s="20">
        <v>42152</v>
      </c>
      <c r="B2899" s="183">
        <v>22473</v>
      </c>
      <c r="C2899" s="14" t="s">
        <v>169</v>
      </c>
      <c r="D2899" s="103">
        <v>2348.4</v>
      </c>
      <c r="E2899" s="23">
        <v>42152</v>
      </c>
      <c r="F2899" s="106">
        <v>2348.4</v>
      </c>
      <c r="G2899" s="31">
        <f t="shared" si="90"/>
        <v>0</v>
      </c>
      <c r="H2899" s="132" t="s">
        <v>59</v>
      </c>
      <c r="I2899" s="3"/>
      <c r="J2899" s="42"/>
      <c r="K2899" s="3"/>
      <c r="M2899" s="20">
        <v>42143</v>
      </c>
      <c r="N2899" s="183">
        <v>21563</v>
      </c>
      <c r="O2899" s="14" t="s">
        <v>1187</v>
      </c>
      <c r="P2899" s="103">
        <v>613.6</v>
      </c>
      <c r="Q2899" s="23">
        <v>42143</v>
      </c>
      <c r="R2899" s="118">
        <v>613.6</v>
      </c>
      <c r="S2899" s="31">
        <f t="shared" si="91"/>
        <v>0</v>
      </c>
      <c r="T2899" s="28" t="s">
        <v>59</v>
      </c>
    </row>
    <row r="2900" spans="1:20" x14ac:dyDescent="0.25">
      <c r="A2900" s="20">
        <v>42152</v>
      </c>
      <c r="B2900" s="183">
        <v>22474</v>
      </c>
      <c r="C2900" s="14" t="s">
        <v>664</v>
      </c>
      <c r="D2900" s="103">
        <v>1545.6</v>
      </c>
      <c r="E2900" s="23">
        <v>42152</v>
      </c>
      <c r="F2900" s="106">
        <v>1545.6</v>
      </c>
      <c r="G2900" s="31">
        <f t="shared" si="90"/>
        <v>0</v>
      </c>
      <c r="H2900" s="132" t="s">
        <v>59</v>
      </c>
      <c r="I2900" s="3"/>
      <c r="J2900" s="42"/>
      <c r="K2900" s="3"/>
      <c r="M2900" s="20">
        <v>42144</v>
      </c>
      <c r="N2900" s="183">
        <v>21668</v>
      </c>
      <c r="O2900" s="14" t="s">
        <v>1187</v>
      </c>
      <c r="P2900" s="103">
        <v>2260.8000000000002</v>
      </c>
      <c r="Q2900" s="23">
        <v>42145</v>
      </c>
      <c r="R2900" s="118">
        <v>2260.8000000000002</v>
      </c>
      <c r="S2900" s="31">
        <f t="shared" si="91"/>
        <v>0</v>
      </c>
      <c r="T2900" s="180" t="s">
        <v>1257</v>
      </c>
    </row>
    <row r="2901" spans="1:20" x14ac:dyDescent="0.25">
      <c r="A2901" s="20">
        <v>42152</v>
      </c>
      <c r="B2901" s="183">
        <v>22475</v>
      </c>
      <c r="C2901" s="14" t="s">
        <v>81</v>
      </c>
      <c r="D2901" s="103">
        <v>1422.7</v>
      </c>
      <c r="E2901" s="23">
        <v>42152</v>
      </c>
      <c r="F2901" s="106">
        <v>1422.7</v>
      </c>
      <c r="G2901" s="31">
        <f t="shared" si="90"/>
        <v>0</v>
      </c>
      <c r="H2901" s="132" t="s">
        <v>59</v>
      </c>
      <c r="I2901" s="3"/>
      <c r="J2901" s="42"/>
      <c r="K2901" s="3"/>
      <c r="M2901" s="20">
        <v>42146</v>
      </c>
      <c r="N2901" s="183">
        <v>21871</v>
      </c>
      <c r="O2901" s="14" t="s">
        <v>1187</v>
      </c>
      <c r="P2901" s="103">
        <v>2430</v>
      </c>
      <c r="Q2901" s="23">
        <v>42147</v>
      </c>
      <c r="R2901" s="106">
        <v>2430</v>
      </c>
      <c r="S2901" s="31">
        <f t="shared" si="91"/>
        <v>0</v>
      </c>
      <c r="T2901" s="132" t="s">
        <v>59</v>
      </c>
    </row>
    <row r="2902" spans="1:20" x14ac:dyDescent="0.25">
      <c r="A2902" s="20">
        <v>42152</v>
      </c>
      <c r="B2902" s="183">
        <v>22476</v>
      </c>
      <c r="C2902" s="14" t="s">
        <v>131</v>
      </c>
      <c r="D2902" s="103">
        <v>11131.6</v>
      </c>
      <c r="E2902" s="30">
        <v>42156</v>
      </c>
      <c r="F2902" s="144">
        <v>11131.6</v>
      </c>
      <c r="G2902" s="31">
        <f t="shared" si="90"/>
        <v>0</v>
      </c>
      <c r="H2902" s="132" t="s">
        <v>9</v>
      </c>
      <c r="I2902" s="3"/>
      <c r="J2902" s="42"/>
      <c r="K2902" s="3"/>
      <c r="M2902" s="20">
        <v>42149</v>
      </c>
      <c r="N2902" s="183">
        <v>22146</v>
      </c>
      <c r="O2902" s="14" t="s">
        <v>1187</v>
      </c>
      <c r="P2902" s="103">
        <v>502.2</v>
      </c>
      <c r="Q2902" s="65">
        <v>42149</v>
      </c>
      <c r="R2902" s="106">
        <v>502.2</v>
      </c>
      <c r="S2902" s="31">
        <f t="shared" si="91"/>
        <v>0</v>
      </c>
      <c r="T2902" s="132" t="s">
        <v>59</v>
      </c>
    </row>
    <row r="2903" spans="1:20" x14ac:dyDescent="0.25">
      <c r="A2903" s="20">
        <v>42152</v>
      </c>
      <c r="B2903" s="183">
        <v>22477</v>
      </c>
      <c r="C2903" s="14" t="s">
        <v>915</v>
      </c>
      <c r="D2903" s="103">
        <v>314.64</v>
      </c>
      <c r="E2903" s="23">
        <v>42152</v>
      </c>
      <c r="F2903" s="106">
        <v>314.64</v>
      </c>
      <c r="G2903" s="31">
        <f t="shared" si="90"/>
        <v>0</v>
      </c>
      <c r="H2903" s="132" t="s">
        <v>59</v>
      </c>
      <c r="I2903" s="3"/>
      <c r="J2903" s="42"/>
      <c r="K2903" s="3"/>
      <c r="M2903" s="20">
        <v>42152</v>
      </c>
      <c r="N2903" s="183">
        <v>22472</v>
      </c>
      <c r="O2903" s="14" t="s">
        <v>1187</v>
      </c>
      <c r="P2903" s="103">
        <v>2591.6</v>
      </c>
      <c r="Q2903" s="23">
        <v>42153</v>
      </c>
      <c r="R2903" s="106">
        <v>2591.6</v>
      </c>
      <c r="S2903" s="31">
        <f t="shared" si="91"/>
        <v>0</v>
      </c>
      <c r="T2903" s="132" t="s">
        <v>59</v>
      </c>
    </row>
    <row r="2904" spans="1:20" x14ac:dyDescent="0.25">
      <c r="A2904" s="20">
        <v>42152</v>
      </c>
      <c r="B2904" s="183">
        <v>22478</v>
      </c>
      <c r="C2904" s="14" t="s">
        <v>332</v>
      </c>
      <c r="D2904" s="103">
        <v>722.7</v>
      </c>
      <c r="E2904" s="23">
        <v>42152</v>
      </c>
      <c r="F2904" s="106">
        <v>722.7</v>
      </c>
      <c r="G2904" s="31">
        <f t="shared" si="90"/>
        <v>0</v>
      </c>
      <c r="H2904" s="132" t="s">
        <v>9</v>
      </c>
      <c r="I2904" s="3"/>
      <c r="J2904" s="42"/>
      <c r="K2904" s="3"/>
      <c r="M2904" s="20">
        <v>42155</v>
      </c>
      <c r="N2904" s="183">
        <v>22830</v>
      </c>
      <c r="O2904" s="14" t="s">
        <v>1187</v>
      </c>
      <c r="P2904" s="103">
        <v>1298.7</v>
      </c>
      <c r="Q2904" s="23">
        <v>42155</v>
      </c>
      <c r="R2904" s="106">
        <v>1298.7</v>
      </c>
      <c r="S2904" s="31">
        <f t="shared" si="91"/>
        <v>0</v>
      </c>
      <c r="T2904" s="132" t="s">
        <v>62</v>
      </c>
    </row>
    <row r="2905" spans="1:20" x14ac:dyDescent="0.25">
      <c r="A2905" s="20">
        <v>42152</v>
      </c>
      <c r="B2905" s="183">
        <v>22479</v>
      </c>
      <c r="C2905" s="14" t="s">
        <v>143</v>
      </c>
      <c r="D2905" s="103">
        <v>13212</v>
      </c>
      <c r="E2905" s="23">
        <v>42152</v>
      </c>
      <c r="F2905" s="106">
        <v>13212</v>
      </c>
      <c r="G2905" s="31">
        <f t="shared" si="90"/>
        <v>0</v>
      </c>
      <c r="H2905" s="132" t="s">
        <v>1257</v>
      </c>
      <c r="I2905" s="3"/>
      <c r="J2905" s="42"/>
      <c r="K2905" s="3"/>
      <c r="M2905" s="20">
        <v>42128</v>
      </c>
      <c r="N2905" s="183">
        <v>19928</v>
      </c>
      <c r="O2905" s="14" t="s">
        <v>664</v>
      </c>
      <c r="P2905" s="103">
        <v>768</v>
      </c>
      <c r="Q2905" s="23">
        <v>42128</v>
      </c>
      <c r="R2905" s="106">
        <v>768</v>
      </c>
      <c r="S2905" s="31">
        <f t="shared" si="91"/>
        <v>0</v>
      </c>
      <c r="T2905" s="209" t="s">
        <v>59</v>
      </c>
    </row>
    <row r="2906" spans="1:20" x14ac:dyDescent="0.25">
      <c r="A2906" s="20">
        <v>42152</v>
      </c>
      <c r="B2906" s="183">
        <v>22480</v>
      </c>
      <c r="C2906" s="14" t="s">
        <v>130</v>
      </c>
      <c r="D2906" s="103">
        <v>1892</v>
      </c>
      <c r="E2906" s="23">
        <v>42154</v>
      </c>
      <c r="F2906" s="106">
        <v>1892</v>
      </c>
      <c r="G2906" s="31">
        <f t="shared" si="90"/>
        <v>0</v>
      </c>
      <c r="H2906" s="132" t="s">
        <v>1257</v>
      </c>
      <c r="I2906" s="3"/>
      <c r="J2906" s="42"/>
      <c r="K2906" s="3"/>
      <c r="M2906" s="20">
        <v>42129</v>
      </c>
      <c r="N2906" s="183">
        <v>20063</v>
      </c>
      <c r="O2906" s="14" t="s">
        <v>664</v>
      </c>
      <c r="P2906" s="103">
        <v>1556</v>
      </c>
      <c r="Q2906" s="23">
        <v>42129</v>
      </c>
      <c r="R2906" s="106">
        <v>1556</v>
      </c>
      <c r="S2906" s="31">
        <f t="shared" si="91"/>
        <v>0</v>
      </c>
      <c r="T2906" s="132" t="s">
        <v>59</v>
      </c>
    </row>
    <row r="2907" spans="1:20" x14ac:dyDescent="0.25">
      <c r="A2907" s="20">
        <v>42152</v>
      </c>
      <c r="B2907" s="183">
        <v>22481</v>
      </c>
      <c r="C2907" s="14" t="s">
        <v>25</v>
      </c>
      <c r="D2907" s="103">
        <v>294</v>
      </c>
      <c r="E2907" s="23">
        <v>42152</v>
      </c>
      <c r="F2907" s="106">
        <v>294</v>
      </c>
      <c r="G2907" s="31">
        <f t="shared" si="90"/>
        <v>0</v>
      </c>
      <c r="H2907" s="132" t="s">
        <v>9</v>
      </c>
      <c r="I2907" s="3"/>
      <c r="J2907" s="42"/>
      <c r="K2907" s="3"/>
      <c r="M2907" s="20">
        <v>42132</v>
      </c>
      <c r="N2907" s="183">
        <v>20379</v>
      </c>
      <c r="O2907" s="14" t="s">
        <v>664</v>
      </c>
      <c r="P2907" s="103">
        <v>1404</v>
      </c>
      <c r="Q2907" s="23">
        <v>42133</v>
      </c>
      <c r="R2907" s="106">
        <v>1404</v>
      </c>
      <c r="S2907" s="48">
        <f t="shared" si="91"/>
        <v>0</v>
      </c>
      <c r="T2907" s="209" t="s">
        <v>59</v>
      </c>
    </row>
    <row r="2908" spans="1:20" x14ac:dyDescent="0.25">
      <c r="A2908" s="20">
        <v>42152</v>
      </c>
      <c r="B2908" s="183">
        <v>22482</v>
      </c>
      <c r="C2908" s="14" t="s">
        <v>164</v>
      </c>
      <c r="D2908" s="103">
        <v>1120.5</v>
      </c>
      <c r="E2908" s="23">
        <v>42152</v>
      </c>
      <c r="F2908" s="106">
        <v>1120.5</v>
      </c>
      <c r="G2908" s="31">
        <f t="shared" si="90"/>
        <v>0</v>
      </c>
      <c r="H2908" s="132" t="s">
        <v>9</v>
      </c>
      <c r="I2908" s="3"/>
      <c r="J2908" s="42"/>
      <c r="K2908" s="3"/>
      <c r="M2908" s="20">
        <v>42136</v>
      </c>
      <c r="N2908" s="183">
        <v>20819</v>
      </c>
      <c r="O2908" s="14" t="s">
        <v>664</v>
      </c>
      <c r="P2908" s="103">
        <v>2240</v>
      </c>
      <c r="Q2908" s="23">
        <v>42136</v>
      </c>
      <c r="R2908" s="106">
        <v>2240</v>
      </c>
      <c r="S2908" s="31">
        <f t="shared" si="91"/>
        <v>0</v>
      </c>
      <c r="T2908" s="132" t="s">
        <v>59</v>
      </c>
    </row>
    <row r="2909" spans="1:20" x14ac:dyDescent="0.25">
      <c r="A2909" s="20">
        <v>42152</v>
      </c>
      <c r="B2909" s="183">
        <v>22483</v>
      </c>
      <c r="C2909" s="14" t="s">
        <v>1424</v>
      </c>
      <c r="D2909" s="103">
        <v>1862</v>
      </c>
      <c r="E2909" s="23">
        <v>42152</v>
      </c>
      <c r="F2909" s="106">
        <v>1862</v>
      </c>
      <c r="G2909" s="31">
        <f t="shared" si="90"/>
        <v>0</v>
      </c>
      <c r="H2909" s="132" t="s">
        <v>59</v>
      </c>
      <c r="I2909" s="3"/>
      <c r="J2909" s="42"/>
      <c r="K2909" s="3"/>
      <c r="M2909" s="20">
        <v>42152</v>
      </c>
      <c r="N2909" s="183">
        <v>22474</v>
      </c>
      <c r="O2909" s="14" t="s">
        <v>664</v>
      </c>
      <c r="P2909" s="103">
        <v>1545.6</v>
      </c>
      <c r="Q2909" s="23">
        <v>42152</v>
      </c>
      <c r="R2909" s="106">
        <v>1545.6</v>
      </c>
      <c r="S2909" s="31">
        <f t="shared" si="91"/>
        <v>0</v>
      </c>
      <c r="T2909" s="132" t="s">
        <v>59</v>
      </c>
    </row>
    <row r="2910" spans="1:20" x14ac:dyDescent="0.25">
      <c r="A2910" s="20">
        <v>42152</v>
      </c>
      <c r="B2910" s="183">
        <v>22484</v>
      </c>
      <c r="C2910" s="14" t="s">
        <v>1338</v>
      </c>
      <c r="D2910" s="103">
        <v>16957.66</v>
      </c>
      <c r="E2910" s="23">
        <v>42153</v>
      </c>
      <c r="F2910" s="106">
        <v>16957.66</v>
      </c>
      <c r="G2910" s="31">
        <f t="shared" si="90"/>
        <v>0</v>
      </c>
      <c r="H2910" s="132" t="s">
        <v>59</v>
      </c>
      <c r="I2910" s="3"/>
      <c r="J2910" s="42"/>
      <c r="K2910" s="3"/>
      <c r="M2910" s="20">
        <v>42125</v>
      </c>
      <c r="N2910" s="183">
        <v>19591</v>
      </c>
      <c r="O2910" s="14" t="s">
        <v>49</v>
      </c>
      <c r="P2910" s="103">
        <v>1828</v>
      </c>
      <c r="Q2910" s="23">
        <v>42125</v>
      </c>
      <c r="R2910" s="106">
        <v>1828</v>
      </c>
      <c r="S2910" s="25">
        <f t="shared" si="91"/>
        <v>0</v>
      </c>
      <c r="T2910" s="209" t="s">
        <v>9</v>
      </c>
    </row>
    <row r="2911" spans="1:20" x14ac:dyDescent="0.25">
      <c r="A2911" s="20">
        <v>42152</v>
      </c>
      <c r="B2911" s="183">
        <v>22485</v>
      </c>
      <c r="C2911" s="14" t="s">
        <v>71</v>
      </c>
      <c r="D2911" s="103">
        <v>8196</v>
      </c>
      <c r="E2911" s="23">
        <v>42152</v>
      </c>
      <c r="F2911" s="106">
        <v>8196</v>
      </c>
      <c r="G2911" s="31">
        <f t="shared" si="90"/>
        <v>0</v>
      </c>
      <c r="H2911" s="132" t="s">
        <v>9</v>
      </c>
      <c r="I2911" s="3"/>
      <c r="J2911" s="42"/>
      <c r="K2911" s="3"/>
      <c r="M2911" s="20">
        <v>42128</v>
      </c>
      <c r="N2911" s="183">
        <v>19937</v>
      </c>
      <c r="O2911" s="14" t="s">
        <v>49</v>
      </c>
      <c r="P2911" s="103">
        <v>1260</v>
      </c>
      <c r="Q2911" s="23">
        <v>42128</v>
      </c>
      <c r="R2911" s="106">
        <v>1260</v>
      </c>
      <c r="S2911" s="31">
        <f t="shared" si="91"/>
        <v>0</v>
      </c>
      <c r="T2911" s="209" t="s">
        <v>41</v>
      </c>
    </row>
    <row r="2912" spans="1:20" x14ac:dyDescent="0.25">
      <c r="A2912" s="20">
        <v>42152</v>
      </c>
      <c r="B2912" s="183">
        <v>22486</v>
      </c>
      <c r="C2912" s="14" t="s">
        <v>137</v>
      </c>
      <c r="D2912" s="103">
        <v>393.45</v>
      </c>
      <c r="E2912" s="23">
        <v>42152</v>
      </c>
      <c r="F2912" s="106">
        <v>393.45</v>
      </c>
      <c r="G2912" s="31">
        <f t="shared" si="90"/>
        <v>0</v>
      </c>
      <c r="H2912" s="132" t="s">
        <v>9</v>
      </c>
      <c r="I2912" s="3"/>
      <c r="J2912" s="42"/>
      <c r="K2912" s="3"/>
      <c r="M2912" s="20">
        <v>42131</v>
      </c>
      <c r="N2912" s="183">
        <v>20235</v>
      </c>
      <c r="O2912" s="14" t="s">
        <v>49</v>
      </c>
      <c r="P2912" s="103">
        <v>1364</v>
      </c>
      <c r="Q2912" s="23">
        <v>42131</v>
      </c>
      <c r="R2912" s="106">
        <v>1364</v>
      </c>
      <c r="S2912" s="31">
        <f t="shared" si="91"/>
        <v>0</v>
      </c>
      <c r="T2912" s="132" t="s">
        <v>1273</v>
      </c>
    </row>
    <row r="2913" spans="1:20" x14ac:dyDescent="0.25">
      <c r="A2913" s="20">
        <v>42152</v>
      </c>
      <c r="B2913" s="183">
        <v>22487</v>
      </c>
      <c r="C2913" s="14" t="s">
        <v>100</v>
      </c>
      <c r="D2913" s="103">
        <v>2291.6</v>
      </c>
      <c r="E2913" s="23">
        <v>42152</v>
      </c>
      <c r="F2913" s="106">
        <v>2291.6</v>
      </c>
      <c r="G2913" s="31">
        <f t="shared" si="90"/>
        <v>0</v>
      </c>
      <c r="H2913" s="132" t="s">
        <v>9</v>
      </c>
      <c r="I2913" s="3"/>
      <c r="J2913" s="42"/>
      <c r="K2913" s="3"/>
      <c r="M2913" s="20">
        <v>42138</v>
      </c>
      <c r="N2913" s="183">
        <v>20978</v>
      </c>
      <c r="O2913" s="14" t="s">
        <v>49</v>
      </c>
      <c r="P2913" s="103">
        <v>1976</v>
      </c>
      <c r="Q2913" s="23">
        <v>42138</v>
      </c>
      <c r="R2913" s="106">
        <v>1976</v>
      </c>
      <c r="S2913" s="31">
        <f t="shared" si="91"/>
        <v>0</v>
      </c>
      <c r="T2913" s="209" t="s">
        <v>94</v>
      </c>
    </row>
    <row r="2914" spans="1:20" x14ac:dyDescent="0.25">
      <c r="A2914" s="20">
        <v>42152</v>
      </c>
      <c r="B2914" s="183">
        <v>22488</v>
      </c>
      <c r="C2914" s="14" t="s">
        <v>247</v>
      </c>
      <c r="D2914" s="103">
        <v>6605.6</v>
      </c>
      <c r="E2914" s="23">
        <v>42153</v>
      </c>
      <c r="F2914" s="106">
        <v>6605.6</v>
      </c>
      <c r="G2914" s="31">
        <f t="shared" si="90"/>
        <v>0</v>
      </c>
      <c r="H2914" s="132" t="s">
        <v>9</v>
      </c>
      <c r="I2914" s="3"/>
      <c r="J2914" s="42"/>
      <c r="K2914" s="3"/>
      <c r="M2914" s="20">
        <v>42139</v>
      </c>
      <c r="N2914" s="183">
        <v>21111</v>
      </c>
      <c r="O2914" s="14" t="s">
        <v>49</v>
      </c>
      <c r="P2914" s="103">
        <v>1428</v>
      </c>
      <c r="Q2914" s="23">
        <v>42139</v>
      </c>
      <c r="R2914" s="106">
        <v>1428</v>
      </c>
      <c r="S2914" s="48">
        <f t="shared" si="91"/>
        <v>0</v>
      </c>
      <c r="T2914" s="132" t="s">
        <v>94</v>
      </c>
    </row>
    <row r="2915" spans="1:20" x14ac:dyDescent="0.25">
      <c r="A2915" s="20">
        <v>42152</v>
      </c>
      <c r="B2915" s="183">
        <v>22489</v>
      </c>
      <c r="C2915" s="14" t="s">
        <v>89</v>
      </c>
      <c r="D2915" s="103">
        <v>2164.6</v>
      </c>
      <c r="E2915" s="23">
        <v>42152</v>
      </c>
      <c r="F2915" s="106">
        <v>2164.6</v>
      </c>
      <c r="G2915" s="31">
        <f t="shared" si="90"/>
        <v>0</v>
      </c>
      <c r="H2915" s="132" t="s">
        <v>9</v>
      </c>
      <c r="I2915" s="3"/>
      <c r="J2915" s="42"/>
      <c r="K2915" s="3"/>
      <c r="M2915" s="20">
        <v>42143</v>
      </c>
      <c r="N2915" s="183">
        <v>21558</v>
      </c>
      <c r="O2915" s="14" t="s">
        <v>49</v>
      </c>
      <c r="P2915" s="103">
        <v>1402.2</v>
      </c>
      <c r="Q2915" s="23">
        <v>42143</v>
      </c>
      <c r="R2915" s="118">
        <v>1402.2</v>
      </c>
      <c r="S2915" s="31">
        <f t="shared" si="91"/>
        <v>0</v>
      </c>
      <c r="T2915" s="28" t="s">
        <v>41</v>
      </c>
    </row>
    <row r="2916" spans="1:20" x14ac:dyDescent="0.25">
      <c r="A2916" s="20">
        <v>42152</v>
      </c>
      <c r="B2916" s="183">
        <v>22490</v>
      </c>
      <c r="C2916" s="14" t="s">
        <v>213</v>
      </c>
      <c r="D2916" s="103">
        <v>29866</v>
      </c>
      <c r="E2916" s="23">
        <v>42153</v>
      </c>
      <c r="F2916" s="106">
        <v>29866</v>
      </c>
      <c r="G2916" s="31">
        <f t="shared" si="90"/>
        <v>0</v>
      </c>
      <c r="H2916" s="132" t="s">
        <v>94</v>
      </c>
      <c r="I2916" s="3"/>
      <c r="J2916" s="42"/>
      <c r="K2916" s="3"/>
      <c r="M2916" s="20">
        <v>42145</v>
      </c>
      <c r="N2916" s="183">
        <v>21783</v>
      </c>
      <c r="O2916" s="15" t="s">
        <v>49</v>
      </c>
      <c r="P2916" s="133">
        <v>489.96</v>
      </c>
      <c r="Q2916" s="23">
        <v>42145</v>
      </c>
      <c r="R2916" s="118">
        <v>489.96</v>
      </c>
      <c r="S2916" s="31">
        <f t="shared" si="91"/>
        <v>0</v>
      </c>
      <c r="T2916" s="46" t="s">
        <v>62</v>
      </c>
    </row>
    <row r="2917" spans="1:20" x14ac:dyDescent="0.25">
      <c r="A2917" s="20">
        <v>42152</v>
      </c>
      <c r="B2917" s="183">
        <v>22491</v>
      </c>
      <c r="C2917" s="14" t="s">
        <v>50</v>
      </c>
      <c r="D2917" s="103">
        <v>2945.6</v>
      </c>
      <c r="E2917" s="23">
        <v>42153</v>
      </c>
      <c r="F2917" s="106">
        <v>2945.6</v>
      </c>
      <c r="G2917" s="31">
        <f t="shared" si="90"/>
        <v>0</v>
      </c>
      <c r="H2917" s="132" t="s">
        <v>94</v>
      </c>
      <c r="I2917" s="3"/>
      <c r="J2917" s="42"/>
      <c r="K2917" s="3"/>
      <c r="M2917" s="20">
        <v>42146</v>
      </c>
      <c r="N2917" s="183">
        <v>21848</v>
      </c>
      <c r="O2917" s="14" t="s">
        <v>49</v>
      </c>
      <c r="P2917" s="103">
        <v>1512</v>
      </c>
      <c r="Q2917" s="23">
        <v>42146</v>
      </c>
      <c r="R2917" s="106">
        <v>1512</v>
      </c>
      <c r="S2917" s="31">
        <f t="shared" si="91"/>
        <v>0</v>
      </c>
      <c r="T2917" s="132" t="s">
        <v>94</v>
      </c>
    </row>
    <row r="2918" spans="1:20" x14ac:dyDescent="0.25">
      <c r="A2918" s="20">
        <v>42152</v>
      </c>
      <c r="B2918" s="183">
        <v>22492</v>
      </c>
      <c r="C2918" s="14" t="s">
        <v>125</v>
      </c>
      <c r="D2918" s="103">
        <v>504</v>
      </c>
      <c r="E2918" s="23">
        <v>42153</v>
      </c>
      <c r="F2918" s="106">
        <v>504</v>
      </c>
      <c r="G2918" s="31">
        <f t="shared" si="90"/>
        <v>0</v>
      </c>
      <c r="H2918" s="132" t="s">
        <v>94</v>
      </c>
      <c r="I2918" s="3"/>
      <c r="J2918" s="42"/>
      <c r="K2918" s="3"/>
      <c r="M2918" s="20">
        <v>42149</v>
      </c>
      <c r="N2918" s="183">
        <v>22212</v>
      </c>
      <c r="O2918" s="14" t="s">
        <v>49</v>
      </c>
      <c r="P2918" s="103">
        <v>1495.2</v>
      </c>
      <c r="Q2918" s="65">
        <v>42150</v>
      </c>
      <c r="R2918" s="106">
        <v>1495.2</v>
      </c>
      <c r="S2918" s="31">
        <f t="shared" si="91"/>
        <v>0</v>
      </c>
      <c r="T2918" s="132" t="s">
        <v>94</v>
      </c>
    </row>
    <row r="2919" spans="1:20" x14ac:dyDescent="0.25">
      <c r="A2919" s="20">
        <v>42152</v>
      </c>
      <c r="B2919" s="183">
        <v>22493</v>
      </c>
      <c r="C2919" s="14" t="s">
        <v>104</v>
      </c>
      <c r="D2919" s="103">
        <v>1201.5</v>
      </c>
      <c r="E2919" s="23">
        <v>42153</v>
      </c>
      <c r="F2919" s="106">
        <v>1201.5</v>
      </c>
      <c r="G2919" s="31">
        <f t="shared" si="90"/>
        <v>0</v>
      </c>
      <c r="H2919" s="132" t="s">
        <v>94</v>
      </c>
      <c r="I2919" s="3"/>
      <c r="J2919" s="42"/>
      <c r="K2919" s="3"/>
      <c r="M2919" s="20">
        <v>42151</v>
      </c>
      <c r="N2919" s="183">
        <v>22346</v>
      </c>
      <c r="O2919" s="14" t="s">
        <v>49</v>
      </c>
      <c r="P2919" s="103">
        <v>1373.4</v>
      </c>
      <c r="Q2919" s="65">
        <v>42151</v>
      </c>
      <c r="R2919" s="106">
        <v>1373.4</v>
      </c>
      <c r="S2919" s="31">
        <f t="shared" si="91"/>
        <v>0</v>
      </c>
      <c r="T2919" s="132" t="s">
        <v>94</v>
      </c>
    </row>
    <row r="2920" spans="1:20" x14ac:dyDescent="0.25">
      <c r="A2920" s="20">
        <v>42152</v>
      </c>
      <c r="B2920" s="183">
        <v>22494</v>
      </c>
      <c r="C2920" s="14" t="s">
        <v>335</v>
      </c>
      <c r="D2920" s="103">
        <v>188.5</v>
      </c>
      <c r="E2920" s="23">
        <v>42152</v>
      </c>
      <c r="F2920" s="106">
        <v>188.5</v>
      </c>
      <c r="G2920" s="31">
        <f t="shared" si="90"/>
        <v>0</v>
      </c>
      <c r="H2920" s="132" t="s">
        <v>9</v>
      </c>
      <c r="I2920" s="3"/>
      <c r="J2920" s="42"/>
      <c r="K2920" s="3"/>
      <c r="M2920" s="20">
        <v>42154</v>
      </c>
      <c r="N2920" s="183">
        <v>22703</v>
      </c>
      <c r="O2920" s="14" t="s">
        <v>49</v>
      </c>
      <c r="P2920" s="103">
        <v>1562.4</v>
      </c>
      <c r="Q2920" s="23">
        <v>42154</v>
      </c>
      <c r="R2920" s="106">
        <v>1562.4</v>
      </c>
      <c r="S2920" s="31">
        <f t="shared" si="91"/>
        <v>0</v>
      </c>
      <c r="T2920" s="132" t="s">
        <v>94</v>
      </c>
    </row>
    <row r="2921" spans="1:20" x14ac:dyDescent="0.25">
      <c r="A2921" s="20">
        <v>42152</v>
      </c>
      <c r="B2921" s="183">
        <v>22495</v>
      </c>
      <c r="C2921" s="14" t="s">
        <v>720</v>
      </c>
      <c r="D2921" s="103">
        <v>2932</v>
      </c>
      <c r="E2921" s="23">
        <v>42153</v>
      </c>
      <c r="F2921" s="106">
        <v>2932</v>
      </c>
      <c r="G2921" s="31">
        <f t="shared" si="90"/>
        <v>0</v>
      </c>
      <c r="H2921" s="132" t="s">
        <v>94</v>
      </c>
      <c r="I2921" s="3"/>
      <c r="J2921" s="42"/>
      <c r="K2921" s="3"/>
      <c r="M2921" s="20">
        <v>42125</v>
      </c>
      <c r="N2921" s="183">
        <v>19652</v>
      </c>
      <c r="O2921" s="14" t="s">
        <v>906</v>
      </c>
      <c r="P2921" s="103">
        <v>1885.4</v>
      </c>
      <c r="Q2921" s="23">
        <v>42125</v>
      </c>
      <c r="R2921" s="106">
        <v>1885.4</v>
      </c>
      <c r="S2921" s="25">
        <f t="shared" si="91"/>
        <v>0</v>
      </c>
      <c r="T2921" s="209" t="s">
        <v>62</v>
      </c>
    </row>
    <row r="2922" spans="1:20" x14ac:dyDescent="0.25">
      <c r="A2922" s="20">
        <v>42152</v>
      </c>
      <c r="B2922" s="183">
        <v>22496</v>
      </c>
      <c r="C2922" s="14" t="s">
        <v>95</v>
      </c>
      <c r="D2922" s="103">
        <v>1892.4</v>
      </c>
      <c r="E2922" s="23">
        <v>42153</v>
      </c>
      <c r="F2922" s="106">
        <v>1892.4</v>
      </c>
      <c r="G2922" s="31">
        <f t="shared" si="90"/>
        <v>0</v>
      </c>
      <c r="H2922" s="132" t="s">
        <v>1273</v>
      </c>
      <c r="I2922" s="3"/>
      <c r="J2922" s="42"/>
      <c r="K2922" s="3"/>
      <c r="M2922" s="20">
        <v>42128</v>
      </c>
      <c r="N2922" s="183">
        <v>19935</v>
      </c>
      <c r="O2922" s="14" t="s">
        <v>906</v>
      </c>
      <c r="P2922" s="103">
        <v>1220.5999999999999</v>
      </c>
      <c r="Q2922" s="23">
        <v>42128</v>
      </c>
      <c r="R2922" s="106">
        <v>1220.5999999999999</v>
      </c>
      <c r="S2922" s="31">
        <f t="shared" si="91"/>
        <v>0</v>
      </c>
      <c r="T2922" s="209" t="s">
        <v>41</v>
      </c>
    </row>
    <row r="2923" spans="1:20" x14ac:dyDescent="0.25">
      <c r="A2923" s="20">
        <v>42152</v>
      </c>
      <c r="B2923" s="183">
        <v>22497</v>
      </c>
      <c r="C2923" s="14" t="s">
        <v>95</v>
      </c>
      <c r="D2923" s="103">
        <v>3735.4</v>
      </c>
      <c r="E2923" s="23">
        <v>42153</v>
      </c>
      <c r="F2923" s="106">
        <v>3735.4</v>
      </c>
      <c r="G2923" s="31">
        <f t="shared" si="90"/>
        <v>0</v>
      </c>
      <c r="H2923" s="132" t="s">
        <v>94</v>
      </c>
      <c r="I2923" s="3"/>
      <c r="J2923" s="42"/>
      <c r="K2923" s="3"/>
      <c r="M2923" s="20">
        <v>42130</v>
      </c>
      <c r="N2923" s="183">
        <v>20157</v>
      </c>
      <c r="O2923" s="14" t="s">
        <v>906</v>
      </c>
      <c r="P2923" s="103">
        <v>1315.8</v>
      </c>
      <c r="Q2923" s="23">
        <v>42131</v>
      </c>
      <c r="R2923" s="106">
        <v>1315.8</v>
      </c>
      <c r="S2923" s="31">
        <f t="shared" si="91"/>
        <v>0</v>
      </c>
      <c r="T2923" s="132" t="s">
        <v>312</v>
      </c>
    </row>
    <row r="2924" spans="1:20" x14ac:dyDescent="0.25">
      <c r="A2924" s="20">
        <v>42152</v>
      </c>
      <c r="B2924" s="183">
        <v>22498</v>
      </c>
      <c r="C2924" s="14" t="s">
        <v>909</v>
      </c>
      <c r="D2924" s="103">
        <v>280</v>
      </c>
      <c r="E2924" s="23">
        <v>42152</v>
      </c>
      <c r="F2924" s="106">
        <v>280</v>
      </c>
      <c r="G2924" s="31">
        <f t="shared" si="90"/>
        <v>0</v>
      </c>
      <c r="H2924" s="132" t="s">
        <v>62</v>
      </c>
      <c r="I2924" s="3"/>
      <c r="J2924" s="42"/>
      <c r="K2924" s="3"/>
      <c r="M2924" s="20">
        <v>42133</v>
      </c>
      <c r="N2924" s="183">
        <v>20506</v>
      </c>
      <c r="O2924" s="14" t="s">
        <v>906</v>
      </c>
      <c r="P2924" s="103">
        <v>952</v>
      </c>
      <c r="Q2924" s="23">
        <v>42133</v>
      </c>
      <c r="R2924" s="106">
        <v>952</v>
      </c>
      <c r="S2924" s="31">
        <f t="shared" si="91"/>
        <v>0</v>
      </c>
      <c r="T2924" s="209" t="s">
        <v>9</v>
      </c>
    </row>
    <row r="2925" spans="1:20" x14ac:dyDescent="0.25">
      <c r="A2925" s="20">
        <v>42152</v>
      </c>
      <c r="B2925" s="183">
        <v>22499</v>
      </c>
      <c r="C2925" s="14" t="s">
        <v>24</v>
      </c>
      <c r="D2925" s="103">
        <v>176348.1</v>
      </c>
      <c r="E2925" s="30">
        <v>42173</v>
      </c>
      <c r="F2925" s="144">
        <v>176348.1</v>
      </c>
      <c r="G2925" s="31">
        <f t="shared" si="90"/>
        <v>0</v>
      </c>
      <c r="H2925" s="132" t="s">
        <v>1013</v>
      </c>
      <c r="I2925" s="3"/>
      <c r="J2925" s="42"/>
      <c r="K2925" s="3"/>
      <c r="M2925" s="20">
        <v>42136</v>
      </c>
      <c r="N2925" s="183">
        <v>20837</v>
      </c>
      <c r="O2925" s="14" t="s">
        <v>906</v>
      </c>
      <c r="P2925" s="103">
        <v>1116</v>
      </c>
      <c r="Q2925" s="51">
        <v>42136</v>
      </c>
      <c r="R2925" s="106">
        <v>1116</v>
      </c>
      <c r="S2925" s="31">
        <f t="shared" si="91"/>
        <v>0</v>
      </c>
      <c r="T2925" s="132" t="s">
        <v>62</v>
      </c>
    </row>
    <row r="2926" spans="1:20" x14ac:dyDescent="0.25">
      <c r="A2926" s="20">
        <v>42152</v>
      </c>
      <c r="B2926" s="183">
        <v>22500</v>
      </c>
      <c r="C2926" s="14" t="s">
        <v>1182</v>
      </c>
      <c r="D2926" s="103">
        <v>1503.6</v>
      </c>
      <c r="E2926" s="23">
        <v>42152</v>
      </c>
      <c r="F2926" s="106">
        <v>1503.6</v>
      </c>
      <c r="G2926" s="31">
        <f t="shared" si="90"/>
        <v>0</v>
      </c>
      <c r="H2926" s="132" t="s">
        <v>9</v>
      </c>
      <c r="I2926" s="3"/>
      <c r="J2926" s="42"/>
      <c r="K2926" s="3"/>
      <c r="M2926" s="20">
        <v>42137</v>
      </c>
      <c r="N2926" s="183">
        <v>20900</v>
      </c>
      <c r="O2926" s="14" t="s">
        <v>906</v>
      </c>
      <c r="P2926" s="103">
        <v>1098</v>
      </c>
      <c r="Q2926" s="23">
        <v>42137</v>
      </c>
      <c r="R2926" s="106">
        <v>1098</v>
      </c>
      <c r="S2926" s="31">
        <f t="shared" si="91"/>
        <v>0</v>
      </c>
      <c r="T2926" s="209" t="s">
        <v>41</v>
      </c>
    </row>
    <row r="2927" spans="1:20" x14ac:dyDescent="0.25">
      <c r="A2927" s="20">
        <v>42152</v>
      </c>
      <c r="B2927" s="183">
        <v>22501</v>
      </c>
      <c r="C2927" s="14" t="s">
        <v>906</v>
      </c>
      <c r="D2927" s="103">
        <v>1440.2</v>
      </c>
      <c r="E2927" s="23">
        <v>42152</v>
      </c>
      <c r="F2927" s="106">
        <v>1440.2</v>
      </c>
      <c r="G2927" s="31">
        <f t="shared" si="90"/>
        <v>0</v>
      </c>
      <c r="H2927" s="132" t="s">
        <v>62</v>
      </c>
      <c r="I2927" s="3"/>
      <c r="J2927" s="42"/>
      <c r="K2927" s="3"/>
      <c r="M2927" s="20">
        <v>42139</v>
      </c>
      <c r="N2927" s="183">
        <v>21127</v>
      </c>
      <c r="O2927" s="14" t="s">
        <v>906</v>
      </c>
      <c r="P2927" s="103">
        <v>1123.5</v>
      </c>
      <c r="Q2927" s="23">
        <v>42142</v>
      </c>
      <c r="R2927" s="106">
        <v>1123.5</v>
      </c>
      <c r="S2927" s="48">
        <f t="shared" si="91"/>
        <v>0</v>
      </c>
      <c r="T2927" s="132" t="s">
        <v>9</v>
      </c>
    </row>
    <row r="2928" spans="1:20" x14ac:dyDescent="0.25">
      <c r="A2928" s="20">
        <v>42152</v>
      </c>
      <c r="B2928" s="183">
        <v>22502</v>
      </c>
      <c r="C2928" s="14" t="s">
        <v>136</v>
      </c>
      <c r="D2928" s="103">
        <v>20155.2</v>
      </c>
      <c r="E2928" s="23">
        <v>42152</v>
      </c>
      <c r="F2928" s="106">
        <v>20155.2</v>
      </c>
      <c r="G2928" s="31">
        <f t="shared" si="90"/>
        <v>0</v>
      </c>
      <c r="H2928" s="132" t="s">
        <v>9</v>
      </c>
      <c r="I2928" s="3"/>
      <c r="J2928" s="42"/>
      <c r="K2928" s="3"/>
      <c r="M2928" s="20">
        <v>42142</v>
      </c>
      <c r="N2928" s="183">
        <v>21444</v>
      </c>
      <c r="O2928" s="14" t="s">
        <v>906</v>
      </c>
      <c r="P2928" s="103">
        <v>1022</v>
      </c>
      <c r="Q2928" s="65">
        <v>42142</v>
      </c>
      <c r="R2928" s="106">
        <v>1022</v>
      </c>
      <c r="S2928" s="31">
        <f t="shared" si="91"/>
        <v>0</v>
      </c>
      <c r="T2928" s="209" t="s">
        <v>94</v>
      </c>
    </row>
    <row r="2929" spans="1:20" x14ac:dyDescent="0.25">
      <c r="A2929" s="20">
        <v>42152</v>
      </c>
      <c r="B2929" s="183">
        <v>22503</v>
      </c>
      <c r="C2929" s="14" t="s">
        <v>1142</v>
      </c>
      <c r="D2929" s="103">
        <v>715.4</v>
      </c>
      <c r="E2929" s="23">
        <v>42152</v>
      </c>
      <c r="F2929" s="106">
        <v>715.4</v>
      </c>
      <c r="G2929" s="31">
        <f t="shared" si="90"/>
        <v>0</v>
      </c>
      <c r="H2929" s="132" t="s">
        <v>9</v>
      </c>
      <c r="I2929" s="3"/>
      <c r="J2929" s="42"/>
      <c r="K2929" s="3"/>
      <c r="M2929" s="20">
        <v>42146</v>
      </c>
      <c r="N2929" s="183">
        <v>21846</v>
      </c>
      <c r="O2929" s="14" t="s">
        <v>906</v>
      </c>
      <c r="P2929" s="103">
        <v>1084.0999999999999</v>
      </c>
      <c r="Q2929" s="23">
        <v>42146</v>
      </c>
      <c r="R2929" s="106">
        <v>1084.0999999999999</v>
      </c>
      <c r="S2929" s="31">
        <f t="shared" si="91"/>
        <v>0</v>
      </c>
      <c r="T2929" s="132" t="s">
        <v>94</v>
      </c>
    </row>
    <row r="2930" spans="1:20" x14ac:dyDescent="0.25">
      <c r="A2930" s="20">
        <v>42152</v>
      </c>
      <c r="B2930" s="183">
        <v>22504</v>
      </c>
      <c r="C2930" s="14" t="s">
        <v>1366</v>
      </c>
      <c r="D2930" s="103">
        <v>74056.399999999994</v>
      </c>
      <c r="E2930" s="30">
        <v>42159</v>
      </c>
      <c r="F2930" s="144">
        <v>74056.399999999994</v>
      </c>
      <c r="G2930" s="31">
        <f t="shared" si="90"/>
        <v>0</v>
      </c>
      <c r="H2930" s="132" t="s">
        <v>1273</v>
      </c>
      <c r="I2930" s="3"/>
      <c r="J2930" s="42"/>
      <c r="K2930" s="3"/>
      <c r="M2930" s="20">
        <v>42147</v>
      </c>
      <c r="N2930" s="183">
        <v>22023</v>
      </c>
      <c r="O2930" s="14" t="s">
        <v>906</v>
      </c>
      <c r="P2930" s="103">
        <v>1069.3</v>
      </c>
      <c r="Q2930" s="65">
        <v>42147</v>
      </c>
      <c r="R2930" s="106">
        <v>1069.3</v>
      </c>
      <c r="S2930" s="31">
        <f t="shared" si="91"/>
        <v>0</v>
      </c>
      <c r="T2930" s="132" t="s">
        <v>41</v>
      </c>
    </row>
    <row r="2931" spans="1:20" x14ac:dyDescent="0.25">
      <c r="A2931" s="20">
        <v>42152</v>
      </c>
      <c r="B2931" s="183">
        <v>22505</v>
      </c>
      <c r="C2931" s="14" t="s">
        <v>158</v>
      </c>
      <c r="D2931" s="103">
        <v>3138.4</v>
      </c>
      <c r="E2931" s="23">
        <v>42152</v>
      </c>
      <c r="F2931" s="106">
        <v>3138.4</v>
      </c>
      <c r="G2931" s="31">
        <f t="shared" si="90"/>
        <v>0</v>
      </c>
      <c r="H2931" s="132" t="s">
        <v>9</v>
      </c>
      <c r="I2931" s="3"/>
      <c r="J2931" s="42"/>
      <c r="K2931" s="3"/>
      <c r="M2931" s="20">
        <v>42150</v>
      </c>
      <c r="N2931" s="183">
        <v>22307</v>
      </c>
      <c r="O2931" s="14" t="s">
        <v>906</v>
      </c>
      <c r="P2931" s="103">
        <v>1219.8</v>
      </c>
      <c r="Q2931" s="65">
        <v>42151</v>
      </c>
      <c r="R2931" s="106">
        <v>1219.8</v>
      </c>
      <c r="S2931" s="31">
        <f t="shared" si="91"/>
        <v>0</v>
      </c>
      <c r="T2931" s="132" t="s">
        <v>62</v>
      </c>
    </row>
    <row r="2932" spans="1:20" x14ac:dyDescent="0.25">
      <c r="A2932" s="20">
        <v>42152</v>
      </c>
      <c r="B2932" s="183">
        <v>22506</v>
      </c>
      <c r="C2932" s="14" t="s">
        <v>107</v>
      </c>
      <c r="D2932" s="103">
        <v>3112</v>
      </c>
      <c r="E2932" s="23">
        <v>42152</v>
      </c>
      <c r="F2932" s="106">
        <v>3112</v>
      </c>
      <c r="G2932" s="31">
        <f t="shared" si="90"/>
        <v>0</v>
      </c>
      <c r="H2932" s="132" t="s">
        <v>9</v>
      </c>
      <c r="I2932" s="3"/>
      <c r="J2932" s="42"/>
      <c r="K2932" s="3"/>
      <c r="M2932" s="20">
        <v>42152</v>
      </c>
      <c r="N2932" s="183">
        <v>22501</v>
      </c>
      <c r="O2932" s="14" t="s">
        <v>906</v>
      </c>
      <c r="P2932" s="103">
        <v>1440.2</v>
      </c>
      <c r="Q2932" s="23">
        <v>42152</v>
      </c>
      <c r="R2932" s="106">
        <v>1440.2</v>
      </c>
      <c r="S2932" s="31">
        <f t="shared" si="91"/>
        <v>0</v>
      </c>
      <c r="T2932" s="132" t="s">
        <v>62</v>
      </c>
    </row>
    <row r="2933" spans="1:20" x14ac:dyDescent="0.25">
      <c r="A2933" s="20">
        <v>42152</v>
      </c>
      <c r="B2933" s="183">
        <v>22507</v>
      </c>
      <c r="C2933" s="14" t="s">
        <v>107</v>
      </c>
      <c r="D2933" s="103">
        <v>272</v>
      </c>
      <c r="E2933" s="23">
        <v>42152</v>
      </c>
      <c r="F2933" s="106">
        <v>272</v>
      </c>
      <c r="G2933" s="31">
        <f t="shared" si="90"/>
        <v>0</v>
      </c>
      <c r="H2933" s="132" t="s">
        <v>9</v>
      </c>
      <c r="I2933" s="3"/>
      <c r="J2933" s="42"/>
      <c r="K2933" s="3"/>
      <c r="M2933" s="20">
        <v>42126</v>
      </c>
      <c r="N2933" s="183">
        <v>19752</v>
      </c>
      <c r="O2933" s="40" t="s">
        <v>169</v>
      </c>
      <c r="P2933" s="103">
        <v>2359.6</v>
      </c>
      <c r="Q2933" s="23">
        <v>42126</v>
      </c>
      <c r="R2933" s="106">
        <v>2359.6</v>
      </c>
      <c r="S2933" s="25">
        <f t="shared" si="91"/>
        <v>0</v>
      </c>
      <c r="T2933" s="210" t="s">
        <v>9</v>
      </c>
    </row>
    <row r="2934" spans="1:20" x14ac:dyDescent="0.25">
      <c r="A2934" s="20">
        <v>42152</v>
      </c>
      <c r="B2934" s="183">
        <v>22508</v>
      </c>
      <c r="C2934" s="14" t="s">
        <v>1328</v>
      </c>
      <c r="D2934" s="103">
        <v>6702</v>
      </c>
      <c r="E2934" s="23">
        <v>42153</v>
      </c>
      <c r="F2934" s="106">
        <v>6702</v>
      </c>
      <c r="G2934" s="31">
        <f t="shared" si="90"/>
        <v>0</v>
      </c>
      <c r="H2934" s="132" t="s">
        <v>587</v>
      </c>
      <c r="I2934" s="3"/>
      <c r="J2934" s="42"/>
      <c r="K2934" s="3"/>
      <c r="M2934" s="20">
        <v>42128</v>
      </c>
      <c r="N2934" s="183">
        <v>19927</v>
      </c>
      <c r="O2934" s="14" t="s">
        <v>169</v>
      </c>
      <c r="P2934" s="103">
        <v>1404</v>
      </c>
      <c r="Q2934" s="23">
        <v>42129</v>
      </c>
      <c r="R2934" s="106">
        <v>1404</v>
      </c>
      <c r="S2934" s="31">
        <f t="shared" si="91"/>
        <v>0</v>
      </c>
      <c r="T2934" s="209" t="s">
        <v>59</v>
      </c>
    </row>
    <row r="2935" spans="1:20" x14ac:dyDescent="0.25">
      <c r="A2935" s="20">
        <v>42152</v>
      </c>
      <c r="B2935" s="183">
        <v>22509</v>
      </c>
      <c r="C2935" s="14" t="s">
        <v>256</v>
      </c>
      <c r="D2935" s="103">
        <v>5908</v>
      </c>
      <c r="E2935" s="23">
        <v>42152</v>
      </c>
      <c r="F2935" s="106">
        <v>5908</v>
      </c>
      <c r="G2935" s="31">
        <f t="shared" si="90"/>
        <v>0</v>
      </c>
      <c r="H2935" s="132" t="s">
        <v>773</v>
      </c>
      <c r="I2935" s="3"/>
      <c r="J2935" s="42"/>
      <c r="K2935" s="3"/>
      <c r="M2935" s="20">
        <v>42129</v>
      </c>
      <c r="N2935" s="183">
        <v>20054</v>
      </c>
      <c r="O2935" s="14" t="s">
        <v>169</v>
      </c>
      <c r="P2935" s="103">
        <v>2182.8000000000002</v>
      </c>
      <c r="Q2935" s="23">
        <v>42129</v>
      </c>
      <c r="R2935" s="106">
        <v>2182.8000000000002</v>
      </c>
      <c r="S2935" s="31">
        <f t="shared" si="91"/>
        <v>0</v>
      </c>
      <c r="T2935" s="132" t="s">
        <v>59</v>
      </c>
    </row>
    <row r="2936" spans="1:20" x14ac:dyDescent="0.25">
      <c r="A2936" s="20">
        <v>42152</v>
      </c>
      <c r="B2936" s="183">
        <v>22510</v>
      </c>
      <c r="C2936" s="14" t="s">
        <v>1335</v>
      </c>
      <c r="D2936" s="103">
        <v>2777.8</v>
      </c>
      <c r="E2936" s="23">
        <v>42152</v>
      </c>
      <c r="F2936" s="106">
        <v>2777.8</v>
      </c>
      <c r="G2936" s="31">
        <f t="shared" si="90"/>
        <v>0</v>
      </c>
      <c r="H2936" s="132" t="s">
        <v>773</v>
      </c>
      <c r="I2936" s="3"/>
      <c r="J2936" s="42"/>
      <c r="K2936" s="3"/>
      <c r="M2936" s="20">
        <v>42131</v>
      </c>
      <c r="N2936" s="183">
        <v>20247</v>
      </c>
      <c r="O2936" s="14" t="s">
        <v>169</v>
      </c>
      <c r="P2936" s="103">
        <v>1903</v>
      </c>
      <c r="Q2936" s="23">
        <v>42133</v>
      </c>
      <c r="R2936" s="106">
        <v>1903</v>
      </c>
      <c r="S2936" s="31">
        <f t="shared" si="91"/>
        <v>0</v>
      </c>
      <c r="T2936" s="209" t="s">
        <v>59</v>
      </c>
    </row>
    <row r="2937" spans="1:20" x14ac:dyDescent="0.25">
      <c r="A2937" s="20">
        <v>42152</v>
      </c>
      <c r="B2937" s="183">
        <v>22511</v>
      </c>
      <c r="C2937" s="14" t="s">
        <v>47</v>
      </c>
      <c r="D2937" s="103">
        <v>18146.8</v>
      </c>
      <c r="E2937" s="30">
        <v>42156</v>
      </c>
      <c r="F2937" s="144">
        <v>18146.8</v>
      </c>
      <c r="G2937" s="31">
        <f t="shared" si="90"/>
        <v>0</v>
      </c>
      <c r="H2937" s="132" t="s">
        <v>312</v>
      </c>
      <c r="I2937" s="3"/>
      <c r="J2937" s="42"/>
      <c r="K2937" s="3"/>
      <c r="M2937" s="20">
        <v>42132</v>
      </c>
      <c r="N2937" s="183">
        <v>20380</v>
      </c>
      <c r="O2937" s="14" t="s">
        <v>169</v>
      </c>
      <c r="P2937" s="103">
        <v>2369.8000000000002</v>
      </c>
      <c r="Q2937" s="23">
        <v>42134</v>
      </c>
      <c r="R2937" s="106">
        <v>2369.8000000000002</v>
      </c>
      <c r="S2937" s="31">
        <f t="shared" si="91"/>
        <v>0</v>
      </c>
      <c r="T2937" s="209" t="s">
        <v>59</v>
      </c>
    </row>
    <row r="2938" spans="1:20" x14ac:dyDescent="0.25">
      <c r="A2938" s="20">
        <v>42152</v>
      </c>
      <c r="B2938" s="183">
        <v>22512</v>
      </c>
      <c r="C2938" s="14" t="s">
        <v>684</v>
      </c>
      <c r="D2938" s="103">
        <v>2503.1999999999998</v>
      </c>
      <c r="E2938" s="23">
        <v>42152</v>
      </c>
      <c r="F2938" s="106">
        <v>2503.1999999999998</v>
      </c>
      <c r="G2938" s="31">
        <f t="shared" si="90"/>
        <v>0</v>
      </c>
      <c r="H2938" s="132" t="s">
        <v>9</v>
      </c>
      <c r="I2938" s="3"/>
      <c r="J2938" s="42"/>
      <c r="K2938" s="3"/>
      <c r="M2938" s="20">
        <v>42132</v>
      </c>
      <c r="N2938" s="183">
        <v>20428</v>
      </c>
      <c r="O2938" s="14" t="s">
        <v>169</v>
      </c>
      <c r="P2938" s="103">
        <v>7402.4</v>
      </c>
      <c r="Q2938" s="23">
        <v>42135</v>
      </c>
      <c r="R2938" s="106">
        <v>7402.4</v>
      </c>
      <c r="S2938" s="31">
        <f t="shared" si="91"/>
        <v>0</v>
      </c>
      <c r="T2938" s="209" t="s">
        <v>41</v>
      </c>
    </row>
    <row r="2939" spans="1:20" x14ac:dyDescent="0.25">
      <c r="A2939" s="20">
        <v>42152</v>
      </c>
      <c r="B2939" s="183">
        <v>22513</v>
      </c>
      <c r="C2939" s="14" t="s">
        <v>651</v>
      </c>
      <c r="D2939" s="103">
        <v>40491.9</v>
      </c>
      <c r="E2939" s="30"/>
      <c r="F2939" s="144"/>
      <c r="G2939" s="31">
        <f t="shared" si="90"/>
        <v>40491.9</v>
      </c>
      <c r="H2939" s="132" t="s">
        <v>1257</v>
      </c>
      <c r="I2939" s="3"/>
      <c r="J2939" s="42"/>
      <c r="K2939" s="3"/>
      <c r="M2939" s="20">
        <v>42133</v>
      </c>
      <c r="N2939" s="183">
        <v>20509</v>
      </c>
      <c r="O2939" s="14" t="s">
        <v>169</v>
      </c>
      <c r="P2939" s="103">
        <v>693</v>
      </c>
      <c r="Q2939" s="23">
        <v>42134</v>
      </c>
      <c r="R2939" s="106">
        <v>693</v>
      </c>
      <c r="S2939" s="31">
        <f t="shared" si="91"/>
        <v>0</v>
      </c>
      <c r="T2939" s="209" t="s">
        <v>59</v>
      </c>
    </row>
    <row r="2940" spans="1:20" x14ac:dyDescent="0.25">
      <c r="A2940" s="20">
        <v>42152</v>
      </c>
      <c r="B2940" s="183">
        <v>22514</v>
      </c>
      <c r="C2940" s="14" t="s">
        <v>549</v>
      </c>
      <c r="D2940" s="103">
        <v>17463.25</v>
      </c>
      <c r="E2940" s="23">
        <v>42153</v>
      </c>
      <c r="F2940" s="106">
        <v>17463.25</v>
      </c>
      <c r="G2940" s="31">
        <f t="shared" si="90"/>
        <v>0</v>
      </c>
      <c r="H2940" s="132" t="s">
        <v>9</v>
      </c>
      <c r="I2940" s="3"/>
      <c r="J2940" s="42"/>
      <c r="K2940" s="3"/>
      <c r="M2940" s="20">
        <v>42135</v>
      </c>
      <c r="N2940" s="183">
        <v>20702</v>
      </c>
      <c r="O2940" s="14" t="s">
        <v>169</v>
      </c>
      <c r="P2940" s="103">
        <v>1834.3</v>
      </c>
      <c r="Q2940" s="23">
        <v>42136</v>
      </c>
      <c r="R2940" s="106">
        <v>1834.3</v>
      </c>
      <c r="S2940" s="31">
        <f t="shared" si="91"/>
        <v>0</v>
      </c>
      <c r="T2940" s="132" t="s">
        <v>59</v>
      </c>
    </row>
    <row r="2941" spans="1:20" x14ac:dyDescent="0.25">
      <c r="A2941" s="20">
        <v>42152</v>
      </c>
      <c r="B2941" s="183">
        <v>22515</v>
      </c>
      <c r="C2941" s="14" t="s">
        <v>207</v>
      </c>
      <c r="D2941" s="103">
        <v>51504.3</v>
      </c>
      <c r="E2941" s="30">
        <v>42158</v>
      </c>
      <c r="F2941" s="144">
        <v>51504.3</v>
      </c>
      <c r="G2941" s="31">
        <f t="shared" si="90"/>
        <v>0</v>
      </c>
      <c r="H2941" s="132" t="s">
        <v>149</v>
      </c>
      <c r="I2941" s="3"/>
      <c r="J2941" s="42"/>
      <c r="K2941" s="3"/>
      <c r="M2941" s="20">
        <v>42136</v>
      </c>
      <c r="N2941" s="183">
        <v>20800</v>
      </c>
      <c r="O2941" s="14" t="s">
        <v>169</v>
      </c>
      <c r="P2941" s="103">
        <v>2114</v>
      </c>
      <c r="Q2941" s="23">
        <v>42136</v>
      </c>
      <c r="R2941" s="106">
        <v>2114</v>
      </c>
      <c r="S2941" s="31">
        <f t="shared" si="91"/>
        <v>0</v>
      </c>
      <c r="T2941" s="132" t="s">
        <v>9</v>
      </c>
    </row>
    <row r="2942" spans="1:20" x14ac:dyDescent="0.25">
      <c r="A2942" s="20">
        <v>42152</v>
      </c>
      <c r="B2942" s="183">
        <v>22516</v>
      </c>
      <c r="C2942" s="14" t="s">
        <v>25</v>
      </c>
      <c r="D2942" s="103">
        <v>1008</v>
      </c>
      <c r="E2942" s="23">
        <v>42152</v>
      </c>
      <c r="F2942" s="106">
        <v>1008</v>
      </c>
      <c r="G2942" s="31">
        <f t="shared" si="90"/>
        <v>0</v>
      </c>
      <c r="H2942" s="132" t="s">
        <v>9</v>
      </c>
      <c r="I2942" s="3"/>
      <c r="J2942" s="42"/>
      <c r="K2942" s="3"/>
      <c r="M2942" s="20">
        <v>42137</v>
      </c>
      <c r="N2942" s="183">
        <v>20893</v>
      </c>
      <c r="O2942" s="14" t="s">
        <v>169</v>
      </c>
      <c r="P2942" s="103">
        <v>2226</v>
      </c>
      <c r="Q2942" s="23">
        <v>42137</v>
      </c>
      <c r="R2942" s="106">
        <v>2226</v>
      </c>
      <c r="S2942" s="31">
        <f t="shared" si="91"/>
        <v>0</v>
      </c>
      <c r="T2942" s="209" t="s">
        <v>9</v>
      </c>
    </row>
    <row r="2943" spans="1:20" x14ac:dyDescent="0.25">
      <c r="A2943" s="20">
        <v>42152</v>
      </c>
      <c r="B2943" s="183">
        <v>22517</v>
      </c>
      <c r="C2943" s="14" t="s">
        <v>877</v>
      </c>
      <c r="D2943" s="103">
        <v>1678.8</v>
      </c>
      <c r="E2943" s="23">
        <v>42154</v>
      </c>
      <c r="F2943" s="106">
        <v>1678.8</v>
      </c>
      <c r="G2943" s="31">
        <f t="shared" si="90"/>
        <v>0</v>
      </c>
      <c r="H2943" s="132" t="s">
        <v>149</v>
      </c>
      <c r="I2943" s="3"/>
      <c r="J2943" s="42"/>
      <c r="K2943" s="3"/>
      <c r="M2943" s="20">
        <v>42139</v>
      </c>
      <c r="N2943" s="183">
        <v>21126</v>
      </c>
      <c r="O2943" s="14" t="s">
        <v>169</v>
      </c>
      <c r="P2943" s="103">
        <v>2304.5</v>
      </c>
      <c r="Q2943" s="23">
        <v>42139</v>
      </c>
      <c r="R2943" s="106">
        <v>2304.5</v>
      </c>
      <c r="S2943" s="48">
        <f t="shared" si="91"/>
        <v>0</v>
      </c>
      <c r="T2943" s="132" t="s">
        <v>59</v>
      </c>
    </row>
    <row r="2944" spans="1:20" x14ac:dyDescent="0.25">
      <c r="A2944" s="20">
        <v>42152</v>
      </c>
      <c r="B2944" s="183">
        <v>22518</v>
      </c>
      <c r="C2944" s="14" t="s">
        <v>1417</v>
      </c>
      <c r="D2944" s="103">
        <v>9424.7999999999993</v>
      </c>
      <c r="E2944" s="23">
        <v>42152</v>
      </c>
      <c r="F2944" s="106">
        <v>9424.7999999999993</v>
      </c>
      <c r="G2944" s="31">
        <f t="shared" si="90"/>
        <v>0</v>
      </c>
      <c r="H2944" s="132" t="s">
        <v>9</v>
      </c>
      <c r="I2944" s="3"/>
      <c r="J2944" s="42"/>
      <c r="K2944" s="3"/>
      <c r="M2944" s="20">
        <v>42140</v>
      </c>
      <c r="N2944" s="183">
        <v>21239</v>
      </c>
      <c r="O2944" s="14" t="s">
        <v>169</v>
      </c>
      <c r="P2944" s="103">
        <v>1342.4</v>
      </c>
      <c r="Q2944" s="23">
        <v>42140</v>
      </c>
      <c r="R2944" s="106">
        <v>1342.4</v>
      </c>
      <c r="S2944" s="48">
        <f t="shared" si="91"/>
        <v>0</v>
      </c>
      <c r="T2944" s="132" t="s">
        <v>59</v>
      </c>
    </row>
    <row r="2945" spans="1:20" x14ac:dyDescent="0.25">
      <c r="A2945" s="20">
        <v>42152</v>
      </c>
      <c r="B2945" s="183">
        <v>22519</v>
      </c>
      <c r="C2945" s="14" t="s">
        <v>204</v>
      </c>
      <c r="D2945" s="103">
        <v>3894</v>
      </c>
      <c r="E2945" s="23">
        <v>42154</v>
      </c>
      <c r="F2945" s="106">
        <v>3894</v>
      </c>
      <c r="G2945" s="31">
        <f t="shared" si="90"/>
        <v>0</v>
      </c>
      <c r="H2945" s="132" t="s">
        <v>149</v>
      </c>
      <c r="I2945" s="3"/>
      <c r="J2945" s="42"/>
      <c r="K2945" s="3"/>
      <c r="M2945" s="20">
        <v>42142</v>
      </c>
      <c r="N2945" s="183">
        <v>21433</v>
      </c>
      <c r="O2945" s="14" t="s">
        <v>169</v>
      </c>
      <c r="P2945" s="103">
        <v>2520</v>
      </c>
      <c r="Q2945" s="23">
        <v>42143</v>
      </c>
      <c r="R2945" s="118">
        <v>2520</v>
      </c>
      <c r="S2945" s="31">
        <f t="shared" si="91"/>
        <v>0</v>
      </c>
      <c r="T2945" s="28" t="s">
        <v>59</v>
      </c>
    </row>
    <row r="2946" spans="1:20" x14ac:dyDescent="0.25">
      <c r="A2946" s="20">
        <v>42152</v>
      </c>
      <c r="B2946" s="183">
        <v>22520</v>
      </c>
      <c r="C2946" s="14" t="s">
        <v>420</v>
      </c>
      <c r="D2946" s="103">
        <v>8528.7000000000007</v>
      </c>
      <c r="E2946" s="23">
        <v>42154</v>
      </c>
      <c r="F2946" s="106">
        <v>8528.7000000000007</v>
      </c>
      <c r="G2946" s="31">
        <f t="shared" si="90"/>
        <v>0</v>
      </c>
      <c r="H2946" s="132" t="s">
        <v>149</v>
      </c>
      <c r="I2946" s="3"/>
      <c r="J2946" s="42"/>
      <c r="K2946" s="3"/>
      <c r="M2946" s="20">
        <v>42143</v>
      </c>
      <c r="N2946" s="183">
        <v>21551</v>
      </c>
      <c r="O2946" s="14" t="s">
        <v>169</v>
      </c>
      <c r="P2946" s="103">
        <v>2397.6</v>
      </c>
      <c r="Q2946" s="23">
        <v>42143</v>
      </c>
      <c r="R2946" s="118">
        <v>2397.6</v>
      </c>
      <c r="S2946" s="31">
        <f t="shared" si="91"/>
        <v>0</v>
      </c>
      <c r="T2946" s="28" t="s">
        <v>59</v>
      </c>
    </row>
    <row r="2947" spans="1:20" x14ac:dyDescent="0.25">
      <c r="A2947" s="20">
        <v>42152</v>
      </c>
      <c r="B2947" s="183">
        <v>22521</v>
      </c>
      <c r="C2947" s="14" t="s">
        <v>1275</v>
      </c>
      <c r="D2947" s="103">
        <v>1798.8</v>
      </c>
      <c r="E2947" s="23">
        <v>42154</v>
      </c>
      <c r="F2947" s="106">
        <v>1798.8</v>
      </c>
      <c r="G2947" s="31">
        <f t="shared" ref="G2947:G3010" si="92">D2947-F2947</f>
        <v>0</v>
      </c>
      <c r="H2947" s="132" t="s">
        <v>149</v>
      </c>
      <c r="I2947" s="3"/>
      <c r="J2947" s="42"/>
      <c r="K2947" s="3"/>
      <c r="M2947" s="20">
        <v>42145</v>
      </c>
      <c r="N2947" s="183">
        <v>21742</v>
      </c>
      <c r="O2947" s="15" t="s">
        <v>169</v>
      </c>
      <c r="P2947" s="133">
        <v>3001.2</v>
      </c>
      <c r="Q2947" s="23">
        <v>42145</v>
      </c>
      <c r="R2947" s="118">
        <v>3001.2</v>
      </c>
      <c r="S2947" s="31">
        <f t="shared" ref="S2947:S3010" si="93">P2947-R2947</f>
        <v>0</v>
      </c>
      <c r="T2947" s="46" t="s">
        <v>59</v>
      </c>
    </row>
    <row r="2948" spans="1:20" x14ac:dyDescent="0.25">
      <c r="A2948" s="20">
        <v>42152</v>
      </c>
      <c r="B2948" s="183">
        <v>22522</v>
      </c>
      <c r="C2948" s="14" t="s">
        <v>733</v>
      </c>
      <c r="D2948" s="103">
        <v>10970.4</v>
      </c>
      <c r="E2948" s="23">
        <v>42154</v>
      </c>
      <c r="F2948" s="106">
        <v>10970.4</v>
      </c>
      <c r="G2948" s="31">
        <f t="shared" si="92"/>
        <v>0</v>
      </c>
      <c r="H2948" s="132" t="s">
        <v>149</v>
      </c>
      <c r="I2948" s="3"/>
      <c r="J2948" s="42"/>
      <c r="K2948" s="3"/>
      <c r="M2948" s="20">
        <v>42147</v>
      </c>
      <c r="N2948" s="183">
        <v>21993</v>
      </c>
      <c r="O2948" s="14" t="s">
        <v>169</v>
      </c>
      <c r="P2948" s="103">
        <v>3218.5</v>
      </c>
      <c r="Q2948" s="65">
        <v>42147</v>
      </c>
      <c r="R2948" s="106">
        <v>3218.5</v>
      </c>
      <c r="S2948" s="31">
        <f t="shared" si="93"/>
        <v>0</v>
      </c>
      <c r="T2948" s="132" t="s">
        <v>59</v>
      </c>
    </row>
    <row r="2949" spans="1:20" x14ac:dyDescent="0.25">
      <c r="A2949" s="20">
        <v>42152</v>
      </c>
      <c r="B2949" s="183">
        <v>22523</v>
      </c>
      <c r="C2949" s="14" t="s">
        <v>1275</v>
      </c>
      <c r="D2949" s="103">
        <v>1484.1</v>
      </c>
      <c r="E2949" s="23">
        <v>42154</v>
      </c>
      <c r="F2949" s="106">
        <v>1484.1</v>
      </c>
      <c r="G2949" s="31">
        <f t="shared" si="92"/>
        <v>0</v>
      </c>
      <c r="H2949" s="132" t="s">
        <v>149</v>
      </c>
      <c r="I2949" s="3"/>
      <c r="J2949" s="42"/>
      <c r="K2949" s="3"/>
      <c r="M2949" s="20">
        <v>42149</v>
      </c>
      <c r="N2949" s="183">
        <v>22144</v>
      </c>
      <c r="O2949" s="14" t="s">
        <v>169</v>
      </c>
      <c r="P2949" s="103">
        <v>1624.8</v>
      </c>
      <c r="Q2949" s="65">
        <v>42150</v>
      </c>
      <c r="R2949" s="106">
        <v>1624.8</v>
      </c>
      <c r="S2949" s="31">
        <f t="shared" si="93"/>
        <v>0</v>
      </c>
      <c r="T2949" s="132" t="s">
        <v>59</v>
      </c>
    </row>
    <row r="2950" spans="1:20" x14ac:dyDescent="0.25">
      <c r="A2950" s="20">
        <v>42152</v>
      </c>
      <c r="B2950" s="183">
        <v>22524</v>
      </c>
      <c r="C2950" s="14" t="s">
        <v>195</v>
      </c>
      <c r="D2950" s="103">
        <v>141038.28</v>
      </c>
      <c r="E2950" s="30" t="s">
        <v>1362</v>
      </c>
      <c r="F2950" s="106">
        <v>141038.28</v>
      </c>
      <c r="G2950" s="31">
        <f t="shared" si="92"/>
        <v>0</v>
      </c>
      <c r="H2950" s="132" t="s">
        <v>149</v>
      </c>
      <c r="I2950" s="3"/>
      <c r="J2950" s="42"/>
      <c r="K2950" s="3"/>
      <c r="M2950" s="20">
        <v>42150</v>
      </c>
      <c r="N2950" s="183">
        <v>22279</v>
      </c>
      <c r="O2950" s="150" t="s">
        <v>169</v>
      </c>
      <c r="P2950" s="103">
        <v>6946.4</v>
      </c>
      <c r="Q2950" s="65">
        <v>42152</v>
      </c>
      <c r="R2950" s="106">
        <v>6946.4</v>
      </c>
      <c r="S2950" s="31">
        <f t="shared" si="93"/>
        <v>0</v>
      </c>
      <c r="T2950" s="132" t="s">
        <v>59</v>
      </c>
    </row>
    <row r="2951" spans="1:20" x14ac:dyDescent="0.25">
      <c r="A2951" s="20">
        <v>42152</v>
      </c>
      <c r="B2951" s="183">
        <v>22525</v>
      </c>
      <c r="C2951" s="14" t="s">
        <v>121</v>
      </c>
      <c r="D2951" s="103">
        <v>597.79999999999995</v>
      </c>
      <c r="E2951" s="23">
        <v>42152</v>
      </c>
      <c r="F2951" s="106">
        <v>597.79999999999995</v>
      </c>
      <c r="G2951" s="31">
        <f t="shared" si="92"/>
        <v>0</v>
      </c>
      <c r="H2951" s="132" t="s">
        <v>9</v>
      </c>
      <c r="I2951" s="3"/>
      <c r="J2951" s="42"/>
      <c r="K2951" s="3"/>
      <c r="M2951" s="20">
        <v>42150</v>
      </c>
      <c r="N2951" s="183">
        <v>22282</v>
      </c>
      <c r="O2951" s="14" t="s">
        <v>169</v>
      </c>
      <c r="P2951" s="103">
        <v>2549.8000000000002</v>
      </c>
      <c r="Q2951" s="65">
        <v>42150</v>
      </c>
      <c r="R2951" s="106">
        <v>2549.8000000000002</v>
      </c>
      <c r="S2951" s="31">
        <f t="shared" si="93"/>
        <v>0</v>
      </c>
      <c r="T2951" s="132" t="s">
        <v>59</v>
      </c>
    </row>
    <row r="2952" spans="1:20" x14ac:dyDescent="0.25">
      <c r="A2952" s="20">
        <v>42152</v>
      </c>
      <c r="B2952" s="183">
        <v>22526</v>
      </c>
      <c r="C2952" s="14" t="s">
        <v>195</v>
      </c>
      <c r="D2952" s="103">
        <v>2439</v>
      </c>
      <c r="E2952" s="30" t="s">
        <v>1362</v>
      </c>
      <c r="F2952" s="106">
        <v>2439</v>
      </c>
      <c r="G2952" s="31">
        <f t="shared" si="92"/>
        <v>0</v>
      </c>
      <c r="H2952" s="132" t="s">
        <v>149</v>
      </c>
      <c r="I2952" s="3"/>
      <c r="J2952" s="42"/>
      <c r="K2952" s="3"/>
      <c r="M2952" s="20">
        <v>42152</v>
      </c>
      <c r="N2952" s="183">
        <v>22473</v>
      </c>
      <c r="O2952" s="14" t="s">
        <v>169</v>
      </c>
      <c r="P2952" s="103">
        <v>2348.4</v>
      </c>
      <c r="Q2952" s="23">
        <v>42152</v>
      </c>
      <c r="R2952" s="106">
        <v>2348.4</v>
      </c>
      <c r="S2952" s="31">
        <f t="shared" si="93"/>
        <v>0</v>
      </c>
      <c r="T2952" s="132" t="s">
        <v>59</v>
      </c>
    </row>
    <row r="2953" spans="1:20" x14ac:dyDescent="0.25">
      <c r="A2953" s="20">
        <v>42152</v>
      </c>
      <c r="B2953" s="183">
        <v>22527</v>
      </c>
      <c r="C2953" s="14" t="s">
        <v>262</v>
      </c>
      <c r="D2953" s="103">
        <v>31399.4</v>
      </c>
      <c r="E2953" s="30" t="s">
        <v>1456</v>
      </c>
      <c r="F2953" s="144">
        <f>18500+12899.4</f>
        <v>31399.4</v>
      </c>
      <c r="G2953" s="31">
        <f t="shared" si="92"/>
        <v>0</v>
      </c>
      <c r="H2953" s="132" t="s">
        <v>149</v>
      </c>
      <c r="I2953" s="3"/>
      <c r="J2953" s="42"/>
      <c r="K2953" s="3"/>
      <c r="M2953" s="20">
        <v>42154</v>
      </c>
      <c r="N2953" s="183">
        <v>22719</v>
      </c>
      <c r="O2953" s="14" t="s">
        <v>169</v>
      </c>
      <c r="P2953" s="103">
        <v>1271.4000000000001</v>
      </c>
      <c r="Q2953" s="23">
        <v>42154</v>
      </c>
      <c r="R2953" s="106">
        <v>1271.4000000000001</v>
      </c>
      <c r="S2953" s="31">
        <f t="shared" si="93"/>
        <v>0</v>
      </c>
      <c r="T2953" s="132" t="s">
        <v>59</v>
      </c>
    </row>
    <row r="2954" spans="1:20" x14ac:dyDescent="0.25">
      <c r="A2954" s="20">
        <v>42152</v>
      </c>
      <c r="B2954" s="183">
        <v>22528</v>
      </c>
      <c r="C2954" s="14" t="s">
        <v>1140</v>
      </c>
      <c r="D2954" s="103">
        <v>3999.6</v>
      </c>
      <c r="E2954" s="23">
        <v>42154</v>
      </c>
      <c r="F2954" s="106">
        <v>3999.6</v>
      </c>
      <c r="G2954" s="31">
        <f t="shared" si="92"/>
        <v>0</v>
      </c>
      <c r="H2954" s="132" t="s">
        <v>149</v>
      </c>
      <c r="I2954" s="3"/>
      <c r="J2954" s="42"/>
      <c r="K2954" s="3"/>
      <c r="M2954" s="20">
        <v>42126</v>
      </c>
      <c r="N2954" s="183">
        <v>19736</v>
      </c>
      <c r="O2954" s="40" t="s">
        <v>226</v>
      </c>
      <c r="P2954" s="103">
        <v>664</v>
      </c>
      <c r="Q2954" s="23">
        <v>42126</v>
      </c>
      <c r="R2954" s="106">
        <v>664</v>
      </c>
      <c r="S2954" s="25">
        <f t="shared" si="93"/>
        <v>0</v>
      </c>
      <c r="T2954" s="210" t="s">
        <v>46</v>
      </c>
    </row>
    <row r="2955" spans="1:20" x14ac:dyDescent="0.25">
      <c r="A2955" s="20">
        <v>42152</v>
      </c>
      <c r="B2955" s="183">
        <v>22529</v>
      </c>
      <c r="C2955" s="14" t="s">
        <v>574</v>
      </c>
      <c r="D2955" s="103">
        <v>37455.800000000003</v>
      </c>
      <c r="E2955" s="23">
        <v>42154</v>
      </c>
      <c r="F2955" s="106">
        <v>37455.800000000003</v>
      </c>
      <c r="G2955" s="31">
        <f t="shared" si="92"/>
        <v>0</v>
      </c>
      <c r="H2955" s="132" t="s">
        <v>149</v>
      </c>
      <c r="I2955" s="3"/>
      <c r="J2955" s="42"/>
      <c r="K2955" s="3"/>
      <c r="M2955" s="20">
        <v>42129</v>
      </c>
      <c r="N2955" s="183">
        <v>20051</v>
      </c>
      <c r="O2955" s="14" t="s">
        <v>226</v>
      </c>
      <c r="P2955" s="103">
        <v>2162.4</v>
      </c>
      <c r="Q2955" s="23">
        <v>42129</v>
      </c>
      <c r="R2955" s="106">
        <v>2162.4</v>
      </c>
      <c r="S2955" s="31">
        <f t="shared" si="93"/>
        <v>0</v>
      </c>
      <c r="T2955" s="132" t="s">
        <v>9</v>
      </c>
    </row>
    <row r="2956" spans="1:20" x14ac:dyDescent="0.25">
      <c r="A2956" s="20">
        <v>42152</v>
      </c>
      <c r="B2956" s="183">
        <v>22530</v>
      </c>
      <c r="C2956" s="14" t="s">
        <v>198</v>
      </c>
      <c r="D2956" s="103">
        <v>15279</v>
      </c>
      <c r="E2956" s="23">
        <v>42154</v>
      </c>
      <c r="F2956" s="106">
        <v>15279</v>
      </c>
      <c r="G2956" s="31">
        <f t="shared" si="92"/>
        <v>0</v>
      </c>
      <c r="H2956" s="132" t="s">
        <v>149</v>
      </c>
      <c r="I2956" s="3"/>
      <c r="J2956" s="42"/>
      <c r="K2956" s="3"/>
      <c r="M2956" s="20">
        <v>42131</v>
      </c>
      <c r="N2956" s="183">
        <v>20239</v>
      </c>
      <c r="O2956" s="14" t="s">
        <v>226</v>
      </c>
      <c r="P2956" s="103">
        <v>2009.4</v>
      </c>
      <c r="Q2956" s="23">
        <v>42131</v>
      </c>
      <c r="R2956" s="106">
        <v>2009.4</v>
      </c>
      <c r="S2956" s="31">
        <f t="shared" si="93"/>
        <v>0</v>
      </c>
      <c r="T2956" s="209" t="s">
        <v>41</v>
      </c>
    </row>
    <row r="2957" spans="1:20" x14ac:dyDescent="0.25">
      <c r="A2957" s="20">
        <v>42152</v>
      </c>
      <c r="B2957" s="183">
        <v>22531</v>
      </c>
      <c r="C2957" s="14" t="s">
        <v>265</v>
      </c>
      <c r="D2957" s="103">
        <v>4011.2</v>
      </c>
      <c r="E2957" s="23">
        <v>42152</v>
      </c>
      <c r="F2957" s="106">
        <v>4011.2</v>
      </c>
      <c r="G2957" s="31">
        <f t="shared" si="92"/>
        <v>0</v>
      </c>
      <c r="H2957" s="132" t="s">
        <v>9</v>
      </c>
      <c r="I2957" s="3"/>
      <c r="J2957" s="42"/>
      <c r="K2957" s="3"/>
      <c r="M2957" s="20">
        <v>42132</v>
      </c>
      <c r="N2957" s="183">
        <v>20370</v>
      </c>
      <c r="O2957" s="14" t="s">
        <v>226</v>
      </c>
      <c r="P2957" s="103">
        <v>600</v>
      </c>
      <c r="Q2957" s="23">
        <v>42134</v>
      </c>
      <c r="R2957" s="106">
        <v>600</v>
      </c>
      <c r="S2957" s="31">
        <f t="shared" si="93"/>
        <v>0</v>
      </c>
      <c r="T2957" s="209" t="s">
        <v>312</v>
      </c>
    </row>
    <row r="2958" spans="1:20" x14ac:dyDescent="0.25">
      <c r="A2958" s="20">
        <v>42152</v>
      </c>
      <c r="B2958" s="183">
        <v>22532</v>
      </c>
      <c r="C2958" s="14" t="s">
        <v>158</v>
      </c>
      <c r="D2958" s="103">
        <v>2983.2</v>
      </c>
      <c r="E2958" s="23">
        <v>42152</v>
      </c>
      <c r="F2958" s="106">
        <v>2983.2</v>
      </c>
      <c r="G2958" s="31">
        <f t="shared" si="92"/>
        <v>0</v>
      </c>
      <c r="H2958" s="132" t="s">
        <v>9</v>
      </c>
      <c r="I2958" s="3"/>
      <c r="J2958" s="42"/>
      <c r="K2958" s="3"/>
      <c r="M2958" s="20">
        <v>42133</v>
      </c>
      <c r="N2958" s="183">
        <v>20507</v>
      </c>
      <c r="O2958" s="14" t="s">
        <v>226</v>
      </c>
      <c r="P2958" s="103">
        <v>986</v>
      </c>
      <c r="Q2958" s="23">
        <v>42133</v>
      </c>
      <c r="R2958" s="106">
        <v>986</v>
      </c>
      <c r="S2958" s="31">
        <f t="shared" si="93"/>
        <v>0</v>
      </c>
      <c r="T2958" s="209" t="s">
        <v>9</v>
      </c>
    </row>
    <row r="2959" spans="1:20" x14ac:dyDescent="0.25">
      <c r="A2959" s="20">
        <v>42152</v>
      </c>
      <c r="B2959" s="183">
        <v>22533</v>
      </c>
      <c r="C2959" s="14" t="s">
        <v>24</v>
      </c>
      <c r="D2959" s="103">
        <v>76880.5</v>
      </c>
      <c r="E2959" s="30">
        <v>42173</v>
      </c>
      <c r="F2959" s="144">
        <v>76880.5</v>
      </c>
      <c r="G2959" s="31">
        <f t="shared" si="92"/>
        <v>0</v>
      </c>
      <c r="H2959" s="132" t="s">
        <v>46</v>
      </c>
      <c r="I2959" s="3"/>
      <c r="J2959" s="42"/>
      <c r="K2959" s="3"/>
      <c r="M2959" s="20">
        <v>42135</v>
      </c>
      <c r="N2959" s="183">
        <v>20674</v>
      </c>
      <c r="O2959" s="14" t="s">
        <v>226</v>
      </c>
      <c r="P2959" s="103">
        <v>2305.1999999999998</v>
      </c>
      <c r="Q2959" s="23">
        <v>42138</v>
      </c>
      <c r="R2959" s="106">
        <v>2305.1999999999998</v>
      </c>
      <c r="S2959" s="31">
        <f t="shared" si="93"/>
        <v>0</v>
      </c>
      <c r="T2959" s="132" t="s">
        <v>149</v>
      </c>
    </row>
    <row r="2960" spans="1:20" x14ac:dyDescent="0.25">
      <c r="A2960" s="20">
        <v>42152</v>
      </c>
      <c r="B2960" s="183">
        <v>22534</v>
      </c>
      <c r="C2960" s="14" t="s">
        <v>261</v>
      </c>
      <c r="D2960" s="103">
        <v>11706.1</v>
      </c>
      <c r="E2960" s="23">
        <v>42154</v>
      </c>
      <c r="F2960" s="106">
        <v>11706.1</v>
      </c>
      <c r="G2960" s="31">
        <f t="shared" si="92"/>
        <v>0</v>
      </c>
      <c r="H2960" s="132" t="s">
        <v>149</v>
      </c>
      <c r="I2960" s="3"/>
      <c r="J2960" s="42"/>
      <c r="K2960" s="3"/>
      <c r="M2960" s="20">
        <v>42135</v>
      </c>
      <c r="N2960" s="183">
        <v>20682</v>
      </c>
      <c r="O2960" s="14" t="s">
        <v>226</v>
      </c>
      <c r="P2960" s="103">
        <v>1644</v>
      </c>
      <c r="Q2960" s="23">
        <v>42135</v>
      </c>
      <c r="R2960" s="106">
        <v>1644</v>
      </c>
      <c r="S2960" s="31">
        <f t="shared" si="93"/>
        <v>0</v>
      </c>
      <c r="T2960" s="132" t="s">
        <v>94</v>
      </c>
    </row>
    <row r="2961" spans="1:20" x14ac:dyDescent="0.25">
      <c r="A2961" s="20">
        <v>42152</v>
      </c>
      <c r="B2961" s="183">
        <v>22535</v>
      </c>
      <c r="C2961" s="14" t="s">
        <v>80</v>
      </c>
      <c r="D2961" s="103">
        <v>6752</v>
      </c>
      <c r="E2961" s="23">
        <v>42152</v>
      </c>
      <c r="F2961" s="106">
        <v>6752</v>
      </c>
      <c r="G2961" s="31">
        <f t="shared" si="92"/>
        <v>0</v>
      </c>
      <c r="H2961" s="132" t="s">
        <v>9</v>
      </c>
      <c r="I2961" s="3"/>
      <c r="J2961" s="42"/>
      <c r="K2961" s="3"/>
      <c r="M2961" s="20">
        <v>42137</v>
      </c>
      <c r="N2961" s="183">
        <v>20880</v>
      </c>
      <c r="O2961" s="14" t="s">
        <v>226</v>
      </c>
      <c r="P2961" s="103">
        <v>736</v>
      </c>
      <c r="Q2961" s="23">
        <v>42137</v>
      </c>
      <c r="R2961" s="106">
        <v>736</v>
      </c>
      <c r="S2961" s="31">
        <f t="shared" si="93"/>
        <v>0</v>
      </c>
      <c r="T2961" s="132" t="s">
        <v>312</v>
      </c>
    </row>
    <row r="2962" spans="1:20" x14ac:dyDescent="0.25">
      <c r="A2962" s="20">
        <v>42152</v>
      </c>
      <c r="B2962" s="183">
        <v>22536</v>
      </c>
      <c r="C2962" s="14" t="s">
        <v>353</v>
      </c>
      <c r="D2962" s="103">
        <v>1519.2</v>
      </c>
      <c r="E2962" s="23">
        <v>42152</v>
      </c>
      <c r="F2962" s="106">
        <v>1519.2</v>
      </c>
      <c r="G2962" s="31">
        <f t="shared" si="92"/>
        <v>0</v>
      </c>
      <c r="H2962" s="132" t="s">
        <v>9</v>
      </c>
      <c r="I2962" s="3"/>
      <c r="J2962" s="42"/>
      <c r="K2962" s="3"/>
      <c r="M2962" s="20">
        <v>42137</v>
      </c>
      <c r="N2962" s="183">
        <v>20908</v>
      </c>
      <c r="O2962" s="14" t="s">
        <v>226</v>
      </c>
      <c r="P2962" s="103">
        <v>8033.2</v>
      </c>
      <c r="Q2962" s="23">
        <v>42138</v>
      </c>
      <c r="R2962" s="106">
        <v>8033.2</v>
      </c>
      <c r="S2962" s="31">
        <f t="shared" si="93"/>
        <v>0</v>
      </c>
      <c r="T2962" s="209" t="s">
        <v>41</v>
      </c>
    </row>
    <row r="2963" spans="1:20" x14ac:dyDescent="0.25">
      <c r="A2963" s="20">
        <v>42152</v>
      </c>
      <c r="B2963" s="183">
        <v>22537</v>
      </c>
      <c r="C2963" s="14" t="s">
        <v>24</v>
      </c>
      <c r="D2963" s="103">
        <v>5661</v>
      </c>
      <c r="E2963" s="30">
        <v>42173</v>
      </c>
      <c r="F2963" s="144">
        <v>5661</v>
      </c>
      <c r="G2963" s="31">
        <f t="shared" si="92"/>
        <v>0</v>
      </c>
      <c r="H2963" s="132" t="s">
        <v>46</v>
      </c>
      <c r="I2963" s="3"/>
      <c r="J2963" s="42"/>
      <c r="K2963" s="3"/>
      <c r="M2963" s="20">
        <v>42138</v>
      </c>
      <c r="N2963" s="183">
        <v>21012</v>
      </c>
      <c r="O2963" s="14" t="s">
        <v>226</v>
      </c>
      <c r="P2963" s="103">
        <v>1977.5</v>
      </c>
      <c r="Q2963" s="23">
        <v>42138</v>
      </c>
      <c r="R2963" s="106">
        <v>1977.5</v>
      </c>
      <c r="S2963" s="48">
        <f t="shared" si="93"/>
        <v>0</v>
      </c>
      <c r="T2963" s="209" t="s">
        <v>94</v>
      </c>
    </row>
    <row r="2964" spans="1:20" x14ac:dyDescent="0.25">
      <c r="A2964" s="20">
        <v>42152</v>
      </c>
      <c r="B2964" s="183">
        <v>22538</v>
      </c>
      <c r="C2964" s="14" t="s">
        <v>574</v>
      </c>
      <c r="D2964" s="103">
        <v>24007.599999999999</v>
      </c>
      <c r="E2964" s="23">
        <v>42154</v>
      </c>
      <c r="F2964" s="106">
        <v>24007.599999999999</v>
      </c>
      <c r="G2964" s="31">
        <f t="shared" si="92"/>
        <v>0</v>
      </c>
      <c r="H2964" s="132" t="s">
        <v>149</v>
      </c>
      <c r="I2964" s="3"/>
      <c r="J2964" s="42"/>
      <c r="K2964" s="3"/>
      <c r="M2964" s="20">
        <v>42140</v>
      </c>
      <c r="N2964" s="183">
        <v>21212</v>
      </c>
      <c r="O2964" s="14" t="s">
        <v>226</v>
      </c>
      <c r="P2964" s="103">
        <v>2338</v>
      </c>
      <c r="Q2964" s="23">
        <v>42142</v>
      </c>
      <c r="R2964" s="106">
        <v>2338</v>
      </c>
      <c r="S2964" s="48">
        <f t="shared" si="93"/>
        <v>0</v>
      </c>
      <c r="T2964" s="132" t="s">
        <v>1257</v>
      </c>
    </row>
    <row r="2965" spans="1:20" x14ac:dyDescent="0.25">
      <c r="A2965" s="20">
        <v>42152</v>
      </c>
      <c r="B2965" s="183">
        <v>22539</v>
      </c>
      <c r="C2965" s="14" t="s">
        <v>1262</v>
      </c>
      <c r="D2965" s="103">
        <v>26917.93</v>
      </c>
      <c r="E2965" s="30">
        <v>42165</v>
      </c>
      <c r="F2965" s="144">
        <v>26917.93</v>
      </c>
      <c r="G2965" s="31">
        <f t="shared" si="92"/>
        <v>0</v>
      </c>
      <c r="H2965" s="132" t="s">
        <v>187</v>
      </c>
      <c r="I2965" s="3"/>
      <c r="J2965" s="42"/>
      <c r="K2965" s="3"/>
      <c r="M2965" s="20">
        <v>42143</v>
      </c>
      <c r="N2965" s="183">
        <v>21555</v>
      </c>
      <c r="O2965" s="14" t="s">
        <v>226</v>
      </c>
      <c r="P2965" s="103">
        <v>988.1</v>
      </c>
      <c r="Q2965" s="23">
        <v>42143</v>
      </c>
      <c r="R2965" s="118">
        <v>988.1</v>
      </c>
      <c r="S2965" s="31">
        <f t="shared" si="93"/>
        <v>0</v>
      </c>
      <c r="T2965" s="28" t="s">
        <v>41</v>
      </c>
    </row>
    <row r="2966" spans="1:20" x14ac:dyDescent="0.25">
      <c r="A2966" s="20">
        <v>42152</v>
      </c>
      <c r="B2966" s="183">
        <v>22540</v>
      </c>
      <c r="C2966" s="14" t="s">
        <v>1103</v>
      </c>
      <c r="D2966" s="103">
        <v>25300</v>
      </c>
      <c r="E2966" s="23">
        <v>42154</v>
      </c>
      <c r="F2966" s="106">
        <v>25300</v>
      </c>
      <c r="G2966" s="31">
        <f t="shared" si="92"/>
        <v>0</v>
      </c>
      <c r="H2966" s="132" t="s">
        <v>149</v>
      </c>
      <c r="I2966" s="3"/>
      <c r="J2966" s="42"/>
      <c r="K2966" s="3"/>
      <c r="M2966" s="20">
        <v>42144</v>
      </c>
      <c r="N2966" s="183">
        <v>21621</v>
      </c>
      <c r="O2966" s="14" t="s">
        <v>226</v>
      </c>
      <c r="P2966" s="103">
        <v>2217.6</v>
      </c>
      <c r="Q2966" s="23">
        <v>42144</v>
      </c>
      <c r="R2966" s="118">
        <v>2217.6</v>
      </c>
      <c r="S2966" s="31">
        <f t="shared" si="93"/>
        <v>0</v>
      </c>
      <c r="T2966" s="180" t="s">
        <v>94</v>
      </c>
    </row>
    <row r="2967" spans="1:20" x14ac:dyDescent="0.25">
      <c r="A2967" s="20">
        <v>42152</v>
      </c>
      <c r="B2967" s="183">
        <v>22541</v>
      </c>
      <c r="C2967" s="110" t="s">
        <v>206</v>
      </c>
      <c r="D2967" s="103">
        <v>1332.8</v>
      </c>
      <c r="E2967" s="30" t="s">
        <v>1455</v>
      </c>
      <c r="F2967" s="144">
        <v>1332.8</v>
      </c>
      <c r="G2967" s="31">
        <f t="shared" si="92"/>
        <v>0</v>
      </c>
      <c r="H2967" s="132" t="s">
        <v>149</v>
      </c>
      <c r="I2967" s="3"/>
      <c r="J2967" s="42"/>
      <c r="K2967" s="3"/>
      <c r="M2967" s="20">
        <v>42146</v>
      </c>
      <c r="N2967" s="183">
        <v>21913</v>
      </c>
      <c r="O2967" s="14" t="s">
        <v>226</v>
      </c>
      <c r="P2967" s="103">
        <v>2445.6999999999998</v>
      </c>
      <c r="Q2967" s="23">
        <v>42146</v>
      </c>
      <c r="R2967" s="106">
        <v>2445.6999999999998</v>
      </c>
      <c r="S2967" s="31">
        <f t="shared" si="93"/>
        <v>0</v>
      </c>
      <c r="T2967" s="132" t="s">
        <v>9</v>
      </c>
    </row>
    <row r="2968" spans="1:20" x14ac:dyDescent="0.25">
      <c r="A2968" s="20">
        <v>42152</v>
      </c>
      <c r="B2968" s="183">
        <v>22542</v>
      </c>
      <c r="C2968" s="14" t="s">
        <v>61</v>
      </c>
      <c r="D2968" s="103">
        <v>3141.7</v>
      </c>
      <c r="E2968" s="23">
        <v>42154</v>
      </c>
      <c r="F2968" s="106">
        <v>3141.7</v>
      </c>
      <c r="G2968" s="31">
        <f t="shared" si="92"/>
        <v>0</v>
      </c>
      <c r="H2968" s="132" t="s">
        <v>149</v>
      </c>
      <c r="I2968" s="3"/>
      <c r="J2968" s="42"/>
      <c r="K2968" s="3"/>
      <c r="M2968" s="20">
        <v>42149</v>
      </c>
      <c r="N2968" s="183">
        <v>22158</v>
      </c>
      <c r="O2968" s="14" t="s">
        <v>226</v>
      </c>
      <c r="P2968" s="103">
        <v>781.2</v>
      </c>
      <c r="Q2968" s="65">
        <v>42149</v>
      </c>
      <c r="R2968" s="106">
        <v>781.2</v>
      </c>
      <c r="S2968" s="31">
        <f t="shared" si="93"/>
        <v>0</v>
      </c>
      <c r="T2968" s="132" t="s">
        <v>1273</v>
      </c>
    </row>
    <row r="2969" spans="1:20" x14ac:dyDescent="0.25">
      <c r="A2969" s="20">
        <v>42152</v>
      </c>
      <c r="B2969" s="183">
        <v>22543</v>
      </c>
      <c r="C2969" s="14" t="s">
        <v>1020</v>
      </c>
      <c r="D2969" s="103">
        <v>2920.32</v>
      </c>
      <c r="E2969" s="23"/>
      <c r="F2969" s="106"/>
      <c r="G2969" s="31">
        <f t="shared" si="92"/>
        <v>2920.32</v>
      </c>
      <c r="H2969" s="132" t="s">
        <v>9</v>
      </c>
      <c r="I2969" s="3"/>
      <c r="J2969" s="42"/>
      <c r="K2969" s="3"/>
      <c r="M2969" s="20">
        <v>42150</v>
      </c>
      <c r="N2969" s="183">
        <v>22268</v>
      </c>
      <c r="O2969" s="14" t="s">
        <v>226</v>
      </c>
      <c r="P2969" s="103">
        <v>2447.1999999999998</v>
      </c>
      <c r="Q2969" s="65">
        <v>42152</v>
      </c>
      <c r="R2969" s="106">
        <v>2447.1999999999998</v>
      </c>
      <c r="S2969" s="31">
        <f t="shared" si="93"/>
        <v>0</v>
      </c>
      <c r="T2969" s="132" t="s">
        <v>9</v>
      </c>
    </row>
    <row r="2970" spans="1:20" x14ac:dyDescent="0.25">
      <c r="A2970" s="20">
        <v>42152</v>
      </c>
      <c r="B2970" s="183">
        <v>22544</v>
      </c>
      <c r="C2970" s="14" t="s">
        <v>821</v>
      </c>
      <c r="D2970" s="103">
        <v>13190.6</v>
      </c>
      <c r="E2970" s="23">
        <v>42153</v>
      </c>
      <c r="F2970" s="106">
        <v>13190.6</v>
      </c>
      <c r="G2970" s="31">
        <f t="shared" si="92"/>
        <v>0</v>
      </c>
      <c r="H2970" s="132" t="s">
        <v>9</v>
      </c>
      <c r="I2970" s="3"/>
      <c r="J2970" s="42"/>
      <c r="K2970" s="3"/>
      <c r="M2970" s="20">
        <v>42150</v>
      </c>
      <c r="N2970" s="183">
        <v>22304</v>
      </c>
      <c r="O2970" s="14" t="s">
        <v>226</v>
      </c>
      <c r="P2970" s="103">
        <v>6049.6</v>
      </c>
      <c r="Q2970" s="65">
        <v>42152</v>
      </c>
      <c r="R2970" s="106">
        <v>6049.6</v>
      </c>
      <c r="S2970" s="31">
        <f t="shared" si="93"/>
        <v>0</v>
      </c>
      <c r="T2970" s="132" t="s">
        <v>62</v>
      </c>
    </row>
    <row r="2971" spans="1:20" x14ac:dyDescent="0.25">
      <c r="A2971" s="20">
        <v>42152</v>
      </c>
      <c r="B2971" s="183">
        <v>22545</v>
      </c>
      <c r="C2971" s="14" t="s">
        <v>24</v>
      </c>
      <c r="D2971" s="103">
        <v>10082.4</v>
      </c>
      <c r="E2971" s="30">
        <v>42173</v>
      </c>
      <c r="F2971" s="144">
        <v>10082.4</v>
      </c>
      <c r="G2971" s="31">
        <f t="shared" si="92"/>
        <v>0</v>
      </c>
      <c r="H2971" s="132" t="s">
        <v>9</v>
      </c>
      <c r="I2971" s="3"/>
      <c r="J2971" s="42"/>
      <c r="K2971" s="3"/>
      <c r="M2971" s="20">
        <v>42152</v>
      </c>
      <c r="N2971" s="183">
        <v>22449</v>
      </c>
      <c r="O2971" s="14" t="s">
        <v>226</v>
      </c>
      <c r="P2971" s="103">
        <v>1341.4</v>
      </c>
      <c r="Q2971" s="23">
        <v>42152</v>
      </c>
      <c r="R2971" s="106">
        <v>1341.4</v>
      </c>
      <c r="S2971" s="31">
        <f t="shared" si="93"/>
        <v>0</v>
      </c>
      <c r="T2971" s="132" t="s">
        <v>9</v>
      </c>
    </row>
    <row r="2972" spans="1:20" x14ac:dyDescent="0.25">
      <c r="A2972" s="20">
        <v>42153</v>
      </c>
      <c r="B2972" s="183">
        <v>22546</v>
      </c>
      <c r="C2972" s="14" t="s">
        <v>1256</v>
      </c>
      <c r="D2972" s="103">
        <v>8467.2000000000007</v>
      </c>
      <c r="E2972" s="23">
        <v>42153</v>
      </c>
      <c r="F2972" s="106">
        <v>8467.2000000000007</v>
      </c>
      <c r="G2972" s="31">
        <f t="shared" si="92"/>
        <v>0</v>
      </c>
      <c r="H2972" s="132" t="s">
        <v>9</v>
      </c>
      <c r="I2972" s="3"/>
      <c r="J2972" s="42"/>
      <c r="K2972" s="3"/>
      <c r="M2972" s="20">
        <v>42153</v>
      </c>
      <c r="N2972" s="183">
        <v>22570</v>
      </c>
      <c r="O2972" s="14" t="s">
        <v>226</v>
      </c>
      <c r="P2972" s="103">
        <v>2640.3</v>
      </c>
      <c r="Q2972" s="23">
        <v>42153</v>
      </c>
      <c r="R2972" s="106">
        <v>2640.3</v>
      </c>
      <c r="S2972" s="31">
        <f t="shared" si="93"/>
        <v>0</v>
      </c>
      <c r="T2972" s="132" t="s">
        <v>41</v>
      </c>
    </row>
    <row r="2973" spans="1:20" x14ac:dyDescent="0.25">
      <c r="A2973" s="20">
        <v>42153</v>
      </c>
      <c r="B2973" s="183">
        <v>22547</v>
      </c>
      <c r="C2973" s="14" t="s">
        <v>91</v>
      </c>
      <c r="D2973" s="103">
        <v>25794.58</v>
      </c>
      <c r="E2973" s="23">
        <v>42153</v>
      </c>
      <c r="F2973" s="106">
        <v>25794.58</v>
      </c>
      <c r="G2973" s="31">
        <f t="shared" si="92"/>
        <v>0</v>
      </c>
      <c r="H2973" s="132" t="s">
        <v>59</v>
      </c>
      <c r="I2973" s="3"/>
      <c r="J2973" s="42"/>
      <c r="K2973" s="3"/>
      <c r="M2973" s="20">
        <v>42154</v>
      </c>
      <c r="N2973" s="183">
        <v>22712</v>
      </c>
      <c r="O2973" s="14" t="s">
        <v>226</v>
      </c>
      <c r="P2973" s="103">
        <v>572.4</v>
      </c>
      <c r="Q2973" s="23">
        <v>42154</v>
      </c>
      <c r="R2973" s="106">
        <v>572.4</v>
      </c>
      <c r="S2973" s="31">
        <f t="shared" si="93"/>
        <v>0</v>
      </c>
      <c r="T2973" s="132" t="s">
        <v>9</v>
      </c>
    </row>
    <row r="2974" spans="1:20" x14ac:dyDescent="0.25">
      <c r="A2974" s="20">
        <v>42153</v>
      </c>
      <c r="B2974" s="183">
        <v>22548</v>
      </c>
      <c r="C2974" s="14" t="s">
        <v>167</v>
      </c>
      <c r="D2974" s="103">
        <v>552</v>
      </c>
      <c r="E2974" s="23">
        <v>42153</v>
      </c>
      <c r="F2974" s="106">
        <v>552</v>
      </c>
      <c r="G2974" s="31">
        <f t="shared" si="92"/>
        <v>0</v>
      </c>
      <c r="H2974" s="132" t="s">
        <v>59</v>
      </c>
      <c r="I2974" s="3"/>
      <c r="J2974" s="42"/>
      <c r="K2974" s="3"/>
      <c r="M2974" s="20">
        <v>42125</v>
      </c>
      <c r="N2974" s="183">
        <v>19644</v>
      </c>
      <c r="O2974" s="14" t="s">
        <v>99</v>
      </c>
      <c r="P2974" s="103">
        <v>1094</v>
      </c>
      <c r="Q2974" s="23">
        <v>42125</v>
      </c>
      <c r="R2974" s="106">
        <v>1094</v>
      </c>
      <c r="S2974" s="25">
        <f t="shared" si="93"/>
        <v>0</v>
      </c>
      <c r="T2974" s="209" t="s">
        <v>41</v>
      </c>
    </row>
    <row r="2975" spans="1:20" x14ac:dyDescent="0.25">
      <c r="A2975" s="20">
        <v>42153</v>
      </c>
      <c r="B2975" s="183">
        <v>22549</v>
      </c>
      <c r="C2975" s="14" t="s">
        <v>53</v>
      </c>
      <c r="D2975" s="103">
        <v>1497.2</v>
      </c>
      <c r="E2975" s="23">
        <v>42153</v>
      </c>
      <c r="F2975" s="106">
        <v>1497.2</v>
      </c>
      <c r="G2975" s="31">
        <f t="shared" si="92"/>
        <v>0</v>
      </c>
      <c r="H2975" s="132" t="s">
        <v>59</v>
      </c>
      <c r="I2975" s="3"/>
      <c r="J2975" s="42"/>
      <c r="K2975" s="3"/>
      <c r="M2975" s="20">
        <v>42126</v>
      </c>
      <c r="N2975" s="183">
        <v>19737</v>
      </c>
      <c r="O2975" s="40" t="s">
        <v>99</v>
      </c>
      <c r="P2975" s="103">
        <v>2569</v>
      </c>
      <c r="Q2975" s="23">
        <v>42126</v>
      </c>
      <c r="R2975" s="106">
        <v>2569</v>
      </c>
      <c r="S2975" s="25">
        <f t="shared" si="93"/>
        <v>0</v>
      </c>
      <c r="T2975" s="210" t="s">
        <v>9</v>
      </c>
    </row>
    <row r="2976" spans="1:20" x14ac:dyDescent="0.25">
      <c r="A2976" s="20">
        <v>42153</v>
      </c>
      <c r="B2976" s="183">
        <v>22550</v>
      </c>
      <c r="C2976" s="14" t="s">
        <v>112</v>
      </c>
      <c r="D2976" s="103">
        <v>32799.4</v>
      </c>
      <c r="E2976" s="30">
        <v>42157</v>
      </c>
      <c r="F2976" s="144">
        <v>32799.4</v>
      </c>
      <c r="G2976" s="31">
        <f t="shared" si="92"/>
        <v>0</v>
      </c>
      <c r="H2976" s="132" t="s">
        <v>9</v>
      </c>
      <c r="I2976" s="3"/>
      <c r="J2976" s="42"/>
      <c r="K2976" s="3"/>
      <c r="M2976" s="20">
        <v>42129</v>
      </c>
      <c r="N2976" s="183">
        <v>20071</v>
      </c>
      <c r="O2976" s="14" t="s">
        <v>99</v>
      </c>
      <c r="P2976" s="103">
        <v>516</v>
      </c>
      <c r="Q2976" s="23">
        <v>42130</v>
      </c>
      <c r="R2976" s="106">
        <v>516</v>
      </c>
      <c r="S2976" s="31">
        <f t="shared" si="93"/>
        <v>0</v>
      </c>
      <c r="T2976" s="132" t="s">
        <v>9</v>
      </c>
    </row>
    <row r="2977" spans="1:20" x14ac:dyDescent="0.25">
      <c r="A2977" s="20">
        <v>42153</v>
      </c>
      <c r="B2977" s="183">
        <v>22551</v>
      </c>
      <c r="C2977" s="14" t="s">
        <v>1425</v>
      </c>
      <c r="D2977" s="103">
        <v>8389.2999999999993</v>
      </c>
      <c r="E2977" s="23" t="s">
        <v>1429</v>
      </c>
      <c r="F2977" s="106">
        <f>7500+889.3</f>
        <v>8389.2999999999993</v>
      </c>
      <c r="G2977" s="31">
        <f t="shared" si="92"/>
        <v>0</v>
      </c>
      <c r="H2977" s="132" t="s">
        <v>9</v>
      </c>
      <c r="I2977" s="3"/>
      <c r="J2977" s="42"/>
      <c r="K2977" s="3"/>
      <c r="M2977" s="20">
        <v>42130</v>
      </c>
      <c r="N2977" s="183">
        <v>20123</v>
      </c>
      <c r="O2977" s="14" t="s">
        <v>99</v>
      </c>
      <c r="P2977" s="103">
        <v>2720</v>
      </c>
      <c r="Q2977" s="23">
        <v>42130</v>
      </c>
      <c r="R2977" s="106">
        <v>2720</v>
      </c>
      <c r="S2977" s="31">
        <f t="shared" si="93"/>
        <v>0</v>
      </c>
      <c r="T2977" s="132" t="s">
        <v>94</v>
      </c>
    </row>
    <row r="2978" spans="1:20" x14ac:dyDescent="0.25">
      <c r="A2978" s="20">
        <v>42153</v>
      </c>
      <c r="B2978" s="183">
        <v>22552</v>
      </c>
      <c r="C2978" s="14" t="s">
        <v>383</v>
      </c>
      <c r="D2978" s="103">
        <v>8065.2</v>
      </c>
      <c r="E2978" s="23">
        <v>42153</v>
      </c>
      <c r="F2978" s="106">
        <v>8065.2</v>
      </c>
      <c r="G2978" s="31">
        <f t="shared" si="92"/>
        <v>0</v>
      </c>
      <c r="H2978" s="132" t="s">
        <v>9</v>
      </c>
      <c r="I2978" s="3"/>
      <c r="J2978" s="42"/>
      <c r="K2978" s="3"/>
      <c r="M2978" s="20">
        <v>42133</v>
      </c>
      <c r="N2978" s="183">
        <v>20505</v>
      </c>
      <c r="O2978" s="14" t="s">
        <v>99</v>
      </c>
      <c r="P2978" s="103">
        <v>2739.8</v>
      </c>
      <c r="Q2978" s="23">
        <v>42133</v>
      </c>
      <c r="R2978" s="106">
        <v>2739.8</v>
      </c>
      <c r="S2978" s="31">
        <f t="shared" si="93"/>
        <v>0</v>
      </c>
      <c r="T2978" s="209" t="s">
        <v>41</v>
      </c>
    </row>
    <row r="2979" spans="1:20" x14ac:dyDescent="0.25">
      <c r="A2979" s="20">
        <v>42153</v>
      </c>
      <c r="B2979" s="183">
        <v>22553</v>
      </c>
      <c r="C2979" s="14" t="s">
        <v>14</v>
      </c>
      <c r="D2979" s="103">
        <v>18196.8</v>
      </c>
      <c r="E2979" s="30">
        <v>42172</v>
      </c>
      <c r="F2979" s="144">
        <v>18196.8</v>
      </c>
      <c r="G2979" s="31">
        <f t="shared" si="92"/>
        <v>0</v>
      </c>
      <c r="H2979" s="132" t="s">
        <v>15</v>
      </c>
      <c r="I2979" s="3"/>
      <c r="J2979" s="42"/>
      <c r="K2979" s="3"/>
      <c r="M2979" s="20">
        <v>42136</v>
      </c>
      <c r="N2979" s="183">
        <v>20834</v>
      </c>
      <c r="O2979" s="14" t="s">
        <v>99</v>
      </c>
      <c r="P2979" s="103">
        <v>1225</v>
      </c>
      <c r="Q2979" s="23">
        <v>42136</v>
      </c>
      <c r="R2979" s="106">
        <v>1225</v>
      </c>
      <c r="S2979" s="31">
        <f t="shared" si="93"/>
        <v>0</v>
      </c>
      <c r="T2979" s="132" t="s">
        <v>9</v>
      </c>
    </row>
    <row r="2980" spans="1:20" x14ac:dyDescent="0.25">
      <c r="A2980" s="20">
        <v>42153</v>
      </c>
      <c r="B2980" s="183">
        <v>22554</v>
      </c>
      <c r="C2980" s="150" t="s">
        <v>1381</v>
      </c>
      <c r="D2980" s="103">
        <v>10375.6</v>
      </c>
      <c r="E2980" s="23">
        <v>42153</v>
      </c>
      <c r="F2980" s="106">
        <v>10375.6</v>
      </c>
      <c r="G2980" s="31">
        <f t="shared" si="92"/>
        <v>0</v>
      </c>
      <c r="H2980" s="132" t="s">
        <v>9</v>
      </c>
      <c r="I2980" s="3"/>
      <c r="J2980" s="42"/>
      <c r="K2980" s="3"/>
      <c r="M2980" s="20">
        <v>42138</v>
      </c>
      <c r="N2980" s="183">
        <v>21013</v>
      </c>
      <c r="O2980" s="14" t="s">
        <v>99</v>
      </c>
      <c r="P2980" s="103">
        <v>2415</v>
      </c>
      <c r="Q2980" s="23">
        <v>42138</v>
      </c>
      <c r="R2980" s="106">
        <v>2415</v>
      </c>
      <c r="S2980" s="48">
        <f t="shared" si="93"/>
        <v>0</v>
      </c>
      <c r="T2980" s="132" t="s">
        <v>94</v>
      </c>
    </row>
    <row r="2981" spans="1:20" x14ac:dyDescent="0.25">
      <c r="A2981" s="20">
        <v>42153</v>
      </c>
      <c r="B2981" s="183">
        <v>22555</v>
      </c>
      <c r="C2981" s="14" t="s">
        <v>1381</v>
      </c>
      <c r="D2981" s="103">
        <v>1280.28</v>
      </c>
      <c r="E2981" s="23">
        <v>42153</v>
      </c>
      <c r="F2981" s="106">
        <v>1280.28</v>
      </c>
      <c r="G2981" s="31">
        <f t="shared" si="92"/>
        <v>0</v>
      </c>
      <c r="H2981" s="132" t="s">
        <v>9</v>
      </c>
      <c r="I2981" s="3"/>
      <c r="J2981" s="42"/>
      <c r="K2981" s="3"/>
      <c r="M2981" s="20">
        <v>42139</v>
      </c>
      <c r="N2981" s="183">
        <v>21128</v>
      </c>
      <c r="O2981" s="14" t="s">
        <v>99</v>
      </c>
      <c r="P2981" s="103">
        <v>1159.5999999999999</v>
      </c>
      <c r="Q2981" s="23">
        <v>42142</v>
      </c>
      <c r="R2981" s="106">
        <v>1159.5999999999999</v>
      </c>
      <c r="S2981" s="48">
        <f t="shared" si="93"/>
        <v>0</v>
      </c>
      <c r="T2981" s="132" t="s">
        <v>312</v>
      </c>
    </row>
    <row r="2982" spans="1:20" x14ac:dyDescent="0.25">
      <c r="A2982" s="20">
        <v>42153</v>
      </c>
      <c r="B2982" s="183">
        <v>22556</v>
      </c>
      <c r="C2982" s="110">
        <v>105</v>
      </c>
      <c r="D2982" s="103">
        <v>2640</v>
      </c>
      <c r="E2982" s="23">
        <v>42154</v>
      </c>
      <c r="F2982" s="106">
        <v>2640</v>
      </c>
      <c r="G2982" s="31">
        <f t="shared" si="92"/>
        <v>0</v>
      </c>
      <c r="H2982" s="132" t="s">
        <v>59</v>
      </c>
      <c r="I2982" s="3"/>
      <c r="J2982" s="42"/>
      <c r="K2982" s="3"/>
      <c r="M2982" s="20">
        <v>42142</v>
      </c>
      <c r="N2982" s="183">
        <v>21432</v>
      </c>
      <c r="O2982" s="14" t="s">
        <v>99</v>
      </c>
      <c r="P2982" s="103">
        <v>2366</v>
      </c>
      <c r="Q2982" s="23">
        <v>42142</v>
      </c>
      <c r="R2982" s="118">
        <v>2366</v>
      </c>
      <c r="S2982" s="31">
        <f t="shared" si="93"/>
        <v>0</v>
      </c>
      <c r="T2982" s="28" t="s">
        <v>94</v>
      </c>
    </row>
    <row r="2983" spans="1:20" x14ac:dyDescent="0.25">
      <c r="A2983" s="20">
        <v>42153</v>
      </c>
      <c r="B2983" s="183">
        <v>22557</v>
      </c>
      <c r="C2983" s="14" t="s">
        <v>57</v>
      </c>
      <c r="D2983" s="103">
        <v>3000</v>
      </c>
      <c r="E2983" s="23">
        <v>42153</v>
      </c>
      <c r="F2983" s="106">
        <v>3000</v>
      </c>
      <c r="G2983" s="31">
        <f t="shared" si="92"/>
        <v>0</v>
      </c>
      <c r="H2983" s="132" t="s">
        <v>59</v>
      </c>
      <c r="I2983" s="3"/>
      <c r="J2983" s="42"/>
      <c r="K2983" s="3"/>
      <c r="M2983" s="20">
        <v>42144</v>
      </c>
      <c r="N2983" s="183">
        <v>21619</v>
      </c>
      <c r="O2983" s="14" t="s">
        <v>99</v>
      </c>
      <c r="P2983" s="103">
        <v>2412</v>
      </c>
      <c r="Q2983" s="23">
        <v>42144</v>
      </c>
      <c r="R2983" s="118">
        <v>2412</v>
      </c>
      <c r="S2983" s="31">
        <f t="shared" si="93"/>
        <v>0</v>
      </c>
      <c r="T2983" s="28" t="s">
        <v>94</v>
      </c>
    </row>
    <row r="2984" spans="1:20" x14ac:dyDescent="0.25">
      <c r="A2984" s="20">
        <v>42153</v>
      </c>
      <c r="B2984" s="183">
        <v>22558</v>
      </c>
      <c r="C2984" s="14" t="s">
        <v>43</v>
      </c>
      <c r="D2984" s="103">
        <v>9328.7999999999993</v>
      </c>
      <c r="E2984" s="23">
        <v>42153</v>
      </c>
      <c r="F2984" s="106">
        <v>9328.7999999999993</v>
      </c>
      <c r="G2984" s="31">
        <f t="shared" si="92"/>
        <v>0</v>
      </c>
      <c r="H2984" s="132" t="s">
        <v>9</v>
      </c>
      <c r="I2984" s="3"/>
      <c r="J2984" s="42"/>
      <c r="K2984" s="3"/>
      <c r="M2984" s="20">
        <v>42146</v>
      </c>
      <c r="N2984" s="183">
        <v>21849</v>
      </c>
      <c r="O2984" s="14" t="s">
        <v>99</v>
      </c>
      <c r="P2984" s="103">
        <v>1152.2</v>
      </c>
      <c r="Q2984" s="23">
        <v>42146</v>
      </c>
      <c r="R2984" s="106">
        <v>1152.2</v>
      </c>
      <c r="S2984" s="31">
        <f t="shared" si="93"/>
        <v>0</v>
      </c>
      <c r="T2984" s="132" t="s">
        <v>94</v>
      </c>
    </row>
    <row r="2985" spans="1:20" x14ac:dyDescent="0.25">
      <c r="A2985" s="20">
        <v>42153</v>
      </c>
      <c r="B2985" s="183">
        <v>22559</v>
      </c>
      <c r="C2985" s="14" t="s">
        <v>82</v>
      </c>
      <c r="D2985" s="103">
        <v>1473</v>
      </c>
      <c r="E2985" s="23">
        <v>42153</v>
      </c>
      <c r="F2985" s="106">
        <v>1473</v>
      </c>
      <c r="G2985" s="31">
        <f t="shared" si="92"/>
        <v>0</v>
      </c>
      <c r="H2985" s="132" t="s">
        <v>59</v>
      </c>
      <c r="I2985" s="3"/>
      <c r="J2985" s="42"/>
      <c r="K2985" s="3"/>
      <c r="M2985" s="20">
        <v>42149</v>
      </c>
      <c r="N2985" s="183">
        <v>22159</v>
      </c>
      <c r="O2985" s="14" t="s">
        <v>99</v>
      </c>
      <c r="P2985" s="103">
        <v>2279.1999999999998</v>
      </c>
      <c r="Q2985" s="65">
        <v>42149</v>
      </c>
      <c r="R2985" s="106">
        <v>2279.1999999999998</v>
      </c>
      <c r="S2985" s="31">
        <f t="shared" si="93"/>
        <v>0</v>
      </c>
      <c r="T2985" s="132" t="s">
        <v>1273</v>
      </c>
    </row>
    <row r="2986" spans="1:20" x14ac:dyDescent="0.25">
      <c r="A2986" s="20">
        <v>42153</v>
      </c>
      <c r="B2986" s="183">
        <v>22560</v>
      </c>
      <c r="C2986" s="14" t="s">
        <v>238</v>
      </c>
      <c r="D2986" s="103">
        <v>370</v>
      </c>
      <c r="E2986" s="23">
        <v>42153</v>
      </c>
      <c r="F2986" s="106">
        <v>370</v>
      </c>
      <c r="G2986" s="31">
        <f t="shared" si="92"/>
        <v>0</v>
      </c>
      <c r="H2986" s="132" t="s">
        <v>59</v>
      </c>
      <c r="I2986" s="3"/>
      <c r="J2986" s="42"/>
      <c r="K2986" s="3"/>
      <c r="M2986" s="20">
        <v>42149</v>
      </c>
      <c r="N2986" s="183">
        <v>22208</v>
      </c>
      <c r="O2986" s="14" t="s">
        <v>99</v>
      </c>
      <c r="P2986" s="103">
        <v>7204.8</v>
      </c>
      <c r="Q2986" s="65">
        <v>42152</v>
      </c>
      <c r="R2986" s="106">
        <v>7204.8</v>
      </c>
      <c r="S2986" s="31">
        <f t="shared" si="93"/>
        <v>0</v>
      </c>
      <c r="T2986" s="132" t="s">
        <v>9</v>
      </c>
    </row>
    <row r="2987" spans="1:20" x14ac:dyDescent="0.25">
      <c r="A2987" s="20">
        <v>42153</v>
      </c>
      <c r="B2987" s="183">
        <v>22561</v>
      </c>
      <c r="C2987" s="14" t="s">
        <v>81</v>
      </c>
      <c r="D2987" s="103">
        <v>2662.1</v>
      </c>
      <c r="E2987" s="23">
        <v>42153</v>
      </c>
      <c r="F2987" s="106">
        <v>2662.1</v>
      </c>
      <c r="G2987" s="31">
        <f t="shared" si="92"/>
        <v>0</v>
      </c>
      <c r="H2987" s="132" t="s">
        <v>59</v>
      </c>
      <c r="I2987" s="3"/>
      <c r="J2987" s="42"/>
      <c r="K2987" s="3"/>
      <c r="M2987" s="20">
        <v>42151</v>
      </c>
      <c r="N2987" s="183">
        <v>22379</v>
      </c>
      <c r="O2987" s="14" t="s">
        <v>99</v>
      </c>
      <c r="P2987" s="103">
        <v>358.4</v>
      </c>
      <c r="Q2987" s="23">
        <v>42151</v>
      </c>
      <c r="R2987" s="106">
        <v>358.4</v>
      </c>
      <c r="S2987" s="31">
        <f t="shared" si="93"/>
        <v>0</v>
      </c>
      <c r="T2987" s="132" t="s">
        <v>9</v>
      </c>
    </row>
    <row r="2988" spans="1:20" x14ac:dyDescent="0.25">
      <c r="A2988" s="20">
        <v>42153</v>
      </c>
      <c r="B2988" s="183">
        <v>22562</v>
      </c>
      <c r="C2988" s="14" t="s">
        <v>120</v>
      </c>
      <c r="D2988" s="103">
        <v>1839.6</v>
      </c>
      <c r="E2988" s="23">
        <v>42153</v>
      </c>
      <c r="F2988" s="106">
        <v>1839.6</v>
      </c>
      <c r="G2988" s="31">
        <f t="shared" si="92"/>
        <v>0</v>
      </c>
      <c r="H2988" s="132" t="s">
        <v>59</v>
      </c>
      <c r="I2988" s="3"/>
      <c r="J2988" s="42"/>
      <c r="K2988" s="3"/>
      <c r="M2988" s="20">
        <v>42152</v>
      </c>
      <c r="N2988" s="183">
        <v>22447</v>
      </c>
      <c r="O2988" s="14" t="s">
        <v>99</v>
      </c>
      <c r="P2988" s="103">
        <v>2356</v>
      </c>
      <c r="Q2988" s="23">
        <v>42152</v>
      </c>
      <c r="R2988" s="106">
        <v>2356</v>
      </c>
      <c r="S2988" s="31">
        <f t="shared" si="93"/>
        <v>0</v>
      </c>
      <c r="T2988" s="132" t="s">
        <v>62</v>
      </c>
    </row>
    <row r="2989" spans="1:20" x14ac:dyDescent="0.25">
      <c r="A2989" s="20">
        <v>42153</v>
      </c>
      <c r="B2989" s="183">
        <v>22563</v>
      </c>
      <c r="C2989" s="14" t="s">
        <v>292</v>
      </c>
      <c r="D2989" s="103">
        <v>2616.6</v>
      </c>
      <c r="E2989" s="23">
        <v>42184</v>
      </c>
      <c r="F2989" s="106">
        <v>2616.6</v>
      </c>
      <c r="G2989" s="31">
        <f t="shared" si="92"/>
        <v>0</v>
      </c>
      <c r="H2989" s="132" t="s">
        <v>59</v>
      </c>
      <c r="I2989" s="3"/>
      <c r="J2989" s="42"/>
      <c r="K2989" s="3"/>
      <c r="M2989" s="20">
        <v>42154</v>
      </c>
      <c r="N2989" s="183">
        <v>22711</v>
      </c>
      <c r="O2989" s="14" t="s">
        <v>99</v>
      </c>
      <c r="P2989" s="103">
        <v>2531.1</v>
      </c>
      <c r="Q2989" s="23">
        <v>42154</v>
      </c>
      <c r="R2989" s="106">
        <v>2531.1</v>
      </c>
      <c r="S2989" s="31">
        <f t="shared" si="93"/>
        <v>0</v>
      </c>
      <c r="T2989" s="132" t="s">
        <v>9</v>
      </c>
    </row>
    <row r="2990" spans="1:20" x14ac:dyDescent="0.25">
      <c r="A2990" s="20">
        <v>42153</v>
      </c>
      <c r="B2990" s="183">
        <v>22564</v>
      </c>
      <c r="C2990" s="14" t="s">
        <v>114</v>
      </c>
      <c r="D2990" s="103">
        <v>2712</v>
      </c>
      <c r="E2990" s="23">
        <v>42153</v>
      </c>
      <c r="F2990" s="106">
        <v>2712</v>
      </c>
      <c r="G2990" s="31">
        <f t="shared" si="92"/>
        <v>0</v>
      </c>
      <c r="H2990" s="132" t="s">
        <v>9</v>
      </c>
      <c r="I2990" s="3"/>
      <c r="J2990" s="42"/>
      <c r="K2990" s="3"/>
      <c r="M2990" s="20">
        <v>42126</v>
      </c>
      <c r="N2990" s="183">
        <v>19773</v>
      </c>
      <c r="O2990" s="40" t="s">
        <v>915</v>
      </c>
      <c r="P2990" s="103">
        <v>3690</v>
      </c>
      <c r="Q2990" s="23">
        <v>42127</v>
      </c>
      <c r="R2990" s="106">
        <v>3690</v>
      </c>
      <c r="S2990" s="25">
        <f t="shared" si="93"/>
        <v>0</v>
      </c>
      <c r="T2990" s="210" t="s">
        <v>59</v>
      </c>
    </row>
    <row r="2991" spans="1:20" x14ac:dyDescent="0.25">
      <c r="A2991" s="20">
        <v>42153</v>
      </c>
      <c r="B2991" s="183">
        <v>22565</v>
      </c>
      <c r="C2991" s="14" t="s">
        <v>20</v>
      </c>
      <c r="D2991" s="103">
        <v>13916.8</v>
      </c>
      <c r="E2991" s="23">
        <v>42154</v>
      </c>
      <c r="F2991" s="106">
        <v>13916.8</v>
      </c>
      <c r="G2991" s="31">
        <f t="shared" si="92"/>
        <v>0</v>
      </c>
      <c r="H2991" s="132" t="s">
        <v>94</v>
      </c>
      <c r="I2991" s="3"/>
      <c r="J2991" s="42"/>
      <c r="K2991" s="3"/>
      <c r="M2991" s="20">
        <v>42129</v>
      </c>
      <c r="N2991" s="183">
        <v>20062</v>
      </c>
      <c r="O2991" s="14" t="s">
        <v>915</v>
      </c>
      <c r="P2991" s="103">
        <v>331.2</v>
      </c>
      <c r="Q2991" s="23">
        <v>42129</v>
      </c>
      <c r="R2991" s="106">
        <v>331.2</v>
      </c>
      <c r="S2991" s="31">
        <f t="shared" si="93"/>
        <v>0</v>
      </c>
      <c r="T2991" s="132" t="s">
        <v>59</v>
      </c>
    </row>
    <row r="2992" spans="1:20" x14ac:dyDescent="0.25">
      <c r="A2992" s="20">
        <v>42153</v>
      </c>
      <c r="B2992" s="183">
        <v>22566</v>
      </c>
      <c r="C2992" s="14" t="s">
        <v>23</v>
      </c>
      <c r="D2992" s="103">
        <v>3491.4</v>
      </c>
      <c r="E2992" s="23">
        <v>42153</v>
      </c>
      <c r="F2992" s="106">
        <v>3491.4</v>
      </c>
      <c r="G2992" s="31">
        <f t="shared" si="92"/>
        <v>0</v>
      </c>
      <c r="H2992" s="132" t="s">
        <v>9</v>
      </c>
      <c r="I2992" s="3"/>
      <c r="J2992" s="42"/>
      <c r="K2992" s="3"/>
      <c r="M2992" s="20">
        <v>42132</v>
      </c>
      <c r="N2992" s="183">
        <v>20381</v>
      </c>
      <c r="O2992" s="14" t="s">
        <v>915</v>
      </c>
      <c r="P2992" s="103">
        <v>885.5</v>
      </c>
      <c r="Q2992" s="23">
        <v>42133</v>
      </c>
      <c r="R2992" s="106">
        <v>885.5</v>
      </c>
      <c r="S2992" s="31">
        <f t="shared" si="93"/>
        <v>0</v>
      </c>
      <c r="T2992" s="209" t="s">
        <v>59</v>
      </c>
    </row>
    <row r="2993" spans="1:20" x14ac:dyDescent="0.25">
      <c r="A2993" s="20">
        <v>42153</v>
      </c>
      <c r="B2993" s="183">
        <v>22567</v>
      </c>
      <c r="C2993" s="14" t="s">
        <v>155</v>
      </c>
      <c r="D2993" s="103">
        <v>5916.8</v>
      </c>
      <c r="E2993" s="23">
        <v>42153</v>
      </c>
      <c r="F2993" s="106">
        <v>5916.8</v>
      </c>
      <c r="G2993" s="31">
        <f t="shared" si="92"/>
        <v>0</v>
      </c>
      <c r="H2993" s="132" t="s">
        <v>59</v>
      </c>
      <c r="I2993" s="3"/>
      <c r="J2993" s="42"/>
      <c r="K2993" s="3"/>
      <c r="M2993" s="20">
        <v>42135</v>
      </c>
      <c r="N2993" s="183">
        <v>20707</v>
      </c>
      <c r="O2993" s="14" t="s">
        <v>915</v>
      </c>
      <c r="P2993" s="103">
        <v>854</v>
      </c>
      <c r="Q2993" s="23">
        <v>42135</v>
      </c>
      <c r="R2993" s="106">
        <v>854</v>
      </c>
      <c r="S2993" s="31">
        <f t="shared" si="93"/>
        <v>0</v>
      </c>
      <c r="T2993" s="209" t="s">
        <v>59</v>
      </c>
    </row>
    <row r="2994" spans="1:20" x14ac:dyDescent="0.25">
      <c r="A2994" s="20">
        <v>42153</v>
      </c>
      <c r="B2994" s="183">
        <v>22568</v>
      </c>
      <c r="C2994" s="14" t="s">
        <v>1338</v>
      </c>
      <c r="D2994" s="103">
        <v>4437.8</v>
      </c>
      <c r="E2994" s="30">
        <v>42172</v>
      </c>
      <c r="F2994" s="144">
        <v>4437.8</v>
      </c>
      <c r="G2994" s="31">
        <f t="shared" si="92"/>
        <v>0</v>
      </c>
      <c r="H2994" s="132" t="s">
        <v>59</v>
      </c>
      <c r="I2994" s="3"/>
      <c r="J2994" s="42"/>
      <c r="K2994" s="3"/>
      <c r="M2994" s="20">
        <v>42139</v>
      </c>
      <c r="N2994" s="183">
        <v>21125</v>
      </c>
      <c r="O2994" s="14" t="s">
        <v>915</v>
      </c>
      <c r="P2994" s="103">
        <v>1476</v>
      </c>
      <c r="Q2994" s="23">
        <v>42139</v>
      </c>
      <c r="R2994" s="106">
        <v>1476</v>
      </c>
      <c r="S2994" s="48">
        <f t="shared" si="93"/>
        <v>0</v>
      </c>
      <c r="T2994" s="132" t="s">
        <v>59</v>
      </c>
    </row>
    <row r="2995" spans="1:20" x14ac:dyDescent="0.25">
      <c r="A2995" s="20">
        <v>42153</v>
      </c>
      <c r="B2995" s="183">
        <v>22569</v>
      </c>
      <c r="C2995" s="14" t="s">
        <v>125</v>
      </c>
      <c r="D2995" s="103">
        <v>22602.2</v>
      </c>
      <c r="E2995" s="30">
        <v>42158</v>
      </c>
      <c r="F2995" s="144">
        <v>22602.2</v>
      </c>
      <c r="G2995" s="31">
        <f t="shared" si="92"/>
        <v>0</v>
      </c>
      <c r="H2995" s="132" t="s">
        <v>94</v>
      </c>
      <c r="I2995" s="3"/>
      <c r="J2995" s="42"/>
      <c r="K2995" s="3"/>
      <c r="M2995" s="20">
        <v>42141</v>
      </c>
      <c r="N2995" s="183">
        <v>21346</v>
      </c>
      <c r="O2995" s="14" t="s">
        <v>915</v>
      </c>
      <c r="P2995" s="103">
        <v>445.4</v>
      </c>
      <c r="Q2995" s="23">
        <v>42142</v>
      </c>
      <c r="R2995" s="118">
        <v>445.4</v>
      </c>
      <c r="S2995" s="31">
        <f t="shared" si="93"/>
        <v>0</v>
      </c>
      <c r="T2995" s="180" t="s">
        <v>59</v>
      </c>
    </row>
    <row r="2996" spans="1:20" x14ac:dyDescent="0.25">
      <c r="A2996" s="20">
        <v>42153</v>
      </c>
      <c r="B2996" s="183">
        <v>22570</v>
      </c>
      <c r="C2996" s="14" t="s">
        <v>226</v>
      </c>
      <c r="D2996" s="103">
        <v>2640.3</v>
      </c>
      <c r="E2996" s="23">
        <v>42153</v>
      </c>
      <c r="F2996" s="106">
        <v>2640.3</v>
      </c>
      <c r="G2996" s="31">
        <f t="shared" si="92"/>
        <v>0</v>
      </c>
      <c r="H2996" s="132" t="s">
        <v>41</v>
      </c>
      <c r="I2996" s="3"/>
      <c r="J2996" s="42"/>
      <c r="K2996" s="3"/>
      <c r="M2996" s="20">
        <v>42143</v>
      </c>
      <c r="N2996" s="183">
        <v>21566</v>
      </c>
      <c r="O2996" s="14" t="s">
        <v>915</v>
      </c>
      <c r="P2996" s="103">
        <v>4224</v>
      </c>
      <c r="Q2996" s="23">
        <v>42143</v>
      </c>
      <c r="R2996" s="118">
        <v>4224</v>
      </c>
      <c r="S2996" s="31">
        <f t="shared" si="93"/>
        <v>0</v>
      </c>
      <c r="T2996" s="28" t="s">
        <v>59</v>
      </c>
    </row>
    <row r="2997" spans="1:20" x14ac:dyDescent="0.25">
      <c r="A2997" s="20">
        <v>42153</v>
      </c>
      <c r="B2997" s="183">
        <v>22571</v>
      </c>
      <c r="C2997" s="14" t="s">
        <v>22</v>
      </c>
      <c r="D2997" s="103">
        <v>2920</v>
      </c>
      <c r="E2997" s="23">
        <v>42153</v>
      </c>
      <c r="F2997" s="106">
        <v>2920</v>
      </c>
      <c r="G2997" s="31">
        <f t="shared" si="92"/>
        <v>0</v>
      </c>
      <c r="H2997" s="132" t="s">
        <v>9</v>
      </c>
      <c r="I2997" s="3"/>
      <c r="J2997" s="42"/>
      <c r="K2997" s="3"/>
      <c r="M2997" s="20">
        <v>42146</v>
      </c>
      <c r="N2997" s="183">
        <v>21877</v>
      </c>
      <c r="O2997" s="14" t="s">
        <v>915</v>
      </c>
      <c r="P2997" s="103">
        <v>1291.2</v>
      </c>
      <c r="Q2997" s="23">
        <v>42146</v>
      </c>
      <c r="R2997" s="106">
        <v>1291.2</v>
      </c>
      <c r="S2997" s="31">
        <f t="shared" si="93"/>
        <v>0</v>
      </c>
      <c r="T2997" s="132" t="s">
        <v>59</v>
      </c>
    </row>
    <row r="2998" spans="1:20" x14ac:dyDescent="0.25">
      <c r="A2998" s="20">
        <v>42153</v>
      </c>
      <c r="B2998" s="183">
        <v>22572</v>
      </c>
      <c r="C2998" s="14" t="s">
        <v>720</v>
      </c>
      <c r="D2998" s="103">
        <v>13745.6</v>
      </c>
      <c r="E2998" s="23">
        <v>42153</v>
      </c>
      <c r="F2998" s="106">
        <v>13745.6</v>
      </c>
      <c r="G2998" s="31">
        <f t="shared" si="92"/>
        <v>0</v>
      </c>
      <c r="H2998" s="132" t="s">
        <v>9</v>
      </c>
      <c r="I2998" s="3"/>
      <c r="J2998" s="42"/>
      <c r="K2998" s="3"/>
      <c r="M2998" s="20">
        <v>42150</v>
      </c>
      <c r="N2998" s="183">
        <v>22292</v>
      </c>
      <c r="O2998" s="14" t="s">
        <v>915</v>
      </c>
      <c r="P2998" s="103">
        <v>434</v>
      </c>
      <c r="Q2998" s="65">
        <v>42150</v>
      </c>
      <c r="R2998" s="106">
        <v>434</v>
      </c>
      <c r="S2998" s="31">
        <f t="shared" si="93"/>
        <v>0</v>
      </c>
      <c r="T2998" s="132" t="s">
        <v>59</v>
      </c>
    </row>
    <row r="2999" spans="1:20" x14ac:dyDescent="0.25">
      <c r="A2999" s="20">
        <v>42153</v>
      </c>
      <c r="B2999" s="183">
        <v>22573</v>
      </c>
      <c r="C2999" s="14" t="s">
        <v>128</v>
      </c>
      <c r="D2999" s="103">
        <v>8050</v>
      </c>
      <c r="E2999" s="23">
        <v>42153</v>
      </c>
      <c r="F2999" s="106">
        <v>8050</v>
      </c>
      <c r="G2999" s="31">
        <f t="shared" si="92"/>
        <v>0</v>
      </c>
      <c r="H2999" s="132" t="s">
        <v>1257</v>
      </c>
      <c r="I2999" s="3"/>
      <c r="J2999" s="42"/>
      <c r="K2999" s="3"/>
      <c r="M2999" s="20">
        <v>42151</v>
      </c>
      <c r="N2999" s="183">
        <v>22376</v>
      </c>
      <c r="O2999" s="14" t="s">
        <v>915</v>
      </c>
      <c r="P2999" s="103">
        <v>1094.4000000000001</v>
      </c>
      <c r="Q2999" s="23">
        <v>42151</v>
      </c>
      <c r="R2999" s="106">
        <v>1094.4000000000001</v>
      </c>
      <c r="S2999" s="31">
        <f t="shared" si="93"/>
        <v>0</v>
      </c>
      <c r="T2999" s="132" t="s">
        <v>773</v>
      </c>
    </row>
    <row r="3000" spans="1:20" x14ac:dyDescent="0.25">
      <c r="A3000" s="20">
        <v>42153</v>
      </c>
      <c r="B3000" s="183">
        <v>22574</v>
      </c>
      <c r="C3000" s="14" t="s">
        <v>474</v>
      </c>
      <c r="D3000" s="103">
        <v>4838</v>
      </c>
      <c r="E3000" s="23">
        <v>42153</v>
      </c>
      <c r="F3000" s="106">
        <v>4838</v>
      </c>
      <c r="G3000" s="31">
        <f t="shared" si="92"/>
        <v>0</v>
      </c>
      <c r="H3000" s="132" t="s">
        <v>9</v>
      </c>
      <c r="I3000" s="3"/>
      <c r="J3000" s="42"/>
      <c r="K3000" s="3"/>
      <c r="M3000" s="20">
        <v>42152</v>
      </c>
      <c r="N3000" s="183">
        <v>22477</v>
      </c>
      <c r="O3000" s="14" t="s">
        <v>915</v>
      </c>
      <c r="P3000" s="103">
        <v>314.64</v>
      </c>
      <c r="Q3000" s="23">
        <v>42152</v>
      </c>
      <c r="R3000" s="106">
        <v>314.64</v>
      </c>
      <c r="S3000" s="31">
        <f t="shared" si="93"/>
        <v>0</v>
      </c>
      <c r="T3000" s="132" t="s">
        <v>59</v>
      </c>
    </row>
    <row r="3001" spans="1:20" x14ac:dyDescent="0.25">
      <c r="A3001" s="20">
        <v>42153</v>
      </c>
      <c r="B3001" s="183">
        <v>22575</v>
      </c>
      <c r="C3001" s="14" t="s">
        <v>213</v>
      </c>
      <c r="D3001" s="103">
        <v>4352</v>
      </c>
      <c r="E3001" s="23">
        <v>42153</v>
      </c>
      <c r="F3001" s="106">
        <v>4352</v>
      </c>
      <c r="G3001" s="31">
        <f t="shared" si="92"/>
        <v>0</v>
      </c>
      <c r="H3001" s="132" t="s">
        <v>9</v>
      </c>
      <c r="I3001" s="3"/>
      <c r="J3001" s="42"/>
      <c r="K3001" s="3"/>
      <c r="M3001" s="20">
        <v>42154</v>
      </c>
      <c r="N3001" s="183">
        <v>22729</v>
      </c>
      <c r="O3001" s="14" t="s">
        <v>915</v>
      </c>
      <c r="P3001" s="103">
        <v>275.2</v>
      </c>
      <c r="Q3001" s="23">
        <v>42154</v>
      </c>
      <c r="R3001" s="106">
        <v>275.2</v>
      </c>
      <c r="S3001" s="31">
        <f t="shared" si="93"/>
        <v>0</v>
      </c>
      <c r="T3001" s="132" t="s">
        <v>59</v>
      </c>
    </row>
    <row r="3002" spans="1:20" x14ac:dyDescent="0.25">
      <c r="A3002" s="20">
        <v>42153</v>
      </c>
      <c r="B3002" s="183">
        <v>22576</v>
      </c>
      <c r="C3002" s="14" t="s">
        <v>148</v>
      </c>
      <c r="D3002" s="103">
        <v>4544.3999999999996</v>
      </c>
      <c r="E3002" s="23">
        <v>42153</v>
      </c>
      <c r="F3002" s="106">
        <v>4544.3999999999996</v>
      </c>
      <c r="G3002" s="31">
        <f t="shared" si="92"/>
        <v>0</v>
      </c>
      <c r="H3002" s="132" t="s">
        <v>59</v>
      </c>
      <c r="I3002" s="3"/>
      <c r="J3002" s="42"/>
      <c r="K3002" s="3"/>
      <c r="M3002" s="20">
        <v>42155</v>
      </c>
      <c r="N3002" s="183">
        <v>22839</v>
      </c>
      <c r="O3002" s="14" t="s">
        <v>915</v>
      </c>
      <c r="P3002" s="103">
        <v>388.8</v>
      </c>
      <c r="Q3002" s="23">
        <v>42155</v>
      </c>
      <c r="R3002" s="106">
        <v>388.8</v>
      </c>
      <c r="S3002" s="31">
        <f t="shared" si="93"/>
        <v>0</v>
      </c>
      <c r="T3002" s="132" t="s">
        <v>59</v>
      </c>
    </row>
    <row r="3003" spans="1:20" x14ac:dyDescent="0.25">
      <c r="A3003" s="20">
        <v>42153</v>
      </c>
      <c r="B3003" s="183">
        <v>22577</v>
      </c>
      <c r="C3003" s="14" t="s">
        <v>1197</v>
      </c>
      <c r="D3003" s="103">
        <v>3036</v>
      </c>
      <c r="E3003" s="23">
        <v>42153</v>
      </c>
      <c r="F3003" s="106">
        <v>3036</v>
      </c>
      <c r="G3003" s="31">
        <f t="shared" si="92"/>
        <v>0</v>
      </c>
      <c r="H3003" s="132" t="s">
        <v>59</v>
      </c>
      <c r="I3003" s="3"/>
      <c r="J3003" s="42"/>
      <c r="K3003" s="3"/>
      <c r="M3003" s="20">
        <v>42130</v>
      </c>
      <c r="N3003" s="183">
        <v>20159</v>
      </c>
      <c r="O3003" s="14" t="s">
        <v>1323</v>
      </c>
      <c r="P3003" s="103">
        <v>320</v>
      </c>
      <c r="Q3003" s="23">
        <v>42132</v>
      </c>
      <c r="R3003" s="106">
        <v>320</v>
      </c>
      <c r="S3003" s="31">
        <f t="shared" si="93"/>
        <v>0</v>
      </c>
      <c r="T3003" s="132" t="s">
        <v>62</v>
      </c>
    </row>
    <row r="3004" spans="1:20" x14ac:dyDescent="0.25">
      <c r="A3004" s="20">
        <v>42153</v>
      </c>
      <c r="B3004" s="183">
        <v>22578</v>
      </c>
      <c r="C3004" s="14" t="s">
        <v>1197</v>
      </c>
      <c r="D3004" s="103">
        <v>280.8</v>
      </c>
      <c r="E3004" s="23">
        <v>42153</v>
      </c>
      <c r="F3004" s="106">
        <v>280.8</v>
      </c>
      <c r="G3004" s="31">
        <f t="shared" si="92"/>
        <v>0</v>
      </c>
      <c r="H3004" s="132" t="s">
        <v>59</v>
      </c>
      <c r="I3004" s="3"/>
      <c r="J3004" s="42"/>
      <c r="K3004" s="3"/>
      <c r="M3004" s="20">
        <v>42125</v>
      </c>
      <c r="N3004" s="183">
        <v>19678</v>
      </c>
      <c r="O3004" s="14" t="s">
        <v>102</v>
      </c>
      <c r="P3004" s="103">
        <v>2714</v>
      </c>
      <c r="Q3004" s="23">
        <v>42125</v>
      </c>
      <c r="R3004" s="106">
        <v>2714</v>
      </c>
      <c r="S3004" s="25">
        <f t="shared" si="93"/>
        <v>0</v>
      </c>
      <c r="T3004" s="132" t="s">
        <v>9</v>
      </c>
    </row>
    <row r="3005" spans="1:20" x14ac:dyDescent="0.25">
      <c r="A3005" s="20">
        <v>42153</v>
      </c>
      <c r="B3005" s="183">
        <v>22579</v>
      </c>
      <c r="C3005" s="14" t="s">
        <v>32</v>
      </c>
      <c r="D3005" s="103">
        <v>167613.6</v>
      </c>
      <c r="E3005" s="30">
        <v>42171</v>
      </c>
      <c r="F3005" s="144">
        <v>167613.6</v>
      </c>
      <c r="G3005" s="31">
        <f t="shared" si="92"/>
        <v>0</v>
      </c>
      <c r="H3005" s="132" t="s">
        <v>1273</v>
      </c>
      <c r="I3005" s="3"/>
      <c r="J3005" s="42"/>
      <c r="K3005" s="3"/>
      <c r="M3005" s="20">
        <v>42126</v>
      </c>
      <c r="N3005" s="183">
        <v>19777</v>
      </c>
      <c r="O3005" s="40" t="s">
        <v>102</v>
      </c>
      <c r="P3005" s="103">
        <v>4943</v>
      </c>
      <c r="Q3005" s="23">
        <v>42126</v>
      </c>
      <c r="R3005" s="106">
        <v>4943</v>
      </c>
      <c r="S3005" s="25">
        <f t="shared" si="93"/>
        <v>0</v>
      </c>
      <c r="T3005" s="210" t="s">
        <v>9</v>
      </c>
    </row>
    <row r="3006" spans="1:20" x14ac:dyDescent="0.25">
      <c r="A3006" s="20">
        <v>42153</v>
      </c>
      <c r="B3006" s="183">
        <v>22580</v>
      </c>
      <c r="C3006" s="14" t="s">
        <v>1328</v>
      </c>
      <c r="D3006" s="103">
        <v>30307.200000000001</v>
      </c>
      <c r="E3006" s="23">
        <v>42153</v>
      </c>
      <c r="F3006" s="106">
        <v>30307.200000000001</v>
      </c>
      <c r="G3006" s="31">
        <f t="shared" si="92"/>
        <v>0</v>
      </c>
      <c r="H3006" s="132" t="s">
        <v>587</v>
      </c>
      <c r="I3006" s="3"/>
      <c r="J3006" s="42"/>
      <c r="K3006" s="3"/>
      <c r="M3006" s="20">
        <v>42127</v>
      </c>
      <c r="N3006" s="183">
        <v>19857</v>
      </c>
      <c r="O3006" s="40" t="s">
        <v>102</v>
      </c>
      <c r="P3006" s="103">
        <v>2251.1999999999998</v>
      </c>
      <c r="Q3006" s="23">
        <v>42127</v>
      </c>
      <c r="R3006" s="106">
        <v>2251.1999999999998</v>
      </c>
      <c r="S3006" s="31">
        <f t="shared" si="93"/>
        <v>0</v>
      </c>
      <c r="T3006" s="210" t="s">
        <v>9</v>
      </c>
    </row>
    <row r="3007" spans="1:20" x14ac:dyDescent="0.25">
      <c r="A3007" s="20">
        <v>42153</v>
      </c>
      <c r="B3007" s="183">
        <v>22581</v>
      </c>
      <c r="C3007" s="14" t="s">
        <v>320</v>
      </c>
      <c r="D3007" s="103">
        <v>17640.099999999999</v>
      </c>
      <c r="E3007" s="23">
        <v>42153</v>
      </c>
      <c r="F3007" s="106">
        <v>17640.099999999999</v>
      </c>
      <c r="G3007" s="31">
        <f t="shared" si="92"/>
        <v>0</v>
      </c>
      <c r="H3007" s="132" t="s">
        <v>587</v>
      </c>
      <c r="I3007" s="3"/>
      <c r="J3007" s="42"/>
      <c r="K3007" s="3"/>
      <c r="M3007" s="20">
        <v>42127</v>
      </c>
      <c r="N3007" s="183">
        <v>19885</v>
      </c>
      <c r="O3007" s="14" t="s">
        <v>102</v>
      </c>
      <c r="P3007" s="103">
        <v>805</v>
      </c>
      <c r="Q3007" s="23">
        <v>42127</v>
      </c>
      <c r="R3007" s="106">
        <v>805</v>
      </c>
      <c r="S3007" s="31">
        <f t="shared" si="93"/>
        <v>0</v>
      </c>
      <c r="T3007" s="209" t="s">
        <v>9</v>
      </c>
    </row>
    <row r="3008" spans="1:20" x14ac:dyDescent="0.25">
      <c r="A3008" s="20">
        <v>42153</v>
      </c>
      <c r="B3008" s="183">
        <v>22582</v>
      </c>
      <c r="C3008" s="14" t="s">
        <v>1261</v>
      </c>
      <c r="D3008" s="103">
        <v>9424.7999999999993</v>
      </c>
      <c r="E3008" s="23">
        <v>42153</v>
      </c>
      <c r="F3008" s="106">
        <v>9424.7999999999993</v>
      </c>
      <c r="G3008" s="31">
        <f t="shared" si="92"/>
        <v>0</v>
      </c>
      <c r="H3008" s="132" t="s">
        <v>46</v>
      </c>
      <c r="I3008" s="3"/>
      <c r="J3008" s="42"/>
      <c r="K3008" s="3"/>
      <c r="M3008" s="20">
        <v>42130</v>
      </c>
      <c r="N3008" s="183">
        <v>20135</v>
      </c>
      <c r="O3008" s="14" t="s">
        <v>102</v>
      </c>
      <c r="P3008" s="103">
        <v>1328.2</v>
      </c>
      <c r="Q3008" s="23">
        <v>42130</v>
      </c>
      <c r="R3008" s="106">
        <v>1328.2</v>
      </c>
      <c r="S3008" s="31">
        <f t="shared" si="93"/>
        <v>0</v>
      </c>
      <c r="T3008" s="132" t="s">
        <v>9</v>
      </c>
    </row>
    <row r="3009" spans="1:20" x14ac:dyDescent="0.25">
      <c r="A3009" s="20">
        <v>42153</v>
      </c>
      <c r="B3009" s="183">
        <v>22583</v>
      </c>
      <c r="C3009" s="14" t="s">
        <v>604</v>
      </c>
      <c r="D3009" s="103">
        <v>4481.3999999999996</v>
      </c>
      <c r="E3009" s="23">
        <v>42153</v>
      </c>
      <c r="F3009" s="106">
        <v>4481.3999999999996</v>
      </c>
      <c r="G3009" s="31">
        <f t="shared" si="92"/>
        <v>0</v>
      </c>
      <c r="H3009" s="132" t="s">
        <v>9</v>
      </c>
      <c r="I3009" s="3"/>
      <c r="J3009" s="42"/>
      <c r="K3009" s="3"/>
      <c r="M3009" s="20">
        <v>42132</v>
      </c>
      <c r="N3009" s="183">
        <v>20439</v>
      </c>
      <c r="O3009" s="14" t="s">
        <v>102</v>
      </c>
      <c r="P3009" s="103">
        <v>2474.8000000000002</v>
      </c>
      <c r="Q3009" s="23">
        <v>42132</v>
      </c>
      <c r="R3009" s="106">
        <v>2474.8000000000002</v>
      </c>
      <c r="S3009" s="31">
        <f t="shared" si="93"/>
        <v>0</v>
      </c>
      <c r="T3009" s="209" t="s">
        <v>9</v>
      </c>
    </row>
    <row r="3010" spans="1:20" x14ac:dyDescent="0.25">
      <c r="A3010" s="20">
        <v>42153</v>
      </c>
      <c r="B3010" s="183">
        <v>22584</v>
      </c>
      <c r="C3010" s="14" t="s">
        <v>1193</v>
      </c>
      <c r="D3010" s="103">
        <v>2308.8000000000002</v>
      </c>
      <c r="E3010" s="23">
        <v>42153</v>
      </c>
      <c r="F3010" s="106">
        <v>2308.8000000000002</v>
      </c>
      <c r="G3010" s="31">
        <f t="shared" si="92"/>
        <v>0</v>
      </c>
      <c r="H3010" s="132" t="s">
        <v>46</v>
      </c>
      <c r="I3010" s="3"/>
      <c r="J3010" s="42"/>
      <c r="K3010" s="3"/>
      <c r="M3010" s="20">
        <v>42132</v>
      </c>
      <c r="N3010" s="183">
        <v>20448</v>
      </c>
      <c r="O3010" s="14" t="s">
        <v>102</v>
      </c>
      <c r="P3010" s="103">
        <v>2809.6</v>
      </c>
      <c r="Q3010" s="23">
        <v>42132</v>
      </c>
      <c r="R3010" s="106">
        <v>2809.6</v>
      </c>
      <c r="S3010" s="31">
        <f t="shared" si="93"/>
        <v>0</v>
      </c>
      <c r="T3010" s="209" t="s">
        <v>9</v>
      </c>
    </row>
    <row r="3011" spans="1:20" x14ac:dyDescent="0.25">
      <c r="A3011" s="20">
        <v>42153</v>
      </c>
      <c r="B3011" s="183">
        <v>22585</v>
      </c>
      <c r="C3011" s="14" t="s">
        <v>55</v>
      </c>
      <c r="D3011" s="103">
        <v>23728.26</v>
      </c>
      <c r="E3011" s="23">
        <v>42153</v>
      </c>
      <c r="F3011" s="106">
        <v>23728.26</v>
      </c>
      <c r="G3011" s="31">
        <f t="shared" ref="G3011:G3265" si="94">D3011-F3011</f>
        <v>0</v>
      </c>
      <c r="H3011" s="132" t="s">
        <v>773</v>
      </c>
      <c r="I3011" s="3"/>
      <c r="J3011" s="42"/>
      <c r="K3011" s="3"/>
      <c r="M3011" s="20">
        <v>42133</v>
      </c>
      <c r="N3011" s="183">
        <v>20564</v>
      </c>
      <c r="O3011" s="14" t="s">
        <v>102</v>
      </c>
      <c r="P3011" s="103">
        <v>2511.6</v>
      </c>
      <c r="Q3011" s="23">
        <v>42133</v>
      </c>
      <c r="R3011" s="106">
        <v>2511.6</v>
      </c>
      <c r="S3011" s="31">
        <f t="shared" ref="S3011:S3074" si="95">P3011-R3011</f>
        <v>0</v>
      </c>
      <c r="T3011" s="209" t="s">
        <v>9</v>
      </c>
    </row>
    <row r="3012" spans="1:20" x14ac:dyDescent="0.25">
      <c r="A3012" s="20">
        <v>42153</v>
      </c>
      <c r="B3012" s="183">
        <v>22586</v>
      </c>
      <c r="C3012" s="14" t="s">
        <v>215</v>
      </c>
      <c r="D3012" s="103">
        <v>21267.8</v>
      </c>
      <c r="E3012" s="23">
        <v>42153</v>
      </c>
      <c r="F3012" s="106">
        <v>21267.8</v>
      </c>
      <c r="G3012" s="31">
        <f t="shared" si="94"/>
        <v>0</v>
      </c>
      <c r="H3012" s="132" t="s">
        <v>773</v>
      </c>
      <c r="I3012" s="3"/>
      <c r="J3012" s="42"/>
      <c r="K3012" s="3"/>
      <c r="M3012" s="20">
        <v>42134</v>
      </c>
      <c r="N3012" s="183">
        <v>20624</v>
      </c>
      <c r="O3012" s="14" t="s">
        <v>102</v>
      </c>
      <c r="P3012" s="103">
        <v>2279.1999999999998</v>
      </c>
      <c r="Q3012" s="23">
        <v>42134</v>
      </c>
      <c r="R3012" s="118">
        <v>2279.1999999999998</v>
      </c>
      <c r="S3012" s="31">
        <f t="shared" si="95"/>
        <v>0</v>
      </c>
      <c r="T3012" s="28" t="s">
        <v>9</v>
      </c>
    </row>
    <row r="3013" spans="1:20" x14ac:dyDescent="0.25">
      <c r="A3013" s="20">
        <v>42153</v>
      </c>
      <c r="B3013" s="183">
        <v>22587</v>
      </c>
      <c r="C3013" s="14" t="s">
        <v>37</v>
      </c>
      <c r="D3013" s="103">
        <v>32957</v>
      </c>
      <c r="E3013" s="30">
        <v>42157</v>
      </c>
      <c r="F3013" s="144">
        <v>32957</v>
      </c>
      <c r="G3013" s="31">
        <f t="shared" si="94"/>
        <v>0</v>
      </c>
      <c r="H3013" s="132" t="s">
        <v>773</v>
      </c>
      <c r="I3013" s="3"/>
      <c r="J3013" s="42"/>
      <c r="K3013" s="3"/>
      <c r="M3013" s="20">
        <v>42134</v>
      </c>
      <c r="N3013" s="183">
        <v>20657</v>
      </c>
      <c r="O3013" s="14" t="s">
        <v>102</v>
      </c>
      <c r="P3013" s="103">
        <v>3612.9</v>
      </c>
      <c r="Q3013" s="23">
        <v>42134</v>
      </c>
      <c r="R3013" s="106">
        <v>3612.9</v>
      </c>
      <c r="S3013" s="31">
        <f t="shared" si="95"/>
        <v>0</v>
      </c>
      <c r="T3013" s="132" t="s">
        <v>9</v>
      </c>
    </row>
    <row r="3014" spans="1:20" x14ac:dyDescent="0.25">
      <c r="A3014" s="20">
        <v>42153</v>
      </c>
      <c r="B3014" s="183">
        <v>22588</v>
      </c>
      <c r="C3014" s="14" t="s">
        <v>1262</v>
      </c>
      <c r="D3014" s="103">
        <v>22200.37</v>
      </c>
      <c r="E3014" s="30">
        <v>42165</v>
      </c>
      <c r="F3014" s="144">
        <v>22200.37</v>
      </c>
      <c r="G3014" s="31">
        <f t="shared" si="94"/>
        <v>0</v>
      </c>
      <c r="H3014" s="132" t="s">
        <v>1257</v>
      </c>
      <c r="I3014" s="3"/>
      <c r="J3014" s="42"/>
      <c r="K3014" s="3"/>
      <c r="M3014" s="20">
        <v>42136</v>
      </c>
      <c r="N3014" s="183">
        <v>20820</v>
      </c>
      <c r="O3014" s="14" t="s">
        <v>102</v>
      </c>
      <c r="P3014" s="103">
        <v>644</v>
      </c>
      <c r="Q3014" s="23">
        <v>42136</v>
      </c>
      <c r="R3014" s="106">
        <v>644</v>
      </c>
      <c r="S3014" s="31">
        <f t="shared" si="95"/>
        <v>0</v>
      </c>
      <c r="T3014" s="132" t="s">
        <v>9</v>
      </c>
    </row>
    <row r="3015" spans="1:20" x14ac:dyDescent="0.25">
      <c r="A3015" s="20">
        <v>42153</v>
      </c>
      <c r="B3015" s="183">
        <v>22589</v>
      </c>
      <c r="C3015" s="14" t="s">
        <v>121</v>
      </c>
      <c r="D3015" s="103">
        <v>2784.6</v>
      </c>
      <c r="E3015" s="23">
        <v>42153</v>
      </c>
      <c r="F3015" s="106">
        <v>2784.6</v>
      </c>
      <c r="G3015" s="31">
        <f t="shared" si="94"/>
        <v>0</v>
      </c>
      <c r="H3015" s="132" t="s">
        <v>9</v>
      </c>
      <c r="I3015" s="3"/>
      <c r="J3015" s="42"/>
      <c r="K3015" s="3"/>
      <c r="M3015" s="20">
        <v>42136</v>
      </c>
      <c r="N3015" s="183">
        <v>20821</v>
      </c>
      <c r="O3015" s="14" t="s">
        <v>102</v>
      </c>
      <c r="P3015" s="103">
        <v>410.6</v>
      </c>
      <c r="Q3015" s="23">
        <v>42136</v>
      </c>
      <c r="R3015" s="106">
        <v>410.6</v>
      </c>
      <c r="S3015" s="31">
        <f t="shared" si="95"/>
        <v>0</v>
      </c>
      <c r="T3015" s="132" t="s">
        <v>9</v>
      </c>
    </row>
    <row r="3016" spans="1:20" x14ac:dyDescent="0.25">
      <c r="A3016" s="20">
        <v>42153</v>
      </c>
      <c r="B3016" s="183">
        <v>22590</v>
      </c>
      <c r="C3016" s="14" t="s">
        <v>127</v>
      </c>
      <c r="D3016" s="103">
        <v>13421.5</v>
      </c>
      <c r="E3016" s="23">
        <v>42153</v>
      </c>
      <c r="F3016" s="106">
        <v>13421.5</v>
      </c>
      <c r="G3016" s="31">
        <f t="shared" si="94"/>
        <v>0</v>
      </c>
      <c r="H3016" s="132" t="s">
        <v>9</v>
      </c>
      <c r="I3016" s="3"/>
      <c r="J3016" s="42"/>
      <c r="K3016" s="3"/>
      <c r="M3016" s="20">
        <v>42136</v>
      </c>
      <c r="N3016" s="183">
        <v>20853</v>
      </c>
      <c r="O3016" s="14" t="s">
        <v>102</v>
      </c>
      <c r="P3016" s="103">
        <v>368</v>
      </c>
      <c r="Q3016" s="23">
        <v>42136</v>
      </c>
      <c r="R3016" s="106">
        <v>368</v>
      </c>
      <c r="S3016" s="31">
        <f t="shared" si="95"/>
        <v>0</v>
      </c>
      <c r="T3016" s="132" t="s">
        <v>9</v>
      </c>
    </row>
    <row r="3017" spans="1:20" x14ac:dyDescent="0.25">
      <c r="A3017" s="20">
        <v>42153</v>
      </c>
      <c r="B3017" s="183">
        <v>22591</v>
      </c>
      <c r="C3017" s="14" t="s">
        <v>1338</v>
      </c>
      <c r="D3017" s="103">
        <v>79247.179999999993</v>
      </c>
      <c r="E3017" s="30" t="s">
        <v>1471</v>
      </c>
      <c r="F3017" s="144">
        <f>214.09+79033.09</f>
        <v>79247.179999999993</v>
      </c>
      <c r="G3017" s="31">
        <f t="shared" si="94"/>
        <v>0</v>
      </c>
      <c r="H3017" s="132" t="s">
        <v>46</v>
      </c>
      <c r="I3017" s="3"/>
      <c r="J3017" s="42"/>
      <c r="K3017" s="3"/>
      <c r="M3017" s="20">
        <v>42137</v>
      </c>
      <c r="N3017" s="183">
        <v>20946</v>
      </c>
      <c r="O3017" s="14" t="s">
        <v>102</v>
      </c>
      <c r="P3017" s="103">
        <v>388.6</v>
      </c>
      <c r="Q3017" s="23">
        <v>42137</v>
      </c>
      <c r="R3017" s="106">
        <v>388.6</v>
      </c>
      <c r="S3017" s="31">
        <f t="shared" si="95"/>
        <v>0</v>
      </c>
      <c r="T3017" s="209" t="s">
        <v>9</v>
      </c>
    </row>
    <row r="3018" spans="1:20" x14ac:dyDescent="0.25">
      <c r="A3018" s="20">
        <v>42153</v>
      </c>
      <c r="B3018" s="183">
        <v>22592</v>
      </c>
      <c r="C3018" s="14" t="s">
        <v>239</v>
      </c>
      <c r="D3018" s="103">
        <v>940.95</v>
      </c>
      <c r="E3018" s="23">
        <v>42153</v>
      </c>
      <c r="F3018" s="106">
        <v>940.95</v>
      </c>
      <c r="G3018" s="31">
        <f t="shared" si="94"/>
        <v>0</v>
      </c>
      <c r="H3018" s="132" t="s">
        <v>9</v>
      </c>
      <c r="I3018" s="3"/>
      <c r="J3018" s="42"/>
      <c r="K3018" s="3"/>
      <c r="M3018" s="20">
        <v>42137</v>
      </c>
      <c r="N3018" s="183">
        <v>20949</v>
      </c>
      <c r="O3018" s="14" t="s">
        <v>102</v>
      </c>
      <c r="P3018" s="103">
        <v>303.60000000000002</v>
      </c>
      <c r="Q3018" s="23" t="s">
        <v>1394</v>
      </c>
      <c r="R3018" s="106">
        <f>280+23.6</f>
        <v>303.60000000000002</v>
      </c>
      <c r="S3018" s="31">
        <f t="shared" si="95"/>
        <v>0</v>
      </c>
      <c r="T3018" s="209" t="s">
        <v>9</v>
      </c>
    </row>
    <row r="3019" spans="1:20" x14ac:dyDescent="0.25">
      <c r="A3019" s="20">
        <v>42153</v>
      </c>
      <c r="B3019" s="183">
        <v>22593</v>
      </c>
      <c r="C3019" s="14" t="s">
        <v>133</v>
      </c>
      <c r="D3019" s="103">
        <v>36930.720000000001</v>
      </c>
      <c r="E3019" s="23">
        <v>42153</v>
      </c>
      <c r="F3019" s="106">
        <v>36930.720000000001</v>
      </c>
      <c r="G3019" s="31">
        <f t="shared" si="94"/>
        <v>0</v>
      </c>
      <c r="H3019" s="132" t="s">
        <v>9</v>
      </c>
      <c r="I3019" s="3"/>
      <c r="J3019" s="42"/>
      <c r="K3019" s="3"/>
      <c r="M3019" s="20">
        <v>42139</v>
      </c>
      <c r="N3019" s="183">
        <v>21172</v>
      </c>
      <c r="O3019" s="14" t="s">
        <v>102</v>
      </c>
      <c r="P3019" s="103">
        <v>2679.6</v>
      </c>
      <c r="Q3019" s="23">
        <v>42139</v>
      </c>
      <c r="R3019" s="106">
        <v>2679.6</v>
      </c>
      <c r="S3019" s="48">
        <f t="shared" si="95"/>
        <v>0</v>
      </c>
      <c r="T3019" s="132" t="s">
        <v>9</v>
      </c>
    </row>
    <row r="3020" spans="1:20" x14ac:dyDescent="0.25">
      <c r="A3020" s="20">
        <v>42153</v>
      </c>
      <c r="B3020" s="183">
        <v>22594</v>
      </c>
      <c r="C3020" s="14" t="s">
        <v>1434</v>
      </c>
      <c r="D3020" s="103">
        <v>996</v>
      </c>
      <c r="E3020" s="23">
        <v>42153</v>
      </c>
      <c r="F3020" s="106">
        <v>996</v>
      </c>
      <c r="G3020" s="31">
        <f t="shared" si="94"/>
        <v>0</v>
      </c>
      <c r="H3020" s="132" t="s">
        <v>9</v>
      </c>
      <c r="I3020" s="3"/>
      <c r="J3020" s="42"/>
      <c r="K3020" s="3"/>
      <c r="M3020" s="20">
        <v>42139</v>
      </c>
      <c r="N3020" s="183">
        <v>21207</v>
      </c>
      <c r="O3020" s="14" t="s">
        <v>102</v>
      </c>
      <c r="P3020" s="103">
        <v>2366.4</v>
      </c>
      <c r="Q3020" s="23">
        <v>42139</v>
      </c>
      <c r="R3020" s="106">
        <v>2366.4</v>
      </c>
      <c r="S3020" s="48">
        <f t="shared" si="95"/>
        <v>0</v>
      </c>
      <c r="T3020" s="132" t="s">
        <v>9</v>
      </c>
    </row>
    <row r="3021" spans="1:20" x14ac:dyDescent="0.25">
      <c r="A3021" s="20">
        <v>42153</v>
      </c>
      <c r="B3021" s="183">
        <v>22595</v>
      </c>
      <c r="C3021" s="14" t="s">
        <v>900</v>
      </c>
      <c r="D3021" s="103">
        <v>4829</v>
      </c>
      <c r="E3021" s="23">
        <v>42153</v>
      </c>
      <c r="F3021" s="106">
        <v>4829</v>
      </c>
      <c r="G3021" s="31">
        <f t="shared" si="94"/>
        <v>0</v>
      </c>
      <c r="H3021" s="132" t="s">
        <v>9</v>
      </c>
      <c r="I3021" s="3"/>
      <c r="J3021" s="42"/>
      <c r="K3021" s="3"/>
      <c r="M3021" s="20">
        <v>42140</v>
      </c>
      <c r="N3021" s="183">
        <v>21274</v>
      </c>
      <c r="O3021" s="14" t="s">
        <v>102</v>
      </c>
      <c r="P3021" s="103">
        <v>2422.6</v>
      </c>
      <c r="Q3021" s="23">
        <v>42140</v>
      </c>
      <c r="R3021" s="118">
        <v>2422.6</v>
      </c>
      <c r="S3021" s="31">
        <f t="shared" si="95"/>
        <v>0</v>
      </c>
      <c r="T3021" s="180" t="s">
        <v>9</v>
      </c>
    </row>
    <row r="3022" spans="1:20" x14ac:dyDescent="0.25">
      <c r="A3022" s="20">
        <v>42153</v>
      </c>
      <c r="B3022" s="183">
        <v>22596</v>
      </c>
      <c r="C3022" s="14" t="s">
        <v>900</v>
      </c>
      <c r="D3022" s="103">
        <v>462</v>
      </c>
      <c r="E3022" s="23">
        <v>42153</v>
      </c>
      <c r="F3022" s="106">
        <v>462</v>
      </c>
      <c r="G3022" s="31">
        <f t="shared" si="94"/>
        <v>0</v>
      </c>
      <c r="H3022" s="132" t="s">
        <v>9</v>
      </c>
      <c r="I3022" s="3"/>
      <c r="J3022" s="42"/>
      <c r="K3022" s="3"/>
      <c r="M3022" s="20">
        <v>42140</v>
      </c>
      <c r="N3022" s="183">
        <v>21317</v>
      </c>
      <c r="O3022" s="14" t="s">
        <v>102</v>
      </c>
      <c r="P3022" s="103">
        <v>1843.6</v>
      </c>
      <c r="Q3022" s="23">
        <v>42140</v>
      </c>
      <c r="R3022" s="118">
        <v>1843.6</v>
      </c>
      <c r="S3022" s="31">
        <f t="shared" si="95"/>
        <v>0</v>
      </c>
      <c r="T3022" s="180" t="s">
        <v>9</v>
      </c>
    </row>
    <row r="3023" spans="1:20" x14ac:dyDescent="0.25">
      <c r="A3023" s="20">
        <v>42153</v>
      </c>
      <c r="B3023" s="183">
        <v>22597</v>
      </c>
      <c r="C3023" s="14" t="s">
        <v>131</v>
      </c>
      <c r="D3023" s="103">
        <v>14965.1</v>
      </c>
      <c r="E3023" s="30">
        <v>42156</v>
      </c>
      <c r="F3023" s="144">
        <v>14965.1</v>
      </c>
      <c r="G3023" s="31">
        <f t="shared" si="94"/>
        <v>0</v>
      </c>
      <c r="H3023" s="132" t="s">
        <v>9</v>
      </c>
      <c r="I3023" s="3"/>
      <c r="J3023" s="42"/>
      <c r="K3023" s="3"/>
      <c r="M3023" s="20">
        <v>42141</v>
      </c>
      <c r="N3023" s="183">
        <v>21375</v>
      </c>
      <c r="O3023" s="14" t="s">
        <v>102</v>
      </c>
      <c r="P3023" s="103">
        <v>2044.8</v>
      </c>
      <c r="Q3023" s="23">
        <v>42141</v>
      </c>
      <c r="R3023" s="118">
        <v>2044.8</v>
      </c>
      <c r="S3023" s="31">
        <f t="shared" si="95"/>
        <v>0</v>
      </c>
      <c r="T3023" s="28" t="s">
        <v>9</v>
      </c>
    </row>
    <row r="3024" spans="1:20" x14ac:dyDescent="0.25">
      <c r="A3024" s="20">
        <v>42153</v>
      </c>
      <c r="B3024" s="183">
        <v>22598</v>
      </c>
      <c r="C3024" s="14" t="s">
        <v>130</v>
      </c>
      <c r="D3024" s="103">
        <v>8435.7999999999993</v>
      </c>
      <c r="E3024" s="23">
        <v>42154</v>
      </c>
      <c r="F3024" s="106">
        <v>8435.7999999999993</v>
      </c>
      <c r="G3024" s="31">
        <f t="shared" si="94"/>
        <v>0</v>
      </c>
      <c r="H3024" s="132" t="s">
        <v>1257</v>
      </c>
      <c r="I3024" s="3"/>
      <c r="J3024" s="42"/>
      <c r="K3024" s="3"/>
      <c r="M3024" s="20">
        <v>42142</v>
      </c>
      <c r="N3024" s="183">
        <v>21484</v>
      </c>
      <c r="O3024" s="14" t="s">
        <v>102</v>
      </c>
      <c r="P3024" s="103">
        <v>501.4</v>
      </c>
      <c r="Q3024" s="65">
        <v>42142</v>
      </c>
      <c r="R3024" s="106">
        <v>501.4</v>
      </c>
      <c r="S3024" s="31">
        <f t="shared" si="95"/>
        <v>0</v>
      </c>
      <c r="T3024" s="209" t="s">
        <v>9</v>
      </c>
    </row>
    <row r="3025" spans="1:20" x14ac:dyDescent="0.25">
      <c r="A3025" s="20">
        <v>42153</v>
      </c>
      <c r="B3025" s="183">
        <v>22599</v>
      </c>
      <c r="C3025" s="14" t="s">
        <v>50</v>
      </c>
      <c r="D3025" s="103">
        <v>2363.4</v>
      </c>
      <c r="E3025" s="23">
        <v>42153</v>
      </c>
      <c r="F3025" s="106">
        <v>2363.4</v>
      </c>
      <c r="G3025" s="31">
        <f t="shared" si="94"/>
        <v>0</v>
      </c>
      <c r="H3025" s="132" t="s">
        <v>1257</v>
      </c>
      <c r="I3025" s="3"/>
      <c r="J3025" s="42"/>
      <c r="K3025" s="3"/>
      <c r="M3025" s="20">
        <v>42143</v>
      </c>
      <c r="N3025" s="183">
        <v>21565</v>
      </c>
      <c r="O3025" s="14" t="s">
        <v>102</v>
      </c>
      <c r="P3025" s="103">
        <v>2197.8000000000002</v>
      </c>
      <c r="Q3025" s="23">
        <v>42143</v>
      </c>
      <c r="R3025" s="118">
        <v>2197.8000000000002</v>
      </c>
      <c r="S3025" s="31">
        <f t="shared" si="95"/>
        <v>0</v>
      </c>
      <c r="T3025" s="28" t="s">
        <v>9</v>
      </c>
    </row>
    <row r="3026" spans="1:20" x14ac:dyDescent="0.25">
      <c r="A3026" s="20">
        <v>42153</v>
      </c>
      <c r="B3026" s="183">
        <v>22600</v>
      </c>
      <c r="C3026" s="14" t="s">
        <v>24</v>
      </c>
      <c r="D3026" s="103">
        <v>3154.4</v>
      </c>
      <c r="E3026" s="30">
        <v>42173</v>
      </c>
      <c r="F3026" s="144">
        <v>3154.4</v>
      </c>
      <c r="G3026" s="31">
        <f t="shared" si="94"/>
        <v>0</v>
      </c>
      <c r="H3026" s="132" t="s">
        <v>9</v>
      </c>
      <c r="I3026" s="3"/>
      <c r="J3026" s="42"/>
      <c r="K3026" s="3"/>
      <c r="M3026" s="20">
        <v>42145</v>
      </c>
      <c r="N3026" s="183">
        <v>21820</v>
      </c>
      <c r="O3026" s="15" t="s">
        <v>102</v>
      </c>
      <c r="P3026" s="133">
        <v>2479.1999999999998</v>
      </c>
      <c r="Q3026" s="23">
        <v>42145</v>
      </c>
      <c r="R3026" s="118">
        <v>2479.1999999999998</v>
      </c>
      <c r="S3026" s="31">
        <f t="shared" si="95"/>
        <v>0</v>
      </c>
      <c r="T3026" s="46" t="s">
        <v>9</v>
      </c>
    </row>
    <row r="3027" spans="1:20" x14ac:dyDescent="0.25">
      <c r="A3027" s="20">
        <v>42153</v>
      </c>
      <c r="B3027" s="183">
        <v>22601</v>
      </c>
      <c r="C3027" s="14" t="s">
        <v>137</v>
      </c>
      <c r="D3027" s="103">
        <v>1630.95</v>
      </c>
      <c r="E3027" s="23">
        <v>42153</v>
      </c>
      <c r="F3027" s="106">
        <v>1630.95</v>
      </c>
      <c r="G3027" s="31">
        <f t="shared" si="94"/>
        <v>0</v>
      </c>
      <c r="H3027" s="132" t="s">
        <v>9</v>
      </c>
      <c r="I3027" s="3"/>
      <c r="J3027" s="42"/>
      <c r="K3027" s="3"/>
      <c r="M3027" s="20">
        <v>42146</v>
      </c>
      <c r="N3027" s="183">
        <v>21847</v>
      </c>
      <c r="O3027" s="14" t="s">
        <v>102</v>
      </c>
      <c r="P3027" s="103">
        <v>2879.1</v>
      </c>
      <c r="Q3027" s="23">
        <v>42146</v>
      </c>
      <c r="R3027" s="106">
        <v>2879.1</v>
      </c>
      <c r="S3027" s="31">
        <f t="shared" si="95"/>
        <v>0</v>
      </c>
      <c r="T3027" s="132" t="s">
        <v>9</v>
      </c>
    </row>
    <row r="3028" spans="1:20" x14ac:dyDescent="0.25">
      <c r="A3028" s="20">
        <v>42153</v>
      </c>
      <c r="B3028" s="183">
        <v>22602</v>
      </c>
      <c r="C3028" s="14" t="s">
        <v>332</v>
      </c>
      <c r="D3028" s="103">
        <v>3077.1</v>
      </c>
      <c r="E3028" s="23">
        <v>42153</v>
      </c>
      <c r="F3028" s="106">
        <v>3077.1</v>
      </c>
      <c r="G3028" s="31">
        <f t="shared" si="94"/>
        <v>0</v>
      </c>
      <c r="H3028" s="132" t="s">
        <v>9</v>
      </c>
      <c r="I3028" s="3"/>
      <c r="J3028" s="42"/>
      <c r="K3028" s="3"/>
      <c r="M3028" s="20">
        <v>42146</v>
      </c>
      <c r="N3028" s="183">
        <v>21964</v>
      </c>
      <c r="O3028" s="14" t="s">
        <v>102</v>
      </c>
      <c r="P3028" s="103">
        <v>5160.6000000000004</v>
      </c>
      <c r="Q3028" s="65">
        <v>42147</v>
      </c>
      <c r="R3028" s="106">
        <v>5160.6000000000004</v>
      </c>
      <c r="S3028" s="31">
        <f t="shared" si="95"/>
        <v>0</v>
      </c>
      <c r="T3028" s="132" t="s">
        <v>9</v>
      </c>
    </row>
    <row r="3029" spans="1:20" x14ac:dyDescent="0.25">
      <c r="A3029" s="20">
        <v>42153</v>
      </c>
      <c r="B3029" s="183">
        <v>22603</v>
      </c>
      <c r="C3029" s="14" t="s">
        <v>1262</v>
      </c>
      <c r="D3029" s="103">
        <v>30328.78</v>
      </c>
      <c r="E3029" s="30">
        <v>42165</v>
      </c>
      <c r="F3029" s="144">
        <v>30328.78</v>
      </c>
      <c r="G3029" s="31">
        <f t="shared" si="94"/>
        <v>0</v>
      </c>
      <c r="H3029" s="132" t="s">
        <v>94</v>
      </c>
      <c r="I3029" s="3"/>
      <c r="J3029" s="42"/>
      <c r="K3029" s="3"/>
      <c r="M3029" s="20">
        <v>42147</v>
      </c>
      <c r="N3029" s="183">
        <v>22038</v>
      </c>
      <c r="O3029" s="14" t="s">
        <v>102</v>
      </c>
      <c r="P3029" s="103">
        <v>4479</v>
      </c>
      <c r="Q3029" s="65" t="s">
        <v>1439</v>
      </c>
      <c r="R3029" s="106">
        <f>2400+2079</f>
        <v>4479</v>
      </c>
      <c r="S3029" s="31">
        <f t="shared" si="95"/>
        <v>0</v>
      </c>
      <c r="T3029" s="132" t="s">
        <v>9</v>
      </c>
    </row>
    <row r="3030" spans="1:20" x14ac:dyDescent="0.25">
      <c r="A3030" s="20">
        <v>42153</v>
      </c>
      <c r="B3030" s="183">
        <v>22604</v>
      </c>
      <c r="C3030" s="14" t="s">
        <v>383</v>
      </c>
      <c r="D3030" s="103">
        <v>3304</v>
      </c>
      <c r="E3030" s="23">
        <v>42153</v>
      </c>
      <c r="F3030" s="106">
        <v>3304</v>
      </c>
      <c r="G3030" s="31">
        <f t="shared" si="94"/>
        <v>0</v>
      </c>
      <c r="H3030" s="132" t="s">
        <v>9</v>
      </c>
      <c r="I3030" s="3"/>
      <c r="J3030" s="42"/>
      <c r="K3030" s="3"/>
      <c r="M3030" s="20">
        <v>42148</v>
      </c>
      <c r="N3030" s="183">
        <v>22093</v>
      </c>
      <c r="O3030" s="14" t="s">
        <v>102</v>
      </c>
      <c r="P3030" s="103">
        <v>3094.4</v>
      </c>
      <c r="Q3030" s="65">
        <v>42148</v>
      </c>
      <c r="R3030" s="106">
        <v>3094.4</v>
      </c>
      <c r="S3030" s="31">
        <f t="shared" si="95"/>
        <v>0</v>
      </c>
      <c r="T3030" s="132" t="s">
        <v>9</v>
      </c>
    </row>
    <row r="3031" spans="1:20" x14ac:dyDescent="0.25">
      <c r="A3031" s="20">
        <v>42153</v>
      </c>
      <c r="B3031" s="183">
        <v>22605</v>
      </c>
      <c r="C3031" s="14" t="s">
        <v>66</v>
      </c>
      <c r="D3031" s="103">
        <v>406.3</v>
      </c>
      <c r="E3031" s="23">
        <v>42153</v>
      </c>
      <c r="F3031" s="106">
        <v>406.3</v>
      </c>
      <c r="G3031" s="31">
        <f t="shared" si="94"/>
        <v>0</v>
      </c>
      <c r="H3031" s="132" t="s">
        <v>9</v>
      </c>
      <c r="I3031" s="3"/>
      <c r="J3031" s="42"/>
      <c r="K3031" s="3"/>
      <c r="M3031" s="20">
        <v>42150</v>
      </c>
      <c r="N3031" s="183">
        <v>22278</v>
      </c>
      <c r="O3031" s="14" t="s">
        <v>102</v>
      </c>
      <c r="P3031" s="103">
        <v>2085.6999999999998</v>
      </c>
      <c r="Q3031" s="65">
        <v>42150</v>
      </c>
      <c r="R3031" s="106">
        <v>2085.6999999999998</v>
      </c>
      <c r="S3031" s="31">
        <f t="shared" si="95"/>
        <v>0</v>
      </c>
      <c r="T3031" s="132" t="s">
        <v>9</v>
      </c>
    </row>
    <row r="3032" spans="1:20" x14ac:dyDescent="0.25">
      <c r="A3032" s="20">
        <v>42153</v>
      </c>
      <c r="B3032" s="183">
        <v>22606</v>
      </c>
      <c r="C3032" s="14" t="s">
        <v>1337</v>
      </c>
      <c r="D3032" s="103">
        <v>709.2</v>
      </c>
      <c r="E3032" s="23">
        <v>42154</v>
      </c>
      <c r="F3032" s="106">
        <v>709.2</v>
      </c>
      <c r="G3032" s="31">
        <f t="shared" si="94"/>
        <v>0</v>
      </c>
      <c r="H3032" s="132" t="s">
        <v>94</v>
      </c>
      <c r="I3032" s="3"/>
      <c r="J3032" s="42"/>
      <c r="K3032" s="3"/>
      <c r="M3032" s="20">
        <v>42153</v>
      </c>
      <c r="N3032" s="183">
        <v>22639</v>
      </c>
      <c r="O3032" s="14" t="s">
        <v>102</v>
      </c>
      <c r="P3032" s="103">
        <v>2268</v>
      </c>
      <c r="Q3032" s="23">
        <v>42153</v>
      </c>
      <c r="R3032" s="106">
        <v>2268</v>
      </c>
      <c r="S3032" s="31">
        <f t="shared" si="95"/>
        <v>0</v>
      </c>
      <c r="T3032" s="132" t="s">
        <v>9</v>
      </c>
    </row>
    <row r="3033" spans="1:20" x14ac:dyDescent="0.25">
      <c r="A3033" s="20">
        <v>42153</v>
      </c>
      <c r="B3033" s="183">
        <v>22607</v>
      </c>
      <c r="C3033" s="14" t="s">
        <v>65</v>
      </c>
      <c r="D3033" s="103">
        <v>23345.4</v>
      </c>
      <c r="E3033" s="23">
        <v>42155</v>
      </c>
      <c r="F3033" s="106">
        <v>23345.4</v>
      </c>
      <c r="G3033" s="31">
        <f t="shared" si="94"/>
        <v>0</v>
      </c>
      <c r="H3033" s="132" t="s">
        <v>62</v>
      </c>
      <c r="I3033" s="3"/>
      <c r="J3033" s="42"/>
      <c r="K3033" s="3"/>
      <c r="M3033" s="20">
        <v>42153</v>
      </c>
      <c r="N3033" s="183">
        <v>22640</v>
      </c>
      <c r="O3033" s="14" t="s">
        <v>102</v>
      </c>
      <c r="P3033" s="103">
        <v>622.29999999999995</v>
      </c>
      <c r="Q3033" s="23">
        <v>42153</v>
      </c>
      <c r="R3033" s="106">
        <v>622.29999999999995</v>
      </c>
      <c r="S3033" s="31">
        <f t="shared" si="95"/>
        <v>0</v>
      </c>
      <c r="T3033" s="132" t="s">
        <v>9</v>
      </c>
    </row>
    <row r="3034" spans="1:20" x14ac:dyDescent="0.25">
      <c r="A3034" s="20">
        <v>42153</v>
      </c>
      <c r="B3034" s="183">
        <v>22608</v>
      </c>
      <c r="C3034" s="14" t="s">
        <v>93</v>
      </c>
      <c r="D3034" s="103">
        <v>2964</v>
      </c>
      <c r="E3034" s="23">
        <v>42154</v>
      </c>
      <c r="F3034" s="106">
        <v>2964</v>
      </c>
      <c r="G3034" s="31">
        <f t="shared" si="94"/>
        <v>0</v>
      </c>
      <c r="H3034" s="132" t="s">
        <v>94</v>
      </c>
      <c r="I3034" s="3"/>
      <c r="J3034" s="42"/>
      <c r="K3034" s="3"/>
      <c r="M3034" s="20">
        <v>42154</v>
      </c>
      <c r="N3034" s="183">
        <v>22763</v>
      </c>
      <c r="O3034" s="14" t="s">
        <v>102</v>
      </c>
      <c r="P3034" s="103">
        <v>4537.2</v>
      </c>
      <c r="Q3034" s="23">
        <v>42154</v>
      </c>
      <c r="R3034" s="106">
        <v>4537.2</v>
      </c>
      <c r="S3034" s="31">
        <f t="shared" si="95"/>
        <v>0</v>
      </c>
      <c r="T3034" s="132" t="s">
        <v>9</v>
      </c>
    </row>
    <row r="3035" spans="1:20" x14ac:dyDescent="0.25">
      <c r="A3035" s="20">
        <v>42153</v>
      </c>
      <c r="B3035" s="183">
        <v>22609</v>
      </c>
      <c r="C3035" s="14" t="s">
        <v>89</v>
      </c>
      <c r="D3035" s="103">
        <v>4475.3999999999996</v>
      </c>
      <c r="E3035" s="23">
        <v>42153</v>
      </c>
      <c r="F3035" s="106">
        <v>4475.3999999999996</v>
      </c>
      <c r="G3035" s="31">
        <f t="shared" si="94"/>
        <v>0</v>
      </c>
      <c r="H3035" s="132" t="s">
        <v>9</v>
      </c>
      <c r="I3035" s="3"/>
      <c r="J3035" s="42"/>
      <c r="K3035" s="3"/>
      <c r="M3035" s="20">
        <v>42154</v>
      </c>
      <c r="N3035" s="183">
        <v>22765</v>
      </c>
      <c r="O3035" s="14" t="s">
        <v>102</v>
      </c>
      <c r="P3035" s="103">
        <v>108.8</v>
      </c>
      <c r="Q3035" s="23">
        <v>42154</v>
      </c>
      <c r="R3035" s="106">
        <v>108.8</v>
      </c>
      <c r="S3035" s="31">
        <f t="shared" si="95"/>
        <v>0</v>
      </c>
      <c r="T3035" s="132" t="s">
        <v>9</v>
      </c>
    </row>
    <row r="3036" spans="1:20" x14ac:dyDescent="0.25">
      <c r="A3036" s="20">
        <v>42153</v>
      </c>
      <c r="B3036" s="183">
        <v>22610</v>
      </c>
      <c r="C3036" s="14" t="s">
        <v>95</v>
      </c>
      <c r="D3036" s="103">
        <v>3952</v>
      </c>
      <c r="E3036" s="23">
        <v>42154</v>
      </c>
      <c r="F3036" s="106">
        <v>3952</v>
      </c>
      <c r="G3036" s="31">
        <f t="shared" si="94"/>
        <v>0</v>
      </c>
      <c r="H3036" s="132" t="s">
        <v>94</v>
      </c>
      <c r="I3036" s="3"/>
      <c r="J3036" s="42"/>
      <c r="K3036" s="3"/>
      <c r="M3036" s="20">
        <v>42154</v>
      </c>
      <c r="N3036" s="183">
        <v>22785</v>
      </c>
      <c r="O3036" s="14" t="s">
        <v>102</v>
      </c>
      <c r="P3036" s="103">
        <v>2128</v>
      </c>
      <c r="Q3036" s="23">
        <v>42154</v>
      </c>
      <c r="R3036" s="106">
        <v>2128</v>
      </c>
      <c r="S3036" s="31">
        <f t="shared" si="95"/>
        <v>0</v>
      </c>
      <c r="T3036" s="132" t="s">
        <v>9</v>
      </c>
    </row>
    <row r="3037" spans="1:20" x14ac:dyDescent="0.25">
      <c r="A3037" s="20">
        <v>42153</v>
      </c>
      <c r="B3037" s="183">
        <v>22611</v>
      </c>
      <c r="C3037" s="14" t="s">
        <v>361</v>
      </c>
      <c r="D3037" s="103">
        <v>13869.6</v>
      </c>
      <c r="E3037" s="23">
        <v>42154</v>
      </c>
      <c r="F3037" s="106">
        <v>13869.6</v>
      </c>
      <c r="G3037" s="31">
        <f t="shared" si="94"/>
        <v>0</v>
      </c>
      <c r="H3037" s="132" t="s">
        <v>94</v>
      </c>
      <c r="I3037" s="3"/>
      <c r="J3037" s="42"/>
      <c r="K3037" s="3"/>
      <c r="M3037" s="20">
        <v>42155</v>
      </c>
      <c r="N3037" s="183">
        <v>22838</v>
      </c>
      <c r="O3037" s="14" t="s">
        <v>102</v>
      </c>
      <c r="P3037" s="103">
        <v>1705.5</v>
      </c>
      <c r="Q3037" s="23">
        <v>42155</v>
      </c>
      <c r="R3037" s="106">
        <v>1705.5</v>
      </c>
      <c r="S3037" s="31">
        <f t="shared" si="95"/>
        <v>0</v>
      </c>
      <c r="T3037" s="132" t="s">
        <v>9</v>
      </c>
    </row>
    <row r="3038" spans="1:20" x14ac:dyDescent="0.25">
      <c r="A3038" s="20">
        <v>42153</v>
      </c>
      <c r="B3038" s="183">
        <v>22612</v>
      </c>
      <c r="C3038" s="14" t="s">
        <v>98</v>
      </c>
      <c r="D3038" s="103">
        <v>2661.1</v>
      </c>
      <c r="E3038" s="23">
        <v>42154</v>
      </c>
      <c r="F3038" s="106">
        <v>2661.1</v>
      </c>
      <c r="G3038" s="31">
        <f t="shared" si="94"/>
        <v>0</v>
      </c>
      <c r="H3038" s="132" t="s">
        <v>94</v>
      </c>
      <c r="I3038" s="3"/>
      <c r="J3038" s="42"/>
      <c r="K3038" s="3"/>
      <c r="M3038" s="20">
        <v>42142</v>
      </c>
      <c r="N3038" s="183">
        <v>21469</v>
      </c>
      <c r="O3038" s="14" t="s">
        <v>1415</v>
      </c>
      <c r="P3038" s="103">
        <v>939.4</v>
      </c>
      <c r="Q3038" s="65">
        <v>42142</v>
      </c>
      <c r="R3038" s="106">
        <v>939.4</v>
      </c>
      <c r="S3038" s="31">
        <f t="shared" si="95"/>
        <v>0</v>
      </c>
      <c r="T3038" s="209" t="s">
        <v>9</v>
      </c>
    </row>
    <row r="3039" spans="1:20" x14ac:dyDescent="0.25">
      <c r="A3039" s="20">
        <v>42153</v>
      </c>
      <c r="B3039" s="183">
        <v>22613</v>
      </c>
      <c r="C3039" s="14" t="s">
        <v>65</v>
      </c>
      <c r="D3039" s="103">
        <v>725.4</v>
      </c>
      <c r="E3039" s="23">
        <v>42155</v>
      </c>
      <c r="F3039" s="106">
        <v>725.4</v>
      </c>
      <c r="G3039" s="31">
        <f t="shared" si="94"/>
        <v>0</v>
      </c>
      <c r="H3039" s="132" t="s">
        <v>62</v>
      </c>
      <c r="I3039" s="3"/>
      <c r="J3039" s="42"/>
      <c r="K3039" s="3"/>
      <c r="M3039" s="20">
        <v>42138</v>
      </c>
      <c r="N3039" s="183">
        <v>21064</v>
      </c>
      <c r="O3039" s="14" t="s">
        <v>232</v>
      </c>
      <c r="P3039" s="103">
        <v>8164.8</v>
      </c>
      <c r="Q3039" s="23">
        <v>42139</v>
      </c>
      <c r="R3039" s="106">
        <v>8164.8</v>
      </c>
      <c r="S3039" s="48">
        <f t="shared" si="95"/>
        <v>0</v>
      </c>
      <c r="T3039" s="132" t="s">
        <v>1257</v>
      </c>
    </row>
    <row r="3040" spans="1:20" x14ac:dyDescent="0.25">
      <c r="A3040" s="20">
        <v>42153</v>
      </c>
      <c r="B3040" s="183">
        <v>22614</v>
      </c>
      <c r="C3040" s="14" t="s">
        <v>78</v>
      </c>
      <c r="D3040" s="103">
        <v>9595.7999999999993</v>
      </c>
      <c r="E3040" s="23">
        <v>42155</v>
      </c>
      <c r="F3040" s="106">
        <v>9595.7999999999993</v>
      </c>
      <c r="G3040" s="31">
        <f t="shared" si="94"/>
        <v>0</v>
      </c>
      <c r="H3040" s="132" t="s">
        <v>62</v>
      </c>
      <c r="I3040" s="3"/>
      <c r="J3040" s="42"/>
      <c r="K3040" s="3"/>
      <c r="M3040" s="20">
        <v>42139</v>
      </c>
      <c r="N3040" s="183">
        <v>21150</v>
      </c>
      <c r="O3040" s="14" t="s">
        <v>232</v>
      </c>
      <c r="P3040" s="103">
        <v>4358.3999999999996</v>
      </c>
      <c r="Q3040" s="23">
        <v>42139</v>
      </c>
      <c r="R3040" s="106">
        <v>4358.3999999999996</v>
      </c>
      <c r="S3040" s="48">
        <f t="shared" si="95"/>
        <v>0</v>
      </c>
      <c r="T3040" s="132" t="s">
        <v>1257</v>
      </c>
    </row>
    <row r="3041" spans="1:20" x14ac:dyDescent="0.25">
      <c r="A3041" s="20">
        <v>42153</v>
      </c>
      <c r="B3041" s="183">
        <v>22615</v>
      </c>
      <c r="C3041" s="14" t="s">
        <v>67</v>
      </c>
      <c r="D3041" s="103">
        <v>4175</v>
      </c>
      <c r="E3041" s="23">
        <v>42155</v>
      </c>
      <c r="F3041" s="106">
        <v>4175</v>
      </c>
      <c r="G3041" s="31">
        <f t="shared" si="94"/>
        <v>0</v>
      </c>
      <c r="H3041" s="132" t="s">
        <v>62</v>
      </c>
      <c r="I3041" s="3"/>
      <c r="J3041" s="42"/>
      <c r="K3041" s="3"/>
      <c r="M3041" s="20">
        <v>42139</v>
      </c>
      <c r="N3041" s="183">
        <v>21158</v>
      </c>
      <c r="O3041" s="14" t="s">
        <v>232</v>
      </c>
      <c r="P3041" s="103">
        <v>8575.6</v>
      </c>
      <c r="Q3041" s="23">
        <v>42149</v>
      </c>
      <c r="R3041" s="106">
        <v>8575.6</v>
      </c>
      <c r="S3041" s="48">
        <f t="shared" si="95"/>
        <v>0</v>
      </c>
      <c r="T3041" s="132" t="s">
        <v>9</v>
      </c>
    </row>
    <row r="3042" spans="1:20" x14ac:dyDescent="0.25">
      <c r="A3042" s="20">
        <v>42153</v>
      </c>
      <c r="B3042" s="183">
        <v>22616</v>
      </c>
      <c r="C3042" s="14" t="s">
        <v>135</v>
      </c>
      <c r="D3042" s="103">
        <v>20067.2</v>
      </c>
      <c r="E3042" s="23">
        <v>42153</v>
      </c>
      <c r="F3042" s="106">
        <v>20067.2</v>
      </c>
      <c r="G3042" s="31">
        <f t="shared" si="94"/>
        <v>0</v>
      </c>
      <c r="H3042" s="132" t="s">
        <v>9</v>
      </c>
      <c r="I3042" s="3"/>
      <c r="J3042" s="42"/>
      <c r="K3042" s="3"/>
      <c r="M3042" s="20">
        <v>42140</v>
      </c>
      <c r="N3042" s="183">
        <v>21289</v>
      </c>
      <c r="O3042" s="14" t="s">
        <v>232</v>
      </c>
      <c r="P3042" s="103">
        <v>9028.7999999999993</v>
      </c>
      <c r="Q3042" s="23">
        <v>42140</v>
      </c>
      <c r="R3042" s="118">
        <v>9028.7999999999993</v>
      </c>
      <c r="S3042" s="31">
        <f t="shared" si="95"/>
        <v>0</v>
      </c>
      <c r="T3042" s="180" t="s">
        <v>94</v>
      </c>
    </row>
    <row r="3043" spans="1:20" x14ac:dyDescent="0.25">
      <c r="A3043" s="20">
        <v>42153</v>
      </c>
      <c r="B3043" s="183">
        <v>22617</v>
      </c>
      <c r="C3043" s="14" t="s">
        <v>170</v>
      </c>
      <c r="D3043" s="103">
        <v>2098.1999999999998</v>
      </c>
      <c r="E3043" s="23">
        <v>42155</v>
      </c>
      <c r="F3043" s="106">
        <v>2098.1999999999998</v>
      </c>
      <c r="G3043" s="31">
        <f t="shared" si="94"/>
        <v>0</v>
      </c>
      <c r="H3043" s="132" t="s">
        <v>62</v>
      </c>
      <c r="I3043" s="3"/>
      <c r="J3043" s="42"/>
      <c r="K3043" s="3"/>
      <c r="M3043" s="20">
        <v>42125</v>
      </c>
      <c r="N3043" s="183">
        <v>19642</v>
      </c>
      <c r="O3043" s="14" t="s">
        <v>78</v>
      </c>
      <c r="P3043" s="103">
        <v>5327.2</v>
      </c>
      <c r="Q3043" s="23">
        <v>42126</v>
      </c>
      <c r="R3043" s="106">
        <v>5327.2</v>
      </c>
      <c r="S3043" s="25">
        <f t="shared" si="95"/>
        <v>0</v>
      </c>
      <c r="T3043" s="209" t="s">
        <v>62</v>
      </c>
    </row>
    <row r="3044" spans="1:20" x14ac:dyDescent="0.25">
      <c r="A3044" s="20">
        <v>42153</v>
      </c>
      <c r="B3044" s="183">
        <v>22618</v>
      </c>
      <c r="C3044" s="14" t="s">
        <v>426</v>
      </c>
      <c r="D3044" s="103">
        <v>27541.8</v>
      </c>
      <c r="E3044" s="23">
        <v>42155</v>
      </c>
      <c r="F3044" s="106">
        <v>27541.8</v>
      </c>
      <c r="G3044" s="31">
        <f t="shared" si="94"/>
        <v>0</v>
      </c>
      <c r="H3044" s="132" t="s">
        <v>62</v>
      </c>
      <c r="I3044" s="3"/>
      <c r="J3044" s="42"/>
      <c r="K3044" s="3"/>
      <c r="M3044" s="20">
        <v>42128</v>
      </c>
      <c r="N3044" s="183">
        <v>19944</v>
      </c>
      <c r="O3044" s="14" t="s">
        <v>78</v>
      </c>
      <c r="P3044" s="103">
        <v>6933.4</v>
      </c>
      <c r="Q3044" s="23">
        <v>42129</v>
      </c>
      <c r="R3044" s="106">
        <v>6933.4</v>
      </c>
      <c r="S3044" s="31">
        <f t="shared" si="95"/>
        <v>0</v>
      </c>
      <c r="T3044" s="209" t="s">
        <v>9</v>
      </c>
    </row>
    <row r="3045" spans="1:20" x14ac:dyDescent="0.25">
      <c r="A3045" s="20">
        <v>42153</v>
      </c>
      <c r="B3045" s="183">
        <v>22619</v>
      </c>
      <c r="C3045" s="14" t="s">
        <v>44</v>
      </c>
      <c r="D3045" s="103">
        <v>1428</v>
      </c>
      <c r="E3045" s="23">
        <v>42153</v>
      </c>
      <c r="F3045" s="106">
        <v>1428</v>
      </c>
      <c r="G3045" s="31">
        <f t="shared" si="94"/>
        <v>0</v>
      </c>
      <c r="H3045" s="132" t="s">
        <v>9</v>
      </c>
      <c r="I3045" s="3"/>
      <c r="J3045" s="42"/>
      <c r="K3045" s="3"/>
      <c r="M3045" s="20">
        <v>42130</v>
      </c>
      <c r="N3045" s="183">
        <v>20136</v>
      </c>
      <c r="O3045" s="14" t="s">
        <v>78</v>
      </c>
      <c r="P3045" s="103">
        <v>6427</v>
      </c>
      <c r="Q3045" s="23">
        <v>42132</v>
      </c>
      <c r="R3045" s="106">
        <v>6427</v>
      </c>
      <c r="S3045" s="31">
        <f t="shared" si="95"/>
        <v>0</v>
      </c>
      <c r="T3045" s="132" t="s">
        <v>62</v>
      </c>
    </row>
    <row r="3046" spans="1:20" x14ac:dyDescent="0.25">
      <c r="A3046" s="20">
        <v>42153</v>
      </c>
      <c r="B3046" s="183">
        <v>22620</v>
      </c>
      <c r="C3046" s="26" t="s">
        <v>218</v>
      </c>
      <c r="D3046" s="153">
        <v>0</v>
      </c>
      <c r="E3046" s="23"/>
      <c r="F3046" s="106"/>
      <c r="G3046" s="31">
        <f t="shared" si="94"/>
        <v>0</v>
      </c>
      <c r="H3046" s="132" t="s">
        <v>13</v>
      </c>
      <c r="I3046" s="3"/>
      <c r="J3046" s="42"/>
      <c r="K3046" s="3"/>
      <c r="M3046" s="20">
        <v>42132</v>
      </c>
      <c r="N3046" s="183">
        <v>20362</v>
      </c>
      <c r="O3046" s="14" t="s">
        <v>78</v>
      </c>
      <c r="P3046" s="103">
        <v>8034.6</v>
      </c>
      <c r="Q3046" s="23">
        <v>42134</v>
      </c>
      <c r="R3046" s="106">
        <v>8034.6</v>
      </c>
      <c r="S3046" s="31">
        <f t="shared" si="95"/>
        <v>0</v>
      </c>
      <c r="T3046" s="209" t="s">
        <v>62</v>
      </c>
    </row>
    <row r="3047" spans="1:20" x14ac:dyDescent="0.25">
      <c r="A3047" s="20">
        <v>42153</v>
      </c>
      <c r="B3047" s="183">
        <v>22621</v>
      </c>
      <c r="C3047" s="14" t="s">
        <v>78</v>
      </c>
      <c r="D3047" s="103">
        <v>1321.1</v>
      </c>
      <c r="E3047" s="23">
        <v>42155</v>
      </c>
      <c r="F3047" s="106">
        <v>1321.1</v>
      </c>
      <c r="G3047" s="31">
        <f t="shared" si="94"/>
        <v>0</v>
      </c>
      <c r="H3047" s="132" t="s">
        <v>62</v>
      </c>
      <c r="I3047" s="3"/>
      <c r="J3047" s="42"/>
      <c r="K3047" s="3"/>
      <c r="M3047" s="20">
        <v>42132</v>
      </c>
      <c r="N3047" s="183">
        <v>20411</v>
      </c>
      <c r="O3047" s="14" t="s">
        <v>78</v>
      </c>
      <c r="P3047" s="103">
        <v>845.2</v>
      </c>
      <c r="Q3047" s="23">
        <v>42134</v>
      </c>
      <c r="R3047" s="106">
        <v>845.2</v>
      </c>
      <c r="S3047" s="31">
        <f t="shared" si="95"/>
        <v>0</v>
      </c>
      <c r="T3047" s="209" t="s">
        <v>773</v>
      </c>
    </row>
    <row r="3048" spans="1:20" x14ac:dyDescent="0.25">
      <c r="A3048" s="20">
        <v>42153</v>
      </c>
      <c r="B3048" s="183">
        <v>22622</v>
      </c>
      <c r="C3048" s="14" t="s">
        <v>84</v>
      </c>
      <c r="D3048" s="103">
        <v>46912.4</v>
      </c>
      <c r="E3048" s="30">
        <v>42160</v>
      </c>
      <c r="F3048" s="144">
        <v>46912.4</v>
      </c>
      <c r="G3048" s="31">
        <f t="shared" si="94"/>
        <v>0</v>
      </c>
      <c r="H3048" s="132" t="s">
        <v>62</v>
      </c>
      <c r="I3048" s="3"/>
      <c r="J3048" s="42"/>
      <c r="K3048" s="3"/>
      <c r="M3048" s="20">
        <v>42135</v>
      </c>
      <c r="N3048" s="183">
        <v>20713</v>
      </c>
      <c r="O3048" s="14" t="s">
        <v>78</v>
      </c>
      <c r="P3048" s="103">
        <v>11558.4</v>
      </c>
      <c r="Q3048" s="23">
        <v>42136</v>
      </c>
      <c r="R3048" s="106">
        <v>11558.4</v>
      </c>
      <c r="S3048" s="31">
        <f t="shared" si="95"/>
        <v>0</v>
      </c>
      <c r="T3048" s="209" t="s">
        <v>62</v>
      </c>
    </row>
    <row r="3049" spans="1:20" x14ac:dyDescent="0.25">
      <c r="A3049" s="20">
        <v>42153</v>
      </c>
      <c r="B3049" s="183">
        <v>22623</v>
      </c>
      <c r="C3049" s="14" t="s">
        <v>268</v>
      </c>
      <c r="D3049" s="103">
        <v>9152.6</v>
      </c>
      <c r="E3049" s="23">
        <v>42155</v>
      </c>
      <c r="F3049" s="106">
        <v>9152.6</v>
      </c>
      <c r="G3049" s="31">
        <f t="shared" si="94"/>
        <v>0</v>
      </c>
      <c r="H3049" s="132" t="s">
        <v>62</v>
      </c>
      <c r="I3049" s="3"/>
      <c r="J3049" s="42"/>
      <c r="K3049" s="3"/>
      <c r="M3049" s="20">
        <v>42137</v>
      </c>
      <c r="N3049" s="183">
        <v>20905</v>
      </c>
      <c r="O3049" s="14" t="s">
        <v>78</v>
      </c>
      <c r="P3049" s="103">
        <v>6240</v>
      </c>
      <c r="Q3049" s="23">
        <v>42138</v>
      </c>
      <c r="R3049" s="106">
        <v>6240</v>
      </c>
      <c r="S3049" s="31">
        <f t="shared" si="95"/>
        <v>0</v>
      </c>
      <c r="T3049" s="209" t="s">
        <v>62</v>
      </c>
    </row>
    <row r="3050" spans="1:20" x14ac:dyDescent="0.25">
      <c r="A3050" s="20">
        <v>42153</v>
      </c>
      <c r="B3050" s="183">
        <v>22624</v>
      </c>
      <c r="C3050" s="14" t="s">
        <v>75</v>
      </c>
      <c r="D3050" s="103">
        <v>20360.400000000001</v>
      </c>
      <c r="E3050" s="23">
        <v>42155</v>
      </c>
      <c r="F3050" s="106">
        <v>20360.400000000001</v>
      </c>
      <c r="G3050" s="31">
        <f t="shared" si="94"/>
        <v>0</v>
      </c>
      <c r="H3050" s="132" t="s">
        <v>62</v>
      </c>
      <c r="I3050" s="3"/>
      <c r="J3050" s="42"/>
      <c r="K3050" s="3"/>
      <c r="M3050" s="20">
        <v>42137</v>
      </c>
      <c r="N3050" s="183">
        <v>20922</v>
      </c>
      <c r="O3050" s="14" t="s">
        <v>78</v>
      </c>
      <c r="P3050" s="103">
        <v>1256.7</v>
      </c>
      <c r="Q3050" s="23">
        <v>42138</v>
      </c>
      <c r="R3050" s="106">
        <v>1256.7</v>
      </c>
      <c r="S3050" s="31">
        <f t="shared" si="95"/>
        <v>0</v>
      </c>
      <c r="T3050" s="209" t="s">
        <v>62</v>
      </c>
    </row>
    <row r="3051" spans="1:20" x14ac:dyDescent="0.25">
      <c r="A3051" s="20">
        <v>42153</v>
      </c>
      <c r="B3051" s="183">
        <v>22625</v>
      </c>
      <c r="C3051" s="14" t="s">
        <v>75</v>
      </c>
      <c r="D3051" s="103">
        <v>316.8</v>
      </c>
      <c r="E3051" s="23">
        <v>42155</v>
      </c>
      <c r="F3051" s="106">
        <v>316.8</v>
      </c>
      <c r="G3051" s="31">
        <f t="shared" si="94"/>
        <v>0</v>
      </c>
      <c r="H3051" s="132" t="s">
        <v>62</v>
      </c>
      <c r="I3051" s="3"/>
      <c r="J3051" s="42"/>
      <c r="K3051" s="3"/>
      <c r="M3051" s="20">
        <v>42139</v>
      </c>
      <c r="N3051" s="183">
        <v>21155</v>
      </c>
      <c r="O3051" s="14" t="s">
        <v>78</v>
      </c>
      <c r="P3051" s="103">
        <v>8992.7999999999993</v>
      </c>
      <c r="Q3051" s="23">
        <v>42140</v>
      </c>
      <c r="R3051" s="106">
        <v>8992.7999999999993</v>
      </c>
      <c r="S3051" s="48">
        <f t="shared" si="95"/>
        <v>0</v>
      </c>
      <c r="T3051" s="132" t="s">
        <v>62</v>
      </c>
    </row>
    <row r="3052" spans="1:20" x14ac:dyDescent="0.25">
      <c r="A3052" s="20">
        <v>42153</v>
      </c>
      <c r="B3052" s="183">
        <v>22626</v>
      </c>
      <c r="C3052" s="14" t="s">
        <v>75</v>
      </c>
      <c r="D3052" s="103">
        <v>440</v>
      </c>
      <c r="E3052" s="23">
        <v>42155</v>
      </c>
      <c r="F3052" s="106">
        <v>440</v>
      </c>
      <c r="G3052" s="31">
        <f t="shared" si="94"/>
        <v>0</v>
      </c>
      <c r="H3052" s="132" t="s">
        <v>62</v>
      </c>
      <c r="I3052" s="3"/>
      <c r="J3052" s="42"/>
      <c r="K3052" s="3"/>
      <c r="M3052" s="20">
        <v>42139</v>
      </c>
      <c r="N3052" s="183">
        <v>21174</v>
      </c>
      <c r="O3052" s="14" t="s">
        <v>78</v>
      </c>
      <c r="P3052" s="103">
        <v>3276.8</v>
      </c>
      <c r="Q3052" s="23">
        <v>42140</v>
      </c>
      <c r="R3052" s="106">
        <v>3276.8</v>
      </c>
      <c r="S3052" s="48">
        <f t="shared" si="95"/>
        <v>0</v>
      </c>
      <c r="T3052" s="132" t="s">
        <v>9</v>
      </c>
    </row>
    <row r="3053" spans="1:20" x14ac:dyDescent="0.25">
      <c r="A3053" s="20">
        <v>42153</v>
      </c>
      <c r="B3053" s="183">
        <v>22627</v>
      </c>
      <c r="C3053" s="14" t="s">
        <v>170</v>
      </c>
      <c r="D3053" s="103">
        <v>1219.2</v>
      </c>
      <c r="E3053" s="23">
        <v>42155</v>
      </c>
      <c r="F3053" s="106">
        <v>1219.2</v>
      </c>
      <c r="G3053" s="31">
        <f t="shared" si="94"/>
        <v>0</v>
      </c>
      <c r="H3053" s="132" t="s">
        <v>62</v>
      </c>
      <c r="I3053" s="3"/>
      <c r="J3053" s="42"/>
      <c r="K3053" s="3"/>
      <c r="M3053" s="20">
        <v>42142</v>
      </c>
      <c r="N3053" s="183">
        <v>21451</v>
      </c>
      <c r="O3053" s="14" t="s">
        <v>78</v>
      </c>
      <c r="P3053" s="103">
        <v>9711.6</v>
      </c>
      <c r="Q3053" s="65">
        <v>42144</v>
      </c>
      <c r="R3053" s="106">
        <v>9711.6</v>
      </c>
      <c r="S3053" s="31">
        <f t="shared" si="95"/>
        <v>0</v>
      </c>
      <c r="T3053" s="209" t="s">
        <v>62</v>
      </c>
    </row>
    <row r="3054" spans="1:20" x14ac:dyDescent="0.25">
      <c r="A3054" s="20">
        <v>42153</v>
      </c>
      <c r="B3054" s="183">
        <v>22628</v>
      </c>
      <c r="C3054" s="14" t="s">
        <v>439</v>
      </c>
      <c r="D3054" s="103">
        <v>182.4</v>
      </c>
      <c r="E3054" s="23">
        <v>42153</v>
      </c>
      <c r="F3054" s="106">
        <v>182.4</v>
      </c>
      <c r="G3054" s="31">
        <f t="shared" si="94"/>
        <v>0</v>
      </c>
      <c r="H3054" s="132" t="s">
        <v>9</v>
      </c>
      <c r="I3054" s="3"/>
      <c r="J3054" s="42"/>
      <c r="K3054" s="3"/>
      <c r="M3054" s="20">
        <v>42144</v>
      </c>
      <c r="N3054" s="183">
        <v>21647</v>
      </c>
      <c r="O3054" s="14" t="s">
        <v>78</v>
      </c>
      <c r="P3054" s="103">
        <v>6141.6</v>
      </c>
      <c r="Q3054" s="23">
        <v>42145</v>
      </c>
      <c r="R3054" s="118">
        <v>6141.6</v>
      </c>
      <c r="S3054" s="31">
        <f t="shared" si="95"/>
        <v>0</v>
      </c>
      <c r="T3054" s="180" t="s">
        <v>62</v>
      </c>
    </row>
    <row r="3055" spans="1:20" x14ac:dyDescent="0.25">
      <c r="A3055" s="20">
        <v>42153</v>
      </c>
      <c r="B3055" s="183">
        <v>22629</v>
      </c>
      <c r="C3055" s="14" t="s">
        <v>72</v>
      </c>
      <c r="D3055" s="103">
        <v>19801.2</v>
      </c>
      <c r="E3055" s="30" t="s">
        <v>1467</v>
      </c>
      <c r="F3055" s="144">
        <v>19801.2</v>
      </c>
      <c r="G3055" s="31">
        <f t="shared" si="94"/>
        <v>0</v>
      </c>
      <c r="H3055" s="132" t="s">
        <v>62</v>
      </c>
      <c r="I3055" s="3"/>
      <c r="J3055" s="42"/>
      <c r="K3055" s="3"/>
      <c r="M3055" s="20">
        <v>42144</v>
      </c>
      <c r="N3055" s="183">
        <v>21660</v>
      </c>
      <c r="O3055" s="14" t="s">
        <v>78</v>
      </c>
      <c r="P3055" s="103">
        <v>1618.8</v>
      </c>
      <c r="Q3055" s="23">
        <v>42145</v>
      </c>
      <c r="R3055" s="118">
        <v>1618.8</v>
      </c>
      <c r="S3055" s="31">
        <f t="shared" si="95"/>
        <v>0</v>
      </c>
      <c r="T3055" s="180" t="s">
        <v>62</v>
      </c>
    </row>
    <row r="3056" spans="1:20" x14ac:dyDescent="0.25">
      <c r="A3056" s="20">
        <v>42153</v>
      </c>
      <c r="B3056" s="183">
        <v>22630</v>
      </c>
      <c r="C3056" s="14" t="s">
        <v>176</v>
      </c>
      <c r="D3056" s="103">
        <v>12393.6</v>
      </c>
      <c r="E3056" s="30">
        <v>42160</v>
      </c>
      <c r="F3056" s="144">
        <v>12393.6</v>
      </c>
      <c r="G3056" s="31">
        <f t="shared" si="94"/>
        <v>0</v>
      </c>
      <c r="H3056" s="132" t="s">
        <v>62</v>
      </c>
      <c r="I3056" s="3"/>
      <c r="J3056" s="42"/>
      <c r="K3056" s="3"/>
      <c r="M3056" s="20">
        <v>42146</v>
      </c>
      <c r="N3056" s="183">
        <v>21886</v>
      </c>
      <c r="O3056" s="14" t="s">
        <v>78</v>
      </c>
      <c r="P3056" s="103">
        <v>10134.6</v>
      </c>
      <c r="Q3056" s="23">
        <v>42148</v>
      </c>
      <c r="R3056" s="106">
        <v>10134.6</v>
      </c>
      <c r="S3056" s="31">
        <f t="shared" si="95"/>
        <v>0</v>
      </c>
      <c r="T3056" s="132" t="s">
        <v>62</v>
      </c>
    </row>
    <row r="3057" spans="1:20" x14ac:dyDescent="0.25">
      <c r="A3057" s="20">
        <v>42153</v>
      </c>
      <c r="B3057" s="183">
        <v>22631</v>
      </c>
      <c r="C3057" s="14" t="s">
        <v>61</v>
      </c>
      <c r="D3057" s="103">
        <v>4108.2</v>
      </c>
      <c r="E3057" s="23">
        <v>42155</v>
      </c>
      <c r="F3057" s="106">
        <v>4108.2</v>
      </c>
      <c r="G3057" s="31">
        <f t="shared" si="94"/>
        <v>0</v>
      </c>
      <c r="H3057" s="132" t="s">
        <v>62</v>
      </c>
      <c r="I3057" s="3"/>
      <c r="J3057" s="42"/>
      <c r="K3057" s="3"/>
      <c r="M3057" s="20">
        <v>42146</v>
      </c>
      <c r="N3057" s="183">
        <v>21916</v>
      </c>
      <c r="O3057" s="14" t="s">
        <v>78</v>
      </c>
      <c r="P3057" s="103">
        <v>663</v>
      </c>
      <c r="Q3057" s="23">
        <v>42148</v>
      </c>
      <c r="R3057" s="106">
        <v>663</v>
      </c>
      <c r="S3057" s="31">
        <f t="shared" si="95"/>
        <v>0</v>
      </c>
      <c r="T3057" s="132" t="s">
        <v>62</v>
      </c>
    </row>
    <row r="3058" spans="1:20" x14ac:dyDescent="0.25">
      <c r="A3058" s="20">
        <v>42153</v>
      </c>
      <c r="B3058" s="183">
        <v>22632</v>
      </c>
      <c r="C3058" s="14" t="s">
        <v>61</v>
      </c>
      <c r="D3058" s="103">
        <v>3838.02</v>
      </c>
      <c r="E3058" s="23">
        <v>42155</v>
      </c>
      <c r="F3058" s="106">
        <v>3838.02</v>
      </c>
      <c r="G3058" s="31">
        <f t="shared" si="94"/>
        <v>0</v>
      </c>
      <c r="H3058" s="132" t="s">
        <v>62</v>
      </c>
      <c r="I3058" s="3"/>
      <c r="J3058" s="42"/>
      <c r="K3058" s="3"/>
      <c r="M3058" s="20">
        <v>42149</v>
      </c>
      <c r="N3058" s="183">
        <v>22194</v>
      </c>
      <c r="O3058" s="14" t="s">
        <v>78</v>
      </c>
      <c r="P3058" s="103">
        <v>8921.6</v>
      </c>
      <c r="Q3058" s="65">
        <v>42150</v>
      </c>
      <c r="R3058" s="106">
        <v>8921.6</v>
      </c>
      <c r="S3058" s="31">
        <f t="shared" si="95"/>
        <v>0</v>
      </c>
      <c r="T3058" s="132" t="s">
        <v>9</v>
      </c>
    </row>
    <row r="3059" spans="1:20" x14ac:dyDescent="0.25">
      <c r="A3059" s="20">
        <v>42153</v>
      </c>
      <c r="B3059" s="183">
        <v>22633</v>
      </c>
      <c r="C3059" s="14" t="s">
        <v>111</v>
      </c>
      <c r="D3059" s="103">
        <v>287669</v>
      </c>
      <c r="E3059" s="23">
        <v>42154</v>
      </c>
      <c r="F3059" s="106">
        <v>287669</v>
      </c>
      <c r="G3059" s="31">
        <f t="shared" si="94"/>
        <v>0</v>
      </c>
      <c r="H3059" s="132" t="s">
        <v>9</v>
      </c>
      <c r="I3059" s="3"/>
      <c r="J3059" s="42"/>
      <c r="K3059" s="3"/>
      <c r="M3059" s="20">
        <v>42151</v>
      </c>
      <c r="N3059" s="183">
        <v>22386</v>
      </c>
      <c r="O3059" s="14" t="s">
        <v>78</v>
      </c>
      <c r="P3059" s="103">
        <v>6653.4</v>
      </c>
      <c r="Q3059" s="23">
        <v>42152</v>
      </c>
      <c r="R3059" s="106">
        <v>6653.4</v>
      </c>
      <c r="S3059" s="31">
        <f t="shared" si="95"/>
        <v>0</v>
      </c>
      <c r="T3059" s="132" t="s">
        <v>62</v>
      </c>
    </row>
    <row r="3060" spans="1:20" x14ac:dyDescent="0.25">
      <c r="A3060" s="20">
        <v>42153</v>
      </c>
      <c r="B3060" s="183">
        <v>22634</v>
      </c>
      <c r="C3060" s="14" t="s">
        <v>173</v>
      </c>
      <c r="D3060" s="103">
        <v>35532</v>
      </c>
      <c r="E3060" s="30" t="s">
        <v>1468</v>
      </c>
      <c r="F3060" s="144">
        <v>35532</v>
      </c>
      <c r="G3060" s="31">
        <f t="shared" si="94"/>
        <v>0</v>
      </c>
      <c r="H3060" s="132" t="s">
        <v>62</v>
      </c>
      <c r="I3060" s="3"/>
      <c r="J3060" s="42"/>
      <c r="K3060" s="3"/>
      <c r="M3060" s="20">
        <v>42151</v>
      </c>
      <c r="N3060" s="183">
        <v>22405</v>
      </c>
      <c r="O3060" s="150" t="s">
        <v>78</v>
      </c>
      <c r="P3060" s="103">
        <v>978.9</v>
      </c>
      <c r="Q3060" s="23">
        <v>42152</v>
      </c>
      <c r="R3060" s="106">
        <v>978.9</v>
      </c>
      <c r="S3060" s="31">
        <f t="shared" si="95"/>
        <v>0</v>
      </c>
      <c r="T3060" s="132" t="s">
        <v>62</v>
      </c>
    </row>
    <row r="3061" spans="1:20" x14ac:dyDescent="0.25">
      <c r="A3061" s="20">
        <v>42153</v>
      </c>
      <c r="B3061" s="183">
        <v>22635</v>
      </c>
      <c r="C3061" s="14" t="s">
        <v>66</v>
      </c>
      <c r="D3061" s="103">
        <v>2265.3000000000002</v>
      </c>
      <c r="E3061" s="23">
        <v>42153</v>
      </c>
      <c r="F3061" s="106">
        <v>2265.3000000000002</v>
      </c>
      <c r="G3061" s="31">
        <f t="shared" si="94"/>
        <v>0</v>
      </c>
      <c r="H3061" s="132" t="s">
        <v>9</v>
      </c>
      <c r="I3061" s="3"/>
      <c r="J3061" s="42"/>
      <c r="K3061" s="3"/>
      <c r="M3061" s="20">
        <v>42153</v>
      </c>
      <c r="N3061" s="183">
        <v>22614</v>
      </c>
      <c r="O3061" s="14" t="s">
        <v>78</v>
      </c>
      <c r="P3061" s="103">
        <v>9595.7999999999993</v>
      </c>
      <c r="Q3061" s="23">
        <v>42155</v>
      </c>
      <c r="R3061" s="106">
        <v>9595.7999999999993</v>
      </c>
      <c r="S3061" s="31">
        <f t="shared" si="95"/>
        <v>0</v>
      </c>
      <c r="T3061" s="132" t="s">
        <v>62</v>
      </c>
    </row>
    <row r="3062" spans="1:20" x14ac:dyDescent="0.25">
      <c r="A3062" s="20">
        <v>42153</v>
      </c>
      <c r="B3062" s="183">
        <v>22636</v>
      </c>
      <c r="C3062" s="14" t="s">
        <v>1058</v>
      </c>
      <c r="D3062" s="103">
        <v>3046.4</v>
      </c>
      <c r="E3062" s="23">
        <v>42153</v>
      </c>
      <c r="F3062" s="106">
        <v>3046.4</v>
      </c>
      <c r="G3062" s="31">
        <f t="shared" si="94"/>
        <v>0</v>
      </c>
      <c r="H3062" s="132" t="s">
        <v>9</v>
      </c>
      <c r="I3062" s="3"/>
      <c r="J3062" s="42"/>
      <c r="K3062" s="3"/>
      <c r="M3062" s="20">
        <v>42153</v>
      </c>
      <c r="N3062" s="183">
        <v>22621</v>
      </c>
      <c r="O3062" s="14" t="s">
        <v>78</v>
      </c>
      <c r="P3062" s="103">
        <v>1321.1</v>
      </c>
      <c r="Q3062" s="23">
        <v>42155</v>
      </c>
      <c r="R3062" s="106">
        <v>1321.1</v>
      </c>
      <c r="S3062" s="31">
        <f t="shared" si="95"/>
        <v>0</v>
      </c>
      <c r="T3062" s="132" t="s">
        <v>62</v>
      </c>
    </row>
    <row r="3063" spans="1:20" x14ac:dyDescent="0.25">
      <c r="A3063" s="20">
        <v>42153</v>
      </c>
      <c r="B3063" s="183">
        <v>22637</v>
      </c>
      <c r="C3063" s="14" t="s">
        <v>136</v>
      </c>
      <c r="D3063" s="103">
        <v>19679.400000000001</v>
      </c>
      <c r="E3063" s="23">
        <v>42153</v>
      </c>
      <c r="F3063" s="106">
        <v>19679.400000000001</v>
      </c>
      <c r="G3063" s="31">
        <f t="shared" si="94"/>
        <v>0</v>
      </c>
      <c r="H3063" s="132" t="s">
        <v>9</v>
      </c>
      <c r="I3063" s="3"/>
      <c r="J3063" s="42"/>
      <c r="K3063" s="3"/>
      <c r="M3063" s="20">
        <v>42128</v>
      </c>
      <c r="N3063" s="183">
        <v>19909</v>
      </c>
      <c r="O3063" s="14" t="s">
        <v>23</v>
      </c>
      <c r="P3063" s="103">
        <v>2355.8000000000002</v>
      </c>
      <c r="Q3063" s="23">
        <v>42128</v>
      </c>
      <c r="R3063" s="106">
        <v>2355.8000000000002</v>
      </c>
      <c r="S3063" s="31">
        <f t="shared" si="95"/>
        <v>0</v>
      </c>
      <c r="T3063" s="209" t="s">
        <v>9</v>
      </c>
    </row>
    <row r="3064" spans="1:20" x14ac:dyDescent="0.25">
      <c r="A3064" s="20">
        <v>42153</v>
      </c>
      <c r="B3064" s="183">
        <v>22638</v>
      </c>
      <c r="C3064" s="14" t="s">
        <v>1058</v>
      </c>
      <c r="D3064" s="103">
        <v>1484.7</v>
      </c>
      <c r="E3064" s="23">
        <v>42153</v>
      </c>
      <c r="F3064" s="106">
        <v>1484.7</v>
      </c>
      <c r="G3064" s="31">
        <f t="shared" si="94"/>
        <v>0</v>
      </c>
      <c r="H3064" s="132" t="s">
        <v>9</v>
      </c>
      <c r="I3064" s="3"/>
      <c r="J3064" s="42"/>
      <c r="K3064" s="3"/>
      <c r="M3064" s="20">
        <v>42130</v>
      </c>
      <c r="N3064" s="183">
        <v>20126</v>
      </c>
      <c r="O3064" s="14" t="s">
        <v>23</v>
      </c>
      <c r="P3064" s="103">
        <v>4871.84</v>
      </c>
      <c r="Q3064" s="23">
        <v>42130</v>
      </c>
      <c r="R3064" s="106">
        <v>4871.84</v>
      </c>
      <c r="S3064" s="31">
        <f t="shared" si="95"/>
        <v>0</v>
      </c>
      <c r="T3064" s="132" t="s">
        <v>9</v>
      </c>
    </row>
    <row r="3065" spans="1:20" x14ac:dyDescent="0.25">
      <c r="A3065" s="20">
        <v>42153</v>
      </c>
      <c r="B3065" s="183">
        <v>22639</v>
      </c>
      <c r="C3065" s="14" t="s">
        <v>102</v>
      </c>
      <c r="D3065" s="103">
        <v>2268</v>
      </c>
      <c r="E3065" s="23">
        <v>42153</v>
      </c>
      <c r="F3065" s="106">
        <v>2268</v>
      </c>
      <c r="G3065" s="31">
        <f t="shared" si="94"/>
        <v>0</v>
      </c>
      <c r="H3065" s="132" t="s">
        <v>9</v>
      </c>
      <c r="I3065" s="3"/>
      <c r="J3065" s="42"/>
      <c r="K3065" s="3"/>
      <c r="M3065" s="20">
        <v>42133</v>
      </c>
      <c r="N3065" s="183">
        <v>20500</v>
      </c>
      <c r="O3065" s="14" t="s">
        <v>23</v>
      </c>
      <c r="P3065" s="103">
        <v>2791.95</v>
      </c>
      <c r="Q3065" s="23">
        <v>42133</v>
      </c>
      <c r="R3065" s="106">
        <v>2791.95</v>
      </c>
      <c r="S3065" s="31">
        <f t="shared" si="95"/>
        <v>0</v>
      </c>
      <c r="T3065" s="209" t="s">
        <v>9</v>
      </c>
    </row>
    <row r="3066" spans="1:20" x14ac:dyDescent="0.25">
      <c r="A3066" s="20">
        <v>42153</v>
      </c>
      <c r="B3066" s="183">
        <v>22640</v>
      </c>
      <c r="C3066" s="14" t="s">
        <v>102</v>
      </c>
      <c r="D3066" s="103">
        <v>622.29999999999995</v>
      </c>
      <c r="E3066" s="23">
        <v>42153</v>
      </c>
      <c r="F3066" s="106">
        <v>622.29999999999995</v>
      </c>
      <c r="G3066" s="31">
        <f t="shared" si="94"/>
        <v>0</v>
      </c>
      <c r="H3066" s="132" t="s">
        <v>9</v>
      </c>
      <c r="I3066" s="3"/>
      <c r="J3066" s="42"/>
      <c r="K3066" s="3"/>
      <c r="M3066" s="20">
        <v>42135</v>
      </c>
      <c r="N3066" s="183">
        <v>20680</v>
      </c>
      <c r="O3066" s="14" t="s">
        <v>23</v>
      </c>
      <c r="P3066" s="103">
        <v>1458</v>
      </c>
      <c r="Q3066" s="23">
        <v>42135</v>
      </c>
      <c r="R3066" s="106">
        <v>1458</v>
      </c>
      <c r="S3066" s="31">
        <f t="shared" si="95"/>
        <v>0</v>
      </c>
      <c r="T3066" s="132" t="s">
        <v>9</v>
      </c>
    </row>
    <row r="3067" spans="1:20" x14ac:dyDescent="0.25">
      <c r="A3067" s="20">
        <v>42153</v>
      </c>
      <c r="B3067" s="183">
        <v>22641</v>
      </c>
      <c r="C3067" s="14" t="s">
        <v>1285</v>
      </c>
      <c r="D3067" s="103">
        <v>53905.2</v>
      </c>
      <c r="E3067" s="23">
        <v>42154</v>
      </c>
      <c r="F3067" s="106">
        <v>53905.2</v>
      </c>
      <c r="G3067" s="31">
        <f t="shared" si="94"/>
        <v>0</v>
      </c>
      <c r="H3067" s="132" t="s">
        <v>1257</v>
      </c>
      <c r="I3067" s="3"/>
      <c r="J3067" s="42"/>
      <c r="K3067" s="3"/>
      <c r="M3067" s="20">
        <v>42137</v>
      </c>
      <c r="N3067" s="183">
        <v>20882</v>
      </c>
      <c r="O3067" s="14" t="s">
        <v>23</v>
      </c>
      <c r="P3067" s="103">
        <v>2876</v>
      </c>
      <c r="Q3067" s="23">
        <v>42137</v>
      </c>
      <c r="R3067" s="106">
        <v>2876</v>
      </c>
      <c r="S3067" s="31">
        <f t="shared" si="95"/>
        <v>0</v>
      </c>
      <c r="T3067" s="132" t="s">
        <v>9</v>
      </c>
    </row>
    <row r="3068" spans="1:20" x14ac:dyDescent="0.25">
      <c r="A3068" s="20">
        <v>42153</v>
      </c>
      <c r="B3068" s="183">
        <v>22642</v>
      </c>
      <c r="C3068" s="14" t="s">
        <v>720</v>
      </c>
      <c r="D3068" s="103">
        <v>3055.2</v>
      </c>
      <c r="E3068" s="23">
        <v>42153</v>
      </c>
      <c r="F3068" s="106">
        <v>3055.2</v>
      </c>
      <c r="G3068" s="31">
        <f t="shared" si="94"/>
        <v>0</v>
      </c>
      <c r="H3068" s="132" t="s">
        <v>9</v>
      </c>
      <c r="I3068" s="3"/>
      <c r="J3068" s="42"/>
      <c r="K3068" s="3"/>
      <c r="M3068" s="20">
        <v>42139</v>
      </c>
      <c r="N3068" s="183">
        <v>21115</v>
      </c>
      <c r="O3068" s="14" t="s">
        <v>23</v>
      </c>
      <c r="P3068" s="103">
        <v>5428.8</v>
      </c>
      <c r="Q3068" s="23">
        <v>42139</v>
      </c>
      <c r="R3068" s="106">
        <v>5428.8</v>
      </c>
      <c r="S3068" s="48">
        <f t="shared" si="95"/>
        <v>0</v>
      </c>
      <c r="T3068" s="132" t="s">
        <v>9</v>
      </c>
    </row>
    <row r="3069" spans="1:20" x14ac:dyDescent="0.25">
      <c r="A3069" s="20">
        <v>42153</v>
      </c>
      <c r="B3069" s="183">
        <v>22643</v>
      </c>
      <c r="C3069" s="14" t="s">
        <v>215</v>
      </c>
      <c r="D3069" s="103">
        <v>15042</v>
      </c>
      <c r="E3069" s="23">
        <v>42153</v>
      </c>
      <c r="F3069" s="106">
        <v>15042</v>
      </c>
      <c r="G3069" s="31">
        <f t="shared" si="94"/>
        <v>0</v>
      </c>
      <c r="H3069" s="132" t="s">
        <v>9</v>
      </c>
      <c r="I3069" s="3"/>
      <c r="J3069" s="42"/>
      <c r="K3069" s="3"/>
      <c r="M3069" s="20">
        <v>42144</v>
      </c>
      <c r="N3069" s="183">
        <v>21643</v>
      </c>
      <c r="O3069" s="14" t="s">
        <v>23</v>
      </c>
      <c r="P3069" s="103">
        <v>4931.2</v>
      </c>
      <c r="Q3069" s="23">
        <v>42144</v>
      </c>
      <c r="R3069" s="118">
        <v>4931.2</v>
      </c>
      <c r="S3069" s="31">
        <f t="shared" si="95"/>
        <v>0</v>
      </c>
      <c r="T3069" s="180" t="s">
        <v>9</v>
      </c>
    </row>
    <row r="3070" spans="1:20" x14ac:dyDescent="0.25">
      <c r="A3070" s="20">
        <v>42153</v>
      </c>
      <c r="B3070" s="183">
        <v>22644</v>
      </c>
      <c r="C3070" s="14" t="s">
        <v>47</v>
      </c>
      <c r="D3070" s="103">
        <v>35561.199999999997</v>
      </c>
      <c r="E3070" s="30">
        <v>42156</v>
      </c>
      <c r="F3070" s="144">
        <v>35561.199999999997</v>
      </c>
      <c r="G3070" s="31">
        <f t="shared" si="94"/>
        <v>0</v>
      </c>
      <c r="H3070" s="132" t="s">
        <v>1273</v>
      </c>
      <c r="I3070" s="3"/>
      <c r="J3070" s="42"/>
      <c r="K3070" s="3"/>
      <c r="M3070" s="20">
        <v>42148</v>
      </c>
      <c r="N3070" s="183">
        <v>22083</v>
      </c>
      <c r="O3070" s="14" t="s">
        <v>23</v>
      </c>
      <c r="P3070" s="103">
        <v>2956.84</v>
      </c>
      <c r="Q3070" s="65">
        <v>42148</v>
      </c>
      <c r="R3070" s="106">
        <v>2956.84</v>
      </c>
      <c r="S3070" s="31">
        <f t="shared" si="95"/>
        <v>0</v>
      </c>
      <c r="T3070" s="132" t="s">
        <v>9</v>
      </c>
    </row>
    <row r="3071" spans="1:20" x14ac:dyDescent="0.25">
      <c r="A3071" s="20">
        <v>42153</v>
      </c>
      <c r="B3071" s="183">
        <v>22645</v>
      </c>
      <c r="C3071" s="14" t="s">
        <v>56</v>
      </c>
      <c r="D3071" s="103">
        <v>4329.6000000000004</v>
      </c>
      <c r="E3071" s="23">
        <v>42154</v>
      </c>
      <c r="F3071" s="106">
        <v>4329.6000000000004</v>
      </c>
      <c r="G3071" s="31">
        <f t="shared" si="94"/>
        <v>0</v>
      </c>
      <c r="H3071" s="132" t="s">
        <v>773</v>
      </c>
      <c r="I3071" s="3"/>
      <c r="J3071" s="42"/>
      <c r="K3071" s="3"/>
      <c r="M3071" s="20">
        <v>42151</v>
      </c>
      <c r="N3071" s="183">
        <v>22351</v>
      </c>
      <c r="O3071" s="14" t="s">
        <v>23</v>
      </c>
      <c r="P3071" s="103">
        <v>3709.2</v>
      </c>
      <c r="Q3071" s="65">
        <v>42151</v>
      </c>
      <c r="R3071" s="106">
        <v>3709.2</v>
      </c>
      <c r="S3071" s="31">
        <f t="shared" si="95"/>
        <v>0</v>
      </c>
      <c r="T3071" s="132" t="s">
        <v>9</v>
      </c>
    </row>
    <row r="3072" spans="1:20" x14ac:dyDescent="0.25">
      <c r="A3072" s="20">
        <v>42153</v>
      </c>
      <c r="B3072" s="183">
        <v>22646</v>
      </c>
      <c r="C3072" s="14" t="s">
        <v>256</v>
      </c>
      <c r="D3072" s="103">
        <v>9604.44</v>
      </c>
      <c r="E3072" s="23">
        <v>42154</v>
      </c>
      <c r="F3072" s="106">
        <v>9604.44</v>
      </c>
      <c r="G3072" s="31">
        <f t="shared" si="94"/>
        <v>0</v>
      </c>
      <c r="H3072" s="132" t="s">
        <v>773</v>
      </c>
      <c r="I3072" s="3"/>
      <c r="J3072" s="42"/>
      <c r="K3072" s="3"/>
      <c r="M3072" s="20">
        <v>42152</v>
      </c>
      <c r="N3072" s="183">
        <v>22451</v>
      </c>
      <c r="O3072" s="14" t="s">
        <v>23</v>
      </c>
      <c r="P3072" s="103">
        <v>4529.6000000000004</v>
      </c>
      <c r="Q3072" s="23">
        <v>42152</v>
      </c>
      <c r="R3072" s="106">
        <v>4529.6000000000004</v>
      </c>
      <c r="S3072" s="31">
        <f t="shared" si="95"/>
        <v>0</v>
      </c>
      <c r="T3072" s="132" t="s">
        <v>9</v>
      </c>
    </row>
    <row r="3073" spans="1:20" x14ac:dyDescent="0.25">
      <c r="A3073" s="20">
        <v>42153</v>
      </c>
      <c r="B3073" s="183">
        <v>22647</v>
      </c>
      <c r="C3073" s="14" t="s">
        <v>35</v>
      </c>
      <c r="D3073" s="103">
        <v>26624.9</v>
      </c>
      <c r="E3073" s="23">
        <v>42154</v>
      </c>
      <c r="F3073" s="106">
        <v>26624.9</v>
      </c>
      <c r="G3073" s="31">
        <f t="shared" si="94"/>
        <v>0</v>
      </c>
      <c r="H3073" s="132" t="s">
        <v>773</v>
      </c>
      <c r="I3073" s="3"/>
      <c r="J3073" s="42"/>
      <c r="K3073" s="3"/>
      <c r="M3073" s="20">
        <v>42153</v>
      </c>
      <c r="N3073" s="183">
        <v>22566</v>
      </c>
      <c r="O3073" s="14" t="s">
        <v>23</v>
      </c>
      <c r="P3073" s="103">
        <v>3491.4</v>
      </c>
      <c r="Q3073" s="23">
        <v>42153</v>
      </c>
      <c r="R3073" s="106">
        <v>3491.4</v>
      </c>
      <c r="S3073" s="31">
        <f t="shared" si="95"/>
        <v>0</v>
      </c>
      <c r="T3073" s="132" t="s">
        <v>9</v>
      </c>
    </row>
    <row r="3074" spans="1:20" x14ac:dyDescent="0.25">
      <c r="A3074" s="20">
        <v>42153</v>
      </c>
      <c r="B3074" s="183">
        <v>22648</v>
      </c>
      <c r="C3074" s="14" t="s">
        <v>334</v>
      </c>
      <c r="D3074" s="103">
        <v>2152</v>
      </c>
      <c r="E3074" s="23">
        <v>42154</v>
      </c>
      <c r="F3074" s="106">
        <v>2152</v>
      </c>
      <c r="G3074" s="31">
        <f t="shared" si="94"/>
        <v>0</v>
      </c>
      <c r="H3074" s="132" t="s">
        <v>9</v>
      </c>
      <c r="I3074" s="3"/>
      <c r="J3074" s="42"/>
      <c r="K3074" s="3"/>
      <c r="M3074" s="20">
        <v>42154</v>
      </c>
      <c r="N3074" s="183">
        <v>22707</v>
      </c>
      <c r="O3074" s="14" t="s">
        <v>23</v>
      </c>
      <c r="P3074" s="103">
        <v>11817.6</v>
      </c>
      <c r="Q3074" s="23">
        <v>42154</v>
      </c>
      <c r="R3074" s="106">
        <v>11817.6</v>
      </c>
      <c r="S3074" s="31">
        <f t="shared" si="95"/>
        <v>0</v>
      </c>
      <c r="T3074" s="132" t="s">
        <v>9</v>
      </c>
    </row>
    <row r="3075" spans="1:20" x14ac:dyDescent="0.25">
      <c r="A3075" s="20">
        <v>42153</v>
      </c>
      <c r="B3075" s="183">
        <v>22649</v>
      </c>
      <c r="C3075" s="14" t="s">
        <v>125</v>
      </c>
      <c r="D3075" s="103">
        <v>915.6</v>
      </c>
      <c r="E3075" s="23">
        <v>42153</v>
      </c>
      <c r="F3075" s="106">
        <v>915.6</v>
      </c>
      <c r="G3075" s="31">
        <f t="shared" si="94"/>
        <v>0</v>
      </c>
      <c r="H3075" s="132" t="s">
        <v>9</v>
      </c>
      <c r="I3075" s="3"/>
      <c r="J3075" s="42"/>
      <c r="K3075" s="3"/>
      <c r="M3075" s="20">
        <v>42127</v>
      </c>
      <c r="N3075" s="183">
        <v>19852</v>
      </c>
      <c r="O3075" s="40" t="s">
        <v>152</v>
      </c>
      <c r="P3075" s="103">
        <v>8983.2000000000007</v>
      </c>
      <c r="Q3075" s="23">
        <v>42127</v>
      </c>
      <c r="R3075" s="106">
        <v>8983.2000000000007</v>
      </c>
      <c r="S3075" s="31">
        <f t="shared" ref="S3075:S3138" si="96">P3075-R3075</f>
        <v>0</v>
      </c>
      <c r="T3075" s="210" t="s">
        <v>59</v>
      </c>
    </row>
    <row r="3076" spans="1:20" x14ac:dyDescent="0.25">
      <c r="A3076" s="20">
        <v>42153</v>
      </c>
      <c r="B3076" s="183">
        <v>22650</v>
      </c>
      <c r="C3076" s="14" t="s">
        <v>112</v>
      </c>
      <c r="D3076" s="103">
        <v>36707</v>
      </c>
      <c r="E3076" s="212" t="s">
        <v>1444</v>
      </c>
      <c r="F3076" s="144">
        <f>22000+14707</f>
        <v>36707</v>
      </c>
      <c r="G3076" s="31">
        <f t="shared" si="94"/>
        <v>0</v>
      </c>
      <c r="H3076" s="132" t="s">
        <v>9</v>
      </c>
      <c r="I3076" s="3"/>
      <c r="J3076" s="42"/>
      <c r="K3076" s="3"/>
      <c r="M3076" s="20">
        <v>42131</v>
      </c>
      <c r="N3076" s="183">
        <v>20252</v>
      </c>
      <c r="O3076" s="14" t="s">
        <v>152</v>
      </c>
      <c r="P3076" s="103">
        <v>294.39999999999998</v>
      </c>
      <c r="Q3076" s="23">
        <v>42131</v>
      </c>
      <c r="R3076" s="106">
        <v>294.39999999999998</v>
      </c>
      <c r="S3076" s="31">
        <f t="shared" si="96"/>
        <v>0</v>
      </c>
      <c r="T3076" s="209" t="s">
        <v>59</v>
      </c>
    </row>
    <row r="3077" spans="1:20" x14ac:dyDescent="0.25">
      <c r="A3077" s="20">
        <v>42153</v>
      </c>
      <c r="B3077" s="183">
        <v>22651</v>
      </c>
      <c r="C3077" s="14" t="s">
        <v>112</v>
      </c>
      <c r="D3077" s="103">
        <v>1728</v>
      </c>
      <c r="E3077" s="30">
        <v>42156</v>
      </c>
      <c r="F3077" s="144">
        <v>1728</v>
      </c>
      <c r="G3077" s="31">
        <f t="shared" si="94"/>
        <v>0</v>
      </c>
      <c r="H3077" s="132" t="s">
        <v>9</v>
      </c>
      <c r="I3077" s="3"/>
      <c r="J3077" s="42"/>
      <c r="K3077" s="3"/>
      <c r="M3077" s="20">
        <v>42134</v>
      </c>
      <c r="N3077" s="183">
        <v>20622</v>
      </c>
      <c r="O3077" s="14" t="s">
        <v>152</v>
      </c>
      <c r="P3077" s="103">
        <v>9426.6</v>
      </c>
      <c r="Q3077" s="23">
        <v>42134</v>
      </c>
      <c r="R3077" s="118">
        <v>9426.6</v>
      </c>
      <c r="S3077" s="31">
        <f t="shared" si="96"/>
        <v>0</v>
      </c>
      <c r="T3077" s="28" t="s">
        <v>59</v>
      </c>
    </row>
    <row r="3078" spans="1:20" x14ac:dyDescent="0.25">
      <c r="A3078" s="20">
        <v>42153</v>
      </c>
      <c r="B3078" s="183">
        <v>22652</v>
      </c>
      <c r="C3078" s="14" t="s">
        <v>265</v>
      </c>
      <c r="D3078" s="103">
        <v>1067.5</v>
      </c>
      <c r="E3078" s="23">
        <v>42153</v>
      </c>
      <c r="F3078" s="106">
        <v>1067.5</v>
      </c>
      <c r="G3078" s="31">
        <f t="shared" si="94"/>
        <v>0</v>
      </c>
      <c r="H3078" s="132" t="s">
        <v>9</v>
      </c>
      <c r="I3078" s="3"/>
      <c r="J3078" s="42"/>
      <c r="K3078" s="3"/>
      <c r="M3078" s="20">
        <v>42141</v>
      </c>
      <c r="N3078" s="183">
        <v>21334</v>
      </c>
      <c r="O3078" s="14" t="s">
        <v>152</v>
      </c>
      <c r="P3078" s="103">
        <v>9708.6</v>
      </c>
      <c r="Q3078" s="23">
        <v>42142</v>
      </c>
      <c r="R3078" s="118">
        <v>9708.6</v>
      </c>
      <c r="S3078" s="31">
        <f t="shared" si="96"/>
        <v>0</v>
      </c>
      <c r="T3078" s="180" t="s">
        <v>59</v>
      </c>
    </row>
    <row r="3079" spans="1:20" x14ac:dyDescent="0.25">
      <c r="A3079" s="20">
        <v>42153</v>
      </c>
      <c r="B3079" s="183">
        <v>22653</v>
      </c>
      <c r="C3079" s="14" t="s">
        <v>86</v>
      </c>
      <c r="D3079" s="103">
        <v>366</v>
      </c>
      <c r="E3079" s="23">
        <v>42153</v>
      </c>
      <c r="F3079" s="106">
        <v>366</v>
      </c>
      <c r="G3079" s="31">
        <f t="shared" si="94"/>
        <v>0</v>
      </c>
      <c r="H3079" s="132" t="s">
        <v>9</v>
      </c>
      <c r="I3079" s="3"/>
      <c r="J3079" s="42"/>
      <c r="K3079" s="3"/>
      <c r="M3079" s="20">
        <v>42144</v>
      </c>
      <c r="N3079" s="183">
        <v>21661</v>
      </c>
      <c r="O3079" s="14" t="s">
        <v>152</v>
      </c>
      <c r="P3079" s="103">
        <v>4261.3999999999996</v>
      </c>
      <c r="Q3079" s="23">
        <v>42145</v>
      </c>
      <c r="R3079" s="118">
        <v>4261.3999999999996</v>
      </c>
      <c r="S3079" s="31">
        <f t="shared" si="96"/>
        <v>0</v>
      </c>
      <c r="T3079" s="180" t="s">
        <v>1257</v>
      </c>
    </row>
    <row r="3080" spans="1:20" x14ac:dyDescent="0.25">
      <c r="A3080" s="20">
        <v>42153</v>
      </c>
      <c r="B3080" s="183">
        <v>22654</v>
      </c>
      <c r="C3080" s="14" t="s">
        <v>1262</v>
      </c>
      <c r="D3080" s="103">
        <v>29858</v>
      </c>
      <c r="E3080" s="212" t="s">
        <v>1472</v>
      </c>
      <c r="F3080" s="144">
        <f>29349.6+508.4</f>
        <v>29858</v>
      </c>
      <c r="G3080" s="31">
        <f t="shared" si="94"/>
        <v>0</v>
      </c>
      <c r="H3080" s="132" t="s">
        <v>1013</v>
      </c>
      <c r="I3080" s="3"/>
      <c r="J3080" s="42"/>
      <c r="K3080" s="3"/>
      <c r="M3080" s="20">
        <v>42148</v>
      </c>
      <c r="N3080" s="183">
        <v>22094</v>
      </c>
      <c r="O3080" s="14" t="s">
        <v>152</v>
      </c>
      <c r="P3080" s="103">
        <v>9813.2000000000007</v>
      </c>
      <c r="Q3080" s="65">
        <v>42148</v>
      </c>
      <c r="R3080" s="106">
        <v>9813.2000000000007</v>
      </c>
      <c r="S3080" s="31">
        <f t="shared" si="96"/>
        <v>0</v>
      </c>
      <c r="T3080" s="132" t="s">
        <v>9</v>
      </c>
    </row>
    <row r="3081" spans="1:20" x14ac:dyDescent="0.25">
      <c r="A3081" s="20">
        <v>42153</v>
      </c>
      <c r="B3081" s="183">
        <v>22655</v>
      </c>
      <c r="C3081" s="14" t="s">
        <v>59</v>
      </c>
      <c r="D3081" s="103">
        <v>1390.8</v>
      </c>
      <c r="E3081" s="23">
        <v>42154</v>
      </c>
      <c r="F3081" s="106">
        <v>1390.8</v>
      </c>
      <c r="G3081" s="31">
        <f t="shared" si="94"/>
        <v>0</v>
      </c>
      <c r="H3081" s="132" t="s">
        <v>9</v>
      </c>
      <c r="I3081" s="3"/>
      <c r="J3081" s="42"/>
      <c r="K3081" s="3"/>
      <c r="M3081" s="20">
        <v>42152</v>
      </c>
      <c r="N3081" s="183">
        <v>22460</v>
      </c>
      <c r="O3081" s="14" t="s">
        <v>152</v>
      </c>
      <c r="P3081" s="103">
        <v>886.2</v>
      </c>
      <c r="Q3081" s="23">
        <v>42152</v>
      </c>
      <c r="R3081" s="106">
        <v>886.2</v>
      </c>
      <c r="S3081" s="31">
        <f t="shared" si="96"/>
        <v>0</v>
      </c>
      <c r="T3081" s="132" t="s">
        <v>59</v>
      </c>
    </row>
    <row r="3082" spans="1:20" x14ac:dyDescent="0.25">
      <c r="A3082" s="20">
        <v>42153</v>
      </c>
      <c r="B3082" s="183">
        <v>22656</v>
      </c>
      <c r="C3082" s="14" t="s">
        <v>1182</v>
      </c>
      <c r="D3082" s="103">
        <v>11177.6</v>
      </c>
      <c r="E3082" s="23">
        <v>42153</v>
      </c>
      <c r="F3082" s="106">
        <v>11177.6</v>
      </c>
      <c r="G3082" s="31">
        <f t="shared" si="94"/>
        <v>0</v>
      </c>
      <c r="H3082" s="132" t="s">
        <v>9</v>
      </c>
      <c r="I3082" s="3"/>
      <c r="J3082" s="42"/>
      <c r="K3082" s="3"/>
      <c r="M3082" s="20">
        <v>42155</v>
      </c>
      <c r="N3082" s="183">
        <v>22826</v>
      </c>
      <c r="O3082" s="14" t="s">
        <v>152</v>
      </c>
      <c r="P3082" s="103">
        <v>10111.700000000001</v>
      </c>
      <c r="Q3082" s="23">
        <v>42155</v>
      </c>
      <c r="R3082" s="106">
        <v>10111.700000000001</v>
      </c>
      <c r="S3082" s="31">
        <f t="shared" si="96"/>
        <v>0</v>
      </c>
      <c r="T3082" s="132" t="s">
        <v>59</v>
      </c>
    </row>
    <row r="3083" spans="1:20" x14ac:dyDescent="0.25">
      <c r="A3083" s="20">
        <v>42153</v>
      </c>
      <c r="B3083" s="183">
        <v>22657</v>
      </c>
      <c r="C3083" s="14" t="s">
        <v>80</v>
      </c>
      <c r="D3083" s="103">
        <v>6972.8</v>
      </c>
      <c r="E3083" s="23">
        <v>42153</v>
      </c>
      <c r="F3083" s="106">
        <v>6972.8</v>
      </c>
      <c r="G3083" s="31">
        <f t="shared" si="94"/>
        <v>0</v>
      </c>
      <c r="H3083" s="132" t="s">
        <v>9</v>
      </c>
      <c r="I3083" s="3"/>
      <c r="J3083" s="42"/>
      <c r="K3083" s="3"/>
      <c r="M3083" s="20">
        <v>42125</v>
      </c>
      <c r="N3083" s="183">
        <v>19654</v>
      </c>
      <c r="O3083" s="14" t="s">
        <v>1117</v>
      </c>
      <c r="P3083" s="103">
        <v>3579.5</v>
      </c>
      <c r="Q3083" s="23">
        <v>42125</v>
      </c>
      <c r="R3083" s="106">
        <v>3579.5</v>
      </c>
      <c r="S3083" s="25">
        <f t="shared" si="96"/>
        <v>0</v>
      </c>
      <c r="T3083" s="209" t="s">
        <v>9</v>
      </c>
    </row>
    <row r="3084" spans="1:20" x14ac:dyDescent="0.25">
      <c r="A3084" s="20">
        <v>42153</v>
      </c>
      <c r="B3084" s="183">
        <v>22658</v>
      </c>
      <c r="C3084" s="14" t="s">
        <v>24</v>
      </c>
      <c r="D3084" s="103">
        <v>223209.2</v>
      </c>
      <c r="E3084" s="30">
        <v>42173</v>
      </c>
      <c r="F3084" s="144">
        <v>223209.2</v>
      </c>
      <c r="G3084" s="31">
        <f t="shared" si="94"/>
        <v>0</v>
      </c>
      <c r="H3084" s="132" t="s">
        <v>46</v>
      </c>
      <c r="I3084" s="3"/>
      <c r="J3084" s="42"/>
      <c r="K3084" s="3"/>
      <c r="M3084" s="20">
        <v>42133</v>
      </c>
      <c r="N3084" s="183">
        <v>20522</v>
      </c>
      <c r="O3084" s="14" t="s">
        <v>1117</v>
      </c>
      <c r="P3084" s="103">
        <v>1180.8</v>
      </c>
      <c r="Q3084" s="23">
        <v>42133</v>
      </c>
      <c r="R3084" s="106">
        <v>1180.8</v>
      </c>
      <c r="S3084" s="31">
        <f t="shared" si="96"/>
        <v>0</v>
      </c>
      <c r="T3084" s="209" t="s">
        <v>9</v>
      </c>
    </row>
    <row r="3085" spans="1:20" x14ac:dyDescent="0.25">
      <c r="A3085" s="20">
        <v>42153</v>
      </c>
      <c r="B3085" s="183">
        <v>22659</v>
      </c>
      <c r="C3085" s="14" t="s">
        <v>80</v>
      </c>
      <c r="D3085" s="103">
        <v>120</v>
      </c>
      <c r="E3085" s="23">
        <v>42153</v>
      </c>
      <c r="F3085" s="106">
        <v>120</v>
      </c>
      <c r="G3085" s="31">
        <f t="shared" si="94"/>
        <v>0</v>
      </c>
      <c r="H3085" s="132" t="s">
        <v>9</v>
      </c>
      <c r="I3085" s="3"/>
      <c r="J3085" s="42"/>
      <c r="K3085" s="3"/>
      <c r="M3085" s="20">
        <v>42134</v>
      </c>
      <c r="N3085" s="183">
        <v>20646</v>
      </c>
      <c r="O3085" s="14" t="s">
        <v>1117</v>
      </c>
      <c r="P3085" s="103">
        <v>2557</v>
      </c>
      <c r="Q3085" s="23">
        <v>42134</v>
      </c>
      <c r="R3085" s="106">
        <v>2557</v>
      </c>
      <c r="S3085" s="31">
        <f t="shared" si="96"/>
        <v>0</v>
      </c>
      <c r="T3085" s="132" t="s">
        <v>9</v>
      </c>
    </row>
    <row r="3086" spans="1:20" x14ac:dyDescent="0.25">
      <c r="A3086" s="20">
        <v>42153</v>
      </c>
      <c r="B3086" s="183">
        <v>22660</v>
      </c>
      <c r="C3086" s="14" t="s">
        <v>1338</v>
      </c>
      <c r="D3086" s="103">
        <v>1350</v>
      </c>
      <c r="E3086" s="30">
        <v>42172</v>
      </c>
      <c r="F3086" s="144">
        <v>1350</v>
      </c>
      <c r="G3086" s="31">
        <f t="shared" si="94"/>
        <v>0</v>
      </c>
      <c r="H3086" s="132" t="s">
        <v>59</v>
      </c>
      <c r="I3086" s="3"/>
      <c r="J3086" s="42"/>
      <c r="K3086" s="3"/>
      <c r="M3086" s="20">
        <v>42150</v>
      </c>
      <c r="N3086" s="183">
        <v>22271</v>
      </c>
      <c r="O3086" s="14" t="s">
        <v>1117</v>
      </c>
      <c r="P3086" s="103">
        <v>2846.8</v>
      </c>
      <c r="Q3086" s="65">
        <v>42150</v>
      </c>
      <c r="R3086" s="106">
        <v>2846.8</v>
      </c>
      <c r="S3086" s="31">
        <f t="shared" si="96"/>
        <v>0</v>
      </c>
      <c r="T3086" s="132" t="s">
        <v>9</v>
      </c>
    </row>
    <row r="3087" spans="1:20" x14ac:dyDescent="0.25">
      <c r="A3087" s="20">
        <v>42153</v>
      </c>
      <c r="B3087" s="183">
        <v>22661</v>
      </c>
      <c r="C3087" s="14" t="s">
        <v>1262</v>
      </c>
      <c r="D3087" s="103">
        <v>53986.400000000001</v>
      </c>
      <c r="E3087" s="30">
        <v>42165</v>
      </c>
      <c r="F3087" s="144">
        <v>53986.400000000001</v>
      </c>
      <c r="G3087" s="31">
        <f t="shared" si="94"/>
        <v>0</v>
      </c>
      <c r="H3087" s="132" t="s">
        <v>1013</v>
      </c>
      <c r="I3087" s="3"/>
      <c r="J3087" s="42"/>
      <c r="K3087" s="3"/>
      <c r="M3087" s="20">
        <v>42128</v>
      </c>
      <c r="N3087" s="183">
        <v>19992</v>
      </c>
      <c r="O3087" s="14" t="s">
        <v>1103</v>
      </c>
      <c r="P3087" s="103">
        <v>21251.599999999999</v>
      </c>
      <c r="Q3087" s="23">
        <v>42129</v>
      </c>
      <c r="R3087" s="106">
        <v>21251.599999999999</v>
      </c>
      <c r="S3087" s="31">
        <f t="shared" si="96"/>
        <v>0</v>
      </c>
      <c r="T3087" s="209" t="s">
        <v>149</v>
      </c>
    </row>
    <row r="3088" spans="1:20" x14ac:dyDescent="0.25">
      <c r="A3088" s="20">
        <v>42153</v>
      </c>
      <c r="B3088" s="183">
        <v>22662</v>
      </c>
      <c r="C3088" s="14" t="s">
        <v>571</v>
      </c>
      <c r="D3088" s="103">
        <v>6253</v>
      </c>
      <c r="E3088" s="23">
        <v>42154</v>
      </c>
      <c r="F3088" s="106">
        <v>6253</v>
      </c>
      <c r="G3088" s="31">
        <f t="shared" si="94"/>
        <v>0</v>
      </c>
      <c r="H3088" s="132" t="s">
        <v>9</v>
      </c>
      <c r="I3088" s="3"/>
      <c r="J3088" s="42"/>
      <c r="K3088" s="3"/>
      <c r="M3088" s="20">
        <v>42131</v>
      </c>
      <c r="N3088" s="183">
        <v>20322</v>
      </c>
      <c r="O3088" s="14" t="s">
        <v>1103</v>
      </c>
      <c r="P3088" s="103">
        <v>23584.7</v>
      </c>
      <c r="Q3088" s="23">
        <v>42133</v>
      </c>
      <c r="R3088" s="106">
        <v>23584.7</v>
      </c>
      <c r="S3088" s="31">
        <f t="shared" si="96"/>
        <v>0</v>
      </c>
      <c r="T3088" s="132" t="s">
        <v>149</v>
      </c>
    </row>
    <row r="3089" spans="1:20" x14ac:dyDescent="0.25">
      <c r="A3089" s="20">
        <v>42153</v>
      </c>
      <c r="B3089" s="183">
        <v>22663</v>
      </c>
      <c r="C3089" s="14" t="s">
        <v>1182</v>
      </c>
      <c r="D3089" s="103">
        <v>328.8</v>
      </c>
      <c r="E3089" s="23">
        <v>42153</v>
      </c>
      <c r="F3089" s="106">
        <v>328.8</v>
      </c>
      <c r="G3089" s="31">
        <f t="shared" si="94"/>
        <v>0</v>
      </c>
      <c r="H3089" s="132" t="s">
        <v>9</v>
      </c>
      <c r="I3089" s="3"/>
      <c r="J3089" s="42"/>
      <c r="K3089" s="3"/>
      <c r="M3089" s="20">
        <v>42135</v>
      </c>
      <c r="N3089" s="183">
        <v>20771</v>
      </c>
      <c r="O3089" s="14" t="s">
        <v>1103</v>
      </c>
      <c r="P3089" s="103">
        <v>21383.599999999999</v>
      </c>
      <c r="Q3089" s="23">
        <v>42137</v>
      </c>
      <c r="R3089" s="106">
        <v>21383.599999999999</v>
      </c>
      <c r="S3089" s="31">
        <f t="shared" si="96"/>
        <v>0</v>
      </c>
      <c r="T3089" s="209" t="s">
        <v>149</v>
      </c>
    </row>
    <row r="3090" spans="1:20" x14ac:dyDescent="0.25">
      <c r="A3090" s="20">
        <v>42153</v>
      </c>
      <c r="B3090" s="183">
        <v>22664</v>
      </c>
      <c r="C3090" s="14" t="s">
        <v>24</v>
      </c>
      <c r="D3090" s="103">
        <v>186433.9</v>
      </c>
      <c r="E3090" s="30">
        <v>42173</v>
      </c>
      <c r="F3090" s="144">
        <v>186433.9</v>
      </c>
      <c r="G3090" s="31">
        <f t="shared" si="94"/>
        <v>0</v>
      </c>
      <c r="H3090" s="132" t="s">
        <v>587</v>
      </c>
      <c r="I3090" s="3"/>
      <c r="J3090" s="42"/>
      <c r="K3090" s="3"/>
      <c r="M3090" s="20">
        <v>42138</v>
      </c>
      <c r="N3090" s="183">
        <v>21077</v>
      </c>
      <c r="O3090" s="14" t="s">
        <v>1103</v>
      </c>
      <c r="P3090" s="103">
        <v>24645.599999999999</v>
      </c>
      <c r="Q3090" s="23">
        <v>42140</v>
      </c>
      <c r="R3090" s="106">
        <v>24645.599999999999</v>
      </c>
      <c r="S3090" s="48">
        <f t="shared" si="96"/>
        <v>0</v>
      </c>
      <c r="T3090" s="132" t="s">
        <v>149</v>
      </c>
    </row>
    <row r="3091" spans="1:20" x14ac:dyDescent="0.25">
      <c r="A3091" s="20">
        <v>42153</v>
      </c>
      <c r="B3091" s="183">
        <v>22665</v>
      </c>
      <c r="C3091" s="14" t="s">
        <v>32</v>
      </c>
      <c r="D3091" s="103">
        <v>12015.9</v>
      </c>
      <c r="E3091" s="30">
        <v>42171</v>
      </c>
      <c r="F3091" s="144">
        <v>12015.9</v>
      </c>
      <c r="G3091" s="31">
        <f t="shared" si="94"/>
        <v>0</v>
      </c>
      <c r="H3091" s="132" t="s">
        <v>187</v>
      </c>
      <c r="I3091" s="3"/>
      <c r="J3091" s="42"/>
      <c r="K3091" s="3"/>
      <c r="M3091" s="20">
        <v>42142</v>
      </c>
      <c r="N3091" s="183">
        <v>21519</v>
      </c>
      <c r="O3091" s="14" t="s">
        <v>1103</v>
      </c>
      <c r="P3091" s="103">
        <v>24919</v>
      </c>
      <c r="Q3091" s="23">
        <v>42145</v>
      </c>
      <c r="R3091" s="118">
        <v>24919</v>
      </c>
      <c r="S3091" s="31">
        <f t="shared" si="96"/>
        <v>0</v>
      </c>
      <c r="T3091" s="28" t="s">
        <v>149</v>
      </c>
    </row>
    <row r="3092" spans="1:20" x14ac:dyDescent="0.25">
      <c r="A3092" s="20">
        <v>42153</v>
      </c>
      <c r="B3092" s="183">
        <v>22666</v>
      </c>
      <c r="C3092" s="14" t="s">
        <v>1399</v>
      </c>
      <c r="D3092" s="103">
        <v>3182.4</v>
      </c>
      <c r="E3092" s="23">
        <v>42154</v>
      </c>
      <c r="F3092" s="106">
        <v>3182.4</v>
      </c>
      <c r="G3092" s="31">
        <f t="shared" si="94"/>
        <v>0</v>
      </c>
      <c r="H3092" s="132" t="s">
        <v>9</v>
      </c>
      <c r="I3092" s="3"/>
      <c r="J3092" s="42"/>
      <c r="K3092" s="3"/>
      <c r="M3092" s="20">
        <v>42145</v>
      </c>
      <c r="N3092" s="183">
        <v>21821</v>
      </c>
      <c r="O3092" s="15" t="s">
        <v>1103</v>
      </c>
      <c r="P3092" s="133">
        <v>23674.6</v>
      </c>
      <c r="Q3092" s="23">
        <v>42149</v>
      </c>
      <c r="R3092" s="118">
        <v>23674.6</v>
      </c>
      <c r="S3092" s="31">
        <f t="shared" si="96"/>
        <v>0</v>
      </c>
      <c r="T3092" s="46" t="s">
        <v>149</v>
      </c>
    </row>
    <row r="3093" spans="1:20" x14ac:dyDescent="0.25">
      <c r="A3093" s="20">
        <v>42153</v>
      </c>
      <c r="B3093" s="183">
        <v>22667</v>
      </c>
      <c r="C3093" s="14" t="s">
        <v>1020</v>
      </c>
      <c r="D3093" s="103">
        <v>4650.3599999999997</v>
      </c>
      <c r="E3093" s="23">
        <v>42154</v>
      </c>
      <c r="F3093" s="106">
        <v>4650.3599999999997</v>
      </c>
      <c r="G3093" s="31">
        <f t="shared" si="94"/>
        <v>0</v>
      </c>
      <c r="H3093" s="132" t="s">
        <v>9</v>
      </c>
      <c r="I3093" s="3"/>
      <c r="J3093" s="42"/>
      <c r="K3093" s="3"/>
      <c r="M3093" s="20">
        <v>42149</v>
      </c>
      <c r="N3093" s="183">
        <v>22236</v>
      </c>
      <c r="O3093" s="14" t="s">
        <v>1103</v>
      </c>
      <c r="P3093" s="103">
        <v>19428.2</v>
      </c>
      <c r="Q3093" s="65">
        <v>42151</v>
      </c>
      <c r="R3093" s="106">
        <v>19428.2</v>
      </c>
      <c r="S3093" s="31">
        <f t="shared" si="96"/>
        <v>0</v>
      </c>
      <c r="T3093" s="132" t="s">
        <v>149</v>
      </c>
    </row>
    <row r="3094" spans="1:20" x14ac:dyDescent="0.25">
      <c r="A3094" s="20">
        <v>42153</v>
      </c>
      <c r="B3094" s="183">
        <v>22668</v>
      </c>
      <c r="C3094" s="14" t="s">
        <v>571</v>
      </c>
      <c r="D3094" s="103">
        <v>7000</v>
      </c>
      <c r="E3094" s="30"/>
      <c r="F3094" s="144"/>
      <c r="G3094" s="31">
        <f t="shared" si="94"/>
        <v>7000</v>
      </c>
      <c r="H3094" s="132" t="s">
        <v>9</v>
      </c>
      <c r="I3094" s="3"/>
      <c r="J3094" s="42"/>
      <c r="K3094" s="3"/>
      <c r="M3094" s="20">
        <v>42152</v>
      </c>
      <c r="N3094" s="183">
        <v>22540</v>
      </c>
      <c r="O3094" s="14" t="s">
        <v>1103</v>
      </c>
      <c r="P3094" s="103">
        <v>25300</v>
      </c>
      <c r="Q3094" s="23">
        <v>42154</v>
      </c>
      <c r="R3094" s="106">
        <v>25300</v>
      </c>
      <c r="S3094" s="31">
        <f t="shared" si="96"/>
        <v>0</v>
      </c>
      <c r="T3094" s="132" t="s">
        <v>149</v>
      </c>
    </row>
    <row r="3095" spans="1:20" x14ac:dyDescent="0.25">
      <c r="A3095" s="20">
        <v>42154</v>
      </c>
      <c r="B3095" s="183">
        <v>22669</v>
      </c>
      <c r="C3095" s="14" t="s">
        <v>1256</v>
      </c>
      <c r="D3095" s="103">
        <v>11772</v>
      </c>
      <c r="E3095" s="23">
        <v>42154</v>
      </c>
      <c r="F3095" s="106">
        <v>11772</v>
      </c>
      <c r="G3095" s="31">
        <f t="shared" si="94"/>
        <v>0</v>
      </c>
      <c r="H3095" s="132" t="s">
        <v>1257</v>
      </c>
      <c r="I3095" s="3"/>
      <c r="J3095" s="42"/>
      <c r="K3095" s="3"/>
      <c r="M3095" s="20">
        <v>42125</v>
      </c>
      <c r="N3095" s="183">
        <v>19604</v>
      </c>
      <c r="O3095" s="14" t="s">
        <v>590</v>
      </c>
      <c r="P3095" s="103">
        <v>8299.7999999999993</v>
      </c>
      <c r="Q3095" s="23">
        <v>42125</v>
      </c>
      <c r="R3095" s="106">
        <v>8299.7999999999993</v>
      </c>
      <c r="S3095" s="25">
        <f t="shared" si="96"/>
        <v>0</v>
      </c>
      <c r="T3095" s="209" t="s">
        <v>94</v>
      </c>
    </row>
    <row r="3096" spans="1:20" x14ac:dyDescent="0.25">
      <c r="A3096" s="20">
        <v>42154</v>
      </c>
      <c r="B3096" s="183">
        <v>22670</v>
      </c>
      <c r="C3096" s="14" t="s">
        <v>1338</v>
      </c>
      <c r="D3096" s="103">
        <v>3291.2</v>
      </c>
      <c r="E3096" s="212">
        <v>42172</v>
      </c>
      <c r="F3096" s="215">
        <v>3291.2</v>
      </c>
      <c r="G3096" s="31">
        <f t="shared" si="94"/>
        <v>0</v>
      </c>
      <c r="H3096" s="132" t="s">
        <v>9</v>
      </c>
      <c r="I3096" s="3"/>
      <c r="J3096" s="42"/>
      <c r="K3096" s="3"/>
      <c r="M3096" s="20">
        <v>42126</v>
      </c>
      <c r="N3096" s="183">
        <v>19733</v>
      </c>
      <c r="O3096" s="40" t="s">
        <v>590</v>
      </c>
      <c r="P3096" s="103">
        <v>20247</v>
      </c>
      <c r="Q3096" s="23">
        <v>42126</v>
      </c>
      <c r="R3096" s="106">
        <v>20247</v>
      </c>
      <c r="S3096" s="25">
        <f t="shared" si="96"/>
        <v>0</v>
      </c>
      <c r="T3096" s="210" t="s">
        <v>9</v>
      </c>
    </row>
    <row r="3097" spans="1:20" x14ac:dyDescent="0.25">
      <c r="A3097" s="20">
        <v>42154</v>
      </c>
      <c r="B3097" s="183">
        <v>22671</v>
      </c>
      <c r="C3097" s="14" t="s">
        <v>158</v>
      </c>
      <c r="D3097" s="103">
        <v>3427.2</v>
      </c>
      <c r="E3097" s="23">
        <v>42154</v>
      </c>
      <c r="F3097" s="106">
        <v>3427.2</v>
      </c>
      <c r="G3097" s="31">
        <f t="shared" si="94"/>
        <v>0</v>
      </c>
      <c r="H3097" s="132" t="s">
        <v>9</v>
      </c>
      <c r="I3097" s="3"/>
      <c r="J3097" s="42"/>
      <c r="K3097" s="3"/>
      <c r="M3097" s="20">
        <v>42126</v>
      </c>
      <c r="N3097" s="183">
        <v>19732</v>
      </c>
      <c r="O3097" s="40" t="s">
        <v>1284</v>
      </c>
      <c r="P3097" s="103">
        <v>12401.7</v>
      </c>
      <c r="Q3097" s="23">
        <v>42126</v>
      </c>
      <c r="R3097" s="106">
        <v>12401.7</v>
      </c>
      <c r="S3097" s="25">
        <f t="shared" si="96"/>
        <v>0</v>
      </c>
      <c r="T3097" s="210" t="s">
        <v>9</v>
      </c>
    </row>
    <row r="3098" spans="1:20" x14ac:dyDescent="0.25">
      <c r="A3098" s="20">
        <v>42154</v>
      </c>
      <c r="B3098" s="183">
        <v>22672</v>
      </c>
      <c r="C3098" s="14" t="s">
        <v>720</v>
      </c>
      <c r="D3098" s="103">
        <v>21586.400000000001</v>
      </c>
      <c r="E3098" s="12" t="s">
        <v>1440</v>
      </c>
      <c r="F3098" s="106">
        <f>21000+586.4</f>
        <v>21586.400000000001</v>
      </c>
      <c r="G3098" s="31">
        <f t="shared" si="94"/>
        <v>0</v>
      </c>
      <c r="H3098" s="132" t="s">
        <v>9</v>
      </c>
      <c r="I3098" s="3"/>
      <c r="J3098" s="42"/>
      <c r="K3098" s="3"/>
      <c r="M3098" s="20">
        <v>42125</v>
      </c>
      <c r="N3098" s="183">
        <v>19685</v>
      </c>
      <c r="O3098" s="14" t="s">
        <v>112</v>
      </c>
      <c r="P3098" s="103">
        <v>32036.09</v>
      </c>
      <c r="Q3098" s="23" t="s">
        <v>1272</v>
      </c>
      <c r="R3098" s="106">
        <f>17800+14236.09</f>
        <v>32036.09</v>
      </c>
      <c r="S3098" s="25">
        <f t="shared" si="96"/>
        <v>0</v>
      </c>
      <c r="T3098" s="132" t="s">
        <v>9</v>
      </c>
    </row>
    <row r="3099" spans="1:20" x14ac:dyDescent="0.25">
      <c r="A3099" s="20">
        <v>42154</v>
      </c>
      <c r="B3099" s="183">
        <v>22673</v>
      </c>
      <c r="C3099" s="14" t="s">
        <v>18</v>
      </c>
      <c r="D3099" s="103">
        <v>2752.2</v>
      </c>
      <c r="E3099" s="23">
        <v>42154</v>
      </c>
      <c r="F3099" s="106">
        <v>2752.2</v>
      </c>
      <c r="G3099" s="31">
        <f t="shared" si="94"/>
        <v>0</v>
      </c>
      <c r="H3099" s="132" t="s">
        <v>9</v>
      </c>
      <c r="I3099" s="3"/>
      <c r="J3099" s="42"/>
      <c r="K3099" s="3"/>
      <c r="M3099" s="20">
        <v>42126</v>
      </c>
      <c r="N3099" s="183">
        <v>19810</v>
      </c>
      <c r="O3099" s="40" t="s">
        <v>112</v>
      </c>
      <c r="P3099" s="103">
        <v>2137.8000000000002</v>
      </c>
      <c r="Q3099" s="23" t="s">
        <v>1209</v>
      </c>
      <c r="R3099" s="106">
        <f>2000+137.8</f>
        <v>2137.8000000000002</v>
      </c>
      <c r="S3099" s="31">
        <f t="shared" si="96"/>
        <v>0</v>
      </c>
      <c r="T3099" s="210" t="s">
        <v>9</v>
      </c>
    </row>
    <row r="3100" spans="1:20" x14ac:dyDescent="0.25">
      <c r="A3100" s="20">
        <v>42154</v>
      </c>
      <c r="B3100" s="183">
        <v>22674</v>
      </c>
      <c r="C3100" s="14" t="s">
        <v>21</v>
      </c>
      <c r="D3100" s="103">
        <v>6747.9</v>
      </c>
      <c r="E3100" s="23">
        <v>42154</v>
      </c>
      <c r="F3100" s="106">
        <v>6747.9</v>
      </c>
      <c r="G3100" s="31">
        <f t="shared" si="94"/>
        <v>0</v>
      </c>
      <c r="H3100" s="132" t="s">
        <v>9</v>
      </c>
      <c r="I3100" s="3"/>
      <c r="J3100" s="42"/>
      <c r="K3100" s="3"/>
      <c r="M3100" s="20">
        <v>42127</v>
      </c>
      <c r="N3100" s="183">
        <v>19832</v>
      </c>
      <c r="O3100" s="40" t="s">
        <v>112</v>
      </c>
      <c r="P3100" s="103">
        <v>18297.349999999999</v>
      </c>
      <c r="Q3100" s="23">
        <v>42129</v>
      </c>
      <c r="R3100" s="106">
        <v>18297.349999999999</v>
      </c>
      <c r="S3100" s="31">
        <f t="shared" si="96"/>
        <v>0</v>
      </c>
      <c r="T3100" s="210" t="s">
        <v>9</v>
      </c>
    </row>
    <row r="3101" spans="1:20" x14ac:dyDescent="0.25">
      <c r="A3101" s="20">
        <v>42154</v>
      </c>
      <c r="B3101" s="183">
        <v>22675</v>
      </c>
      <c r="C3101" s="14" t="s">
        <v>1182</v>
      </c>
      <c r="D3101" s="103">
        <v>3953</v>
      </c>
      <c r="E3101" s="23">
        <v>42154</v>
      </c>
      <c r="F3101" s="106">
        <v>3953</v>
      </c>
      <c r="G3101" s="31">
        <f t="shared" si="94"/>
        <v>0</v>
      </c>
      <c r="H3101" s="132" t="s">
        <v>9</v>
      </c>
      <c r="I3101" s="3"/>
      <c r="J3101" s="42"/>
      <c r="K3101" s="3"/>
      <c r="M3101" s="20">
        <v>42130</v>
      </c>
      <c r="N3101" s="183">
        <v>20130</v>
      </c>
      <c r="O3101" s="14" t="s">
        <v>112</v>
      </c>
      <c r="P3101" s="103">
        <v>3015.6</v>
      </c>
      <c r="Q3101" s="23">
        <v>42130</v>
      </c>
      <c r="R3101" s="106">
        <v>3015.6</v>
      </c>
      <c r="S3101" s="31">
        <f t="shared" si="96"/>
        <v>0</v>
      </c>
      <c r="T3101" s="132" t="s">
        <v>41</v>
      </c>
    </row>
    <row r="3102" spans="1:20" x14ac:dyDescent="0.25">
      <c r="A3102" s="20">
        <v>42154</v>
      </c>
      <c r="B3102" s="183">
        <v>22676</v>
      </c>
      <c r="C3102" s="14" t="s">
        <v>121</v>
      </c>
      <c r="D3102" s="103">
        <v>2473.1999999999998</v>
      </c>
      <c r="E3102" s="23">
        <v>42154</v>
      </c>
      <c r="F3102" s="106">
        <v>2473.1999999999998</v>
      </c>
      <c r="G3102" s="31">
        <f t="shared" si="94"/>
        <v>0</v>
      </c>
      <c r="H3102" s="132" t="s">
        <v>9</v>
      </c>
      <c r="I3102" s="3"/>
      <c r="J3102" s="42"/>
      <c r="K3102" s="3"/>
      <c r="M3102" s="20">
        <v>42131</v>
      </c>
      <c r="N3102" s="183">
        <v>20216</v>
      </c>
      <c r="O3102" s="14" t="s">
        <v>112</v>
      </c>
      <c r="P3102" s="103">
        <v>7194</v>
      </c>
      <c r="Q3102" s="23">
        <v>42136</v>
      </c>
      <c r="R3102" s="106">
        <v>7194</v>
      </c>
      <c r="S3102" s="31">
        <f t="shared" si="96"/>
        <v>0</v>
      </c>
      <c r="T3102" s="132" t="s">
        <v>9</v>
      </c>
    </row>
    <row r="3103" spans="1:20" x14ac:dyDescent="0.25">
      <c r="A3103" s="20">
        <v>42154</v>
      </c>
      <c r="B3103" s="183">
        <v>22677</v>
      </c>
      <c r="C3103" s="14" t="s">
        <v>1425</v>
      </c>
      <c r="D3103" s="103">
        <v>9143</v>
      </c>
      <c r="E3103" s="30">
        <v>42157</v>
      </c>
      <c r="F3103" s="144">
        <v>9143</v>
      </c>
      <c r="G3103" s="31">
        <f t="shared" si="94"/>
        <v>0</v>
      </c>
      <c r="H3103" s="132" t="s">
        <v>9</v>
      </c>
      <c r="I3103" s="3"/>
      <c r="J3103" s="42"/>
      <c r="K3103" s="3"/>
      <c r="M3103" s="20">
        <v>42131</v>
      </c>
      <c r="N3103" s="183">
        <v>20300</v>
      </c>
      <c r="O3103" s="14" t="s">
        <v>112</v>
      </c>
      <c r="P3103" s="103">
        <v>24393.599999999999</v>
      </c>
      <c r="Q3103" s="23">
        <v>42131</v>
      </c>
      <c r="R3103" s="106">
        <v>24393.599999999999</v>
      </c>
      <c r="S3103" s="31">
        <f t="shared" si="96"/>
        <v>0</v>
      </c>
      <c r="T3103" s="209" t="s">
        <v>9</v>
      </c>
    </row>
    <row r="3104" spans="1:20" x14ac:dyDescent="0.25">
      <c r="A3104" s="20">
        <v>42154</v>
      </c>
      <c r="B3104" s="183">
        <v>22678</v>
      </c>
      <c r="C3104" s="14" t="s">
        <v>14</v>
      </c>
      <c r="D3104" s="103">
        <v>25728.400000000001</v>
      </c>
      <c r="E3104" s="30">
        <v>42172</v>
      </c>
      <c r="F3104" s="144">
        <v>25728.400000000001</v>
      </c>
      <c r="G3104" s="31">
        <f t="shared" si="94"/>
        <v>0</v>
      </c>
      <c r="H3104" s="132" t="s">
        <v>9</v>
      </c>
      <c r="I3104" s="3"/>
      <c r="J3104" s="42"/>
      <c r="K3104" s="3"/>
      <c r="M3104" s="20">
        <v>42132</v>
      </c>
      <c r="N3104" s="183">
        <v>20433</v>
      </c>
      <c r="O3104" s="14" t="s">
        <v>112</v>
      </c>
      <c r="P3104" s="103">
        <v>4042.6</v>
      </c>
      <c r="Q3104" s="23">
        <v>42132</v>
      </c>
      <c r="R3104" s="106">
        <v>4042.6</v>
      </c>
      <c r="S3104" s="31">
        <f t="shared" si="96"/>
        <v>0</v>
      </c>
      <c r="T3104" s="209" t="s">
        <v>9</v>
      </c>
    </row>
    <row r="3105" spans="1:20" x14ac:dyDescent="0.25">
      <c r="A3105" s="20">
        <v>42154</v>
      </c>
      <c r="B3105" s="183">
        <v>22679</v>
      </c>
      <c r="C3105" s="14" t="s">
        <v>464</v>
      </c>
      <c r="D3105" s="103">
        <v>1732.4</v>
      </c>
      <c r="E3105" s="23">
        <v>42154</v>
      </c>
      <c r="F3105" s="106">
        <v>1732.4</v>
      </c>
      <c r="G3105" s="31">
        <f t="shared" si="94"/>
        <v>0</v>
      </c>
      <c r="H3105" s="132" t="s">
        <v>9</v>
      </c>
      <c r="I3105" s="3"/>
      <c r="J3105" s="42"/>
      <c r="K3105" s="3"/>
      <c r="M3105" s="20">
        <v>42132</v>
      </c>
      <c r="N3105" s="183">
        <v>20442</v>
      </c>
      <c r="O3105" s="14" t="s">
        <v>112</v>
      </c>
      <c r="P3105" s="103">
        <v>5754.04</v>
      </c>
      <c r="Q3105" s="23">
        <v>42132</v>
      </c>
      <c r="R3105" s="106">
        <v>5754.04</v>
      </c>
      <c r="S3105" s="31">
        <f t="shared" si="96"/>
        <v>0</v>
      </c>
      <c r="T3105" s="209" t="s">
        <v>9</v>
      </c>
    </row>
    <row r="3106" spans="1:20" x14ac:dyDescent="0.25">
      <c r="A3106" s="20">
        <v>42154</v>
      </c>
      <c r="B3106" s="183">
        <v>22680</v>
      </c>
      <c r="C3106" s="14" t="s">
        <v>55</v>
      </c>
      <c r="D3106" s="103">
        <v>28249.200000000001</v>
      </c>
      <c r="E3106" s="23">
        <v>42154</v>
      </c>
      <c r="F3106" s="106">
        <v>28249.200000000001</v>
      </c>
      <c r="G3106" s="31">
        <f t="shared" si="94"/>
        <v>0</v>
      </c>
      <c r="H3106" s="132" t="s">
        <v>773</v>
      </c>
      <c r="I3106" s="3"/>
      <c r="J3106" s="42"/>
      <c r="K3106" s="3"/>
      <c r="M3106" s="20">
        <v>42132</v>
      </c>
      <c r="N3106" s="183">
        <v>20458</v>
      </c>
      <c r="O3106" s="14" t="s">
        <v>112</v>
      </c>
      <c r="P3106" s="103">
        <v>17028</v>
      </c>
      <c r="Q3106" s="23" t="s">
        <v>1354</v>
      </c>
      <c r="R3106" s="106">
        <f>15744.18+1283.82</f>
        <v>17028</v>
      </c>
      <c r="S3106" s="31">
        <f t="shared" si="96"/>
        <v>0</v>
      </c>
      <c r="T3106" s="209" t="s">
        <v>1257</v>
      </c>
    </row>
    <row r="3107" spans="1:20" x14ac:dyDescent="0.25">
      <c r="A3107" s="20">
        <v>42154</v>
      </c>
      <c r="B3107" s="183">
        <v>22681</v>
      </c>
      <c r="C3107" s="14" t="s">
        <v>35</v>
      </c>
      <c r="D3107" s="103">
        <v>27518.1</v>
      </c>
      <c r="E3107" s="23">
        <v>42154</v>
      </c>
      <c r="F3107" s="106">
        <v>27518.1</v>
      </c>
      <c r="G3107" s="31">
        <f t="shared" si="94"/>
        <v>0</v>
      </c>
      <c r="H3107" s="132" t="s">
        <v>773</v>
      </c>
      <c r="I3107" s="3"/>
      <c r="J3107" s="42"/>
      <c r="K3107" s="3"/>
      <c r="M3107" s="20">
        <v>42133</v>
      </c>
      <c r="N3107" s="183">
        <v>20516</v>
      </c>
      <c r="O3107" s="14" t="s">
        <v>112</v>
      </c>
      <c r="P3107" s="103">
        <v>6546.4</v>
      </c>
      <c r="Q3107" s="23">
        <v>42133</v>
      </c>
      <c r="R3107" s="106">
        <v>6546.4</v>
      </c>
      <c r="S3107" s="31">
        <f t="shared" si="96"/>
        <v>0</v>
      </c>
      <c r="T3107" s="209" t="s">
        <v>9</v>
      </c>
    </row>
    <row r="3108" spans="1:20" x14ac:dyDescent="0.25">
      <c r="A3108" s="20">
        <v>42154</v>
      </c>
      <c r="B3108" s="183">
        <v>22682</v>
      </c>
      <c r="C3108" s="14" t="s">
        <v>56</v>
      </c>
      <c r="D3108" s="103">
        <v>10053.200000000001</v>
      </c>
      <c r="E3108" s="23">
        <v>42154</v>
      </c>
      <c r="F3108" s="106">
        <v>10053.200000000001</v>
      </c>
      <c r="G3108" s="31">
        <f t="shared" si="94"/>
        <v>0</v>
      </c>
      <c r="H3108" s="132" t="s">
        <v>773</v>
      </c>
      <c r="I3108" s="3"/>
      <c r="J3108" s="42"/>
      <c r="K3108" s="3"/>
      <c r="M3108" s="20">
        <v>42134</v>
      </c>
      <c r="N3108" s="183">
        <v>20608</v>
      </c>
      <c r="O3108" s="14" t="s">
        <v>112</v>
      </c>
      <c r="P3108" s="103">
        <v>8389.6</v>
      </c>
      <c r="Q3108" s="23">
        <v>42134</v>
      </c>
      <c r="R3108" s="118">
        <f>5450+2939.6</f>
        <v>8389.6</v>
      </c>
      <c r="S3108" s="31">
        <f t="shared" si="96"/>
        <v>0</v>
      </c>
      <c r="T3108" s="28" t="s">
        <v>9</v>
      </c>
    </row>
    <row r="3109" spans="1:20" x14ac:dyDescent="0.25">
      <c r="A3109" s="20">
        <v>42154</v>
      </c>
      <c r="B3109" s="183">
        <v>22683</v>
      </c>
      <c r="C3109" s="14" t="s">
        <v>114</v>
      </c>
      <c r="D3109" s="103">
        <v>7413.8</v>
      </c>
      <c r="E3109" s="23">
        <v>42154</v>
      </c>
      <c r="F3109" s="106">
        <v>7413.8</v>
      </c>
      <c r="G3109" s="31">
        <f t="shared" si="94"/>
        <v>0</v>
      </c>
      <c r="H3109" s="132" t="s">
        <v>9</v>
      </c>
      <c r="I3109" s="3"/>
      <c r="J3109" s="42"/>
      <c r="K3109" s="3"/>
      <c r="M3109" s="20">
        <v>42134</v>
      </c>
      <c r="N3109" s="183">
        <v>20609</v>
      </c>
      <c r="O3109" s="14" t="s">
        <v>112</v>
      </c>
      <c r="P3109" s="103">
        <v>1728.8</v>
      </c>
      <c r="Q3109" s="23">
        <v>42134</v>
      </c>
      <c r="R3109" s="118">
        <v>1728.8</v>
      </c>
      <c r="S3109" s="31">
        <f t="shared" si="96"/>
        <v>0</v>
      </c>
      <c r="T3109" s="28" t="s">
        <v>9</v>
      </c>
    </row>
    <row r="3110" spans="1:20" x14ac:dyDescent="0.25">
      <c r="A3110" s="20">
        <v>42154</v>
      </c>
      <c r="B3110" s="183">
        <v>22684</v>
      </c>
      <c r="C3110" s="14" t="s">
        <v>294</v>
      </c>
      <c r="D3110" s="103">
        <v>9089.2000000000007</v>
      </c>
      <c r="E3110" s="23">
        <v>42154</v>
      </c>
      <c r="F3110" s="106">
        <v>9089.2000000000007</v>
      </c>
      <c r="G3110" s="31">
        <f t="shared" si="94"/>
        <v>0</v>
      </c>
      <c r="H3110" s="132" t="s">
        <v>9</v>
      </c>
      <c r="I3110" s="3"/>
      <c r="J3110" s="42"/>
      <c r="K3110" s="3"/>
      <c r="M3110" s="20">
        <v>42134</v>
      </c>
      <c r="N3110" s="183">
        <v>20630</v>
      </c>
      <c r="O3110" s="14" t="s">
        <v>112</v>
      </c>
      <c r="P3110" s="103">
        <v>4754.3999999999996</v>
      </c>
      <c r="Q3110" s="23">
        <v>42136</v>
      </c>
      <c r="R3110" s="118">
        <v>4754.3999999999996</v>
      </c>
      <c r="S3110" s="31">
        <f t="shared" si="96"/>
        <v>0</v>
      </c>
      <c r="T3110" s="28" t="s">
        <v>9</v>
      </c>
    </row>
    <row r="3111" spans="1:20" x14ac:dyDescent="0.25">
      <c r="A3111" s="20">
        <v>42154</v>
      </c>
      <c r="B3111" s="183">
        <v>22685</v>
      </c>
      <c r="C3111" s="14" t="s">
        <v>1197</v>
      </c>
      <c r="D3111" s="103">
        <v>15402.35</v>
      </c>
      <c r="E3111" s="23">
        <v>42154</v>
      </c>
      <c r="F3111" s="106">
        <v>15402.35</v>
      </c>
      <c r="G3111" s="31">
        <f t="shared" si="94"/>
        <v>0</v>
      </c>
      <c r="H3111" s="132" t="s">
        <v>9</v>
      </c>
      <c r="I3111" s="3"/>
      <c r="J3111" s="42"/>
      <c r="K3111" s="3"/>
      <c r="M3111" s="20">
        <v>42135</v>
      </c>
      <c r="N3111" s="183">
        <v>20681</v>
      </c>
      <c r="O3111" s="14" t="s">
        <v>112</v>
      </c>
      <c r="P3111" s="103">
        <v>2214.8000000000002</v>
      </c>
      <c r="Q3111" s="23">
        <v>42135</v>
      </c>
      <c r="R3111" s="106">
        <v>2214.8000000000002</v>
      </c>
      <c r="S3111" s="31">
        <f t="shared" si="96"/>
        <v>0</v>
      </c>
      <c r="T3111" s="132" t="s">
        <v>9</v>
      </c>
    </row>
    <row r="3112" spans="1:20" x14ac:dyDescent="0.25">
      <c r="A3112" s="20">
        <v>42154</v>
      </c>
      <c r="B3112" s="183">
        <v>22686</v>
      </c>
      <c r="C3112" s="14" t="s">
        <v>20</v>
      </c>
      <c r="D3112" s="103">
        <v>5461.2</v>
      </c>
      <c r="E3112" s="23">
        <v>42154</v>
      </c>
      <c r="F3112" s="106">
        <v>5461.2</v>
      </c>
      <c r="G3112" s="31">
        <f t="shared" si="94"/>
        <v>0</v>
      </c>
      <c r="H3112" s="132" t="s">
        <v>94</v>
      </c>
      <c r="I3112" s="3"/>
      <c r="J3112" s="42"/>
      <c r="K3112" s="3"/>
      <c r="M3112" s="20">
        <v>42137</v>
      </c>
      <c r="N3112" s="183">
        <v>20869</v>
      </c>
      <c r="O3112" s="14" t="s">
        <v>112</v>
      </c>
      <c r="P3112" s="103">
        <v>9296.2999999999993</v>
      </c>
      <c r="Q3112" s="23">
        <v>42137</v>
      </c>
      <c r="R3112" s="106">
        <v>9296.2999999999993</v>
      </c>
      <c r="S3112" s="31">
        <f t="shared" si="96"/>
        <v>0</v>
      </c>
      <c r="T3112" s="132" t="s">
        <v>9</v>
      </c>
    </row>
    <row r="3113" spans="1:20" x14ac:dyDescent="0.25">
      <c r="A3113" s="20">
        <v>42154</v>
      </c>
      <c r="B3113" s="183">
        <v>22687</v>
      </c>
      <c r="C3113" s="14" t="s">
        <v>320</v>
      </c>
      <c r="D3113" s="103">
        <v>34572.300000000003</v>
      </c>
      <c r="E3113" s="23">
        <v>42154</v>
      </c>
      <c r="F3113" s="106">
        <v>34572.300000000003</v>
      </c>
      <c r="G3113" s="31">
        <f t="shared" si="94"/>
        <v>0</v>
      </c>
      <c r="H3113" s="132" t="s">
        <v>587</v>
      </c>
      <c r="I3113" s="3"/>
      <c r="J3113" s="42"/>
      <c r="K3113" s="3"/>
      <c r="M3113" s="20">
        <v>42138</v>
      </c>
      <c r="N3113" s="183">
        <v>20962</v>
      </c>
      <c r="O3113" s="14" t="s">
        <v>112</v>
      </c>
      <c r="P3113" s="103">
        <v>9716</v>
      </c>
      <c r="Q3113" s="23" t="s">
        <v>1365</v>
      </c>
      <c r="R3113" s="106">
        <f>6000+3716</f>
        <v>9716</v>
      </c>
      <c r="S3113" s="31">
        <f t="shared" si="96"/>
        <v>0</v>
      </c>
      <c r="T3113" s="209" t="s">
        <v>9</v>
      </c>
    </row>
    <row r="3114" spans="1:20" x14ac:dyDescent="0.25">
      <c r="A3114" s="20">
        <v>42154</v>
      </c>
      <c r="B3114" s="183">
        <v>22688</v>
      </c>
      <c r="C3114" s="14" t="s">
        <v>1186</v>
      </c>
      <c r="D3114" s="103">
        <v>11354.2</v>
      </c>
      <c r="E3114" s="23">
        <v>42154</v>
      </c>
      <c r="F3114" s="106">
        <v>11354.2</v>
      </c>
      <c r="G3114" s="31">
        <f t="shared" si="94"/>
        <v>0</v>
      </c>
      <c r="H3114" s="132" t="s">
        <v>587</v>
      </c>
      <c r="I3114" s="3"/>
      <c r="J3114" s="42"/>
      <c r="K3114" s="3"/>
      <c r="M3114" s="20">
        <v>42139</v>
      </c>
      <c r="N3114" s="183">
        <v>21084</v>
      </c>
      <c r="O3114" s="14" t="s">
        <v>112</v>
      </c>
      <c r="P3114" s="103">
        <v>3909.2</v>
      </c>
      <c r="Q3114" s="23">
        <v>42140</v>
      </c>
      <c r="R3114" s="114">
        <v>1459.2</v>
      </c>
      <c r="S3114" s="125">
        <f t="shared" si="96"/>
        <v>2450</v>
      </c>
      <c r="T3114" s="132" t="s">
        <v>9</v>
      </c>
    </row>
    <row r="3115" spans="1:20" x14ac:dyDescent="0.25">
      <c r="A3115" s="20">
        <v>42154</v>
      </c>
      <c r="B3115" s="183">
        <v>22689</v>
      </c>
      <c r="C3115" s="14" t="s">
        <v>151</v>
      </c>
      <c r="D3115" s="103">
        <v>5893.8</v>
      </c>
      <c r="E3115" s="30">
        <v>42156</v>
      </c>
      <c r="F3115" s="144">
        <v>5893.8</v>
      </c>
      <c r="G3115" s="31">
        <f t="shared" si="94"/>
        <v>0</v>
      </c>
      <c r="H3115" s="132" t="s">
        <v>9</v>
      </c>
      <c r="I3115" s="3"/>
      <c r="J3115" s="42"/>
      <c r="K3115" s="3"/>
      <c r="M3115" s="20">
        <v>42139</v>
      </c>
      <c r="N3115" s="183">
        <v>21203</v>
      </c>
      <c r="O3115" s="150" t="s">
        <v>112</v>
      </c>
      <c r="P3115" s="103">
        <v>14346.9</v>
      </c>
      <c r="Q3115" s="23" t="s">
        <v>1392</v>
      </c>
      <c r="R3115" s="106">
        <f>14000+346.9</f>
        <v>14346.9</v>
      </c>
      <c r="S3115" s="48">
        <f t="shared" si="96"/>
        <v>0</v>
      </c>
      <c r="T3115" s="132" t="s">
        <v>9</v>
      </c>
    </row>
    <row r="3116" spans="1:20" x14ac:dyDescent="0.25">
      <c r="A3116" s="20">
        <v>42154</v>
      </c>
      <c r="B3116" s="183">
        <v>22690</v>
      </c>
      <c r="C3116" s="14" t="s">
        <v>1328</v>
      </c>
      <c r="D3116" s="103">
        <v>43998.9</v>
      </c>
      <c r="E3116" s="23">
        <v>42154</v>
      </c>
      <c r="F3116" s="106">
        <v>43998.9</v>
      </c>
      <c r="G3116" s="31">
        <f t="shared" si="94"/>
        <v>0</v>
      </c>
      <c r="H3116" s="132" t="s">
        <v>9</v>
      </c>
      <c r="I3116" s="3"/>
      <c r="J3116" s="42"/>
      <c r="K3116" s="3"/>
      <c r="M3116" s="20">
        <v>42140</v>
      </c>
      <c r="N3116" s="183">
        <v>21219</v>
      </c>
      <c r="O3116" s="14" t="s">
        <v>112</v>
      </c>
      <c r="P3116" s="103">
        <v>14554.4</v>
      </c>
      <c r="Q3116" s="23" t="s">
        <v>1404</v>
      </c>
      <c r="R3116" s="106">
        <f>10500+4054.4</f>
        <v>14554.4</v>
      </c>
      <c r="S3116" s="48">
        <f t="shared" si="96"/>
        <v>0</v>
      </c>
      <c r="T3116" s="132" t="s">
        <v>9</v>
      </c>
    </row>
    <row r="3117" spans="1:20" x14ac:dyDescent="0.25">
      <c r="A3117" s="20">
        <v>42154</v>
      </c>
      <c r="B3117" s="183">
        <v>22691</v>
      </c>
      <c r="C3117" s="14" t="s">
        <v>294</v>
      </c>
      <c r="D3117" s="103">
        <v>502.8</v>
      </c>
      <c r="E3117" s="23">
        <v>42154</v>
      </c>
      <c r="F3117" s="106">
        <v>502.8</v>
      </c>
      <c r="G3117" s="31">
        <f t="shared" si="94"/>
        <v>0</v>
      </c>
      <c r="H3117" s="132" t="s">
        <v>9</v>
      </c>
      <c r="I3117" s="3"/>
      <c r="J3117" s="42"/>
      <c r="K3117" s="3"/>
      <c r="M3117" s="20">
        <v>42141</v>
      </c>
      <c r="N3117" s="183">
        <v>21365</v>
      </c>
      <c r="O3117" s="14" t="s">
        <v>112</v>
      </c>
      <c r="P3117" s="103">
        <v>9491.2999999999993</v>
      </c>
      <c r="Q3117" s="23" t="s">
        <v>1403</v>
      </c>
      <c r="R3117" s="118">
        <f>5800+3691.3</f>
        <v>9491.2999999999993</v>
      </c>
      <c r="S3117" s="31">
        <f t="shared" si="96"/>
        <v>0</v>
      </c>
      <c r="T3117" s="28" t="s">
        <v>9</v>
      </c>
    </row>
    <row r="3118" spans="1:20" x14ac:dyDescent="0.25">
      <c r="A3118" s="20">
        <v>42154</v>
      </c>
      <c r="B3118" s="183">
        <v>22692</v>
      </c>
      <c r="C3118" s="14" t="s">
        <v>881</v>
      </c>
      <c r="D3118" s="103">
        <v>6252.8</v>
      </c>
      <c r="E3118" s="23">
        <v>42154</v>
      </c>
      <c r="F3118" s="106">
        <v>6252.8</v>
      </c>
      <c r="G3118" s="31">
        <f t="shared" si="94"/>
        <v>0</v>
      </c>
      <c r="H3118" s="132" t="s">
        <v>9</v>
      </c>
      <c r="I3118" s="3"/>
      <c r="J3118" s="42"/>
      <c r="K3118" s="3"/>
      <c r="M3118" s="20">
        <v>42142</v>
      </c>
      <c r="N3118" s="183">
        <v>21411</v>
      </c>
      <c r="O3118" s="14" t="s">
        <v>112</v>
      </c>
      <c r="P3118" s="103">
        <v>7189.6</v>
      </c>
      <c r="Q3118" s="23">
        <v>42142</v>
      </c>
      <c r="R3118" s="118">
        <v>7189.6</v>
      </c>
      <c r="S3118" s="31">
        <f t="shared" si="96"/>
        <v>0</v>
      </c>
      <c r="T3118" s="28" t="s">
        <v>9</v>
      </c>
    </row>
    <row r="3119" spans="1:20" x14ac:dyDescent="0.25">
      <c r="A3119" s="20">
        <v>42154</v>
      </c>
      <c r="B3119" s="183">
        <v>22693</v>
      </c>
      <c r="C3119" s="14" t="s">
        <v>1261</v>
      </c>
      <c r="D3119" s="103">
        <v>3096</v>
      </c>
      <c r="E3119" s="23">
        <v>42154</v>
      </c>
      <c r="F3119" s="106">
        <v>3096</v>
      </c>
      <c r="G3119" s="31">
        <f t="shared" si="94"/>
        <v>0</v>
      </c>
      <c r="H3119" s="132" t="s">
        <v>587</v>
      </c>
      <c r="I3119" s="3"/>
      <c r="J3119" s="42"/>
      <c r="K3119" s="3"/>
      <c r="M3119" s="20">
        <v>42142</v>
      </c>
      <c r="N3119" s="183">
        <v>21517</v>
      </c>
      <c r="O3119" s="14" t="s">
        <v>112</v>
      </c>
      <c r="P3119" s="103">
        <v>4126</v>
      </c>
      <c r="Q3119" s="23">
        <v>42142</v>
      </c>
      <c r="R3119" s="118">
        <v>4126</v>
      </c>
      <c r="S3119" s="31">
        <f t="shared" si="96"/>
        <v>0</v>
      </c>
      <c r="T3119" s="28" t="s">
        <v>9</v>
      </c>
    </row>
    <row r="3120" spans="1:20" x14ac:dyDescent="0.25">
      <c r="A3120" s="20">
        <v>42154</v>
      </c>
      <c r="B3120" s="183">
        <v>22694</v>
      </c>
      <c r="C3120" s="14" t="s">
        <v>20</v>
      </c>
      <c r="D3120" s="103">
        <v>2005.4</v>
      </c>
      <c r="E3120" s="23">
        <v>42154</v>
      </c>
      <c r="F3120" s="106">
        <v>2005.4</v>
      </c>
      <c r="G3120" s="31">
        <f t="shared" si="94"/>
        <v>0</v>
      </c>
      <c r="H3120" s="132" t="s">
        <v>9</v>
      </c>
      <c r="I3120" s="3"/>
      <c r="J3120" s="42"/>
      <c r="K3120" s="3"/>
      <c r="M3120" s="20">
        <v>42143</v>
      </c>
      <c r="N3120" s="183">
        <v>21535</v>
      </c>
      <c r="O3120" s="14" t="s">
        <v>112</v>
      </c>
      <c r="P3120" s="103">
        <v>28980.3</v>
      </c>
      <c r="Q3120" s="23">
        <v>42144</v>
      </c>
      <c r="R3120" s="118">
        <v>28980.3</v>
      </c>
      <c r="S3120" s="31">
        <f t="shared" si="96"/>
        <v>0</v>
      </c>
      <c r="T3120" s="28" t="s">
        <v>9</v>
      </c>
    </row>
    <row r="3121" spans="1:20" x14ac:dyDescent="0.25">
      <c r="A3121" s="20">
        <v>42154</v>
      </c>
      <c r="B3121" s="183">
        <v>22695</v>
      </c>
      <c r="C3121" s="14" t="s">
        <v>91</v>
      </c>
      <c r="D3121" s="103">
        <v>27782</v>
      </c>
      <c r="E3121" s="23">
        <v>42154</v>
      </c>
      <c r="F3121" s="106">
        <v>27782</v>
      </c>
      <c r="G3121" s="31">
        <f t="shared" si="94"/>
        <v>0</v>
      </c>
      <c r="H3121" s="132" t="s">
        <v>59</v>
      </c>
      <c r="I3121" s="3"/>
      <c r="J3121" s="42"/>
      <c r="K3121" s="3"/>
      <c r="M3121" s="20">
        <v>42144</v>
      </c>
      <c r="N3121" s="183">
        <v>21641</v>
      </c>
      <c r="O3121" s="14" t="s">
        <v>112</v>
      </c>
      <c r="P3121" s="103">
        <v>21616.1</v>
      </c>
      <c r="Q3121" s="23">
        <v>42146</v>
      </c>
      <c r="R3121" s="118">
        <v>21616.1</v>
      </c>
      <c r="S3121" s="31">
        <f t="shared" si="96"/>
        <v>0</v>
      </c>
      <c r="T3121" s="180" t="s">
        <v>9</v>
      </c>
    </row>
    <row r="3122" spans="1:20" x14ac:dyDescent="0.25">
      <c r="A3122" s="20">
        <v>42154</v>
      </c>
      <c r="B3122" s="183">
        <v>22696</v>
      </c>
      <c r="C3122" s="14" t="s">
        <v>83</v>
      </c>
      <c r="D3122" s="103">
        <v>8690.4</v>
      </c>
      <c r="E3122" s="23">
        <v>42154</v>
      </c>
      <c r="F3122" s="106">
        <v>8690.4</v>
      </c>
      <c r="G3122" s="31">
        <f t="shared" si="94"/>
        <v>0</v>
      </c>
      <c r="H3122" s="132" t="s">
        <v>59</v>
      </c>
      <c r="I3122" s="3"/>
      <c r="J3122" s="42"/>
      <c r="K3122" s="3"/>
      <c r="M3122" s="20">
        <v>42146</v>
      </c>
      <c r="N3122" s="183">
        <v>21891</v>
      </c>
      <c r="O3122" s="14" t="s">
        <v>112</v>
      </c>
      <c r="P3122" s="103">
        <v>27092.16</v>
      </c>
      <c r="Q3122" s="23">
        <v>42150</v>
      </c>
      <c r="R3122" s="106">
        <v>27092.16</v>
      </c>
      <c r="S3122" s="31">
        <f t="shared" si="96"/>
        <v>0</v>
      </c>
      <c r="T3122" s="132" t="s">
        <v>9</v>
      </c>
    </row>
    <row r="3123" spans="1:20" x14ac:dyDescent="0.25">
      <c r="A3123" s="20">
        <v>42154</v>
      </c>
      <c r="B3123" s="183">
        <v>22697</v>
      </c>
      <c r="C3123" s="14" t="s">
        <v>125</v>
      </c>
      <c r="D3123" s="103">
        <v>22156.2</v>
      </c>
      <c r="E3123" s="212" t="s">
        <v>1463</v>
      </c>
      <c r="F3123" s="144">
        <f>15000+7156.2</f>
        <v>22156.2</v>
      </c>
      <c r="G3123" s="31">
        <f t="shared" si="94"/>
        <v>0</v>
      </c>
      <c r="H3123" s="132" t="s">
        <v>9</v>
      </c>
      <c r="I3123" s="3"/>
      <c r="J3123" s="42"/>
      <c r="K3123" s="3"/>
      <c r="M3123" s="20">
        <v>42146</v>
      </c>
      <c r="N3123" s="183">
        <v>21951</v>
      </c>
      <c r="O3123" s="14" t="s">
        <v>112</v>
      </c>
      <c r="P3123" s="103">
        <v>17263</v>
      </c>
      <c r="Q3123" s="23">
        <v>42146</v>
      </c>
      <c r="R3123" s="106">
        <v>17263</v>
      </c>
      <c r="S3123" s="31">
        <f t="shared" si="96"/>
        <v>0</v>
      </c>
      <c r="T3123" s="132" t="s">
        <v>9</v>
      </c>
    </row>
    <row r="3124" spans="1:20" x14ac:dyDescent="0.25">
      <c r="A3124" s="20">
        <v>42154</v>
      </c>
      <c r="B3124" s="183">
        <v>22698</v>
      </c>
      <c r="C3124" s="14" t="s">
        <v>32</v>
      </c>
      <c r="D3124" s="103">
        <v>62165.4</v>
      </c>
      <c r="E3124" s="30">
        <v>42171</v>
      </c>
      <c r="F3124" s="144">
        <v>62165.4</v>
      </c>
      <c r="G3124" s="31">
        <f t="shared" si="94"/>
        <v>0</v>
      </c>
      <c r="H3124" s="132" t="s">
        <v>1273</v>
      </c>
      <c r="I3124" s="3"/>
      <c r="J3124" s="42"/>
      <c r="K3124" s="3"/>
      <c r="M3124" s="20">
        <v>42146</v>
      </c>
      <c r="N3124" s="183">
        <v>21952</v>
      </c>
      <c r="O3124" s="14" t="s">
        <v>112</v>
      </c>
      <c r="P3124" s="103">
        <v>2492.4</v>
      </c>
      <c r="Q3124" s="23">
        <v>42146</v>
      </c>
      <c r="R3124" s="106">
        <v>2492.4</v>
      </c>
      <c r="S3124" s="31">
        <f t="shared" si="96"/>
        <v>0</v>
      </c>
      <c r="T3124" s="132" t="s">
        <v>9</v>
      </c>
    </row>
    <row r="3125" spans="1:20" x14ac:dyDescent="0.25">
      <c r="A3125" s="20">
        <v>42154</v>
      </c>
      <c r="B3125" s="183">
        <v>22699</v>
      </c>
      <c r="C3125" s="14" t="s">
        <v>1336</v>
      </c>
      <c r="D3125" s="103">
        <v>4754.3999999999996</v>
      </c>
      <c r="E3125" s="23">
        <v>42154</v>
      </c>
      <c r="F3125" s="106">
        <v>4754.3999999999996</v>
      </c>
      <c r="G3125" s="31">
        <f t="shared" si="94"/>
        <v>0</v>
      </c>
      <c r="H3125" s="132" t="s">
        <v>59</v>
      </c>
      <c r="I3125" s="3"/>
      <c r="J3125" s="42"/>
      <c r="K3125" s="3"/>
      <c r="M3125" s="20">
        <v>42148</v>
      </c>
      <c r="N3125" s="183">
        <v>22073</v>
      </c>
      <c r="O3125" s="14" t="s">
        <v>112</v>
      </c>
      <c r="P3125" s="103">
        <v>952</v>
      </c>
      <c r="Q3125" s="65">
        <v>42148</v>
      </c>
      <c r="R3125" s="106">
        <v>952</v>
      </c>
      <c r="S3125" s="31">
        <f t="shared" si="96"/>
        <v>0</v>
      </c>
      <c r="T3125" s="132" t="s">
        <v>9</v>
      </c>
    </row>
    <row r="3126" spans="1:20" x14ac:dyDescent="0.25">
      <c r="A3126" s="20">
        <v>42154</v>
      </c>
      <c r="B3126" s="183">
        <v>22700</v>
      </c>
      <c r="C3126" s="14" t="s">
        <v>881</v>
      </c>
      <c r="D3126" s="103">
        <v>278.39999999999998</v>
      </c>
      <c r="E3126" s="23">
        <v>42154</v>
      </c>
      <c r="F3126" s="106">
        <v>278.39999999999998</v>
      </c>
      <c r="G3126" s="31">
        <f t="shared" si="94"/>
        <v>0</v>
      </c>
      <c r="H3126" s="132" t="s">
        <v>9</v>
      </c>
      <c r="I3126" s="3"/>
      <c r="J3126" s="42"/>
      <c r="K3126" s="3"/>
      <c r="M3126" s="20">
        <v>42148</v>
      </c>
      <c r="N3126" s="183">
        <v>22115</v>
      </c>
      <c r="O3126" s="14" t="s">
        <v>112</v>
      </c>
      <c r="P3126" s="103">
        <v>2821.9</v>
      </c>
      <c r="Q3126" s="65">
        <v>42148</v>
      </c>
      <c r="R3126" s="106">
        <v>2821.9</v>
      </c>
      <c r="S3126" s="31">
        <f t="shared" si="96"/>
        <v>0</v>
      </c>
      <c r="T3126" s="132" t="s">
        <v>9</v>
      </c>
    </row>
    <row r="3127" spans="1:20" x14ac:dyDescent="0.25">
      <c r="A3127" s="20">
        <v>42154</v>
      </c>
      <c r="B3127" s="183">
        <v>22701</v>
      </c>
      <c r="C3127" s="14" t="s">
        <v>454</v>
      </c>
      <c r="D3127" s="103">
        <v>777</v>
      </c>
      <c r="E3127" s="23">
        <v>42154</v>
      </c>
      <c r="F3127" s="106">
        <v>777</v>
      </c>
      <c r="G3127" s="31">
        <f t="shared" si="94"/>
        <v>0</v>
      </c>
      <c r="H3127" s="132" t="s">
        <v>94</v>
      </c>
      <c r="I3127" s="3"/>
      <c r="J3127" s="42"/>
      <c r="K3127" s="3"/>
      <c r="M3127" s="20">
        <v>42150</v>
      </c>
      <c r="N3127" s="183">
        <v>22252</v>
      </c>
      <c r="O3127" s="14" t="s">
        <v>112</v>
      </c>
      <c r="P3127" s="103">
        <v>16625.400000000001</v>
      </c>
      <c r="Q3127" s="65">
        <v>42153</v>
      </c>
      <c r="R3127" s="106">
        <v>16625.400000000001</v>
      </c>
      <c r="S3127" s="31">
        <f t="shared" si="96"/>
        <v>0</v>
      </c>
      <c r="T3127" s="132" t="s">
        <v>9</v>
      </c>
    </row>
    <row r="3128" spans="1:20" x14ac:dyDescent="0.25">
      <c r="A3128" s="20">
        <v>42154</v>
      </c>
      <c r="B3128" s="183">
        <v>22702</v>
      </c>
      <c r="C3128" s="14" t="s">
        <v>675</v>
      </c>
      <c r="D3128" s="103">
        <v>756</v>
      </c>
      <c r="E3128" s="23">
        <v>42154</v>
      </c>
      <c r="F3128" s="106">
        <v>756</v>
      </c>
      <c r="G3128" s="31">
        <f t="shared" si="94"/>
        <v>0</v>
      </c>
      <c r="H3128" s="132" t="s">
        <v>9</v>
      </c>
      <c r="I3128" s="3"/>
      <c r="J3128" s="42"/>
      <c r="K3128" s="3"/>
      <c r="M3128" s="20">
        <v>42153</v>
      </c>
      <c r="N3128" s="183">
        <v>22550</v>
      </c>
      <c r="O3128" s="14" t="s">
        <v>112</v>
      </c>
      <c r="P3128" s="103">
        <v>32799.4</v>
      </c>
      <c r="Q3128" s="23"/>
      <c r="R3128" s="106"/>
      <c r="S3128" s="31">
        <f t="shared" si="96"/>
        <v>32799.4</v>
      </c>
      <c r="T3128" s="132" t="s">
        <v>9</v>
      </c>
    </row>
    <row r="3129" spans="1:20" x14ac:dyDescent="0.25">
      <c r="A3129" s="20">
        <v>42154</v>
      </c>
      <c r="B3129" s="183">
        <v>22703</v>
      </c>
      <c r="C3129" s="14" t="s">
        <v>49</v>
      </c>
      <c r="D3129" s="103">
        <v>1562.4</v>
      </c>
      <c r="E3129" s="23">
        <v>42154</v>
      </c>
      <c r="F3129" s="106">
        <v>1562.4</v>
      </c>
      <c r="G3129" s="31">
        <f t="shared" si="94"/>
        <v>0</v>
      </c>
      <c r="H3129" s="132" t="s">
        <v>94</v>
      </c>
      <c r="I3129" s="3"/>
      <c r="J3129" s="42"/>
      <c r="K3129" s="3"/>
      <c r="M3129" s="20">
        <v>42153</v>
      </c>
      <c r="N3129" s="183">
        <v>22650</v>
      </c>
      <c r="O3129" s="14" t="s">
        <v>112</v>
      </c>
      <c r="P3129" s="103">
        <v>36707</v>
      </c>
      <c r="Q3129" s="23">
        <v>42154</v>
      </c>
      <c r="R3129" s="114">
        <v>22000</v>
      </c>
      <c r="S3129" s="55">
        <f t="shared" si="96"/>
        <v>14707</v>
      </c>
      <c r="T3129" s="132" t="s">
        <v>9</v>
      </c>
    </row>
    <row r="3130" spans="1:20" x14ac:dyDescent="0.25">
      <c r="A3130" s="20">
        <v>42154</v>
      </c>
      <c r="B3130" s="183">
        <v>22704</v>
      </c>
      <c r="C3130" s="26" t="s">
        <v>218</v>
      </c>
      <c r="D3130" s="153">
        <v>0</v>
      </c>
      <c r="E3130" s="23"/>
      <c r="F3130" s="106"/>
      <c r="G3130" s="31">
        <f t="shared" si="94"/>
        <v>0</v>
      </c>
      <c r="H3130" s="132" t="s">
        <v>13</v>
      </c>
      <c r="I3130" s="3"/>
      <c r="J3130" s="42"/>
      <c r="K3130" s="3"/>
      <c r="M3130" s="20">
        <v>42153</v>
      </c>
      <c r="N3130" s="183">
        <v>22651</v>
      </c>
      <c r="O3130" s="14" t="s">
        <v>112</v>
      </c>
      <c r="P3130" s="103">
        <v>1728</v>
      </c>
      <c r="Q3130" s="23"/>
      <c r="R3130" s="106"/>
      <c r="S3130" s="31">
        <f t="shared" si="96"/>
        <v>1728</v>
      </c>
      <c r="T3130" s="132" t="s">
        <v>9</v>
      </c>
    </row>
    <row r="3131" spans="1:20" x14ac:dyDescent="0.25">
      <c r="A3131" s="20">
        <v>42154</v>
      </c>
      <c r="B3131" s="183">
        <v>22705</v>
      </c>
      <c r="C3131" s="14" t="s">
        <v>53</v>
      </c>
      <c r="D3131" s="103">
        <v>2964</v>
      </c>
      <c r="E3131" s="23">
        <v>42154</v>
      </c>
      <c r="F3131" s="106">
        <v>2964</v>
      </c>
      <c r="G3131" s="31">
        <f t="shared" si="94"/>
        <v>0</v>
      </c>
      <c r="H3131" s="132" t="s">
        <v>59</v>
      </c>
      <c r="I3131" s="3"/>
      <c r="J3131" s="42"/>
      <c r="K3131" s="3"/>
      <c r="M3131" s="20">
        <v>42125</v>
      </c>
      <c r="N3131" s="183">
        <v>19682</v>
      </c>
      <c r="O3131" s="14" t="s">
        <v>720</v>
      </c>
      <c r="P3131" s="103">
        <v>1646.4</v>
      </c>
      <c r="Q3131" s="23">
        <v>42126</v>
      </c>
      <c r="R3131" s="106">
        <v>1646.4</v>
      </c>
      <c r="S3131" s="25">
        <f t="shared" si="96"/>
        <v>0</v>
      </c>
      <c r="T3131" s="132" t="s">
        <v>94</v>
      </c>
    </row>
    <row r="3132" spans="1:20" x14ac:dyDescent="0.25">
      <c r="A3132" s="20">
        <v>42154</v>
      </c>
      <c r="B3132" s="183">
        <v>22706</v>
      </c>
      <c r="C3132" s="14" t="s">
        <v>296</v>
      </c>
      <c r="D3132" s="103">
        <v>1630.1</v>
      </c>
      <c r="E3132" s="23">
        <v>42154</v>
      </c>
      <c r="F3132" s="106">
        <v>1630.1</v>
      </c>
      <c r="G3132" s="31">
        <f t="shared" si="94"/>
        <v>0</v>
      </c>
      <c r="H3132" s="132" t="s">
        <v>9</v>
      </c>
      <c r="I3132" s="3"/>
      <c r="J3132" s="42"/>
      <c r="K3132" s="3"/>
      <c r="M3132" s="20">
        <v>42126</v>
      </c>
      <c r="N3132" s="183">
        <v>19699</v>
      </c>
      <c r="O3132" s="40" t="s">
        <v>720</v>
      </c>
      <c r="P3132" s="103">
        <v>13467.6</v>
      </c>
      <c r="Q3132" s="23">
        <v>42126</v>
      </c>
      <c r="R3132" s="106">
        <v>13467.6</v>
      </c>
      <c r="S3132" s="25">
        <f t="shared" si="96"/>
        <v>0</v>
      </c>
      <c r="T3132" s="210" t="s">
        <v>9</v>
      </c>
    </row>
    <row r="3133" spans="1:20" x14ac:dyDescent="0.25">
      <c r="A3133" s="20">
        <v>42154</v>
      </c>
      <c r="B3133" s="183">
        <v>22707</v>
      </c>
      <c r="C3133" s="14" t="s">
        <v>23</v>
      </c>
      <c r="D3133" s="103">
        <v>11817.6</v>
      </c>
      <c r="E3133" s="23">
        <v>42154</v>
      </c>
      <c r="F3133" s="106">
        <v>11817.6</v>
      </c>
      <c r="G3133" s="31">
        <f t="shared" si="94"/>
        <v>0</v>
      </c>
      <c r="H3133" s="132" t="s">
        <v>9</v>
      </c>
      <c r="I3133" s="3"/>
      <c r="J3133" s="42"/>
      <c r="K3133" s="3"/>
      <c r="M3133" s="20">
        <v>42127</v>
      </c>
      <c r="N3133" s="183">
        <v>19829</v>
      </c>
      <c r="O3133" s="40" t="s">
        <v>720</v>
      </c>
      <c r="P3133" s="103">
        <v>18089.599999999999</v>
      </c>
      <c r="Q3133" s="23">
        <v>42127</v>
      </c>
      <c r="R3133" s="106">
        <v>18089.599999999999</v>
      </c>
      <c r="S3133" s="31">
        <f t="shared" si="96"/>
        <v>0</v>
      </c>
      <c r="T3133" s="210" t="s">
        <v>9</v>
      </c>
    </row>
    <row r="3134" spans="1:20" x14ac:dyDescent="0.25">
      <c r="A3134" s="20">
        <v>42154</v>
      </c>
      <c r="B3134" s="183">
        <v>22708</v>
      </c>
      <c r="C3134" s="14" t="s">
        <v>88</v>
      </c>
      <c r="D3134" s="103">
        <v>1698.4</v>
      </c>
      <c r="E3134" s="23">
        <v>42154</v>
      </c>
      <c r="F3134" s="106">
        <v>1698.4</v>
      </c>
      <c r="G3134" s="31">
        <f t="shared" si="94"/>
        <v>0</v>
      </c>
      <c r="H3134" s="132" t="s">
        <v>9</v>
      </c>
      <c r="I3134" s="3"/>
      <c r="J3134" s="42"/>
      <c r="K3134" s="3"/>
      <c r="M3134" s="20">
        <v>42128</v>
      </c>
      <c r="N3134" s="183">
        <v>19888</v>
      </c>
      <c r="O3134" s="14" t="s">
        <v>720</v>
      </c>
      <c r="P3134" s="103">
        <v>13022.8</v>
      </c>
      <c r="Q3134" s="23">
        <v>42128</v>
      </c>
      <c r="R3134" s="106">
        <v>13022.8</v>
      </c>
      <c r="S3134" s="31">
        <f t="shared" si="96"/>
        <v>0</v>
      </c>
      <c r="T3134" s="209" t="s">
        <v>9</v>
      </c>
    </row>
    <row r="3135" spans="1:20" x14ac:dyDescent="0.25">
      <c r="A3135" s="20">
        <v>42154</v>
      </c>
      <c r="B3135" s="183">
        <v>22709</v>
      </c>
      <c r="C3135" s="14" t="s">
        <v>604</v>
      </c>
      <c r="D3135" s="103">
        <v>2590.8000000000002</v>
      </c>
      <c r="E3135" s="23">
        <v>42154</v>
      </c>
      <c r="F3135" s="106">
        <v>2590.8000000000002</v>
      </c>
      <c r="G3135" s="31">
        <f t="shared" si="94"/>
        <v>0</v>
      </c>
      <c r="H3135" s="132" t="s">
        <v>9</v>
      </c>
      <c r="I3135" s="3"/>
      <c r="J3135" s="42"/>
      <c r="K3135" s="3"/>
      <c r="M3135" s="20">
        <v>42129</v>
      </c>
      <c r="N3135" s="183">
        <v>20024</v>
      </c>
      <c r="O3135" s="14" t="s">
        <v>720</v>
      </c>
      <c r="P3135" s="103">
        <v>4891.6000000000004</v>
      </c>
      <c r="Q3135" s="23">
        <v>42129</v>
      </c>
      <c r="R3135" s="106">
        <v>4891.6000000000004</v>
      </c>
      <c r="S3135" s="31">
        <f t="shared" si="96"/>
        <v>0</v>
      </c>
      <c r="T3135" s="209" t="s">
        <v>9</v>
      </c>
    </row>
    <row r="3136" spans="1:20" x14ac:dyDescent="0.25">
      <c r="A3136" s="20">
        <v>42154</v>
      </c>
      <c r="B3136" s="183">
        <v>22710</v>
      </c>
      <c r="C3136" s="14" t="s">
        <v>440</v>
      </c>
      <c r="D3136" s="103">
        <v>11780.8</v>
      </c>
      <c r="E3136" s="23">
        <v>42154</v>
      </c>
      <c r="F3136" s="106">
        <v>11780.8</v>
      </c>
      <c r="G3136" s="31">
        <f t="shared" si="94"/>
        <v>0</v>
      </c>
      <c r="H3136" s="132" t="s">
        <v>9</v>
      </c>
      <c r="I3136" s="3"/>
      <c r="J3136" s="42"/>
      <c r="K3136" s="3"/>
      <c r="M3136" s="20">
        <v>42130</v>
      </c>
      <c r="N3136" s="183">
        <v>20115</v>
      </c>
      <c r="O3136" s="14" t="s">
        <v>720</v>
      </c>
      <c r="P3136" s="103">
        <v>3150.7</v>
      </c>
      <c r="Q3136" s="23">
        <v>42130</v>
      </c>
      <c r="R3136" s="106">
        <v>3150.7</v>
      </c>
      <c r="S3136" s="31">
        <f t="shared" si="96"/>
        <v>0</v>
      </c>
      <c r="T3136" s="132" t="s">
        <v>9</v>
      </c>
    </row>
    <row r="3137" spans="1:20" x14ac:dyDescent="0.25">
      <c r="A3137" s="20">
        <v>42154</v>
      </c>
      <c r="B3137" s="183">
        <v>22711</v>
      </c>
      <c r="C3137" s="14" t="s">
        <v>99</v>
      </c>
      <c r="D3137" s="103">
        <v>2531.1</v>
      </c>
      <c r="E3137" s="23">
        <v>42154</v>
      </c>
      <c r="F3137" s="106">
        <v>2531.1</v>
      </c>
      <c r="G3137" s="31">
        <f t="shared" si="94"/>
        <v>0</v>
      </c>
      <c r="H3137" s="132" t="s">
        <v>9</v>
      </c>
      <c r="I3137" s="3"/>
      <c r="J3137" s="42"/>
      <c r="K3137" s="3"/>
      <c r="M3137" s="20">
        <v>42131</v>
      </c>
      <c r="N3137" s="183">
        <v>20207</v>
      </c>
      <c r="O3137" s="14" t="s">
        <v>720</v>
      </c>
      <c r="P3137" s="103">
        <v>12683</v>
      </c>
      <c r="Q3137" s="23">
        <v>42131</v>
      </c>
      <c r="R3137" s="106">
        <v>12683</v>
      </c>
      <c r="S3137" s="31">
        <f t="shared" si="96"/>
        <v>0</v>
      </c>
      <c r="T3137" s="132" t="s">
        <v>9</v>
      </c>
    </row>
    <row r="3138" spans="1:20" x14ac:dyDescent="0.25">
      <c r="A3138" s="20">
        <v>42154</v>
      </c>
      <c r="B3138" s="183">
        <v>22712</v>
      </c>
      <c r="C3138" s="14" t="s">
        <v>226</v>
      </c>
      <c r="D3138" s="103">
        <v>572.4</v>
      </c>
      <c r="E3138" s="23">
        <v>42154</v>
      </c>
      <c r="F3138" s="106">
        <v>572.4</v>
      </c>
      <c r="G3138" s="31">
        <f t="shared" si="94"/>
        <v>0</v>
      </c>
      <c r="H3138" s="132" t="s">
        <v>9</v>
      </c>
      <c r="I3138" s="3"/>
      <c r="J3138" s="42"/>
      <c r="K3138" s="3"/>
      <c r="M3138" s="20">
        <v>42133</v>
      </c>
      <c r="N3138" s="183">
        <v>20467</v>
      </c>
      <c r="O3138" s="14" t="s">
        <v>720</v>
      </c>
      <c r="P3138" s="103">
        <v>15650.3</v>
      </c>
      <c r="Q3138" s="23">
        <v>42133</v>
      </c>
      <c r="R3138" s="106">
        <v>15650.3</v>
      </c>
      <c r="S3138" s="31">
        <f t="shared" si="96"/>
        <v>0</v>
      </c>
      <c r="T3138" s="209" t="s">
        <v>9</v>
      </c>
    </row>
    <row r="3139" spans="1:20" x14ac:dyDescent="0.25">
      <c r="A3139" s="20">
        <v>42154</v>
      </c>
      <c r="B3139" s="183">
        <v>22713</v>
      </c>
      <c r="C3139" s="14" t="s">
        <v>83</v>
      </c>
      <c r="D3139" s="103">
        <v>1366.8</v>
      </c>
      <c r="E3139" s="23">
        <v>42154</v>
      </c>
      <c r="F3139" s="106">
        <v>1366.8</v>
      </c>
      <c r="G3139" s="31">
        <f t="shared" si="94"/>
        <v>0</v>
      </c>
      <c r="H3139" s="132" t="s">
        <v>9</v>
      </c>
      <c r="I3139" s="3"/>
      <c r="J3139" s="42"/>
      <c r="K3139" s="3"/>
      <c r="M3139" s="20">
        <v>42133</v>
      </c>
      <c r="N3139" s="183">
        <v>20576</v>
      </c>
      <c r="O3139" s="14" t="s">
        <v>720</v>
      </c>
      <c r="P3139" s="103">
        <v>470.4</v>
      </c>
      <c r="Q3139" s="23">
        <v>42133</v>
      </c>
      <c r="R3139" s="106">
        <v>470.4</v>
      </c>
      <c r="S3139" s="31">
        <f t="shared" ref="S3139:S3202" si="97">P3139-R3139</f>
        <v>0</v>
      </c>
      <c r="T3139" s="209" t="s">
        <v>9</v>
      </c>
    </row>
    <row r="3140" spans="1:20" x14ac:dyDescent="0.25">
      <c r="A3140" s="20">
        <v>42154</v>
      </c>
      <c r="B3140" s="183">
        <v>22714</v>
      </c>
      <c r="C3140" s="14" t="s">
        <v>148</v>
      </c>
      <c r="D3140" s="103">
        <v>5957</v>
      </c>
      <c r="E3140" s="23">
        <v>42154</v>
      </c>
      <c r="F3140" s="106">
        <v>5957</v>
      </c>
      <c r="G3140" s="31">
        <f t="shared" si="94"/>
        <v>0</v>
      </c>
      <c r="H3140" s="132" t="s">
        <v>59</v>
      </c>
      <c r="I3140" s="3"/>
      <c r="J3140" s="42"/>
      <c r="K3140" s="3"/>
      <c r="M3140" s="20">
        <v>42134</v>
      </c>
      <c r="N3140" s="183">
        <v>20598</v>
      </c>
      <c r="O3140" s="14" t="s">
        <v>720</v>
      </c>
      <c r="P3140" s="103">
        <v>10468.200000000001</v>
      </c>
      <c r="Q3140" s="23">
        <v>42134</v>
      </c>
      <c r="R3140" s="106">
        <v>10468.200000000001</v>
      </c>
      <c r="S3140" s="31">
        <f t="shared" si="97"/>
        <v>0</v>
      </c>
      <c r="T3140" s="28" t="s">
        <v>9</v>
      </c>
    </row>
    <row r="3141" spans="1:20" x14ac:dyDescent="0.25">
      <c r="A3141" s="20">
        <v>42154</v>
      </c>
      <c r="B3141" s="183">
        <v>22715</v>
      </c>
      <c r="C3141" s="14" t="s">
        <v>383</v>
      </c>
      <c r="D3141" s="103">
        <v>8265.4</v>
      </c>
      <c r="E3141" s="23">
        <v>42154</v>
      </c>
      <c r="F3141" s="106">
        <v>8265.4</v>
      </c>
      <c r="G3141" s="31">
        <f t="shared" si="94"/>
        <v>0</v>
      </c>
      <c r="H3141" s="132" t="s">
        <v>9</v>
      </c>
      <c r="I3141" s="3"/>
      <c r="J3141" s="42"/>
      <c r="K3141" s="3"/>
      <c r="M3141" s="20">
        <v>42135</v>
      </c>
      <c r="N3141" s="183">
        <v>20667</v>
      </c>
      <c r="O3141" s="14" t="s">
        <v>720</v>
      </c>
      <c r="P3141" s="103">
        <v>11515.5</v>
      </c>
      <c r="Q3141" s="23">
        <v>42135</v>
      </c>
      <c r="R3141" s="106">
        <v>11515.5</v>
      </c>
      <c r="S3141" s="31">
        <f t="shared" si="97"/>
        <v>0</v>
      </c>
      <c r="T3141" s="132" t="s">
        <v>9</v>
      </c>
    </row>
    <row r="3142" spans="1:20" x14ac:dyDescent="0.25">
      <c r="A3142" s="20">
        <v>42154</v>
      </c>
      <c r="B3142" s="183">
        <v>22716</v>
      </c>
      <c r="C3142" s="14" t="s">
        <v>697</v>
      </c>
      <c r="D3142" s="103">
        <v>9149.4</v>
      </c>
      <c r="E3142" s="30" t="s">
        <v>1459</v>
      </c>
      <c r="F3142" s="144">
        <v>9149.4</v>
      </c>
      <c r="G3142" s="31">
        <f t="shared" si="94"/>
        <v>0</v>
      </c>
      <c r="H3142" s="132" t="s">
        <v>9</v>
      </c>
      <c r="I3142" s="3"/>
      <c r="J3142" s="42"/>
      <c r="K3142" s="3"/>
      <c r="M3142" s="20">
        <v>42137</v>
      </c>
      <c r="N3142" s="183">
        <v>20879</v>
      </c>
      <c r="O3142" s="14" t="s">
        <v>720</v>
      </c>
      <c r="P3142" s="103">
        <v>12361.3</v>
      </c>
      <c r="Q3142" s="23">
        <v>42137</v>
      </c>
      <c r="R3142" s="106">
        <v>12361.3</v>
      </c>
      <c r="S3142" s="31">
        <f t="shared" si="97"/>
        <v>0</v>
      </c>
      <c r="T3142" s="132" t="s">
        <v>9</v>
      </c>
    </row>
    <row r="3143" spans="1:20" x14ac:dyDescent="0.25">
      <c r="A3143" s="20">
        <v>42154</v>
      </c>
      <c r="B3143" s="183">
        <v>22717</v>
      </c>
      <c r="C3143" s="14" t="s">
        <v>292</v>
      </c>
      <c r="D3143" s="103">
        <v>2998.8</v>
      </c>
      <c r="E3143" s="23">
        <v>42154</v>
      </c>
      <c r="F3143" s="106">
        <v>2998.8</v>
      </c>
      <c r="G3143" s="31">
        <f t="shared" si="94"/>
        <v>0</v>
      </c>
      <c r="H3143" s="132" t="s">
        <v>59</v>
      </c>
      <c r="I3143" s="3"/>
      <c r="J3143" s="42"/>
      <c r="K3143" s="3"/>
      <c r="M3143" s="20">
        <v>42138</v>
      </c>
      <c r="N3143" s="183">
        <v>20963</v>
      </c>
      <c r="O3143" s="14" t="s">
        <v>720</v>
      </c>
      <c r="P3143" s="103">
        <v>5108.3</v>
      </c>
      <c r="Q3143" s="23">
        <v>42138</v>
      </c>
      <c r="R3143" s="106">
        <v>5108.3</v>
      </c>
      <c r="S3143" s="31">
        <f t="shared" si="97"/>
        <v>0</v>
      </c>
      <c r="T3143" s="209" t="s">
        <v>9</v>
      </c>
    </row>
    <row r="3144" spans="1:20" x14ac:dyDescent="0.25">
      <c r="A3144" s="20">
        <v>42154</v>
      </c>
      <c r="B3144" s="183">
        <v>22718</v>
      </c>
      <c r="C3144" s="14" t="s">
        <v>238</v>
      </c>
      <c r="D3144" s="103">
        <v>270.39999999999998</v>
      </c>
      <c r="E3144" s="23">
        <v>42154</v>
      </c>
      <c r="F3144" s="106">
        <v>270.39999999999998</v>
      </c>
      <c r="G3144" s="31">
        <f t="shared" si="94"/>
        <v>0</v>
      </c>
      <c r="H3144" s="132" t="s">
        <v>59</v>
      </c>
      <c r="I3144" s="3"/>
      <c r="J3144" s="42"/>
      <c r="K3144" s="3"/>
      <c r="M3144" s="20">
        <v>42139</v>
      </c>
      <c r="N3144" s="183">
        <v>21083</v>
      </c>
      <c r="O3144" s="14" t="s">
        <v>720</v>
      </c>
      <c r="P3144" s="103">
        <v>12943.2</v>
      </c>
      <c r="Q3144" s="23">
        <v>42139</v>
      </c>
      <c r="R3144" s="106">
        <v>12943.2</v>
      </c>
      <c r="S3144" s="48">
        <f t="shared" si="97"/>
        <v>0</v>
      </c>
      <c r="T3144" s="132" t="s">
        <v>9</v>
      </c>
    </row>
    <row r="3145" spans="1:20" x14ac:dyDescent="0.25">
      <c r="A3145" s="20">
        <v>42154</v>
      </c>
      <c r="B3145" s="183">
        <v>22719</v>
      </c>
      <c r="C3145" s="14" t="s">
        <v>169</v>
      </c>
      <c r="D3145" s="103">
        <v>1271.4000000000001</v>
      </c>
      <c r="E3145" s="23">
        <v>42154</v>
      </c>
      <c r="F3145" s="106">
        <v>1271.4000000000001</v>
      </c>
      <c r="G3145" s="31">
        <f t="shared" si="94"/>
        <v>0</v>
      </c>
      <c r="H3145" s="132" t="s">
        <v>59</v>
      </c>
      <c r="I3145" s="3"/>
      <c r="J3145" s="42"/>
      <c r="K3145" s="3"/>
      <c r="M3145" s="20">
        <v>42140</v>
      </c>
      <c r="N3145" s="183">
        <v>21216</v>
      </c>
      <c r="O3145" s="14" t="s">
        <v>720</v>
      </c>
      <c r="P3145" s="103">
        <v>16360.3</v>
      </c>
      <c r="Q3145" s="23">
        <v>42140</v>
      </c>
      <c r="R3145" s="106">
        <v>16360.3</v>
      </c>
      <c r="S3145" s="48">
        <f t="shared" si="97"/>
        <v>0</v>
      </c>
      <c r="T3145" s="132" t="s">
        <v>9</v>
      </c>
    </row>
    <row r="3146" spans="1:20" x14ac:dyDescent="0.25">
      <c r="A3146" s="20">
        <v>42154</v>
      </c>
      <c r="B3146" s="183">
        <v>22720</v>
      </c>
      <c r="C3146" s="14" t="s">
        <v>81</v>
      </c>
      <c r="D3146" s="103">
        <v>2896.2</v>
      </c>
      <c r="E3146" s="23">
        <v>42154</v>
      </c>
      <c r="F3146" s="106">
        <v>2896.2</v>
      </c>
      <c r="G3146" s="31">
        <f t="shared" si="94"/>
        <v>0</v>
      </c>
      <c r="H3146" s="132" t="s">
        <v>59</v>
      </c>
      <c r="I3146" s="3"/>
      <c r="J3146" s="42"/>
      <c r="K3146" s="3"/>
      <c r="M3146" s="20">
        <v>42140</v>
      </c>
      <c r="N3146" s="183">
        <v>21291</v>
      </c>
      <c r="O3146" s="14" t="s">
        <v>720</v>
      </c>
      <c r="P3146" s="103">
        <v>4468.8</v>
      </c>
      <c r="Q3146" s="23">
        <v>42140</v>
      </c>
      <c r="R3146" s="118">
        <v>4468.8</v>
      </c>
      <c r="S3146" s="31">
        <f t="shared" si="97"/>
        <v>0</v>
      </c>
      <c r="T3146" s="180" t="s">
        <v>94</v>
      </c>
    </row>
    <row r="3147" spans="1:20" x14ac:dyDescent="0.25">
      <c r="A3147" s="20">
        <v>42154</v>
      </c>
      <c r="B3147" s="183">
        <v>22721</v>
      </c>
      <c r="C3147" s="14" t="s">
        <v>53</v>
      </c>
      <c r="D3147" s="103">
        <v>93.75</v>
      </c>
      <c r="E3147" s="23">
        <v>42154</v>
      </c>
      <c r="F3147" s="106">
        <v>93.75</v>
      </c>
      <c r="G3147" s="31">
        <f t="shared" si="94"/>
        <v>0</v>
      </c>
      <c r="H3147" s="132" t="s">
        <v>59</v>
      </c>
      <c r="I3147" s="3"/>
      <c r="J3147" s="42"/>
      <c r="K3147" s="3"/>
      <c r="M3147" s="20">
        <v>42141</v>
      </c>
      <c r="N3147" s="183">
        <v>21325</v>
      </c>
      <c r="O3147" s="14" t="s">
        <v>720</v>
      </c>
      <c r="P3147" s="103">
        <v>8130.2</v>
      </c>
      <c r="Q3147" s="23">
        <v>42141</v>
      </c>
      <c r="R3147" s="118">
        <v>8130.2</v>
      </c>
      <c r="S3147" s="31">
        <f t="shared" si="97"/>
        <v>0</v>
      </c>
      <c r="T3147" s="180" t="s">
        <v>9</v>
      </c>
    </row>
    <row r="3148" spans="1:20" x14ac:dyDescent="0.25">
      <c r="A3148" s="20">
        <v>42154</v>
      </c>
      <c r="B3148" s="183">
        <v>22722</v>
      </c>
      <c r="C3148" s="26" t="s">
        <v>218</v>
      </c>
      <c r="D3148" s="153">
        <v>0</v>
      </c>
      <c r="E3148" s="23"/>
      <c r="F3148" s="106"/>
      <c r="G3148" s="31">
        <f t="shared" si="94"/>
        <v>0</v>
      </c>
      <c r="H3148" s="132" t="s">
        <v>13</v>
      </c>
      <c r="I3148" s="3"/>
      <c r="J3148" s="42"/>
      <c r="K3148" s="3"/>
      <c r="M3148" s="20">
        <v>42141</v>
      </c>
      <c r="N3148" s="183">
        <v>21371</v>
      </c>
      <c r="O3148" s="14" t="s">
        <v>720</v>
      </c>
      <c r="P3148" s="103">
        <v>9902</v>
      </c>
      <c r="Q3148" s="23">
        <v>42141</v>
      </c>
      <c r="R3148" s="118">
        <v>9902</v>
      </c>
      <c r="S3148" s="31">
        <f t="shared" si="97"/>
        <v>0</v>
      </c>
      <c r="T3148" s="28" t="s">
        <v>9</v>
      </c>
    </row>
    <row r="3149" spans="1:20" x14ac:dyDescent="0.25">
      <c r="A3149" s="20">
        <v>42154</v>
      </c>
      <c r="B3149" s="183">
        <v>22723</v>
      </c>
      <c r="C3149" s="14" t="s">
        <v>217</v>
      </c>
      <c r="D3149" s="103">
        <v>4629.3999999999996</v>
      </c>
      <c r="E3149" s="23">
        <v>42154</v>
      </c>
      <c r="F3149" s="106">
        <v>4629.3999999999996</v>
      </c>
      <c r="G3149" s="31">
        <f t="shared" si="94"/>
        <v>0</v>
      </c>
      <c r="H3149" s="132" t="s">
        <v>59</v>
      </c>
      <c r="I3149" s="3"/>
      <c r="J3149" s="42"/>
      <c r="K3149" s="3"/>
      <c r="M3149" s="20">
        <v>42142</v>
      </c>
      <c r="N3149" s="183">
        <v>21389</v>
      </c>
      <c r="O3149" s="14" t="s">
        <v>720</v>
      </c>
      <c r="P3149" s="103">
        <v>11159.7</v>
      </c>
      <c r="Q3149" s="23">
        <v>42142</v>
      </c>
      <c r="R3149" s="118">
        <v>11159.7</v>
      </c>
      <c r="S3149" s="31">
        <f t="shared" si="97"/>
        <v>0</v>
      </c>
      <c r="T3149" s="28" t="s">
        <v>9</v>
      </c>
    </row>
    <row r="3150" spans="1:20" x14ac:dyDescent="0.25">
      <c r="A3150" s="20">
        <v>42154</v>
      </c>
      <c r="B3150" s="183">
        <v>22724</v>
      </c>
      <c r="C3150" s="14" t="s">
        <v>167</v>
      </c>
      <c r="D3150" s="103">
        <v>628.79999999999995</v>
      </c>
      <c r="E3150" s="23">
        <v>42155</v>
      </c>
      <c r="F3150" s="106">
        <v>628.79999999999995</v>
      </c>
      <c r="G3150" s="31">
        <f t="shared" si="94"/>
        <v>0</v>
      </c>
      <c r="H3150" s="132" t="s">
        <v>59</v>
      </c>
      <c r="I3150" s="3"/>
      <c r="J3150" s="42"/>
      <c r="K3150" s="3"/>
      <c r="M3150" s="20">
        <v>42143</v>
      </c>
      <c r="N3150" s="183">
        <v>21543</v>
      </c>
      <c r="O3150" s="14" t="s">
        <v>720</v>
      </c>
      <c r="P3150" s="103">
        <v>10080.4</v>
      </c>
      <c r="Q3150" s="23">
        <v>42143</v>
      </c>
      <c r="R3150" s="118">
        <v>10080.4</v>
      </c>
      <c r="S3150" s="31">
        <f t="shared" si="97"/>
        <v>0</v>
      </c>
      <c r="T3150" s="28" t="s">
        <v>1418</v>
      </c>
    </row>
    <row r="3151" spans="1:20" x14ac:dyDescent="0.25">
      <c r="A3151" s="20">
        <v>42154</v>
      </c>
      <c r="B3151" s="183">
        <v>22725</v>
      </c>
      <c r="C3151" s="14" t="s">
        <v>120</v>
      </c>
      <c r="D3151" s="103">
        <v>1730.4</v>
      </c>
      <c r="E3151" s="23">
        <v>42154</v>
      </c>
      <c r="F3151" s="106">
        <v>1730.4</v>
      </c>
      <c r="G3151" s="31">
        <f t="shared" si="94"/>
        <v>0</v>
      </c>
      <c r="H3151" s="132" t="s">
        <v>59</v>
      </c>
      <c r="I3151" s="3"/>
      <c r="J3151" s="42"/>
      <c r="K3151" s="3"/>
      <c r="M3151" s="20">
        <v>42144</v>
      </c>
      <c r="N3151" s="183">
        <v>21613</v>
      </c>
      <c r="O3151" s="14" t="s">
        <v>720</v>
      </c>
      <c r="P3151" s="103">
        <v>10432</v>
      </c>
      <c r="Q3151" s="23">
        <v>42144</v>
      </c>
      <c r="R3151" s="118">
        <v>10432</v>
      </c>
      <c r="S3151" s="31">
        <f t="shared" si="97"/>
        <v>0</v>
      </c>
      <c r="T3151" s="28" t="s">
        <v>9</v>
      </c>
    </row>
    <row r="3152" spans="1:20" x14ac:dyDescent="0.25">
      <c r="A3152" s="20">
        <v>42154</v>
      </c>
      <c r="B3152" s="183">
        <v>22726</v>
      </c>
      <c r="C3152" s="26" t="s">
        <v>218</v>
      </c>
      <c r="D3152" s="153">
        <v>0</v>
      </c>
      <c r="E3152" s="23"/>
      <c r="F3152" s="106"/>
      <c r="G3152" s="31">
        <f t="shared" si="94"/>
        <v>0</v>
      </c>
      <c r="H3152" s="132" t="s">
        <v>13</v>
      </c>
      <c r="I3152" s="3"/>
      <c r="J3152" s="42"/>
      <c r="K3152" s="3"/>
      <c r="M3152" s="20">
        <v>42145</v>
      </c>
      <c r="N3152" s="183">
        <v>21717</v>
      </c>
      <c r="O3152" s="14" t="s">
        <v>720</v>
      </c>
      <c r="P3152" s="103">
        <v>13325.9</v>
      </c>
      <c r="Q3152" s="23">
        <v>42145</v>
      </c>
      <c r="R3152" s="106">
        <v>13325.9</v>
      </c>
      <c r="S3152" s="31">
        <f t="shared" si="97"/>
        <v>0</v>
      </c>
      <c r="T3152" s="132" t="s">
        <v>9</v>
      </c>
    </row>
    <row r="3153" spans="1:20" x14ac:dyDescent="0.25">
      <c r="A3153" s="20">
        <v>42154</v>
      </c>
      <c r="B3153" s="183">
        <v>22727</v>
      </c>
      <c r="C3153" s="14" t="s">
        <v>57</v>
      </c>
      <c r="D3153" s="103">
        <v>1600</v>
      </c>
      <c r="E3153" s="23">
        <v>42154</v>
      </c>
      <c r="F3153" s="106">
        <v>1600</v>
      </c>
      <c r="G3153" s="31">
        <f t="shared" si="94"/>
        <v>0</v>
      </c>
      <c r="H3153" s="132" t="s">
        <v>59</v>
      </c>
      <c r="I3153" s="3"/>
      <c r="J3153" s="42"/>
      <c r="K3153" s="3"/>
      <c r="M3153" s="20">
        <v>42146</v>
      </c>
      <c r="N3153" s="183">
        <v>21836</v>
      </c>
      <c r="O3153" s="15" t="s">
        <v>720</v>
      </c>
      <c r="P3153" s="133">
        <v>5896.95</v>
      </c>
      <c r="Q3153" s="23">
        <v>42146</v>
      </c>
      <c r="R3153" s="118">
        <v>5896.95</v>
      </c>
      <c r="S3153" s="31">
        <f t="shared" si="97"/>
        <v>0</v>
      </c>
      <c r="T3153" s="46" t="s">
        <v>9</v>
      </c>
    </row>
    <row r="3154" spans="1:20" x14ac:dyDescent="0.25">
      <c r="A3154" s="20">
        <v>42154</v>
      </c>
      <c r="B3154" s="183">
        <v>22728</v>
      </c>
      <c r="C3154" s="110">
        <v>105</v>
      </c>
      <c r="D3154" s="103">
        <v>4600</v>
      </c>
      <c r="E3154" s="23">
        <v>42155</v>
      </c>
      <c r="F3154" s="106">
        <v>4600</v>
      </c>
      <c r="G3154" s="31">
        <f t="shared" si="94"/>
        <v>0</v>
      </c>
      <c r="H3154" s="132" t="s">
        <v>59</v>
      </c>
      <c r="I3154" s="3"/>
      <c r="J3154" s="42"/>
      <c r="K3154" s="3"/>
      <c r="M3154" s="20">
        <v>42147</v>
      </c>
      <c r="N3154" s="183">
        <v>21971</v>
      </c>
      <c r="O3154" s="14" t="s">
        <v>720</v>
      </c>
      <c r="P3154" s="103">
        <v>20839.2</v>
      </c>
      <c r="Q3154" s="65">
        <v>42147</v>
      </c>
      <c r="R3154" s="106">
        <v>20839.2</v>
      </c>
      <c r="S3154" s="31">
        <f t="shared" si="97"/>
        <v>0</v>
      </c>
      <c r="T3154" s="132" t="s">
        <v>9</v>
      </c>
    </row>
    <row r="3155" spans="1:20" x14ac:dyDescent="0.25">
      <c r="A3155" s="20">
        <v>42154</v>
      </c>
      <c r="B3155" s="183">
        <v>22729</v>
      </c>
      <c r="C3155" s="14" t="s">
        <v>915</v>
      </c>
      <c r="D3155" s="103">
        <v>275.2</v>
      </c>
      <c r="E3155" s="23">
        <v>42154</v>
      </c>
      <c r="F3155" s="106">
        <v>275.2</v>
      </c>
      <c r="G3155" s="31">
        <f t="shared" si="94"/>
        <v>0</v>
      </c>
      <c r="H3155" s="132" t="s">
        <v>59</v>
      </c>
      <c r="I3155" s="3"/>
      <c r="J3155" s="42"/>
      <c r="K3155" s="3"/>
      <c r="M3155" s="20">
        <v>42148</v>
      </c>
      <c r="N3155" s="183">
        <v>22071</v>
      </c>
      <c r="O3155" s="14" t="s">
        <v>720</v>
      </c>
      <c r="P3155" s="103">
        <v>15862</v>
      </c>
      <c r="Q3155" s="65">
        <v>42148</v>
      </c>
      <c r="R3155" s="106">
        <v>15862</v>
      </c>
      <c r="S3155" s="31">
        <f t="shared" si="97"/>
        <v>0</v>
      </c>
      <c r="T3155" s="132" t="s">
        <v>9</v>
      </c>
    </row>
    <row r="3156" spans="1:20" x14ac:dyDescent="0.25">
      <c r="A3156" s="20">
        <v>42154</v>
      </c>
      <c r="B3156" s="183">
        <v>22730</v>
      </c>
      <c r="C3156" s="14" t="s">
        <v>118</v>
      </c>
      <c r="D3156" s="103">
        <v>2956.8</v>
      </c>
      <c r="E3156" s="30">
        <v>42175</v>
      </c>
      <c r="F3156" s="144">
        <v>2956.8</v>
      </c>
      <c r="G3156" s="31">
        <f t="shared" si="94"/>
        <v>0</v>
      </c>
      <c r="H3156" s="132" t="s">
        <v>59</v>
      </c>
      <c r="I3156" s="3"/>
      <c r="J3156" s="42"/>
      <c r="K3156" s="3"/>
      <c r="M3156" s="20">
        <v>42149</v>
      </c>
      <c r="N3156" s="183">
        <v>22134</v>
      </c>
      <c r="O3156" s="150" t="s">
        <v>720</v>
      </c>
      <c r="P3156" s="103">
        <v>25937.8</v>
      </c>
      <c r="Q3156" s="65">
        <v>42149</v>
      </c>
      <c r="R3156" s="106">
        <v>25937.8</v>
      </c>
      <c r="S3156" s="31">
        <f t="shared" si="97"/>
        <v>0</v>
      </c>
      <c r="T3156" s="132" t="s">
        <v>9</v>
      </c>
    </row>
    <row r="3157" spans="1:20" x14ac:dyDescent="0.25">
      <c r="A3157" s="20">
        <v>42154</v>
      </c>
      <c r="B3157" s="183">
        <v>22731</v>
      </c>
      <c r="C3157" s="14" t="s">
        <v>215</v>
      </c>
      <c r="D3157" s="103">
        <v>22812.400000000001</v>
      </c>
      <c r="E3157" s="23">
        <v>42154</v>
      </c>
      <c r="F3157" s="106">
        <v>22812.400000000001</v>
      </c>
      <c r="G3157" s="31">
        <f t="shared" si="94"/>
        <v>0</v>
      </c>
      <c r="H3157" s="132" t="s">
        <v>1013</v>
      </c>
      <c r="I3157" s="3"/>
      <c r="J3157" s="42"/>
      <c r="K3157" s="3"/>
      <c r="M3157" s="20">
        <v>42150</v>
      </c>
      <c r="N3157" s="183">
        <v>22251</v>
      </c>
      <c r="O3157" s="14" t="s">
        <v>720</v>
      </c>
      <c r="P3157" s="103">
        <v>13699.8</v>
      </c>
      <c r="Q3157" s="65">
        <v>42150</v>
      </c>
      <c r="R3157" s="106">
        <v>13699.8</v>
      </c>
      <c r="S3157" s="31">
        <f t="shared" si="97"/>
        <v>0</v>
      </c>
      <c r="T3157" s="132" t="s">
        <v>9</v>
      </c>
    </row>
    <row r="3158" spans="1:20" x14ac:dyDescent="0.25">
      <c r="A3158" s="20">
        <v>42154</v>
      </c>
      <c r="B3158" s="183">
        <v>22732</v>
      </c>
      <c r="C3158" s="14" t="s">
        <v>131</v>
      </c>
      <c r="D3158" s="103">
        <v>15005.8</v>
      </c>
      <c r="E3158" s="23">
        <v>42154</v>
      </c>
      <c r="F3158" s="106">
        <v>15005.8</v>
      </c>
      <c r="G3158" s="31">
        <f t="shared" si="94"/>
        <v>0</v>
      </c>
      <c r="H3158" s="132" t="s">
        <v>1257</v>
      </c>
      <c r="I3158" s="3"/>
      <c r="J3158" s="42"/>
      <c r="K3158" s="3"/>
      <c r="M3158" s="20">
        <v>42151</v>
      </c>
      <c r="N3158" s="183">
        <v>22336</v>
      </c>
      <c r="O3158" s="14" t="s">
        <v>720</v>
      </c>
      <c r="P3158" s="103">
        <v>10784.8</v>
      </c>
      <c r="Q3158" s="65">
        <v>42151</v>
      </c>
      <c r="R3158" s="106">
        <v>10784.8</v>
      </c>
      <c r="S3158" s="31">
        <f t="shared" si="97"/>
        <v>0</v>
      </c>
      <c r="T3158" s="132" t="s">
        <v>9</v>
      </c>
    </row>
    <row r="3159" spans="1:20" x14ac:dyDescent="0.25">
      <c r="A3159" s="20">
        <v>42154</v>
      </c>
      <c r="B3159" s="183">
        <v>22733</v>
      </c>
      <c r="C3159" s="14" t="s">
        <v>151</v>
      </c>
      <c r="D3159" s="103">
        <v>96</v>
      </c>
      <c r="E3159" s="23">
        <v>42154</v>
      </c>
      <c r="F3159" s="106">
        <v>96</v>
      </c>
      <c r="G3159" s="31">
        <f t="shared" si="94"/>
        <v>0</v>
      </c>
      <c r="H3159" s="132" t="s">
        <v>9</v>
      </c>
      <c r="I3159" s="3"/>
      <c r="J3159" s="42"/>
      <c r="K3159" s="3"/>
      <c r="M3159" s="20">
        <v>42152</v>
      </c>
      <c r="N3159" s="183">
        <v>22425</v>
      </c>
      <c r="O3159" s="14" t="s">
        <v>720</v>
      </c>
      <c r="P3159" s="103">
        <v>8577</v>
      </c>
      <c r="Q3159" s="23">
        <v>42152</v>
      </c>
      <c r="R3159" s="106">
        <v>8577</v>
      </c>
      <c r="S3159" s="31">
        <f t="shared" si="97"/>
        <v>0</v>
      </c>
      <c r="T3159" s="132" t="s">
        <v>9</v>
      </c>
    </row>
    <row r="3160" spans="1:20" x14ac:dyDescent="0.25">
      <c r="A3160" s="20">
        <v>42154</v>
      </c>
      <c r="B3160" s="183">
        <v>22734</v>
      </c>
      <c r="C3160" s="14" t="s">
        <v>24</v>
      </c>
      <c r="D3160" s="103">
        <v>15339.8</v>
      </c>
      <c r="E3160" s="30">
        <v>42173</v>
      </c>
      <c r="F3160" s="144">
        <v>15339.8</v>
      </c>
      <c r="G3160" s="31">
        <f t="shared" si="94"/>
        <v>0</v>
      </c>
      <c r="H3160" s="132" t="s">
        <v>15</v>
      </c>
      <c r="I3160" s="3"/>
      <c r="J3160" s="42"/>
      <c r="K3160" s="3"/>
      <c r="M3160" s="20">
        <v>42152</v>
      </c>
      <c r="N3160" s="183">
        <v>22495</v>
      </c>
      <c r="O3160" s="14" t="s">
        <v>720</v>
      </c>
      <c r="P3160" s="103">
        <v>2932</v>
      </c>
      <c r="Q3160" s="23">
        <v>42153</v>
      </c>
      <c r="R3160" s="106">
        <v>2932</v>
      </c>
      <c r="S3160" s="31">
        <f t="shared" si="97"/>
        <v>0</v>
      </c>
      <c r="T3160" s="132" t="s">
        <v>94</v>
      </c>
    </row>
    <row r="3161" spans="1:20" x14ac:dyDescent="0.25">
      <c r="A3161" s="20">
        <v>42154</v>
      </c>
      <c r="B3161" s="183">
        <v>22735</v>
      </c>
      <c r="C3161" s="14" t="s">
        <v>236</v>
      </c>
      <c r="D3161" s="103">
        <v>48357.599999999999</v>
      </c>
      <c r="E3161" s="30" t="s">
        <v>1477</v>
      </c>
      <c r="F3161" s="144">
        <f>2256.54+10000+12000+20100+4001.06</f>
        <v>48357.599999999999</v>
      </c>
      <c r="G3161" s="31">
        <f t="shared" si="94"/>
        <v>0</v>
      </c>
      <c r="H3161" s="132" t="s">
        <v>46</v>
      </c>
      <c r="I3161" s="3"/>
      <c r="J3161" s="42"/>
      <c r="K3161" s="3"/>
      <c r="M3161" s="20">
        <v>42153</v>
      </c>
      <c r="N3161" s="183">
        <v>22572</v>
      </c>
      <c r="O3161" s="14" t="s">
        <v>720</v>
      </c>
      <c r="P3161" s="103">
        <v>13745.6</v>
      </c>
      <c r="Q3161" s="23">
        <v>42153</v>
      </c>
      <c r="R3161" s="106">
        <v>13745.6</v>
      </c>
      <c r="S3161" s="31">
        <f t="shared" si="97"/>
        <v>0</v>
      </c>
      <c r="T3161" s="132" t="s">
        <v>9</v>
      </c>
    </row>
    <row r="3162" spans="1:20" x14ac:dyDescent="0.25">
      <c r="A3162" s="20">
        <v>42154</v>
      </c>
      <c r="B3162" s="183">
        <v>22736</v>
      </c>
      <c r="C3162" s="14" t="s">
        <v>137</v>
      </c>
      <c r="D3162" s="103">
        <v>469.85</v>
      </c>
      <c r="E3162" s="23">
        <v>42154</v>
      </c>
      <c r="F3162" s="106">
        <v>469.85</v>
      </c>
      <c r="G3162" s="31">
        <f t="shared" si="94"/>
        <v>0</v>
      </c>
      <c r="H3162" s="132" t="s">
        <v>9</v>
      </c>
      <c r="I3162" s="3"/>
      <c r="J3162" s="42"/>
      <c r="K3162" s="3"/>
      <c r="M3162" s="20">
        <v>42153</v>
      </c>
      <c r="N3162" s="183">
        <v>22642</v>
      </c>
      <c r="O3162" s="14" t="s">
        <v>720</v>
      </c>
      <c r="P3162" s="103">
        <v>3055.2</v>
      </c>
      <c r="Q3162" s="23">
        <v>42153</v>
      </c>
      <c r="R3162" s="106">
        <v>3055.2</v>
      </c>
      <c r="S3162" s="31">
        <f t="shared" si="97"/>
        <v>0</v>
      </c>
      <c r="T3162" s="132" t="s">
        <v>9</v>
      </c>
    </row>
    <row r="3163" spans="1:20" x14ac:dyDescent="0.25">
      <c r="A3163" s="20">
        <v>42154</v>
      </c>
      <c r="B3163" s="183">
        <v>22737</v>
      </c>
      <c r="C3163" s="14" t="s">
        <v>24</v>
      </c>
      <c r="D3163" s="103">
        <v>2620.46</v>
      </c>
      <c r="E3163" s="30">
        <v>42173</v>
      </c>
      <c r="F3163" s="144">
        <v>2620.46</v>
      </c>
      <c r="G3163" s="31">
        <f t="shared" si="94"/>
        <v>0</v>
      </c>
      <c r="H3163" s="132" t="s">
        <v>9</v>
      </c>
      <c r="I3163" s="3"/>
      <c r="J3163" s="42"/>
      <c r="K3163" s="3"/>
      <c r="M3163" s="20">
        <v>42154</v>
      </c>
      <c r="N3163" s="183">
        <v>22672</v>
      </c>
      <c r="O3163" s="14" t="s">
        <v>720</v>
      </c>
      <c r="P3163" s="103">
        <v>21586.400000000001</v>
      </c>
      <c r="Q3163" s="23" t="s">
        <v>1440</v>
      </c>
      <c r="R3163" s="106">
        <f>21000+586.4</f>
        <v>21586.400000000001</v>
      </c>
      <c r="S3163" s="31">
        <f t="shared" si="97"/>
        <v>0</v>
      </c>
      <c r="T3163" s="132" t="s">
        <v>9</v>
      </c>
    </row>
    <row r="3164" spans="1:20" x14ac:dyDescent="0.25">
      <c r="A3164" s="20">
        <v>42154</v>
      </c>
      <c r="B3164" s="183">
        <v>22738</v>
      </c>
      <c r="C3164" s="14" t="s">
        <v>128</v>
      </c>
      <c r="D3164" s="103">
        <v>7770</v>
      </c>
      <c r="E3164" s="30">
        <v>42159</v>
      </c>
      <c r="F3164" s="144">
        <v>7770</v>
      </c>
      <c r="G3164" s="31">
        <f t="shared" si="94"/>
        <v>0</v>
      </c>
      <c r="H3164" s="132" t="s">
        <v>9</v>
      </c>
      <c r="I3164" s="3"/>
      <c r="J3164" s="42"/>
      <c r="K3164" s="3"/>
      <c r="M3164" s="20">
        <v>42155</v>
      </c>
      <c r="N3164" s="183">
        <v>22795</v>
      </c>
      <c r="O3164" s="14" t="s">
        <v>720</v>
      </c>
      <c r="P3164" s="103">
        <v>35831.599999999999</v>
      </c>
      <c r="Q3164" s="23">
        <v>42155</v>
      </c>
      <c r="R3164" s="106">
        <v>35831.599999999999</v>
      </c>
      <c r="S3164" s="31">
        <f t="shared" si="97"/>
        <v>0</v>
      </c>
      <c r="T3164" s="132" t="s">
        <v>9</v>
      </c>
    </row>
    <row r="3165" spans="1:20" x14ac:dyDescent="0.25">
      <c r="A3165" s="20">
        <v>42154</v>
      </c>
      <c r="B3165" s="183">
        <v>22739</v>
      </c>
      <c r="C3165" s="14" t="s">
        <v>1338</v>
      </c>
      <c r="D3165" s="103">
        <v>18724.72</v>
      </c>
      <c r="E3165" s="30">
        <v>42172</v>
      </c>
      <c r="F3165" s="144">
        <v>18724.72</v>
      </c>
      <c r="G3165" s="31">
        <f t="shared" si="94"/>
        <v>0</v>
      </c>
      <c r="H3165" s="132" t="s">
        <v>1257</v>
      </c>
      <c r="I3165" s="3"/>
      <c r="J3165" s="42"/>
      <c r="K3165" s="3"/>
      <c r="M3165" s="20">
        <v>42131</v>
      </c>
      <c r="N3165" s="183">
        <v>20308</v>
      </c>
      <c r="O3165" s="14" t="s">
        <v>105</v>
      </c>
      <c r="P3165" s="103">
        <v>4874.1000000000004</v>
      </c>
      <c r="Q3165" s="23">
        <v>42131</v>
      </c>
      <c r="R3165" s="106">
        <v>4874.1000000000004</v>
      </c>
      <c r="S3165" s="31">
        <f t="shared" si="97"/>
        <v>0</v>
      </c>
      <c r="T3165" s="132" t="s">
        <v>9</v>
      </c>
    </row>
    <row r="3166" spans="1:20" x14ac:dyDescent="0.25">
      <c r="A3166" s="20">
        <v>42154</v>
      </c>
      <c r="B3166" s="183">
        <v>22740</v>
      </c>
      <c r="C3166" s="14" t="s">
        <v>863</v>
      </c>
      <c r="D3166" s="103">
        <v>977.6</v>
      </c>
      <c r="E3166" s="23">
        <v>42154</v>
      </c>
      <c r="F3166" s="106">
        <v>977.6</v>
      </c>
      <c r="G3166" s="31">
        <f t="shared" si="94"/>
        <v>0</v>
      </c>
      <c r="H3166" s="132" t="s">
        <v>9</v>
      </c>
      <c r="I3166" s="3"/>
      <c r="J3166" s="42"/>
      <c r="K3166" s="3"/>
      <c r="M3166" s="20">
        <v>42132</v>
      </c>
      <c r="N3166" s="183">
        <v>20331</v>
      </c>
      <c r="O3166" s="14" t="s">
        <v>105</v>
      </c>
      <c r="P3166" s="103">
        <v>16707.8</v>
      </c>
      <c r="Q3166" s="23">
        <v>42132</v>
      </c>
      <c r="R3166" s="106">
        <v>16707.8</v>
      </c>
      <c r="S3166" s="31">
        <f t="shared" si="97"/>
        <v>0</v>
      </c>
      <c r="T3166" s="132" t="s">
        <v>9</v>
      </c>
    </row>
    <row r="3167" spans="1:20" x14ac:dyDescent="0.25">
      <c r="A3167" s="20">
        <v>42154</v>
      </c>
      <c r="B3167" s="183">
        <v>22741</v>
      </c>
      <c r="C3167" s="14" t="s">
        <v>130</v>
      </c>
      <c r="D3167" s="103">
        <v>7898.6</v>
      </c>
      <c r="E3167" s="30">
        <v>42159</v>
      </c>
      <c r="F3167" s="144">
        <v>7898.6</v>
      </c>
      <c r="G3167" s="31">
        <f t="shared" si="94"/>
        <v>0</v>
      </c>
      <c r="H3167" s="132" t="s">
        <v>1257</v>
      </c>
      <c r="I3167" s="3"/>
      <c r="J3167" s="42"/>
      <c r="K3167" s="3"/>
      <c r="M3167" s="20">
        <v>42125</v>
      </c>
      <c r="N3167" s="183">
        <v>19580</v>
      </c>
      <c r="O3167" s="14" t="s">
        <v>1258</v>
      </c>
      <c r="P3167" s="103">
        <v>8745</v>
      </c>
      <c r="Q3167" s="23">
        <v>42125</v>
      </c>
      <c r="R3167" s="106">
        <v>8745</v>
      </c>
      <c r="S3167" s="25">
        <f t="shared" si="97"/>
        <v>0</v>
      </c>
      <c r="T3167" s="209" t="s">
        <v>9</v>
      </c>
    </row>
    <row r="3168" spans="1:20" x14ac:dyDescent="0.25">
      <c r="A3168" s="20">
        <v>42154</v>
      </c>
      <c r="B3168" s="183">
        <v>22742</v>
      </c>
      <c r="C3168" s="14" t="s">
        <v>881</v>
      </c>
      <c r="D3168" s="103">
        <v>2665.6</v>
      </c>
      <c r="E3168" s="23">
        <v>42154</v>
      </c>
      <c r="F3168" s="106">
        <v>2665.6</v>
      </c>
      <c r="G3168" s="31">
        <f t="shared" si="94"/>
        <v>0</v>
      </c>
      <c r="H3168" s="132" t="s">
        <v>1257</v>
      </c>
      <c r="I3168" s="3"/>
      <c r="J3168" s="42"/>
      <c r="K3168" s="3"/>
      <c r="M3168" s="20">
        <v>42138</v>
      </c>
      <c r="N3168" s="183">
        <v>21066</v>
      </c>
      <c r="O3168" s="14" t="s">
        <v>265</v>
      </c>
      <c r="P3168" s="103">
        <v>2776.2</v>
      </c>
      <c r="Q3168" s="23">
        <v>42138</v>
      </c>
      <c r="R3168" s="106">
        <v>2776.2</v>
      </c>
      <c r="S3168" s="48">
        <f t="shared" si="97"/>
        <v>0</v>
      </c>
      <c r="T3168" s="132" t="s">
        <v>9</v>
      </c>
    </row>
    <row r="3169" spans="1:20" x14ac:dyDescent="0.25">
      <c r="A3169" s="20">
        <v>42154</v>
      </c>
      <c r="B3169" s="183">
        <v>22743</v>
      </c>
      <c r="C3169" s="14" t="s">
        <v>332</v>
      </c>
      <c r="D3169" s="103">
        <v>2732</v>
      </c>
      <c r="E3169" s="23">
        <v>42154</v>
      </c>
      <c r="F3169" s="106">
        <v>2732</v>
      </c>
      <c r="G3169" s="31">
        <f t="shared" si="94"/>
        <v>0</v>
      </c>
      <c r="H3169" s="132" t="s">
        <v>9</v>
      </c>
      <c r="I3169" s="3"/>
      <c r="J3169" s="42"/>
      <c r="K3169" s="3"/>
      <c r="M3169" s="20">
        <v>42141</v>
      </c>
      <c r="N3169" s="183">
        <v>21363</v>
      </c>
      <c r="O3169" s="14" t="s">
        <v>265</v>
      </c>
      <c r="P3169" s="103">
        <v>976.45</v>
      </c>
      <c r="Q3169" s="23">
        <v>42141</v>
      </c>
      <c r="R3169" s="118">
        <v>976.45</v>
      </c>
      <c r="S3169" s="31">
        <f t="shared" si="97"/>
        <v>0</v>
      </c>
      <c r="T3169" s="28" t="s">
        <v>9</v>
      </c>
    </row>
    <row r="3170" spans="1:20" x14ac:dyDescent="0.25">
      <c r="A3170" s="20">
        <v>42154</v>
      </c>
      <c r="B3170" s="183">
        <v>22744</v>
      </c>
      <c r="C3170" s="14" t="s">
        <v>422</v>
      </c>
      <c r="D3170" s="103">
        <v>142.80000000000001</v>
      </c>
      <c r="E3170" s="23">
        <v>42154</v>
      </c>
      <c r="F3170" s="106">
        <v>142.80000000000001</v>
      </c>
      <c r="G3170" s="31">
        <f t="shared" si="94"/>
        <v>0</v>
      </c>
      <c r="H3170" s="132" t="s">
        <v>9</v>
      </c>
      <c r="I3170" s="3"/>
      <c r="J3170" s="42"/>
      <c r="K3170" s="3"/>
      <c r="M3170" s="20">
        <v>42141</v>
      </c>
      <c r="N3170" s="183">
        <v>21382</v>
      </c>
      <c r="O3170" s="14" t="s">
        <v>265</v>
      </c>
      <c r="P3170" s="103">
        <v>991.2</v>
      </c>
      <c r="Q3170" s="23">
        <v>42141</v>
      </c>
      <c r="R3170" s="118">
        <v>991.2</v>
      </c>
      <c r="S3170" s="31">
        <f t="shared" si="97"/>
        <v>0</v>
      </c>
      <c r="T3170" s="28" t="s">
        <v>9</v>
      </c>
    </row>
    <row r="3171" spans="1:20" x14ac:dyDescent="0.25">
      <c r="A3171" s="20">
        <v>42154</v>
      </c>
      <c r="B3171" s="183">
        <v>22745</v>
      </c>
      <c r="C3171" s="14" t="s">
        <v>1425</v>
      </c>
      <c r="D3171" s="103">
        <v>2164.8000000000002</v>
      </c>
      <c r="E3171" s="23">
        <v>42154</v>
      </c>
      <c r="F3171" s="106">
        <v>2164.8000000000002</v>
      </c>
      <c r="G3171" s="31">
        <f t="shared" si="94"/>
        <v>0</v>
      </c>
      <c r="H3171" s="132" t="s">
        <v>9</v>
      </c>
      <c r="I3171" s="3"/>
      <c r="J3171" s="42"/>
      <c r="K3171" s="3"/>
      <c r="M3171" s="20">
        <v>42145</v>
      </c>
      <c r="N3171" s="183">
        <v>21811</v>
      </c>
      <c r="O3171" s="15" t="s">
        <v>265</v>
      </c>
      <c r="P3171" s="133">
        <v>4452</v>
      </c>
      <c r="Q3171" s="23">
        <v>42145</v>
      </c>
      <c r="R3171" s="118">
        <v>4452</v>
      </c>
      <c r="S3171" s="31">
        <f t="shared" si="97"/>
        <v>0</v>
      </c>
      <c r="T3171" s="46" t="s">
        <v>9</v>
      </c>
    </row>
    <row r="3172" spans="1:20" x14ac:dyDescent="0.25">
      <c r="A3172" s="20">
        <v>42154</v>
      </c>
      <c r="B3172" s="183">
        <v>22746</v>
      </c>
      <c r="C3172" s="14" t="s">
        <v>89</v>
      </c>
      <c r="D3172" s="103">
        <v>4316.1000000000004</v>
      </c>
      <c r="E3172" s="23">
        <v>42154</v>
      </c>
      <c r="F3172" s="106">
        <v>4316.1000000000004</v>
      </c>
      <c r="G3172" s="31">
        <f t="shared" si="94"/>
        <v>0</v>
      </c>
      <c r="H3172" s="132" t="s">
        <v>9</v>
      </c>
      <c r="I3172" s="3"/>
      <c r="J3172" s="42"/>
      <c r="K3172" s="3"/>
      <c r="M3172" s="20">
        <v>42152</v>
      </c>
      <c r="N3172" s="183">
        <v>22531</v>
      </c>
      <c r="O3172" s="14" t="s">
        <v>265</v>
      </c>
      <c r="P3172" s="103">
        <v>4011.2</v>
      </c>
      <c r="Q3172" s="23">
        <v>42152</v>
      </c>
      <c r="R3172" s="106">
        <v>4011.2</v>
      </c>
      <c r="S3172" s="31">
        <f t="shared" si="97"/>
        <v>0</v>
      </c>
      <c r="T3172" s="132" t="s">
        <v>9</v>
      </c>
    </row>
    <row r="3173" spans="1:20" x14ac:dyDescent="0.25">
      <c r="A3173" s="20">
        <v>42154</v>
      </c>
      <c r="B3173" s="183">
        <v>22747</v>
      </c>
      <c r="C3173" s="14" t="s">
        <v>269</v>
      </c>
      <c r="D3173" s="103">
        <v>3351</v>
      </c>
      <c r="E3173" s="23">
        <v>42154</v>
      </c>
      <c r="F3173" s="106">
        <v>3351</v>
      </c>
      <c r="G3173" s="31">
        <f t="shared" si="94"/>
        <v>0</v>
      </c>
      <c r="H3173" s="132" t="s">
        <v>9</v>
      </c>
      <c r="I3173" s="3"/>
      <c r="J3173" s="42"/>
      <c r="K3173" s="3"/>
      <c r="M3173" s="20">
        <v>42153</v>
      </c>
      <c r="N3173" s="183">
        <v>22652</v>
      </c>
      <c r="O3173" s="14" t="s">
        <v>265</v>
      </c>
      <c r="P3173" s="103">
        <v>1067.5</v>
      </c>
      <c r="Q3173" s="23">
        <v>42153</v>
      </c>
      <c r="R3173" s="106">
        <v>1067.5</v>
      </c>
      <c r="S3173" s="31">
        <f t="shared" si="97"/>
        <v>0</v>
      </c>
      <c r="T3173" s="132" t="s">
        <v>9</v>
      </c>
    </row>
    <row r="3174" spans="1:20" x14ac:dyDescent="0.25">
      <c r="A3174" s="20">
        <v>42154</v>
      </c>
      <c r="B3174" s="183">
        <v>22748</v>
      </c>
      <c r="C3174" s="14" t="s">
        <v>14</v>
      </c>
      <c r="D3174" s="103">
        <v>8673.6</v>
      </c>
      <c r="E3174" s="30">
        <v>42172</v>
      </c>
      <c r="F3174" s="144">
        <v>8673.6</v>
      </c>
      <c r="G3174" s="31">
        <f t="shared" si="94"/>
        <v>0</v>
      </c>
      <c r="H3174" s="132" t="s">
        <v>15</v>
      </c>
      <c r="I3174" s="3"/>
      <c r="J3174" s="42"/>
      <c r="K3174" s="3"/>
      <c r="M3174" s="20">
        <v>42128</v>
      </c>
      <c r="N3174" s="183">
        <v>19987</v>
      </c>
      <c r="O3174" s="14" t="s">
        <v>205</v>
      </c>
      <c r="P3174" s="103">
        <v>6726.6</v>
      </c>
      <c r="Q3174" s="23">
        <v>42133</v>
      </c>
      <c r="R3174" s="106">
        <v>6726.6</v>
      </c>
      <c r="S3174" s="31">
        <f t="shared" si="97"/>
        <v>0</v>
      </c>
      <c r="T3174" s="209" t="s">
        <v>149</v>
      </c>
    </row>
    <row r="3175" spans="1:20" x14ac:dyDescent="0.25">
      <c r="A3175" s="20">
        <v>42154</v>
      </c>
      <c r="B3175" s="183">
        <v>22749</v>
      </c>
      <c r="C3175" s="14" t="s">
        <v>66</v>
      </c>
      <c r="D3175" s="103">
        <v>2714.5</v>
      </c>
      <c r="E3175" s="23">
        <v>42154</v>
      </c>
      <c r="F3175" s="106">
        <v>2714.5</v>
      </c>
      <c r="G3175" s="31">
        <f t="shared" si="94"/>
        <v>0</v>
      </c>
      <c r="H3175" s="132" t="s">
        <v>9</v>
      </c>
      <c r="I3175" s="3"/>
      <c r="J3175" s="42"/>
      <c r="K3175" s="3"/>
      <c r="M3175" s="20">
        <v>42138</v>
      </c>
      <c r="N3175" s="183">
        <v>21070</v>
      </c>
      <c r="O3175" s="14" t="s">
        <v>205</v>
      </c>
      <c r="P3175" s="103">
        <v>7815.8</v>
      </c>
      <c r="Q3175" s="23">
        <v>42145</v>
      </c>
      <c r="R3175" s="106">
        <v>7815.8</v>
      </c>
      <c r="S3175" s="48">
        <f t="shared" si="97"/>
        <v>0</v>
      </c>
      <c r="T3175" s="132" t="s">
        <v>149</v>
      </c>
    </row>
    <row r="3176" spans="1:20" x14ac:dyDescent="0.25">
      <c r="A3176" s="20">
        <v>42154</v>
      </c>
      <c r="B3176" s="183">
        <v>22750</v>
      </c>
      <c r="C3176" s="14" t="s">
        <v>829</v>
      </c>
      <c r="D3176" s="103">
        <v>8749.2000000000007</v>
      </c>
      <c r="E3176" s="23">
        <v>42154</v>
      </c>
      <c r="F3176" s="106">
        <v>8749.2000000000007</v>
      </c>
      <c r="G3176" s="31">
        <f t="shared" si="94"/>
        <v>0</v>
      </c>
      <c r="H3176" s="132" t="s">
        <v>9</v>
      </c>
      <c r="I3176" s="3"/>
      <c r="J3176" s="42"/>
      <c r="K3176" s="3"/>
      <c r="M3176" s="20">
        <v>42145</v>
      </c>
      <c r="N3176" s="183">
        <v>21807</v>
      </c>
      <c r="O3176" s="15" t="s">
        <v>205</v>
      </c>
      <c r="P3176" s="133">
        <v>6740.2</v>
      </c>
      <c r="Q3176" s="23"/>
      <c r="R3176" s="118"/>
      <c r="S3176" s="31">
        <f t="shared" si="97"/>
        <v>6740.2</v>
      </c>
      <c r="T3176" s="46" t="s">
        <v>149</v>
      </c>
    </row>
    <row r="3177" spans="1:20" x14ac:dyDescent="0.25">
      <c r="A3177" s="20">
        <v>42154</v>
      </c>
      <c r="B3177" s="183">
        <v>22751</v>
      </c>
      <c r="C3177" s="14" t="s">
        <v>95</v>
      </c>
      <c r="D3177" s="103">
        <v>3849.4</v>
      </c>
      <c r="E3177" s="23">
        <v>42154</v>
      </c>
      <c r="F3177" s="106">
        <v>3849.4</v>
      </c>
      <c r="G3177" s="31">
        <f t="shared" si="94"/>
        <v>0</v>
      </c>
      <c r="H3177" s="132" t="s">
        <v>1273</v>
      </c>
      <c r="I3177" s="3"/>
      <c r="J3177" s="42"/>
      <c r="K3177" s="3"/>
      <c r="M3177" s="20">
        <v>42125</v>
      </c>
      <c r="N3177" s="183">
        <v>19675</v>
      </c>
      <c r="O3177" s="14" t="s">
        <v>72</v>
      </c>
      <c r="P3177" s="103">
        <v>18297.2</v>
      </c>
      <c r="Q3177" s="30" t="s">
        <v>1269</v>
      </c>
      <c r="R3177" s="106">
        <v>18297.2</v>
      </c>
      <c r="S3177" s="25">
        <f t="shared" si="97"/>
        <v>0</v>
      </c>
      <c r="T3177" s="132" t="s">
        <v>62</v>
      </c>
    </row>
    <row r="3178" spans="1:20" x14ac:dyDescent="0.25">
      <c r="A3178" s="20">
        <v>42154</v>
      </c>
      <c r="B3178" s="183">
        <v>22752</v>
      </c>
      <c r="C3178" s="14" t="s">
        <v>93</v>
      </c>
      <c r="D3178" s="103">
        <v>2390.1999999999998</v>
      </c>
      <c r="E3178" s="23">
        <v>42154</v>
      </c>
      <c r="F3178" s="106">
        <v>2390.1999999999998</v>
      </c>
      <c r="G3178" s="31">
        <f t="shared" si="94"/>
        <v>0</v>
      </c>
      <c r="H3178" s="132" t="s">
        <v>1273</v>
      </c>
      <c r="I3178" s="3"/>
      <c r="J3178" s="42"/>
      <c r="K3178" s="3"/>
      <c r="M3178" s="20">
        <v>42128</v>
      </c>
      <c r="N3178" s="183">
        <v>19956</v>
      </c>
      <c r="O3178" s="14" t="s">
        <v>72</v>
      </c>
      <c r="P3178" s="103">
        <v>16167.8</v>
      </c>
      <c r="Q3178" s="30" t="s">
        <v>1305</v>
      </c>
      <c r="R3178" s="106">
        <v>16167.8</v>
      </c>
      <c r="S3178" s="31">
        <f t="shared" si="97"/>
        <v>0</v>
      </c>
      <c r="T3178" s="209" t="s">
        <v>62</v>
      </c>
    </row>
    <row r="3179" spans="1:20" x14ac:dyDescent="0.25">
      <c r="A3179" s="20">
        <v>42154</v>
      </c>
      <c r="B3179" s="183">
        <v>22753</v>
      </c>
      <c r="C3179" s="14" t="s">
        <v>98</v>
      </c>
      <c r="D3179" s="103">
        <v>3457.2</v>
      </c>
      <c r="E3179" s="23">
        <v>42154</v>
      </c>
      <c r="F3179" s="106">
        <v>3457.2</v>
      </c>
      <c r="G3179" s="31">
        <f t="shared" si="94"/>
        <v>0</v>
      </c>
      <c r="H3179" s="132" t="s">
        <v>1273</v>
      </c>
      <c r="I3179" s="3"/>
      <c r="J3179" s="42"/>
      <c r="K3179" s="3"/>
      <c r="M3179" s="20">
        <v>42132</v>
      </c>
      <c r="N3179" s="183">
        <v>20399</v>
      </c>
      <c r="O3179" s="14" t="s">
        <v>72</v>
      </c>
      <c r="P3179" s="103">
        <v>6265.2</v>
      </c>
      <c r="Q3179" s="30" t="s">
        <v>1349</v>
      </c>
      <c r="R3179" s="106">
        <v>6265.2</v>
      </c>
      <c r="S3179" s="31">
        <f t="shared" si="97"/>
        <v>0</v>
      </c>
      <c r="T3179" s="209" t="s">
        <v>62</v>
      </c>
    </row>
    <row r="3180" spans="1:20" x14ac:dyDescent="0.25">
      <c r="A3180" s="20">
        <v>42154</v>
      </c>
      <c r="B3180" s="183">
        <v>22754</v>
      </c>
      <c r="C3180" s="14" t="s">
        <v>20</v>
      </c>
      <c r="D3180" s="103">
        <v>3698.2</v>
      </c>
      <c r="E3180" s="23">
        <v>42154</v>
      </c>
      <c r="F3180" s="106">
        <v>3698.2</v>
      </c>
      <c r="G3180" s="31">
        <f t="shared" si="94"/>
        <v>0</v>
      </c>
      <c r="H3180" s="132" t="s">
        <v>94</v>
      </c>
      <c r="I3180" s="3"/>
      <c r="J3180" s="42"/>
      <c r="K3180" s="3"/>
      <c r="M3180" s="20">
        <v>42132</v>
      </c>
      <c r="N3180" s="183">
        <v>20426</v>
      </c>
      <c r="O3180" s="14" t="s">
        <v>72</v>
      </c>
      <c r="P3180" s="103">
        <v>17360</v>
      </c>
      <c r="Q3180" s="30" t="s">
        <v>1351</v>
      </c>
      <c r="R3180" s="106">
        <v>17360</v>
      </c>
      <c r="S3180" s="31">
        <f t="shared" si="97"/>
        <v>0</v>
      </c>
      <c r="T3180" s="209" t="s">
        <v>62</v>
      </c>
    </row>
    <row r="3181" spans="1:20" x14ac:dyDescent="0.25">
      <c r="A3181" s="20">
        <v>42154</v>
      </c>
      <c r="B3181" s="183">
        <v>22755</v>
      </c>
      <c r="C3181" s="14" t="s">
        <v>930</v>
      </c>
      <c r="D3181" s="103">
        <v>661.85</v>
      </c>
      <c r="E3181" s="23">
        <v>42154</v>
      </c>
      <c r="F3181" s="106">
        <v>661.85</v>
      </c>
      <c r="G3181" s="31">
        <f t="shared" si="94"/>
        <v>0</v>
      </c>
      <c r="H3181" s="132" t="s">
        <v>1273</v>
      </c>
      <c r="I3181" s="3"/>
      <c r="J3181" s="42"/>
      <c r="K3181" s="3"/>
      <c r="M3181" s="20">
        <v>42135</v>
      </c>
      <c r="N3181" s="183">
        <v>20740</v>
      </c>
      <c r="O3181" s="14" t="s">
        <v>72</v>
      </c>
      <c r="P3181" s="103">
        <v>20777.2</v>
      </c>
      <c r="Q3181" s="30" t="s">
        <v>1380</v>
      </c>
      <c r="R3181" s="106">
        <v>20777.2</v>
      </c>
      <c r="S3181" s="31">
        <f t="shared" si="97"/>
        <v>0</v>
      </c>
      <c r="T3181" s="209" t="s">
        <v>9</v>
      </c>
    </row>
    <row r="3182" spans="1:20" x14ac:dyDescent="0.25">
      <c r="A3182" s="20">
        <v>42154</v>
      </c>
      <c r="B3182" s="183">
        <v>22756</v>
      </c>
      <c r="C3182" s="14" t="s">
        <v>50</v>
      </c>
      <c r="D3182" s="103">
        <v>3510</v>
      </c>
      <c r="E3182" s="30">
        <v>42160</v>
      </c>
      <c r="F3182" s="144">
        <v>3510</v>
      </c>
      <c r="G3182" s="31">
        <f t="shared" si="94"/>
        <v>0</v>
      </c>
      <c r="H3182" s="132" t="s">
        <v>94</v>
      </c>
      <c r="I3182" s="3"/>
      <c r="J3182" s="42"/>
      <c r="K3182" s="3"/>
      <c r="M3182" s="20">
        <v>42139</v>
      </c>
      <c r="N3182" s="183">
        <v>21184</v>
      </c>
      <c r="O3182" s="50" t="s">
        <v>72</v>
      </c>
      <c r="P3182" s="103">
        <v>18351.599999999999</v>
      </c>
      <c r="Q3182" s="23"/>
      <c r="R3182" s="106"/>
      <c r="S3182" s="48">
        <f t="shared" si="97"/>
        <v>18351.599999999999</v>
      </c>
      <c r="T3182" s="132" t="s">
        <v>62</v>
      </c>
    </row>
    <row r="3183" spans="1:20" x14ac:dyDescent="0.25">
      <c r="A3183" s="20">
        <v>42154</v>
      </c>
      <c r="B3183" s="183">
        <v>22757</v>
      </c>
      <c r="C3183" s="14" t="s">
        <v>301</v>
      </c>
      <c r="D3183" s="103">
        <v>1008</v>
      </c>
      <c r="E3183" s="23">
        <v>42154</v>
      </c>
      <c r="F3183" s="106">
        <v>1008</v>
      </c>
      <c r="G3183" s="31">
        <f t="shared" si="94"/>
        <v>0</v>
      </c>
      <c r="H3183" s="132" t="s">
        <v>1273</v>
      </c>
      <c r="I3183" s="3"/>
      <c r="J3183" s="42"/>
      <c r="K3183" s="3"/>
      <c r="M3183" s="20">
        <v>42142</v>
      </c>
      <c r="N3183" s="183">
        <v>21458</v>
      </c>
      <c r="O3183" s="14" t="s">
        <v>72</v>
      </c>
      <c r="P3183" s="103">
        <v>17952.400000000001</v>
      </c>
      <c r="Q3183" s="74"/>
      <c r="R3183" s="106"/>
      <c r="S3183" s="31">
        <f t="shared" si="97"/>
        <v>17952.400000000001</v>
      </c>
      <c r="T3183" s="209" t="s">
        <v>62</v>
      </c>
    </row>
    <row r="3184" spans="1:20" x14ac:dyDescent="0.25">
      <c r="A3184" s="20">
        <v>42154</v>
      </c>
      <c r="B3184" s="183">
        <v>22758</v>
      </c>
      <c r="C3184" s="14" t="s">
        <v>50</v>
      </c>
      <c r="D3184" s="103">
        <v>1412.8</v>
      </c>
      <c r="E3184" s="30">
        <v>42160</v>
      </c>
      <c r="F3184" s="144">
        <v>1412.8</v>
      </c>
      <c r="G3184" s="31">
        <f t="shared" si="94"/>
        <v>0</v>
      </c>
      <c r="H3184" s="132" t="s">
        <v>94</v>
      </c>
      <c r="I3184" s="3"/>
      <c r="J3184" s="42"/>
      <c r="K3184" s="3"/>
      <c r="M3184" s="20">
        <v>42146</v>
      </c>
      <c r="N3184" s="183">
        <v>21918</v>
      </c>
      <c r="O3184" s="14" t="s">
        <v>72</v>
      </c>
      <c r="P3184" s="103">
        <v>18141.400000000001</v>
      </c>
      <c r="Q3184" s="23"/>
      <c r="R3184" s="106"/>
      <c r="S3184" s="31">
        <f t="shared" si="97"/>
        <v>18141.400000000001</v>
      </c>
      <c r="T3184" s="132" t="s">
        <v>62</v>
      </c>
    </row>
    <row r="3185" spans="1:20" x14ac:dyDescent="0.25">
      <c r="A3185" s="20">
        <v>42154</v>
      </c>
      <c r="B3185" s="183">
        <v>22759</v>
      </c>
      <c r="C3185" s="14" t="s">
        <v>250</v>
      </c>
      <c r="D3185" s="103">
        <v>4334.6000000000004</v>
      </c>
      <c r="E3185" s="23">
        <v>42154</v>
      </c>
      <c r="F3185" s="106">
        <v>4334.6000000000004</v>
      </c>
      <c r="G3185" s="31">
        <f t="shared" si="94"/>
        <v>0</v>
      </c>
      <c r="H3185" s="132" t="s">
        <v>1273</v>
      </c>
      <c r="I3185" s="3"/>
      <c r="J3185" s="42"/>
      <c r="K3185" s="3"/>
      <c r="M3185" s="20">
        <v>42149</v>
      </c>
      <c r="N3185" s="183">
        <v>22172</v>
      </c>
      <c r="O3185" s="150" t="s">
        <v>72</v>
      </c>
      <c r="P3185" s="103">
        <v>20176.2</v>
      </c>
      <c r="Q3185" s="65"/>
      <c r="R3185" s="106"/>
      <c r="S3185" s="31">
        <f t="shared" si="97"/>
        <v>20176.2</v>
      </c>
      <c r="T3185" s="132" t="s">
        <v>62</v>
      </c>
    </row>
    <row r="3186" spans="1:20" x14ac:dyDescent="0.25">
      <c r="A3186" s="20">
        <v>42154</v>
      </c>
      <c r="B3186" s="183">
        <v>22760</v>
      </c>
      <c r="C3186" s="14" t="s">
        <v>900</v>
      </c>
      <c r="D3186" s="103">
        <v>1246.4000000000001</v>
      </c>
      <c r="E3186" s="23">
        <v>42154</v>
      </c>
      <c r="F3186" s="106">
        <v>1246.4000000000001</v>
      </c>
      <c r="G3186" s="31">
        <f t="shared" si="94"/>
        <v>0</v>
      </c>
      <c r="H3186" s="132" t="s">
        <v>9</v>
      </c>
      <c r="I3186" s="3"/>
      <c r="J3186" s="42"/>
      <c r="K3186" s="3"/>
      <c r="M3186" s="20">
        <v>42153</v>
      </c>
      <c r="N3186" s="183">
        <v>22629</v>
      </c>
      <c r="O3186" s="14" t="s">
        <v>72</v>
      </c>
      <c r="P3186" s="103">
        <v>19801.2</v>
      </c>
      <c r="Q3186" s="23"/>
      <c r="R3186" s="106"/>
      <c r="S3186" s="31">
        <f t="shared" si="97"/>
        <v>19801.2</v>
      </c>
      <c r="T3186" s="132" t="s">
        <v>62</v>
      </c>
    </row>
    <row r="3187" spans="1:20" x14ac:dyDescent="0.25">
      <c r="A3187" s="20">
        <v>42154</v>
      </c>
      <c r="B3187" s="183">
        <v>22761</v>
      </c>
      <c r="C3187" s="14" t="s">
        <v>900</v>
      </c>
      <c r="D3187" s="103">
        <v>556.20000000000005</v>
      </c>
      <c r="E3187" s="23">
        <v>42154</v>
      </c>
      <c r="F3187" s="106">
        <v>556.20000000000005</v>
      </c>
      <c r="G3187" s="31">
        <f t="shared" si="94"/>
        <v>0</v>
      </c>
      <c r="H3187" s="132" t="s">
        <v>9</v>
      </c>
      <c r="I3187" s="3"/>
      <c r="J3187" s="42"/>
      <c r="K3187" s="3"/>
      <c r="M3187" s="20">
        <v>42125</v>
      </c>
      <c r="N3187" s="183">
        <v>19674</v>
      </c>
      <c r="O3187" s="14" t="s">
        <v>176</v>
      </c>
      <c r="P3187" s="103">
        <v>4644.3999999999996</v>
      </c>
      <c r="Q3187" s="30" t="s">
        <v>1268</v>
      </c>
      <c r="R3187" s="106">
        <v>4644.3999999999996</v>
      </c>
      <c r="S3187" s="25">
        <f t="shared" si="97"/>
        <v>0</v>
      </c>
      <c r="T3187" s="132" t="s">
        <v>62</v>
      </c>
    </row>
    <row r="3188" spans="1:20" x14ac:dyDescent="0.25">
      <c r="A3188" s="20">
        <v>42154</v>
      </c>
      <c r="B3188" s="183">
        <v>22762</v>
      </c>
      <c r="C3188" s="14" t="s">
        <v>24</v>
      </c>
      <c r="D3188" s="103">
        <v>17805.8</v>
      </c>
      <c r="E3188" s="30">
        <v>42173</v>
      </c>
      <c r="F3188" s="144">
        <v>17805.8</v>
      </c>
      <c r="G3188" s="31">
        <f t="shared" si="94"/>
        <v>0</v>
      </c>
      <c r="H3188" s="132" t="s">
        <v>9</v>
      </c>
      <c r="I3188" s="3"/>
      <c r="J3188" s="42"/>
      <c r="K3188" s="3"/>
      <c r="M3188" s="20">
        <v>42128</v>
      </c>
      <c r="N3188" s="183">
        <v>19965</v>
      </c>
      <c r="O3188" s="14" t="s">
        <v>176</v>
      </c>
      <c r="P3188" s="103">
        <v>10485.33</v>
      </c>
      <c r="Q3188" s="30" t="s">
        <v>1308</v>
      </c>
      <c r="R3188" s="106">
        <v>10485.33</v>
      </c>
      <c r="S3188" s="31">
        <f t="shared" si="97"/>
        <v>0</v>
      </c>
      <c r="T3188" s="209" t="s">
        <v>62</v>
      </c>
    </row>
    <row r="3189" spans="1:20" x14ac:dyDescent="0.25">
      <c r="A3189" s="20">
        <v>42154</v>
      </c>
      <c r="B3189" s="183">
        <v>22763</v>
      </c>
      <c r="C3189" s="14" t="s">
        <v>102</v>
      </c>
      <c r="D3189" s="103">
        <v>4537.2</v>
      </c>
      <c r="E3189" s="23">
        <v>42154</v>
      </c>
      <c r="F3189" s="106">
        <v>4537.2</v>
      </c>
      <c r="G3189" s="31">
        <f t="shared" si="94"/>
        <v>0</v>
      </c>
      <c r="H3189" s="132" t="s">
        <v>9</v>
      </c>
      <c r="I3189" s="3"/>
      <c r="J3189" s="42"/>
      <c r="K3189" s="3"/>
      <c r="M3189" s="20">
        <v>42132</v>
      </c>
      <c r="N3189" s="183">
        <v>20421</v>
      </c>
      <c r="O3189" s="14" t="s">
        <v>176</v>
      </c>
      <c r="P3189" s="103">
        <v>6900.2</v>
      </c>
      <c r="Q3189" s="30" t="s">
        <v>1350</v>
      </c>
      <c r="R3189" s="106">
        <v>6900.2</v>
      </c>
      <c r="S3189" s="31">
        <f t="shared" si="97"/>
        <v>0</v>
      </c>
      <c r="T3189" s="209" t="s">
        <v>94</v>
      </c>
    </row>
    <row r="3190" spans="1:20" x14ac:dyDescent="0.25">
      <c r="A3190" s="20">
        <v>42154</v>
      </c>
      <c r="B3190" s="183">
        <v>22764</v>
      </c>
      <c r="C3190" s="14" t="s">
        <v>14</v>
      </c>
      <c r="D3190" s="103">
        <v>167643.5</v>
      </c>
      <c r="E3190" s="30">
        <v>42172</v>
      </c>
      <c r="F3190" s="144">
        <v>167643.5</v>
      </c>
      <c r="G3190" s="31">
        <f t="shared" si="94"/>
        <v>0</v>
      </c>
      <c r="H3190" s="132" t="s">
        <v>149</v>
      </c>
      <c r="I3190" s="3"/>
      <c r="J3190" s="42"/>
      <c r="K3190" s="3"/>
      <c r="M3190" s="20">
        <v>42135</v>
      </c>
      <c r="N3190" s="183">
        <v>20742</v>
      </c>
      <c r="O3190" s="14" t="s">
        <v>176</v>
      </c>
      <c r="P3190" s="103">
        <v>11739.6</v>
      </c>
      <c r="Q3190" s="30" t="s">
        <v>1382</v>
      </c>
      <c r="R3190" s="106">
        <v>11739.6</v>
      </c>
      <c r="S3190" s="31">
        <f t="shared" si="97"/>
        <v>0</v>
      </c>
      <c r="T3190" s="209" t="s">
        <v>62</v>
      </c>
    </row>
    <row r="3191" spans="1:20" x14ac:dyDescent="0.25">
      <c r="A3191" s="20">
        <v>42154</v>
      </c>
      <c r="B3191" s="183">
        <v>22765</v>
      </c>
      <c r="C3191" s="14" t="s">
        <v>102</v>
      </c>
      <c r="D3191" s="103">
        <v>108.8</v>
      </c>
      <c r="E3191" s="23">
        <v>42154</v>
      </c>
      <c r="F3191" s="106">
        <v>108.8</v>
      </c>
      <c r="G3191" s="31">
        <f t="shared" si="94"/>
        <v>0</v>
      </c>
      <c r="H3191" s="132" t="s">
        <v>9</v>
      </c>
      <c r="I3191" s="3"/>
      <c r="J3191" s="42"/>
      <c r="K3191" s="3"/>
      <c r="M3191" s="20">
        <v>42139</v>
      </c>
      <c r="N3191" s="183">
        <v>21179</v>
      </c>
      <c r="O3191" s="14" t="s">
        <v>176</v>
      </c>
      <c r="P3191" s="103">
        <v>7089</v>
      </c>
      <c r="Q3191" s="30" t="s">
        <v>1401</v>
      </c>
      <c r="R3191" s="106">
        <v>7089</v>
      </c>
      <c r="S3191" s="48">
        <f t="shared" si="97"/>
        <v>0</v>
      </c>
      <c r="T3191" s="132" t="s">
        <v>62</v>
      </c>
    </row>
    <row r="3192" spans="1:20" x14ac:dyDescent="0.25">
      <c r="A3192" s="20">
        <v>42154</v>
      </c>
      <c r="B3192" s="183">
        <v>22766</v>
      </c>
      <c r="C3192" s="26" t="s">
        <v>218</v>
      </c>
      <c r="D3192" s="153">
        <v>0</v>
      </c>
      <c r="E3192" s="23"/>
      <c r="F3192" s="106"/>
      <c r="G3192" s="31">
        <f t="shared" si="94"/>
        <v>0</v>
      </c>
      <c r="H3192" s="132" t="s">
        <v>13</v>
      </c>
      <c r="I3192" s="3"/>
      <c r="J3192" s="42"/>
      <c r="K3192" s="3"/>
      <c r="M3192" s="20">
        <v>42142</v>
      </c>
      <c r="N3192" s="183">
        <v>21457</v>
      </c>
      <c r="O3192" s="14" t="s">
        <v>176</v>
      </c>
      <c r="P3192" s="103">
        <v>15488.24</v>
      </c>
      <c r="Q3192" s="74" t="s">
        <v>1414</v>
      </c>
      <c r="R3192" s="106">
        <v>15488.24</v>
      </c>
      <c r="S3192" s="31">
        <f t="shared" si="97"/>
        <v>0</v>
      </c>
      <c r="T3192" s="209" t="s">
        <v>62</v>
      </c>
    </row>
    <row r="3193" spans="1:20" x14ac:dyDescent="0.25">
      <c r="A3193" s="20">
        <v>42154</v>
      </c>
      <c r="B3193" s="183">
        <v>22767</v>
      </c>
      <c r="C3193" s="14" t="s">
        <v>24</v>
      </c>
      <c r="D3193" s="103">
        <v>273495.59999999998</v>
      </c>
      <c r="E3193" s="30">
        <v>42173</v>
      </c>
      <c r="F3193" s="144">
        <v>273495.59999999998</v>
      </c>
      <c r="G3193" s="31">
        <f t="shared" si="94"/>
        <v>0</v>
      </c>
      <c r="H3193" s="132" t="s">
        <v>46</v>
      </c>
      <c r="I3193" s="3"/>
      <c r="J3193" s="42"/>
      <c r="K3193" s="3"/>
      <c r="M3193" s="20">
        <v>42146</v>
      </c>
      <c r="N3193" s="183">
        <v>21919</v>
      </c>
      <c r="O3193" s="14" t="s">
        <v>176</v>
      </c>
      <c r="P3193" s="103">
        <v>7725.4</v>
      </c>
      <c r="Q3193" s="30" t="s">
        <v>1437</v>
      </c>
      <c r="R3193" s="106">
        <v>7725.4</v>
      </c>
      <c r="S3193" s="31">
        <f t="shared" si="97"/>
        <v>0</v>
      </c>
      <c r="T3193" s="132" t="s">
        <v>62</v>
      </c>
    </row>
    <row r="3194" spans="1:20" x14ac:dyDescent="0.25">
      <c r="A3194" s="20">
        <v>42154</v>
      </c>
      <c r="B3194" s="183">
        <v>22768</v>
      </c>
      <c r="C3194" s="14" t="s">
        <v>411</v>
      </c>
      <c r="D3194" s="103">
        <v>1463.7</v>
      </c>
      <c r="E3194" s="23">
        <v>42154</v>
      </c>
      <c r="F3194" s="106">
        <v>1463.7</v>
      </c>
      <c r="G3194" s="31">
        <f t="shared" si="94"/>
        <v>0</v>
      </c>
      <c r="H3194" s="132" t="s">
        <v>9</v>
      </c>
      <c r="I3194" s="3"/>
      <c r="J3194" s="42"/>
      <c r="K3194" s="3"/>
      <c r="M3194" s="20">
        <v>42149</v>
      </c>
      <c r="N3194" s="183">
        <v>22169</v>
      </c>
      <c r="O3194" s="14" t="s">
        <v>176</v>
      </c>
      <c r="P3194" s="103">
        <v>14575.2</v>
      </c>
      <c r="Q3194" s="65"/>
      <c r="R3194" s="106"/>
      <c r="S3194" s="31">
        <f t="shared" si="97"/>
        <v>14575.2</v>
      </c>
      <c r="T3194" s="132" t="s">
        <v>62</v>
      </c>
    </row>
    <row r="3195" spans="1:20" x14ac:dyDescent="0.25">
      <c r="A3195" s="20">
        <v>42154</v>
      </c>
      <c r="B3195" s="183">
        <v>22769</v>
      </c>
      <c r="C3195" s="14" t="s">
        <v>697</v>
      </c>
      <c r="D3195" s="103">
        <v>15735.6</v>
      </c>
      <c r="E3195" s="30" t="s">
        <v>1460</v>
      </c>
      <c r="F3195" s="144">
        <v>15735.6</v>
      </c>
      <c r="G3195" s="31">
        <f t="shared" si="94"/>
        <v>0</v>
      </c>
      <c r="H3195" s="132" t="s">
        <v>9</v>
      </c>
      <c r="I3195" s="3"/>
      <c r="J3195" s="42"/>
      <c r="K3195" s="3"/>
      <c r="M3195" s="20">
        <v>42153</v>
      </c>
      <c r="N3195" s="183">
        <v>22630</v>
      </c>
      <c r="O3195" s="14" t="s">
        <v>176</v>
      </c>
      <c r="P3195" s="103">
        <v>12393.6</v>
      </c>
      <c r="Q3195" s="23"/>
      <c r="R3195" s="106"/>
      <c r="S3195" s="31">
        <f t="shared" si="97"/>
        <v>12393.6</v>
      </c>
      <c r="T3195" s="132" t="s">
        <v>62</v>
      </c>
    </row>
    <row r="3196" spans="1:20" x14ac:dyDescent="0.25">
      <c r="A3196" s="20">
        <v>42154</v>
      </c>
      <c r="B3196" s="183">
        <v>22770</v>
      </c>
      <c r="C3196" s="14" t="s">
        <v>158</v>
      </c>
      <c r="D3196" s="103">
        <v>198</v>
      </c>
      <c r="E3196" s="23">
        <v>42154</v>
      </c>
      <c r="F3196" s="106">
        <v>198</v>
      </c>
      <c r="G3196" s="31">
        <f t="shared" si="94"/>
        <v>0</v>
      </c>
      <c r="H3196" s="132" t="s">
        <v>9</v>
      </c>
      <c r="I3196" s="3"/>
      <c r="J3196" s="42"/>
      <c r="K3196" s="3"/>
      <c r="M3196" s="20">
        <v>42125</v>
      </c>
      <c r="N3196" s="183">
        <v>19646</v>
      </c>
      <c r="O3196" s="14" t="s">
        <v>84</v>
      </c>
      <c r="P3196" s="103">
        <v>32468.400000000001</v>
      </c>
      <c r="Q3196" s="30" t="s">
        <v>1263</v>
      </c>
      <c r="R3196" s="106">
        <v>32468.400000000001</v>
      </c>
      <c r="S3196" s="25">
        <f t="shared" si="97"/>
        <v>0</v>
      </c>
      <c r="T3196" s="209" t="s">
        <v>62</v>
      </c>
    </row>
    <row r="3197" spans="1:20" x14ac:dyDescent="0.25">
      <c r="A3197" s="20">
        <v>42154</v>
      </c>
      <c r="B3197" s="183">
        <v>22771</v>
      </c>
      <c r="C3197" s="14" t="s">
        <v>256</v>
      </c>
      <c r="D3197" s="103">
        <v>8870.2000000000007</v>
      </c>
      <c r="E3197" s="23">
        <v>42155</v>
      </c>
      <c r="F3197" s="106">
        <v>8870.2000000000007</v>
      </c>
      <c r="G3197" s="31">
        <f t="shared" si="94"/>
        <v>0</v>
      </c>
      <c r="H3197" s="132" t="s">
        <v>773</v>
      </c>
      <c r="I3197" s="3"/>
      <c r="J3197" s="42"/>
      <c r="K3197" s="3"/>
      <c r="M3197" s="20">
        <v>42128</v>
      </c>
      <c r="N3197" s="183">
        <v>19953</v>
      </c>
      <c r="O3197" s="14" t="s">
        <v>84</v>
      </c>
      <c r="P3197" s="103">
        <v>35823.550000000003</v>
      </c>
      <c r="Q3197" s="30" t="s">
        <v>1304</v>
      </c>
      <c r="R3197" s="106">
        <v>35823.550000000003</v>
      </c>
      <c r="S3197" s="31">
        <f t="shared" si="97"/>
        <v>0</v>
      </c>
      <c r="T3197" s="209" t="s">
        <v>62</v>
      </c>
    </row>
    <row r="3198" spans="1:20" x14ac:dyDescent="0.25">
      <c r="A3198" s="20">
        <v>42154</v>
      </c>
      <c r="B3198" s="183">
        <v>22772</v>
      </c>
      <c r="C3198" s="14" t="s">
        <v>1262</v>
      </c>
      <c r="D3198" s="103">
        <v>66211.100000000006</v>
      </c>
      <c r="E3198" s="30">
        <v>42165</v>
      </c>
      <c r="F3198" s="144">
        <v>66211.100000000006</v>
      </c>
      <c r="G3198" s="31">
        <f t="shared" si="94"/>
        <v>0</v>
      </c>
      <c r="H3198" s="132" t="s">
        <v>94</v>
      </c>
      <c r="I3198" s="3"/>
      <c r="J3198" s="42"/>
      <c r="K3198" s="3"/>
      <c r="M3198" s="20">
        <v>42132</v>
      </c>
      <c r="N3198" s="183">
        <v>20366</v>
      </c>
      <c r="O3198" s="14" t="s">
        <v>84</v>
      </c>
      <c r="P3198" s="103">
        <v>40463.599999999999</v>
      </c>
      <c r="Q3198" s="30" t="s">
        <v>1345</v>
      </c>
      <c r="R3198" s="106">
        <v>40463.599999999999</v>
      </c>
      <c r="S3198" s="31">
        <f t="shared" si="97"/>
        <v>0</v>
      </c>
      <c r="T3198" s="209" t="s">
        <v>9</v>
      </c>
    </row>
    <row r="3199" spans="1:20" x14ac:dyDescent="0.25">
      <c r="A3199" s="20">
        <v>42154</v>
      </c>
      <c r="B3199" s="183">
        <v>22773</v>
      </c>
      <c r="C3199" s="14" t="s">
        <v>191</v>
      </c>
      <c r="D3199" s="103">
        <v>9360</v>
      </c>
      <c r="E3199" s="23">
        <v>42154</v>
      </c>
      <c r="F3199" s="106">
        <v>9360</v>
      </c>
      <c r="G3199" s="31">
        <f t="shared" si="94"/>
        <v>0</v>
      </c>
      <c r="H3199" s="132" t="s">
        <v>9</v>
      </c>
      <c r="I3199" s="3"/>
      <c r="J3199" s="42"/>
      <c r="K3199" s="3"/>
      <c r="M3199" s="20">
        <v>42132</v>
      </c>
      <c r="N3199" s="183">
        <v>20367</v>
      </c>
      <c r="O3199" s="14" t="s">
        <v>84</v>
      </c>
      <c r="P3199" s="103">
        <v>35930.5</v>
      </c>
      <c r="Q3199" s="30" t="s">
        <v>1346</v>
      </c>
      <c r="R3199" s="106">
        <v>35930.5</v>
      </c>
      <c r="S3199" s="31">
        <f t="shared" si="97"/>
        <v>0</v>
      </c>
      <c r="T3199" s="209" t="s">
        <v>62</v>
      </c>
    </row>
    <row r="3200" spans="1:20" x14ac:dyDescent="0.25">
      <c r="A3200" s="20">
        <v>42154</v>
      </c>
      <c r="B3200" s="183">
        <v>22774</v>
      </c>
      <c r="C3200" s="14" t="s">
        <v>675</v>
      </c>
      <c r="D3200" s="103">
        <v>428.2</v>
      </c>
      <c r="E3200" s="23">
        <v>42154</v>
      </c>
      <c r="F3200" s="106">
        <v>428.2</v>
      </c>
      <c r="G3200" s="31">
        <f t="shared" si="94"/>
        <v>0</v>
      </c>
      <c r="H3200" s="132" t="s">
        <v>62</v>
      </c>
      <c r="I3200" s="3"/>
      <c r="J3200" s="42"/>
      <c r="K3200" s="3"/>
      <c r="M3200" s="20">
        <v>42132</v>
      </c>
      <c r="N3200" s="183">
        <v>20434</v>
      </c>
      <c r="O3200" s="14" t="s">
        <v>84</v>
      </c>
      <c r="P3200" s="103">
        <v>15036.46</v>
      </c>
      <c r="Q3200" s="30" t="s">
        <v>1352</v>
      </c>
      <c r="R3200" s="106">
        <v>15036.46</v>
      </c>
      <c r="S3200" s="31">
        <f t="shared" si="97"/>
        <v>0</v>
      </c>
      <c r="T3200" s="209" t="s">
        <v>9</v>
      </c>
    </row>
    <row r="3201" spans="1:20" x14ac:dyDescent="0.25">
      <c r="A3201" s="20">
        <v>42154</v>
      </c>
      <c r="B3201" s="183">
        <v>22775</v>
      </c>
      <c r="C3201" s="14" t="s">
        <v>24</v>
      </c>
      <c r="D3201" s="103">
        <v>173626.76</v>
      </c>
      <c r="E3201" s="30">
        <v>42173</v>
      </c>
      <c r="F3201" s="144">
        <v>173626.76</v>
      </c>
      <c r="G3201" s="31">
        <f t="shared" si="94"/>
        <v>0</v>
      </c>
      <c r="H3201" s="132" t="s">
        <v>1013</v>
      </c>
      <c r="I3201" s="3"/>
      <c r="J3201" s="42"/>
      <c r="K3201" s="3"/>
      <c r="M3201" s="20">
        <v>42135</v>
      </c>
      <c r="N3201" s="183">
        <v>20720</v>
      </c>
      <c r="O3201" s="14" t="s">
        <v>84</v>
      </c>
      <c r="P3201" s="103">
        <v>41147.550000000003</v>
      </c>
      <c r="Q3201" s="30" t="s">
        <v>1377</v>
      </c>
      <c r="R3201" s="106">
        <v>41147.550000000003</v>
      </c>
      <c r="S3201" s="31">
        <f t="shared" si="97"/>
        <v>0</v>
      </c>
      <c r="T3201" s="209" t="s">
        <v>62</v>
      </c>
    </row>
    <row r="3202" spans="1:20" x14ac:dyDescent="0.25">
      <c r="A3202" s="20">
        <v>42154</v>
      </c>
      <c r="B3202" s="183">
        <v>22776</v>
      </c>
      <c r="C3202" s="14" t="s">
        <v>406</v>
      </c>
      <c r="D3202" s="103">
        <v>13753.8</v>
      </c>
      <c r="E3202" s="23">
        <v>42155</v>
      </c>
      <c r="F3202" s="106">
        <v>13753.8</v>
      </c>
      <c r="G3202" s="31">
        <f t="shared" si="94"/>
        <v>0</v>
      </c>
      <c r="H3202" s="132" t="s">
        <v>773</v>
      </c>
      <c r="I3202" s="3"/>
      <c r="J3202" s="42"/>
      <c r="K3202" s="3"/>
      <c r="M3202" s="20">
        <v>42135</v>
      </c>
      <c r="N3202" s="183">
        <v>20721</v>
      </c>
      <c r="O3202" s="14" t="s">
        <v>84</v>
      </c>
      <c r="P3202" s="103">
        <v>10334.4</v>
      </c>
      <c r="Q3202" s="30" t="s">
        <v>1378</v>
      </c>
      <c r="R3202" s="106">
        <v>10334.4</v>
      </c>
      <c r="S3202" s="31">
        <f t="shared" si="97"/>
        <v>0</v>
      </c>
      <c r="T3202" s="209" t="s">
        <v>62</v>
      </c>
    </row>
    <row r="3203" spans="1:20" x14ac:dyDescent="0.25">
      <c r="A3203" s="20">
        <v>42154</v>
      </c>
      <c r="B3203" s="183">
        <v>22777</v>
      </c>
      <c r="C3203" s="14" t="s">
        <v>111</v>
      </c>
      <c r="D3203" s="103">
        <v>342548</v>
      </c>
      <c r="E3203" s="30">
        <v>42159</v>
      </c>
      <c r="F3203" s="144">
        <v>342548</v>
      </c>
      <c r="G3203" s="31">
        <f t="shared" si="94"/>
        <v>0</v>
      </c>
      <c r="H3203" s="132" t="s">
        <v>9</v>
      </c>
      <c r="I3203" s="3"/>
      <c r="J3203" s="42"/>
      <c r="K3203" s="3"/>
      <c r="M3203" s="20">
        <v>42135</v>
      </c>
      <c r="N3203" s="183">
        <v>20750</v>
      </c>
      <c r="O3203" s="14" t="s">
        <v>84</v>
      </c>
      <c r="P3203" s="103">
        <v>25060.799999999999</v>
      </c>
      <c r="Q3203" s="30" t="s">
        <v>1383</v>
      </c>
      <c r="R3203" s="106">
        <v>25060.799999999999</v>
      </c>
      <c r="S3203" s="31">
        <f t="shared" ref="S3203:S3266" si="98">P3203-R3203</f>
        <v>0</v>
      </c>
      <c r="T3203" s="209" t="s">
        <v>62</v>
      </c>
    </row>
    <row r="3204" spans="1:20" x14ac:dyDescent="0.25">
      <c r="A3204" s="20">
        <v>42154</v>
      </c>
      <c r="B3204" s="183">
        <v>22778</v>
      </c>
      <c r="C3204" s="14" t="s">
        <v>111</v>
      </c>
      <c r="D3204" s="103">
        <v>231352</v>
      </c>
      <c r="E3204" s="30">
        <v>42159</v>
      </c>
      <c r="F3204" s="144">
        <v>231352</v>
      </c>
      <c r="G3204" s="31">
        <f t="shared" si="94"/>
        <v>0</v>
      </c>
      <c r="H3204" s="132" t="s">
        <v>9</v>
      </c>
      <c r="I3204" s="3"/>
      <c r="J3204" s="42"/>
      <c r="K3204" s="3"/>
      <c r="M3204" s="20">
        <v>42137</v>
      </c>
      <c r="N3204" s="183">
        <v>20906</v>
      </c>
      <c r="O3204" s="14" t="s">
        <v>84</v>
      </c>
      <c r="P3204" s="103">
        <v>13517.4</v>
      </c>
      <c r="Q3204" s="30" t="s">
        <v>1391</v>
      </c>
      <c r="R3204" s="106">
        <v>13517.4</v>
      </c>
      <c r="S3204" s="31">
        <f t="shared" si="98"/>
        <v>0</v>
      </c>
      <c r="T3204" s="209" t="s">
        <v>62</v>
      </c>
    </row>
    <row r="3205" spans="1:20" x14ac:dyDescent="0.25">
      <c r="A3205" s="20">
        <v>42154</v>
      </c>
      <c r="B3205" s="183">
        <v>22779</v>
      </c>
      <c r="C3205" s="14" t="s">
        <v>136</v>
      </c>
      <c r="D3205" s="103">
        <v>33602.400000000001</v>
      </c>
      <c r="E3205" s="30">
        <v>42158</v>
      </c>
      <c r="F3205" s="144">
        <v>33602.400000000001</v>
      </c>
      <c r="G3205" s="31">
        <f t="shared" si="94"/>
        <v>0</v>
      </c>
      <c r="H3205" s="132" t="s">
        <v>9</v>
      </c>
      <c r="I3205" s="3"/>
      <c r="J3205" s="42"/>
      <c r="K3205" s="3"/>
      <c r="M3205" s="20">
        <v>42139</v>
      </c>
      <c r="N3205" s="183">
        <v>21164</v>
      </c>
      <c r="O3205" s="14" t="s">
        <v>84</v>
      </c>
      <c r="P3205" s="103">
        <v>58957.1</v>
      </c>
      <c r="Q3205" s="30" t="s">
        <v>1398</v>
      </c>
      <c r="R3205" s="106">
        <v>58957.1</v>
      </c>
      <c r="S3205" s="48">
        <f t="shared" si="98"/>
        <v>0</v>
      </c>
      <c r="T3205" s="132" t="s">
        <v>62</v>
      </c>
    </row>
    <row r="3206" spans="1:20" x14ac:dyDescent="0.25">
      <c r="A3206" s="20">
        <v>42154</v>
      </c>
      <c r="B3206" s="183">
        <v>22780</v>
      </c>
      <c r="C3206" s="14" t="s">
        <v>1421</v>
      </c>
      <c r="D3206" s="103">
        <v>11134.6</v>
      </c>
      <c r="E3206" s="30">
        <v>42161</v>
      </c>
      <c r="F3206" s="144">
        <v>11134.6</v>
      </c>
      <c r="G3206" s="31">
        <f t="shared" si="94"/>
        <v>0</v>
      </c>
      <c r="H3206" s="132" t="s">
        <v>9</v>
      </c>
      <c r="I3206" s="3"/>
      <c r="J3206" s="42"/>
      <c r="K3206" s="3"/>
      <c r="M3206" s="20">
        <v>42142</v>
      </c>
      <c r="N3206" s="183">
        <v>21456</v>
      </c>
      <c r="O3206" s="14" t="s">
        <v>84</v>
      </c>
      <c r="P3206" s="103">
        <v>49318.7</v>
      </c>
      <c r="Q3206" s="74" t="s">
        <v>1413</v>
      </c>
      <c r="R3206" s="106">
        <v>49318.7</v>
      </c>
      <c r="S3206" s="31">
        <f t="shared" si="98"/>
        <v>0</v>
      </c>
      <c r="T3206" s="209" t="s">
        <v>62</v>
      </c>
    </row>
    <row r="3207" spans="1:20" x14ac:dyDescent="0.25">
      <c r="A3207" s="20">
        <v>42154</v>
      </c>
      <c r="B3207" s="183">
        <v>22781</v>
      </c>
      <c r="C3207" s="14" t="s">
        <v>111</v>
      </c>
      <c r="D3207" s="103">
        <v>21538</v>
      </c>
      <c r="E3207" s="30">
        <v>42159</v>
      </c>
      <c r="F3207" s="144">
        <v>21538</v>
      </c>
      <c r="G3207" s="31">
        <f t="shared" si="94"/>
        <v>0</v>
      </c>
      <c r="H3207" s="132" t="s">
        <v>94</v>
      </c>
      <c r="I3207" s="3"/>
      <c r="J3207" s="42"/>
      <c r="K3207" s="3"/>
      <c r="M3207" s="20">
        <v>42144</v>
      </c>
      <c r="N3207" s="183">
        <v>21664</v>
      </c>
      <c r="O3207" s="14" t="s">
        <v>84</v>
      </c>
      <c r="P3207" s="103">
        <v>21289</v>
      </c>
      <c r="Q3207" s="30" t="s">
        <v>1430</v>
      </c>
      <c r="R3207" s="118">
        <v>21289</v>
      </c>
      <c r="S3207" s="31">
        <f t="shared" si="98"/>
        <v>0</v>
      </c>
      <c r="T3207" s="180" t="s">
        <v>62</v>
      </c>
    </row>
    <row r="3208" spans="1:20" x14ac:dyDescent="0.25">
      <c r="A3208" s="20">
        <v>42154</v>
      </c>
      <c r="B3208" s="183">
        <v>22782</v>
      </c>
      <c r="C3208" s="14" t="s">
        <v>47</v>
      </c>
      <c r="D3208" s="103">
        <v>38954.800000000003</v>
      </c>
      <c r="E3208" s="30">
        <v>42156</v>
      </c>
      <c r="F3208" s="144">
        <v>38954.800000000003</v>
      </c>
      <c r="G3208" s="31">
        <f t="shared" si="94"/>
        <v>0</v>
      </c>
      <c r="H3208" s="132" t="s">
        <v>1257</v>
      </c>
      <c r="I3208" s="3"/>
      <c r="J3208" s="42"/>
      <c r="K3208" s="3"/>
      <c r="M3208" s="20">
        <v>42146</v>
      </c>
      <c r="N3208" s="183">
        <v>21896</v>
      </c>
      <c r="O3208" s="14" t="s">
        <v>84</v>
      </c>
      <c r="P3208" s="103">
        <v>50099.65</v>
      </c>
      <c r="Q3208" s="30" t="s">
        <v>1436</v>
      </c>
      <c r="R3208" s="106">
        <v>50099.65</v>
      </c>
      <c r="S3208" s="31">
        <f t="shared" si="98"/>
        <v>0</v>
      </c>
      <c r="T3208" s="132" t="s">
        <v>62</v>
      </c>
    </row>
    <row r="3209" spans="1:20" x14ac:dyDescent="0.25">
      <c r="A3209" s="20">
        <v>42154</v>
      </c>
      <c r="B3209" s="183">
        <v>22783</v>
      </c>
      <c r="C3209" s="14" t="s">
        <v>145</v>
      </c>
      <c r="D3209" s="103">
        <v>2221.1999999999998</v>
      </c>
      <c r="E3209" s="23">
        <v>42154</v>
      </c>
      <c r="F3209" s="106">
        <v>2221.1999999999998</v>
      </c>
      <c r="G3209" s="31">
        <f t="shared" si="94"/>
        <v>0</v>
      </c>
      <c r="H3209" s="132" t="s">
        <v>9</v>
      </c>
      <c r="I3209" s="3"/>
      <c r="J3209" s="42"/>
      <c r="K3209" s="3"/>
      <c r="M3209" s="20">
        <v>42149</v>
      </c>
      <c r="N3209" s="183">
        <v>22171</v>
      </c>
      <c r="O3209" s="14" t="s">
        <v>84</v>
      </c>
      <c r="P3209" s="103">
        <v>41844</v>
      </c>
      <c r="Q3209" s="65"/>
      <c r="R3209" s="106"/>
      <c r="S3209" s="31">
        <f t="shared" si="98"/>
        <v>41844</v>
      </c>
      <c r="T3209" s="132" t="s">
        <v>62</v>
      </c>
    </row>
    <row r="3210" spans="1:20" x14ac:dyDescent="0.25">
      <c r="A3210" s="20">
        <v>42154</v>
      </c>
      <c r="B3210" s="183">
        <v>22784</v>
      </c>
      <c r="C3210" s="14" t="s">
        <v>145</v>
      </c>
      <c r="D3210" s="103">
        <v>80</v>
      </c>
      <c r="E3210" s="23">
        <v>42154</v>
      </c>
      <c r="F3210" s="106">
        <v>80</v>
      </c>
      <c r="G3210" s="31">
        <f t="shared" si="94"/>
        <v>0</v>
      </c>
      <c r="H3210" s="132" t="s">
        <v>9</v>
      </c>
      <c r="I3210" s="3"/>
      <c r="J3210" s="42"/>
      <c r="K3210" s="3"/>
      <c r="M3210" s="20">
        <v>42151</v>
      </c>
      <c r="N3210" s="183">
        <v>22401</v>
      </c>
      <c r="O3210" s="14" t="s">
        <v>84</v>
      </c>
      <c r="P3210" s="103">
        <v>6421.8</v>
      </c>
      <c r="Q3210" s="23"/>
      <c r="R3210" s="106"/>
      <c r="S3210" s="31">
        <f t="shared" si="98"/>
        <v>6421.8</v>
      </c>
      <c r="T3210" s="132" t="s">
        <v>62</v>
      </c>
    </row>
    <row r="3211" spans="1:20" x14ac:dyDescent="0.25">
      <c r="A3211" s="20">
        <v>42154</v>
      </c>
      <c r="B3211" s="183">
        <v>22785</v>
      </c>
      <c r="C3211" s="14" t="s">
        <v>102</v>
      </c>
      <c r="D3211" s="103">
        <v>2128</v>
      </c>
      <c r="E3211" s="23">
        <v>42154</v>
      </c>
      <c r="F3211" s="106">
        <v>2128</v>
      </c>
      <c r="G3211" s="31">
        <f t="shared" si="94"/>
        <v>0</v>
      </c>
      <c r="H3211" s="132" t="s">
        <v>9</v>
      </c>
      <c r="I3211" s="3"/>
      <c r="J3211" s="42"/>
      <c r="K3211" s="3"/>
      <c r="M3211" s="20">
        <v>42151</v>
      </c>
      <c r="N3211" s="183">
        <v>22406</v>
      </c>
      <c r="O3211" s="14" t="s">
        <v>84</v>
      </c>
      <c r="P3211" s="103">
        <v>60</v>
      </c>
      <c r="Q3211" s="23"/>
      <c r="R3211" s="106"/>
      <c r="S3211" s="31">
        <f t="shared" si="98"/>
        <v>60</v>
      </c>
      <c r="T3211" s="132" t="s">
        <v>62</v>
      </c>
    </row>
    <row r="3212" spans="1:20" x14ac:dyDescent="0.25">
      <c r="A3212" s="20">
        <v>42154</v>
      </c>
      <c r="B3212" s="183">
        <v>22786</v>
      </c>
      <c r="C3212" s="14" t="s">
        <v>90</v>
      </c>
      <c r="D3212" s="103">
        <v>753.6</v>
      </c>
      <c r="E3212" s="23">
        <v>42154</v>
      </c>
      <c r="F3212" s="106">
        <v>753.6</v>
      </c>
      <c r="G3212" s="31">
        <f t="shared" si="94"/>
        <v>0</v>
      </c>
      <c r="H3212" s="132" t="s">
        <v>9</v>
      </c>
      <c r="I3212" s="3"/>
      <c r="J3212" s="42"/>
      <c r="K3212" s="3"/>
      <c r="M3212" s="20">
        <v>42153</v>
      </c>
      <c r="N3212" s="183">
        <v>22622</v>
      </c>
      <c r="O3212" s="14" t="s">
        <v>84</v>
      </c>
      <c r="P3212" s="103">
        <v>46912.4</v>
      </c>
      <c r="Q3212" s="23"/>
      <c r="R3212" s="106"/>
      <c r="S3212" s="31">
        <f t="shared" si="98"/>
        <v>46912.4</v>
      </c>
      <c r="T3212" s="132" t="s">
        <v>62</v>
      </c>
    </row>
    <row r="3213" spans="1:20" x14ac:dyDescent="0.25">
      <c r="A3213" s="20">
        <v>42154</v>
      </c>
      <c r="B3213" s="183">
        <v>22787</v>
      </c>
      <c r="C3213" s="14" t="s">
        <v>1020</v>
      </c>
      <c r="D3213" s="103">
        <v>5481.84</v>
      </c>
      <c r="E3213" s="23">
        <v>42154</v>
      </c>
      <c r="F3213" s="106">
        <v>5481.84</v>
      </c>
      <c r="G3213" s="31">
        <f t="shared" si="94"/>
        <v>0</v>
      </c>
      <c r="H3213" s="132" t="s">
        <v>9</v>
      </c>
      <c r="I3213" s="3"/>
      <c r="J3213" s="42"/>
      <c r="K3213" s="3"/>
      <c r="M3213" s="20">
        <v>42132</v>
      </c>
      <c r="N3213" s="183">
        <v>20427</v>
      </c>
      <c r="O3213" s="14" t="s">
        <v>247</v>
      </c>
      <c r="P3213" s="103">
        <v>5753</v>
      </c>
      <c r="Q3213" s="23">
        <v>42133</v>
      </c>
      <c r="R3213" s="106">
        <v>5753</v>
      </c>
      <c r="S3213" s="31">
        <f t="shared" si="98"/>
        <v>0</v>
      </c>
      <c r="T3213" s="209" t="s">
        <v>9</v>
      </c>
    </row>
    <row r="3214" spans="1:20" x14ac:dyDescent="0.25">
      <c r="A3214" s="20">
        <v>42154</v>
      </c>
      <c r="B3214" s="183">
        <v>22788</v>
      </c>
      <c r="C3214" s="14" t="s">
        <v>106</v>
      </c>
      <c r="D3214" s="103">
        <v>9414.6</v>
      </c>
      <c r="E3214" s="30">
        <v>42156</v>
      </c>
      <c r="F3214" s="144">
        <v>9414.6</v>
      </c>
      <c r="G3214" s="31">
        <f t="shared" si="94"/>
        <v>0</v>
      </c>
      <c r="H3214" s="132" t="s">
        <v>9</v>
      </c>
      <c r="I3214" s="3"/>
      <c r="J3214" s="42"/>
      <c r="K3214" s="3"/>
      <c r="M3214" s="20">
        <v>42138</v>
      </c>
      <c r="N3214" s="183">
        <v>21017</v>
      </c>
      <c r="O3214" s="14" t="s">
        <v>247</v>
      </c>
      <c r="P3214" s="103">
        <v>5494.8</v>
      </c>
      <c r="Q3214" s="23">
        <v>42138</v>
      </c>
      <c r="R3214" s="106">
        <v>5494.8</v>
      </c>
      <c r="S3214" s="48">
        <f t="shared" si="98"/>
        <v>0</v>
      </c>
      <c r="T3214" s="132" t="s">
        <v>41</v>
      </c>
    </row>
    <row r="3215" spans="1:20" x14ac:dyDescent="0.25">
      <c r="A3215" s="20">
        <v>42154</v>
      </c>
      <c r="B3215" s="183">
        <v>22789</v>
      </c>
      <c r="C3215" s="14" t="s">
        <v>24</v>
      </c>
      <c r="D3215" s="103">
        <v>8010</v>
      </c>
      <c r="E3215" s="30">
        <v>42173</v>
      </c>
      <c r="F3215" s="144">
        <v>8010</v>
      </c>
      <c r="G3215" s="31">
        <f t="shared" si="94"/>
        <v>0</v>
      </c>
      <c r="H3215" s="132" t="s">
        <v>9</v>
      </c>
      <c r="I3215" s="3"/>
      <c r="J3215" s="42"/>
      <c r="K3215" s="3"/>
      <c r="M3215" s="20">
        <v>42145</v>
      </c>
      <c r="N3215" s="183">
        <v>21762</v>
      </c>
      <c r="O3215" s="15" t="s">
        <v>247</v>
      </c>
      <c r="P3215" s="133">
        <v>7992</v>
      </c>
      <c r="Q3215" s="23">
        <v>42145</v>
      </c>
      <c r="R3215" s="118">
        <v>7992</v>
      </c>
      <c r="S3215" s="31">
        <f t="shared" si="98"/>
        <v>0</v>
      </c>
      <c r="T3215" s="46" t="s">
        <v>62</v>
      </c>
    </row>
    <row r="3216" spans="1:20" x14ac:dyDescent="0.25">
      <c r="A3216" s="20">
        <v>42155</v>
      </c>
      <c r="B3216" s="183">
        <v>22790</v>
      </c>
      <c r="C3216" s="14" t="s">
        <v>1256</v>
      </c>
      <c r="D3216" s="103">
        <v>11980.8</v>
      </c>
      <c r="E3216" s="23">
        <v>42155</v>
      </c>
      <c r="F3216" s="106">
        <v>11980.8</v>
      </c>
      <c r="G3216" s="31">
        <f t="shared" si="94"/>
        <v>0</v>
      </c>
      <c r="H3216" s="132" t="s">
        <v>1257</v>
      </c>
      <c r="I3216" s="3"/>
      <c r="J3216" s="42"/>
      <c r="K3216" s="3"/>
      <c r="M3216" s="20">
        <v>42152</v>
      </c>
      <c r="N3216" s="183">
        <v>22488</v>
      </c>
      <c r="O3216" s="14" t="s">
        <v>247</v>
      </c>
      <c r="P3216" s="103">
        <v>6605.6</v>
      </c>
      <c r="Q3216" s="23">
        <v>42153</v>
      </c>
      <c r="R3216" s="106">
        <v>6605.6</v>
      </c>
      <c r="S3216" s="31">
        <f t="shared" si="98"/>
        <v>0</v>
      </c>
      <c r="T3216" s="132" t="s">
        <v>9</v>
      </c>
    </row>
    <row r="3217" spans="1:20" x14ac:dyDescent="0.25">
      <c r="A3217" s="20">
        <v>42155</v>
      </c>
      <c r="B3217" s="183">
        <v>22791</v>
      </c>
      <c r="C3217" s="14" t="s">
        <v>121</v>
      </c>
      <c r="D3217" s="103">
        <v>3414.8</v>
      </c>
      <c r="E3217" s="23">
        <v>42155</v>
      </c>
      <c r="F3217" s="106">
        <v>3414.8</v>
      </c>
      <c r="G3217" s="31">
        <f t="shared" si="94"/>
        <v>0</v>
      </c>
      <c r="H3217" s="132" t="s">
        <v>9</v>
      </c>
      <c r="I3217" s="3"/>
      <c r="J3217" s="42"/>
      <c r="K3217" s="3"/>
      <c r="M3217" s="20">
        <v>42128</v>
      </c>
      <c r="N3217" s="183">
        <v>19905</v>
      </c>
      <c r="O3217" s="14" t="s">
        <v>1194</v>
      </c>
      <c r="P3217" s="103">
        <v>2968.2</v>
      </c>
      <c r="Q3217" s="23">
        <v>42128</v>
      </c>
      <c r="R3217" s="106">
        <v>2968.2</v>
      </c>
      <c r="S3217" s="31">
        <f t="shared" si="98"/>
        <v>0</v>
      </c>
      <c r="T3217" s="209" t="s">
        <v>9</v>
      </c>
    </row>
    <row r="3218" spans="1:20" x14ac:dyDescent="0.25">
      <c r="A3218" s="20">
        <v>42155</v>
      </c>
      <c r="B3218" s="183">
        <v>22792</v>
      </c>
      <c r="C3218" s="14" t="s">
        <v>43</v>
      </c>
      <c r="D3218" s="103">
        <v>13672.8</v>
      </c>
      <c r="E3218" s="23">
        <v>42155</v>
      </c>
      <c r="F3218" s="106">
        <v>13672.8</v>
      </c>
      <c r="G3218" s="31">
        <f t="shared" si="94"/>
        <v>0</v>
      </c>
      <c r="H3218" s="132" t="s">
        <v>9</v>
      </c>
      <c r="I3218" s="3"/>
      <c r="J3218" s="42"/>
      <c r="K3218" s="3"/>
      <c r="M3218" s="20">
        <v>42129</v>
      </c>
      <c r="N3218" s="183">
        <v>20031</v>
      </c>
      <c r="O3218" s="14" t="s">
        <v>1194</v>
      </c>
      <c r="P3218" s="103">
        <v>2227.8000000000002</v>
      </c>
      <c r="Q3218" s="23">
        <v>42129</v>
      </c>
      <c r="R3218" s="106">
        <v>2227.8000000000002</v>
      </c>
      <c r="S3218" s="31">
        <f t="shared" si="98"/>
        <v>0</v>
      </c>
      <c r="T3218" s="132" t="s">
        <v>9</v>
      </c>
    </row>
    <row r="3219" spans="1:20" x14ac:dyDescent="0.25">
      <c r="A3219" s="20">
        <v>42155</v>
      </c>
      <c r="B3219" s="183">
        <v>22793</v>
      </c>
      <c r="C3219" s="14" t="s">
        <v>589</v>
      </c>
      <c r="D3219" s="103">
        <v>19057.599999999999</v>
      </c>
      <c r="E3219" s="23">
        <v>42155</v>
      </c>
      <c r="F3219" s="106">
        <v>19057.599999999999</v>
      </c>
      <c r="G3219" s="31">
        <f t="shared" si="94"/>
        <v>0</v>
      </c>
      <c r="H3219" s="132" t="s">
        <v>9</v>
      </c>
      <c r="I3219" s="3"/>
      <c r="J3219" s="42"/>
      <c r="K3219" s="3"/>
      <c r="M3219" s="20">
        <v>42143</v>
      </c>
      <c r="N3219" s="183">
        <v>21612</v>
      </c>
      <c r="O3219" s="14" t="s">
        <v>1423</v>
      </c>
      <c r="P3219" s="133">
        <v>85687.65</v>
      </c>
      <c r="Q3219" s="23"/>
      <c r="R3219" s="118"/>
      <c r="S3219" s="31">
        <f t="shared" si="98"/>
        <v>85687.65</v>
      </c>
      <c r="T3219" s="28" t="s">
        <v>9</v>
      </c>
    </row>
    <row r="3220" spans="1:20" x14ac:dyDescent="0.25">
      <c r="A3220" s="20">
        <v>42155</v>
      </c>
      <c r="B3220" s="183">
        <v>22794</v>
      </c>
      <c r="C3220" s="14" t="s">
        <v>18</v>
      </c>
      <c r="D3220" s="103">
        <v>2876.4</v>
      </c>
      <c r="E3220" s="23">
        <v>42155</v>
      </c>
      <c r="F3220" s="106">
        <v>2876.4</v>
      </c>
      <c r="G3220" s="31">
        <f t="shared" si="94"/>
        <v>0</v>
      </c>
      <c r="H3220" s="132" t="s">
        <v>9</v>
      </c>
      <c r="I3220" s="3"/>
      <c r="J3220" s="42"/>
      <c r="K3220" s="3"/>
      <c r="M3220" s="20">
        <v>42135</v>
      </c>
      <c r="N3220" s="183">
        <v>20766</v>
      </c>
      <c r="O3220" s="14" t="s">
        <v>1384</v>
      </c>
      <c r="P3220" s="103">
        <v>36642.07</v>
      </c>
      <c r="Q3220" s="51">
        <v>42140</v>
      </c>
      <c r="R3220" s="106">
        <v>36642.07</v>
      </c>
      <c r="S3220" s="31">
        <f t="shared" si="98"/>
        <v>0</v>
      </c>
      <c r="T3220" s="209" t="s">
        <v>149</v>
      </c>
    </row>
    <row r="3221" spans="1:20" x14ac:dyDescent="0.25">
      <c r="A3221" s="20">
        <v>42155</v>
      </c>
      <c r="B3221" s="183">
        <v>22795</v>
      </c>
      <c r="C3221" s="14" t="s">
        <v>720</v>
      </c>
      <c r="D3221" s="103">
        <v>35831.599999999999</v>
      </c>
      <c r="E3221" s="23">
        <v>42155</v>
      </c>
      <c r="F3221" s="106">
        <v>35831.599999999999</v>
      </c>
      <c r="G3221" s="31">
        <f t="shared" si="94"/>
        <v>0</v>
      </c>
      <c r="H3221" s="132" t="s">
        <v>9</v>
      </c>
      <c r="I3221" s="3"/>
      <c r="J3221" s="42"/>
      <c r="K3221" s="3"/>
      <c r="M3221" s="20">
        <v>42145</v>
      </c>
      <c r="N3221" s="183">
        <v>21808</v>
      </c>
      <c r="O3221" s="15" t="s">
        <v>1384</v>
      </c>
      <c r="P3221" s="133">
        <v>41131.43</v>
      </c>
      <c r="Q3221" s="23">
        <v>42151</v>
      </c>
      <c r="R3221" s="118">
        <v>41131.43</v>
      </c>
      <c r="S3221" s="31">
        <f t="shared" si="98"/>
        <v>0</v>
      </c>
      <c r="T3221" s="46" t="s">
        <v>149</v>
      </c>
    </row>
    <row r="3222" spans="1:20" x14ac:dyDescent="0.25">
      <c r="A3222" s="20">
        <v>42155</v>
      </c>
      <c r="B3222" s="183">
        <v>22796</v>
      </c>
      <c r="C3222" s="14" t="s">
        <v>114</v>
      </c>
      <c r="D3222" s="103">
        <v>3825.2</v>
      </c>
      <c r="E3222" s="23">
        <v>42155</v>
      </c>
      <c r="F3222" s="106">
        <v>3825.2</v>
      </c>
      <c r="G3222" s="31">
        <f t="shared" si="94"/>
        <v>0</v>
      </c>
      <c r="H3222" s="132" t="s">
        <v>9</v>
      </c>
      <c r="I3222" s="3"/>
      <c r="J3222" s="42"/>
      <c r="K3222" s="3"/>
      <c r="M3222" s="20">
        <v>42126</v>
      </c>
      <c r="N3222" s="183">
        <v>19779</v>
      </c>
      <c r="O3222" s="40" t="s">
        <v>48</v>
      </c>
      <c r="P3222" s="103">
        <v>1090.2</v>
      </c>
      <c r="Q3222" s="23">
        <v>42126</v>
      </c>
      <c r="R3222" s="106">
        <v>1090.2</v>
      </c>
      <c r="S3222" s="25">
        <f t="shared" si="98"/>
        <v>0</v>
      </c>
      <c r="T3222" s="210" t="s">
        <v>41</v>
      </c>
    </row>
    <row r="3223" spans="1:20" x14ac:dyDescent="0.25">
      <c r="A3223" s="20">
        <v>42155</v>
      </c>
      <c r="B3223" s="183">
        <v>22797</v>
      </c>
      <c r="C3223" s="14" t="s">
        <v>21</v>
      </c>
      <c r="D3223" s="103">
        <v>2597</v>
      </c>
      <c r="E3223" s="23">
        <v>42155</v>
      </c>
      <c r="F3223" s="106">
        <v>2597</v>
      </c>
      <c r="G3223" s="31">
        <f t="shared" si="94"/>
        <v>0</v>
      </c>
      <c r="H3223" s="132" t="s">
        <v>9</v>
      </c>
      <c r="I3223" s="3"/>
      <c r="J3223" s="42"/>
      <c r="K3223" s="3"/>
      <c r="M3223" s="20">
        <v>42131</v>
      </c>
      <c r="N3223" s="183">
        <v>20285</v>
      </c>
      <c r="O3223" s="14" t="s">
        <v>48</v>
      </c>
      <c r="P3223" s="103">
        <v>388.8</v>
      </c>
      <c r="Q3223" s="23">
        <v>42131</v>
      </c>
      <c r="R3223" s="106">
        <v>388.8</v>
      </c>
      <c r="S3223" s="31">
        <f t="shared" si="98"/>
        <v>0</v>
      </c>
      <c r="T3223" s="209" t="s">
        <v>41</v>
      </c>
    </row>
    <row r="3224" spans="1:20" x14ac:dyDescent="0.25">
      <c r="A3224" s="20">
        <v>42155</v>
      </c>
      <c r="B3224" s="183">
        <v>22798</v>
      </c>
      <c r="C3224" s="14" t="s">
        <v>91</v>
      </c>
      <c r="D3224" s="103">
        <v>25960</v>
      </c>
      <c r="E3224" s="23">
        <v>42155</v>
      </c>
      <c r="F3224" s="106">
        <v>25960</v>
      </c>
      <c r="G3224" s="31">
        <f t="shared" si="94"/>
        <v>0</v>
      </c>
      <c r="H3224" s="132" t="s">
        <v>59</v>
      </c>
      <c r="I3224" s="3"/>
      <c r="J3224" s="42"/>
      <c r="K3224" s="3"/>
      <c r="M3224" s="20">
        <v>42138</v>
      </c>
      <c r="N3224" s="183">
        <v>21038</v>
      </c>
      <c r="O3224" s="14" t="s">
        <v>48</v>
      </c>
      <c r="P3224" s="103">
        <v>927</v>
      </c>
      <c r="Q3224" s="23">
        <v>42138</v>
      </c>
      <c r="R3224" s="106">
        <v>927</v>
      </c>
      <c r="S3224" s="48">
        <f t="shared" si="98"/>
        <v>0</v>
      </c>
      <c r="T3224" s="132" t="s">
        <v>41</v>
      </c>
    </row>
    <row r="3225" spans="1:20" x14ac:dyDescent="0.25">
      <c r="A3225" s="20">
        <v>42155</v>
      </c>
      <c r="B3225" s="183">
        <v>22799</v>
      </c>
      <c r="C3225" s="14" t="s">
        <v>863</v>
      </c>
      <c r="D3225" s="103">
        <v>9814.2000000000007</v>
      </c>
      <c r="E3225" s="23">
        <v>42155</v>
      </c>
      <c r="F3225" s="106">
        <v>9814.2000000000007</v>
      </c>
      <c r="G3225" s="31">
        <f t="shared" si="94"/>
        <v>0</v>
      </c>
      <c r="H3225" s="132" t="s">
        <v>9</v>
      </c>
      <c r="I3225" s="3"/>
      <c r="J3225" s="42"/>
      <c r="K3225" s="3"/>
      <c r="M3225" s="20">
        <v>42144</v>
      </c>
      <c r="N3225" s="183">
        <v>21679</v>
      </c>
      <c r="O3225" s="14" t="s">
        <v>48</v>
      </c>
      <c r="P3225" s="103">
        <v>8701.7999999999993</v>
      </c>
      <c r="Q3225" s="23">
        <v>42144</v>
      </c>
      <c r="R3225" s="118">
        <v>8701.7999999999993</v>
      </c>
      <c r="S3225" s="31">
        <f t="shared" si="98"/>
        <v>0</v>
      </c>
      <c r="T3225" s="28" t="s">
        <v>1013</v>
      </c>
    </row>
    <row r="3226" spans="1:20" x14ac:dyDescent="0.25">
      <c r="A3226" s="20">
        <v>42155</v>
      </c>
      <c r="B3226" s="183">
        <v>22800</v>
      </c>
      <c r="C3226" s="14" t="s">
        <v>335</v>
      </c>
      <c r="D3226" s="103">
        <v>515.20000000000005</v>
      </c>
      <c r="E3226" s="23">
        <v>42155</v>
      </c>
      <c r="F3226" s="106">
        <v>515.20000000000005</v>
      </c>
      <c r="G3226" s="31">
        <f t="shared" si="94"/>
        <v>0</v>
      </c>
      <c r="H3226" s="132" t="s">
        <v>9</v>
      </c>
      <c r="I3226" s="3"/>
      <c r="J3226" s="42"/>
      <c r="K3226" s="3"/>
      <c r="M3226" s="20">
        <v>42145</v>
      </c>
      <c r="N3226" s="183">
        <v>21768</v>
      </c>
      <c r="O3226" s="15" t="s">
        <v>48</v>
      </c>
      <c r="P3226" s="133">
        <v>1574.4</v>
      </c>
      <c r="Q3226" s="23">
        <v>42145</v>
      </c>
      <c r="R3226" s="118">
        <v>1574.4</v>
      </c>
      <c r="S3226" s="31">
        <f t="shared" si="98"/>
        <v>0</v>
      </c>
      <c r="T3226" s="46" t="s">
        <v>94</v>
      </c>
    </row>
    <row r="3227" spans="1:20" x14ac:dyDescent="0.25">
      <c r="A3227" s="20">
        <v>42155</v>
      </c>
      <c r="B3227" s="183">
        <v>22801</v>
      </c>
      <c r="C3227" s="14" t="s">
        <v>699</v>
      </c>
      <c r="D3227" s="103">
        <v>361.2</v>
      </c>
      <c r="E3227" s="23">
        <v>42155</v>
      </c>
      <c r="F3227" s="106">
        <v>361.2</v>
      </c>
      <c r="G3227" s="31">
        <f t="shared" si="94"/>
        <v>0</v>
      </c>
      <c r="H3227" s="132" t="s">
        <v>9</v>
      </c>
      <c r="I3227" s="3"/>
      <c r="J3227" s="42"/>
      <c r="K3227" s="3"/>
      <c r="M3227" s="20">
        <v>42131</v>
      </c>
      <c r="N3227" s="183">
        <v>20287</v>
      </c>
      <c r="O3227" s="14" t="s">
        <v>207</v>
      </c>
      <c r="P3227" s="103">
        <v>22542.84</v>
      </c>
      <c r="Q3227" s="23">
        <v>42133</v>
      </c>
      <c r="R3227" s="106">
        <v>22542.84</v>
      </c>
      <c r="S3227" s="31">
        <f t="shared" si="98"/>
        <v>0</v>
      </c>
      <c r="T3227" s="209" t="s">
        <v>149</v>
      </c>
    </row>
    <row r="3228" spans="1:20" x14ac:dyDescent="0.25">
      <c r="A3228" s="20">
        <v>42155</v>
      </c>
      <c r="B3228" s="183">
        <v>22802</v>
      </c>
      <c r="C3228" s="14" t="s">
        <v>213</v>
      </c>
      <c r="D3228" s="103">
        <v>8162.4</v>
      </c>
      <c r="E3228" s="23">
        <v>42155</v>
      </c>
      <c r="F3228" s="106">
        <v>8162.4</v>
      </c>
      <c r="G3228" s="31">
        <f t="shared" si="94"/>
        <v>0</v>
      </c>
      <c r="H3228" s="132" t="s">
        <v>9</v>
      </c>
      <c r="I3228" s="3"/>
      <c r="J3228" s="42"/>
      <c r="K3228" s="3"/>
      <c r="M3228" s="20">
        <v>42131</v>
      </c>
      <c r="N3228" s="183">
        <v>20327</v>
      </c>
      <c r="O3228" s="14" t="s">
        <v>207</v>
      </c>
      <c r="P3228" s="103">
        <v>25732.94</v>
      </c>
      <c r="Q3228" s="23">
        <v>42137</v>
      </c>
      <c r="R3228" s="106">
        <v>25732.94</v>
      </c>
      <c r="S3228" s="31">
        <f t="shared" si="98"/>
        <v>0</v>
      </c>
      <c r="T3228" s="132" t="s">
        <v>149</v>
      </c>
    </row>
    <row r="3229" spans="1:20" x14ac:dyDescent="0.25">
      <c r="A3229" s="20">
        <v>42155</v>
      </c>
      <c r="B3229" s="183">
        <v>22803</v>
      </c>
      <c r="C3229" s="14" t="s">
        <v>1425</v>
      </c>
      <c r="D3229" s="103">
        <v>213.6</v>
      </c>
      <c r="E3229" s="23">
        <v>42155</v>
      </c>
      <c r="F3229" s="106">
        <v>213.6</v>
      </c>
      <c r="G3229" s="31">
        <f t="shared" si="94"/>
        <v>0</v>
      </c>
      <c r="H3229" s="132" t="s">
        <v>9</v>
      </c>
      <c r="I3229" s="3"/>
      <c r="J3229" s="42"/>
      <c r="K3229" s="3"/>
      <c r="M3229" s="20">
        <v>42138</v>
      </c>
      <c r="N3229" s="183">
        <v>21045</v>
      </c>
      <c r="O3229" s="14" t="s">
        <v>207</v>
      </c>
      <c r="P3229" s="103">
        <v>27188.560000000001</v>
      </c>
      <c r="Q3229" s="23">
        <v>42145</v>
      </c>
      <c r="R3229" s="106">
        <v>27188.560000000001</v>
      </c>
      <c r="S3229" s="48">
        <f t="shared" si="98"/>
        <v>0</v>
      </c>
      <c r="T3229" s="132" t="s">
        <v>149</v>
      </c>
    </row>
    <row r="3230" spans="1:20" x14ac:dyDescent="0.25">
      <c r="A3230" s="20">
        <v>42155</v>
      </c>
      <c r="B3230" s="183">
        <v>22804</v>
      </c>
      <c r="C3230" s="14" t="s">
        <v>35</v>
      </c>
      <c r="D3230" s="103">
        <v>28181.35</v>
      </c>
      <c r="E3230" s="23">
        <v>42155</v>
      </c>
      <c r="F3230" s="106">
        <v>28181.35</v>
      </c>
      <c r="G3230" s="31">
        <f t="shared" si="94"/>
        <v>0</v>
      </c>
      <c r="H3230" s="132" t="s">
        <v>773</v>
      </c>
      <c r="I3230" s="3"/>
      <c r="J3230" s="42"/>
      <c r="K3230" s="3"/>
      <c r="M3230" s="20">
        <v>42142</v>
      </c>
      <c r="N3230" s="183">
        <v>21506</v>
      </c>
      <c r="O3230" s="14" t="s">
        <v>207</v>
      </c>
      <c r="P3230" s="103">
        <v>30350.400000000001</v>
      </c>
      <c r="Q3230" s="23">
        <v>42145</v>
      </c>
      <c r="R3230" s="106">
        <v>30350.400000000001</v>
      </c>
      <c r="S3230" s="31">
        <f t="shared" si="98"/>
        <v>0</v>
      </c>
      <c r="T3230" s="132" t="s">
        <v>149</v>
      </c>
    </row>
    <row r="3231" spans="1:20" x14ac:dyDescent="0.25">
      <c r="A3231" s="20">
        <v>42155</v>
      </c>
      <c r="B3231" s="183">
        <v>22805</v>
      </c>
      <c r="C3231" s="14" t="s">
        <v>256</v>
      </c>
      <c r="D3231" s="103">
        <v>7386.2</v>
      </c>
      <c r="E3231" s="23">
        <v>42155</v>
      </c>
      <c r="F3231" s="106">
        <v>7386.2</v>
      </c>
      <c r="G3231" s="31">
        <f t="shared" si="94"/>
        <v>0</v>
      </c>
      <c r="H3231" s="132" t="s">
        <v>773</v>
      </c>
      <c r="I3231" s="3"/>
      <c r="J3231" s="42"/>
      <c r="K3231" s="3"/>
      <c r="M3231" s="20">
        <v>42142</v>
      </c>
      <c r="N3231" s="183">
        <v>21514</v>
      </c>
      <c r="O3231" s="14" t="s">
        <v>207</v>
      </c>
      <c r="P3231" s="103">
        <v>14071.2</v>
      </c>
      <c r="Q3231" s="12" t="s">
        <v>1416</v>
      </c>
      <c r="R3231" s="106">
        <f>10000+4071.2</f>
        <v>14071.2</v>
      </c>
      <c r="S3231" s="31">
        <f t="shared" si="98"/>
        <v>0</v>
      </c>
      <c r="T3231" s="28" t="s">
        <v>149</v>
      </c>
    </row>
    <row r="3232" spans="1:20" x14ac:dyDescent="0.25">
      <c r="A3232" s="20">
        <v>42155</v>
      </c>
      <c r="B3232" s="183">
        <v>22806</v>
      </c>
      <c r="C3232" s="14" t="s">
        <v>55</v>
      </c>
      <c r="D3232" s="103">
        <v>740</v>
      </c>
      <c r="E3232" s="23">
        <v>42155</v>
      </c>
      <c r="F3232" s="106">
        <v>740</v>
      </c>
      <c r="G3232" s="31">
        <f t="shared" si="94"/>
        <v>0</v>
      </c>
      <c r="H3232" s="132" t="s">
        <v>773</v>
      </c>
      <c r="I3232" s="3"/>
      <c r="J3232" s="42"/>
      <c r="K3232" s="3"/>
      <c r="M3232" s="20">
        <v>42149</v>
      </c>
      <c r="N3232" s="183">
        <v>22235</v>
      </c>
      <c r="O3232" s="14" t="s">
        <v>207</v>
      </c>
      <c r="P3232" s="103">
        <v>29326.799999999999</v>
      </c>
      <c r="Q3232" s="65">
        <v>42154</v>
      </c>
      <c r="R3232" s="106">
        <v>29326.799999999999</v>
      </c>
      <c r="S3232" s="31">
        <f t="shared" si="98"/>
        <v>0</v>
      </c>
      <c r="T3232" s="132" t="s">
        <v>149</v>
      </c>
    </row>
    <row r="3233" spans="1:20" x14ac:dyDescent="0.25">
      <c r="A3233" s="20">
        <v>42155</v>
      </c>
      <c r="B3233" s="183">
        <v>22807</v>
      </c>
      <c r="C3233" s="14" t="s">
        <v>56</v>
      </c>
      <c r="D3233" s="103">
        <v>6233.4</v>
      </c>
      <c r="E3233" s="23">
        <v>42155</v>
      </c>
      <c r="F3233" s="106">
        <v>6233.4</v>
      </c>
      <c r="G3233" s="31">
        <f t="shared" si="94"/>
        <v>0</v>
      </c>
      <c r="H3233" s="132" t="s">
        <v>9</v>
      </c>
      <c r="I3233" s="3"/>
      <c r="J3233" s="42"/>
      <c r="K3233" s="3"/>
      <c r="M3233" s="20">
        <v>42152</v>
      </c>
      <c r="N3233" s="183">
        <v>22515</v>
      </c>
      <c r="O3233" s="14" t="s">
        <v>207</v>
      </c>
      <c r="P3233" s="103">
        <v>51504.3</v>
      </c>
      <c r="Q3233" s="23"/>
      <c r="R3233" s="106"/>
      <c r="S3233" s="31">
        <f t="shared" si="98"/>
        <v>51504.3</v>
      </c>
      <c r="T3233" s="132" t="s">
        <v>149</v>
      </c>
    </row>
    <row r="3234" spans="1:20" x14ac:dyDescent="0.25">
      <c r="A3234" s="20">
        <v>42155</v>
      </c>
      <c r="B3234" s="183">
        <v>22808</v>
      </c>
      <c r="C3234" s="14" t="s">
        <v>1058</v>
      </c>
      <c r="D3234" s="103">
        <v>3038</v>
      </c>
      <c r="E3234" s="23">
        <v>42155</v>
      </c>
      <c r="F3234" s="106">
        <v>3038</v>
      </c>
      <c r="G3234" s="31">
        <f t="shared" si="94"/>
        <v>0</v>
      </c>
      <c r="H3234" s="132" t="s">
        <v>9</v>
      </c>
      <c r="I3234" s="3"/>
      <c r="J3234" s="42"/>
      <c r="K3234" s="3"/>
      <c r="M3234" s="20">
        <v>42128</v>
      </c>
      <c r="N3234" s="183">
        <v>19929</v>
      </c>
      <c r="O3234" s="14" t="s">
        <v>1300</v>
      </c>
      <c r="P3234" s="103">
        <v>631.79999999999995</v>
      </c>
      <c r="Q3234" s="23">
        <v>42128</v>
      </c>
      <c r="R3234" s="106">
        <v>631.79999999999995</v>
      </c>
      <c r="S3234" s="31">
        <f t="shared" si="98"/>
        <v>0</v>
      </c>
      <c r="T3234" s="209" t="s">
        <v>9</v>
      </c>
    </row>
    <row r="3235" spans="1:20" x14ac:dyDescent="0.25">
      <c r="A3235" s="20">
        <v>42155</v>
      </c>
      <c r="B3235" s="183">
        <v>22809</v>
      </c>
      <c r="C3235" s="14" t="s">
        <v>294</v>
      </c>
      <c r="D3235" s="103">
        <v>7854.1</v>
      </c>
      <c r="E3235" s="23">
        <v>42155</v>
      </c>
      <c r="F3235" s="106">
        <v>7854.1</v>
      </c>
      <c r="G3235" s="31">
        <f t="shared" si="94"/>
        <v>0</v>
      </c>
      <c r="H3235" s="132" t="s">
        <v>9</v>
      </c>
      <c r="I3235" s="3"/>
      <c r="J3235" s="42"/>
      <c r="K3235" s="3"/>
      <c r="M3235" s="20">
        <v>42126</v>
      </c>
      <c r="N3235" s="183">
        <v>19729</v>
      </c>
      <c r="O3235" s="40" t="s">
        <v>1182</v>
      </c>
      <c r="P3235" s="103">
        <v>3046.1</v>
      </c>
      <c r="Q3235" s="23">
        <v>42126</v>
      </c>
      <c r="R3235" s="106">
        <v>3046.1</v>
      </c>
      <c r="S3235" s="25">
        <f t="shared" si="98"/>
        <v>0</v>
      </c>
      <c r="T3235" s="210" t="s">
        <v>9</v>
      </c>
    </row>
    <row r="3236" spans="1:20" x14ac:dyDescent="0.25">
      <c r="A3236" s="20">
        <v>42155</v>
      </c>
      <c r="B3236" s="183">
        <v>22810</v>
      </c>
      <c r="C3236" s="14" t="s">
        <v>86</v>
      </c>
      <c r="D3236" s="103">
        <v>415.1</v>
      </c>
      <c r="E3236" s="23">
        <v>42155</v>
      </c>
      <c r="F3236" s="106">
        <v>415.1</v>
      </c>
      <c r="G3236" s="31">
        <f t="shared" si="94"/>
        <v>0</v>
      </c>
      <c r="H3236" s="132" t="s">
        <v>9</v>
      </c>
      <c r="I3236" s="3"/>
      <c r="J3236" s="42"/>
      <c r="K3236" s="3"/>
      <c r="M3236" s="20">
        <v>42126</v>
      </c>
      <c r="N3236" s="183">
        <v>19730</v>
      </c>
      <c r="O3236" s="40" t="s">
        <v>1182</v>
      </c>
      <c r="P3236" s="103">
        <v>2549.1999999999998</v>
      </c>
      <c r="Q3236" s="23">
        <v>42126</v>
      </c>
      <c r="R3236" s="106">
        <v>2549.1999999999998</v>
      </c>
      <c r="S3236" s="25">
        <f t="shared" si="98"/>
        <v>0</v>
      </c>
      <c r="T3236" s="210" t="s">
        <v>9</v>
      </c>
    </row>
    <row r="3237" spans="1:20" x14ac:dyDescent="0.25">
      <c r="A3237" s="20">
        <v>42155</v>
      </c>
      <c r="B3237" s="183">
        <v>22811</v>
      </c>
      <c r="C3237" s="14" t="s">
        <v>125</v>
      </c>
      <c r="D3237" s="103">
        <v>10611.4</v>
      </c>
      <c r="E3237" s="23">
        <v>42155</v>
      </c>
      <c r="F3237" s="106">
        <v>10611.4</v>
      </c>
      <c r="G3237" s="31">
        <f t="shared" si="94"/>
        <v>0</v>
      </c>
      <c r="H3237" s="132" t="s">
        <v>62</v>
      </c>
      <c r="I3237" s="3"/>
      <c r="J3237" s="42"/>
      <c r="K3237" s="3"/>
      <c r="M3237" s="20">
        <v>42126</v>
      </c>
      <c r="N3237" s="183">
        <v>19760</v>
      </c>
      <c r="O3237" s="40" t="s">
        <v>1182</v>
      </c>
      <c r="P3237" s="103">
        <v>658</v>
      </c>
      <c r="Q3237" s="23">
        <v>42126</v>
      </c>
      <c r="R3237" s="106">
        <v>658</v>
      </c>
      <c r="S3237" s="25">
        <f t="shared" si="98"/>
        <v>0</v>
      </c>
      <c r="T3237" s="210" t="s">
        <v>9</v>
      </c>
    </row>
    <row r="3238" spans="1:20" x14ac:dyDescent="0.25">
      <c r="A3238" s="20">
        <v>42155</v>
      </c>
      <c r="B3238" s="183">
        <v>22812</v>
      </c>
      <c r="C3238" s="14" t="s">
        <v>294</v>
      </c>
      <c r="D3238" s="103">
        <v>755</v>
      </c>
      <c r="E3238" s="23">
        <v>42155</v>
      </c>
      <c r="F3238" s="106">
        <v>755</v>
      </c>
      <c r="G3238" s="31">
        <f t="shared" si="94"/>
        <v>0</v>
      </c>
      <c r="H3238" s="132" t="s">
        <v>9</v>
      </c>
      <c r="I3238" s="3"/>
      <c r="J3238" s="42"/>
      <c r="K3238" s="3"/>
      <c r="M3238" s="20">
        <v>42127</v>
      </c>
      <c r="N3238" s="183">
        <v>19815</v>
      </c>
      <c r="O3238" s="40" t="s">
        <v>1182</v>
      </c>
      <c r="P3238" s="103">
        <v>2153.8000000000002</v>
      </c>
      <c r="Q3238" s="23">
        <v>42127</v>
      </c>
      <c r="R3238" s="106">
        <v>2153.8000000000002</v>
      </c>
      <c r="S3238" s="31">
        <f t="shared" si="98"/>
        <v>0</v>
      </c>
      <c r="T3238" s="210" t="s">
        <v>9</v>
      </c>
    </row>
    <row r="3239" spans="1:20" x14ac:dyDescent="0.25">
      <c r="A3239" s="20">
        <v>42155</v>
      </c>
      <c r="B3239" s="183">
        <v>22813</v>
      </c>
      <c r="C3239" s="14" t="s">
        <v>20</v>
      </c>
      <c r="D3239" s="103">
        <v>2886</v>
      </c>
      <c r="E3239" s="30">
        <v>42157</v>
      </c>
      <c r="F3239" s="144">
        <v>2886</v>
      </c>
      <c r="G3239" s="31">
        <f t="shared" si="94"/>
        <v>0</v>
      </c>
      <c r="H3239" s="132" t="s">
        <v>187</v>
      </c>
      <c r="I3239" s="3"/>
      <c r="J3239" s="42"/>
      <c r="K3239" s="3"/>
      <c r="M3239" s="20">
        <v>42127</v>
      </c>
      <c r="N3239" s="183">
        <v>19842</v>
      </c>
      <c r="O3239" s="40" t="s">
        <v>1182</v>
      </c>
      <c r="P3239" s="103">
        <v>593.20000000000005</v>
      </c>
      <c r="Q3239" s="23">
        <v>42127</v>
      </c>
      <c r="R3239" s="106">
        <v>593.20000000000005</v>
      </c>
      <c r="S3239" s="31">
        <f t="shared" si="98"/>
        <v>0</v>
      </c>
      <c r="T3239" s="210" t="s">
        <v>9</v>
      </c>
    </row>
    <row r="3240" spans="1:20" x14ac:dyDescent="0.25">
      <c r="A3240" s="20">
        <v>42155</v>
      </c>
      <c r="B3240" s="183">
        <v>22814</v>
      </c>
      <c r="C3240" s="14" t="s">
        <v>164</v>
      </c>
      <c r="D3240" s="103">
        <v>2443</v>
      </c>
      <c r="E3240" s="23">
        <v>42155</v>
      </c>
      <c r="F3240" s="106">
        <v>2443</v>
      </c>
      <c r="G3240" s="31">
        <f t="shared" si="94"/>
        <v>0</v>
      </c>
      <c r="H3240" s="132" t="s">
        <v>9</v>
      </c>
      <c r="I3240" s="3"/>
      <c r="J3240" s="42"/>
      <c r="K3240" s="3"/>
      <c r="M3240" s="20">
        <v>42127</v>
      </c>
      <c r="N3240" s="183">
        <v>19860</v>
      </c>
      <c r="O3240" s="40" t="s">
        <v>1182</v>
      </c>
      <c r="P3240" s="103">
        <v>192</v>
      </c>
      <c r="Q3240" s="23">
        <v>42127</v>
      </c>
      <c r="R3240" s="106">
        <v>192</v>
      </c>
      <c r="S3240" s="31">
        <f t="shared" si="98"/>
        <v>0</v>
      </c>
      <c r="T3240" s="210" t="s">
        <v>9</v>
      </c>
    </row>
    <row r="3241" spans="1:20" x14ac:dyDescent="0.25">
      <c r="A3241" s="20">
        <v>42155</v>
      </c>
      <c r="B3241" s="183">
        <v>22815</v>
      </c>
      <c r="C3241" s="14" t="s">
        <v>383</v>
      </c>
      <c r="D3241" s="103">
        <v>3522</v>
      </c>
      <c r="E3241" s="23">
        <v>42155</v>
      </c>
      <c r="F3241" s="106">
        <v>3522</v>
      </c>
      <c r="G3241" s="31">
        <f t="shared" si="94"/>
        <v>0</v>
      </c>
      <c r="H3241" s="132" t="s">
        <v>9</v>
      </c>
      <c r="I3241" s="3"/>
      <c r="J3241" s="42"/>
      <c r="K3241" s="3"/>
      <c r="M3241" s="20">
        <v>42128</v>
      </c>
      <c r="N3241" s="183">
        <v>19895</v>
      </c>
      <c r="O3241" s="14" t="s">
        <v>1182</v>
      </c>
      <c r="P3241" s="103">
        <v>1964.4</v>
      </c>
      <c r="Q3241" s="23">
        <v>42128</v>
      </c>
      <c r="R3241" s="106">
        <v>1964.4</v>
      </c>
      <c r="S3241" s="31">
        <f t="shared" si="98"/>
        <v>0</v>
      </c>
      <c r="T3241" s="209" t="s">
        <v>9</v>
      </c>
    </row>
    <row r="3242" spans="1:20" x14ac:dyDescent="0.25">
      <c r="A3242" s="20">
        <v>42155</v>
      </c>
      <c r="B3242" s="183">
        <v>22816</v>
      </c>
      <c r="C3242" s="14" t="s">
        <v>229</v>
      </c>
      <c r="D3242" s="103">
        <v>5541.5</v>
      </c>
      <c r="E3242" s="23">
        <v>42155</v>
      </c>
      <c r="F3242" s="106">
        <v>5541.5</v>
      </c>
      <c r="G3242" s="31">
        <f t="shared" si="94"/>
        <v>0</v>
      </c>
      <c r="H3242" s="132" t="s">
        <v>9</v>
      </c>
      <c r="I3242" s="3"/>
      <c r="J3242" s="42"/>
      <c r="K3242" s="3"/>
      <c r="M3242" s="20">
        <v>42129</v>
      </c>
      <c r="N3242" s="183">
        <v>20035</v>
      </c>
      <c r="O3242" s="14" t="s">
        <v>1182</v>
      </c>
      <c r="P3242" s="103">
        <v>685.8</v>
      </c>
      <c r="Q3242" s="23">
        <v>42129</v>
      </c>
      <c r="R3242" s="106">
        <v>685.8</v>
      </c>
      <c r="S3242" s="31">
        <f t="shared" si="98"/>
        <v>0</v>
      </c>
      <c r="T3242" s="132" t="s">
        <v>9</v>
      </c>
    </row>
    <row r="3243" spans="1:20" x14ac:dyDescent="0.25">
      <c r="A3243" s="20">
        <v>42155</v>
      </c>
      <c r="B3243" s="183">
        <v>22817</v>
      </c>
      <c r="C3243" s="14" t="s">
        <v>14</v>
      </c>
      <c r="D3243" s="103">
        <v>18679.8</v>
      </c>
      <c r="E3243" s="30">
        <v>42172</v>
      </c>
      <c r="F3243" s="144">
        <v>18679.8</v>
      </c>
      <c r="G3243" s="31">
        <f t="shared" si="94"/>
        <v>0</v>
      </c>
      <c r="H3243" s="132" t="s">
        <v>9</v>
      </c>
      <c r="I3243" s="3"/>
      <c r="J3243" s="42"/>
      <c r="K3243" s="3"/>
      <c r="M3243" s="20">
        <v>42131</v>
      </c>
      <c r="N3243" s="183">
        <v>20237</v>
      </c>
      <c r="O3243" s="14" t="s">
        <v>1182</v>
      </c>
      <c r="P3243" s="103">
        <v>494.4</v>
      </c>
      <c r="Q3243" s="23">
        <v>42131</v>
      </c>
      <c r="R3243" s="106">
        <v>494.4</v>
      </c>
      <c r="S3243" s="31">
        <f t="shared" si="98"/>
        <v>0</v>
      </c>
      <c r="T3243" s="132" t="s">
        <v>9</v>
      </c>
    </row>
    <row r="3244" spans="1:20" x14ac:dyDescent="0.25">
      <c r="A3244" s="20">
        <v>42155</v>
      </c>
      <c r="B3244" s="183">
        <v>22818</v>
      </c>
      <c r="C3244" s="14" t="s">
        <v>53</v>
      </c>
      <c r="D3244" s="103">
        <v>2093.8000000000002</v>
      </c>
      <c r="E3244" s="23">
        <v>42155</v>
      </c>
      <c r="F3244" s="106">
        <v>2093.8000000000002</v>
      </c>
      <c r="G3244" s="31">
        <f t="shared" si="94"/>
        <v>0</v>
      </c>
      <c r="H3244" s="132" t="s">
        <v>1257</v>
      </c>
      <c r="I3244" s="3"/>
      <c r="J3244" s="42"/>
      <c r="K3244" s="3"/>
      <c r="M3244" s="20">
        <v>42134</v>
      </c>
      <c r="N3244" s="183">
        <v>20662</v>
      </c>
      <c r="O3244" s="14" t="s">
        <v>1182</v>
      </c>
      <c r="P3244" s="103">
        <v>6293</v>
      </c>
      <c r="Q3244" s="23">
        <v>42134</v>
      </c>
      <c r="R3244" s="106">
        <v>6293</v>
      </c>
      <c r="S3244" s="31">
        <f t="shared" si="98"/>
        <v>0</v>
      </c>
      <c r="T3244" s="132" t="s">
        <v>9</v>
      </c>
    </row>
    <row r="3245" spans="1:20" x14ac:dyDescent="0.25">
      <c r="A3245" s="20">
        <v>42155</v>
      </c>
      <c r="B3245" s="183">
        <v>22819</v>
      </c>
      <c r="C3245" s="14" t="s">
        <v>155</v>
      </c>
      <c r="D3245" s="103">
        <v>5508</v>
      </c>
      <c r="E3245" s="23">
        <v>42155</v>
      </c>
      <c r="F3245" s="106">
        <v>5508</v>
      </c>
      <c r="G3245" s="31">
        <f t="shared" si="94"/>
        <v>0</v>
      </c>
      <c r="H3245" s="132" t="s">
        <v>1257</v>
      </c>
      <c r="I3245" s="3"/>
      <c r="J3245" s="42"/>
      <c r="K3245" s="3"/>
      <c r="M3245" s="20">
        <v>42134</v>
      </c>
      <c r="N3245" s="183">
        <v>20663</v>
      </c>
      <c r="O3245" s="14" t="s">
        <v>1182</v>
      </c>
      <c r="P3245" s="103">
        <v>400</v>
      </c>
      <c r="Q3245" s="23">
        <v>42134</v>
      </c>
      <c r="R3245" s="106">
        <v>400</v>
      </c>
      <c r="S3245" s="31">
        <f t="shared" si="98"/>
        <v>0</v>
      </c>
      <c r="T3245" s="132" t="s">
        <v>9</v>
      </c>
    </row>
    <row r="3246" spans="1:20" x14ac:dyDescent="0.25">
      <c r="A3246" s="20">
        <v>42155</v>
      </c>
      <c r="B3246" s="183">
        <v>22820</v>
      </c>
      <c r="C3246" s="110">
        <v>105</v>
      </c>
      <c r="D3246" s="103">
        <v>4000</v>
      </c>
      <c r="E3246" s="30">
        <v>42159</v>
      </c>
      <c r="F3246" s="144">
        <v>4000</v>
      </c>
      <c r="G3246" s="31">
        <f t="shared" si="94"/>
        <v>0</v>
      </c>
      <c r="H3246" s="132" t="s">
        <v>59</v>
      </c>
      <c r="I3246" s="3"/>
      <c r="J3246" s="42"/>
      <c r="K3246" s="3"/>
      <c r="M3246" s="20">
        <v>42135</v>
      </c>
      <c r="N3246" s="183">
        <v>20746</v>
      </c>
      <c r="O3246" s="14" t="s">
        <v>1182</v>
      </c>
      <c r="P3246" s="103">
        <v>1256</v>
      </c>
      <c r="Q3246" s="23">
        <v>42135</v>
      </c>
      <c r="R3246" s="106">
        <v>1256</v>
      </c>
      <c r="S3246" s="31">
        <f t="shared" si="98"/>
        <v>0</v>
      </c>
      <c r="T3246" s="209" t="s">
        <v>9</v>
      </c>
    </row>
    <row r="3247" spans="1:20" x14ac:dyDescent="0.25">
      <c r="A3247" s="20">
        <v>42155</v>
      </c>
      <c r="B3247" s="183">
        <v>22821</v>
      </c>
      <c r="C3247" s="14" t="s">
        <v>872</v>
      </c>
      <c r="D3247" s="103">
        <v>533.4</v>
      </c>
      <c r="E3247" s="23">
        <v>42155</v>
      </c>
      <c r="F3247" s="106">
        <v>533.4</v>
      </c>
      <c r="G3247" s="31">
        <f t="shared" si="94"/>
        <v>0</v>
      </c>
      <c r="H3247" s="132" t="s">
        <v>59</v>
      </c>
      <c r="I3247" s="3"/>
      <c r="J3247" s="42"/>
      <c r="K3247" s="3"/>
      <c r="M3247" s="20">
        <v>42135</v>
      </c>
      <c r="N3247" s="183">
        <v>20785</v>
      </c>
      <c r="O3247" s="14" t="s">
        <v>1182</v>
      </c>
      <c r="P3247" s="103">
        <v>5529</v>
      </c>
      <c r="Q3247" s="23">
        <v>42136</v>
      </c>
      <c r="R3247" s="106">
        <v>5529</v>
      </c>
      <c r="S3247" s="31">
        <f t="shared" si="98"/>
        <v>0</v>
      </c>
      <c r="T3247" s="209" t="s">
        <v>9</v>
      </c>
    </row>
    <row r="3248" spans="1:20" x14ac:dyDescent="0.25">
      <c r="A3248" s="20">
        <v>42155</v>
      </c>
      <c r="B3248" s="183">
        <v>22822</v>
      </c>
      <c r="C3248" s="14" t="s">
        <v>131</v>
      </c>
      <c r="D3248" s="103">
        <v>8225.4</v>
      </c>
      <c r="E3248" s="23">
        <v>42155</v>
      </c>
      <c r="F3248" s="106">
        <v>8225.4</v>
      </c>
      <c r="G3248" s="31">
        <f t="shared" si="94"/>
        <v>0</v>
      </c>
      <c r="H3248" s="132" t="s">
        <v>1257</v>
      </c>
      <c r="I3248" s="3"/>
      <c r="J3248" s="42"/>
      <c r="K3248" s="3"/>
      <c r="M3248" s="20">
        <v>42136</v>
      </c>
      <c r="N3248" s="183">
        <v>20838</v>
      </c>
      <c r="O3248" s="14" t="s">
        <v>1182</v>
      </c>
      <c r="P3248" s="103">
        <v>142.6</v>
      </c>
      <c r="Q3248" s="23">
        <v>42136</v>
      </c>
      <c r="R3248" s="106">
        <v>142.6</v>
      </c>
      <c r="S3248" s="31">
        <f t="shared" si="98"/>
        <v>0</v>
      </c>
      <c r="T3248" s="132" t="s">
        <v>9</v>
      </c>
    </row>
    <row r="3249" spans="1:20" x14ac:dyDescent="0.25">
      <c r="A3249" s="20">
        <v>42155</v>
      </c>
      <c r="B3249" s="183">
        <v>22823</v>
      </c>
      <c r="C3249" s="14" t="s">
        <v>130</v>
      </c>
      <c r="D3249" s="103">
        <v>7242.8</v>
      </c>
      <c r="E3249" s="30">
        <v>42159</v>
      </c>
      <c r="F3249" s="144">
        <v>7242.8</v>
      </c>
      <c r="G3249" s="31">
        <f t="shared" si="94"/>
        <v>0</v>
      </c>
      <c r="H3249" s="132" t="s">
        <v>1257</v>
      </c>
      <c r="I3249" s="3"/>
      <c r="J3249" s="42"/>
      <c r="K3249" s="3"/>
      <c r="M3249" s="20">
        <v>42138</v>
      </c>
      <c r="N3249" s="183">
        <v>21025</v>
      </c>
      <c r="O3249" s="14" t="s">
        <v>1182</v>
      </c>
      <c r="P3249" s="103">
        <v>593.79999999999995</v>
      </c>
      <c r="Q3249" s="23">
        <v>42139</v>
      </c>
      <c r="R3249" s="106">
        <v>593.79999999999995</v>
      </c>
      <c r="S3249" s="48">
        <f t="shared" si="98"/>
        <v>0</v>
      </c>
      <c r="T3249" s="132" t="s">
        <v>9</v>
      </c>
    </row>
    <row r="3250" spans="1:20" x14ac:dyDescent="0.25">
      <c r="A3250" s="20">
        <v>42155</v>
      </c>
      <c r="B3250" s="183">
        <v>22824</v>
      </c>
      <c r="C3250" s="14" t="s">
        <v>165</v>
      </c>
      <c r="D3250" s="103">
        <v>2597.6</v>
      </c>
      <c r="E3250" s="23">
        <v>42155</v>
      </c>
      <c r="F3250" s="106">
        <v>2597.6</v>
      </c>
      <c r="G3250" s="31">
        <f t="shared" si="94"/>
        <v>0</v>
      </c>
      <c r="H3250" s="132" t="s">
        <v>1257</v>
      </c>
      <c r="I3250" s="3"/>
      <c r="J3250" s="42"/>
      <c r="K3250" s="3"/>
      <c r="M3250" s="20">
        <v>42138</v>
      </c>
      <c r="N3250" s="183">
        <v>21034</v>
      </c>
      <c r="O3250" s="150" t="s">
        <v>1182</v>
      </c>
      <c r="P3250" s="103">
        <v>60</v>
      </c>
      <c r="Q3250" s="23">
        <v>42138</v>
      </c>
      <c r="R3250" s="106">
        <v>60</v>
      </c>
      <c r="S3250" s="48">
        <f t="shared" si="98"/>
        <v>0</v>
      </c>
      <c r="T3250" s="132" t="s">
        <v>9</v>
      </c>
    </row>
    <row r="3251" spans="1:20" x14ac:dyDescent="0.25">
      <c r="A3251" s="20">
        <v>42155</v>
      </c>
      <c r="B3251" s="183">
        <v>22825</v>
      </c>
      <c r="C3251" s="14" t="s">
        <v>135</v>
      </c>
      <c r="D3251" s="103">
        <v>1200.5999999999999</v>
      </c>
      <c r="E3251" s="23">
        <v>42155</v>
      </c>
      <c r="F3251" s="106">
        <v>1200.5999999999999</v>
      </c>
      <c r="G3251" s="31">
        <f t="shared" si="94"/>
        <v>0</v>
      </c>
      <c r="H3251" s="132" t="s">
        <v>9</v>
      </c>
      <c r="I3251" s="3"/>
      <c r="J3251" s="42"/>
      <c r="K3251" s="3"/>
      <c r="M3251" s="20">
        <v>42140</v>
      </c>
      <c r="N3251" s="183">
        <v>21267</v>
      </c>
      <c r="O3251" s="14" t="s">
        <v>1182</v>
      </c>
      <c r="P3251" s="103">
        <v>391</v>
      </c>
      <c r="Q3251" s="23">
        <v>42140</v>
      </c>
      <c r="R3251" s="106">
        <v>391</v>
      </c>
      <c r="S3251" s="31">
        <f t="shared" si="98"/>
        <v>0</v>
      </c>
      <c r="T3251" s="180" t="s">
        <v>9</v>
      </c>
    </row>
    <row r="3252" spans="1:20" x14ac:dyDescent="0.25">
      <c r="A3252" s="20">
        <v>42155</v>
      </c>
      <c r="B3252" s="183">
        <v>22826</v>
      </c>
      <c r="C3252" s="14" t="s">
        <v>152</v>
      </c>
      <c r="D3252" s="103">
        <v>10111.700000000001</v>
      </c>
      <c r="E3252" s="23">
        <v>42155</v>
      </c>
      <c r="F3252" s="106">
        <v>10111.700000000001</v>
      </c>
      <c r="G3252" s="31">
        <f t="shared" si="94"/>
        <v>0</v>
      </c>
      <c r="H3252" s="132" t="s">
        <v>59</v>
      </c>
      <c r="I3252" s="3"/>
      <c r="J3252" s="42"/>
      <c r="K3252" s="3"/>
      <c r="M3252" s="20">
        <v>42142</v>
      </c>
      <c r="N3252" s="183">
        <v>21462</v>
      </c>
      <c r="O3252" s="14" t="s">
        <v>1182</v>
      </c>
      <c r="P3252" s="103">
        <v>780</v>
      </c>
      <c r="Q3252" s="65">
        <v>42142</v>
      </c>
      <c r="R3252" s="106">
        <v>780</v>
      </c>
      <c r="S3252" s="31">
        <f t="shared" si="98"/>
        <v>0</v>
      </c>
      <c r="T3252" s="209" t="s">
        <v>9</v>
      </c>
    </row>
    <row r="3253" spans="1:20" x14ac:dyDescent="0.25">
      <c r="A3253" s="20">
        <v>42155</v>
      </c>
      <c r="B3253" s="183">
        <v>22827</v>
      </c>
      <c r="C3253" s="14" t="s">
        <v>137</v>
      </c>
      <c r="D3253" s="103">
        <v>1174.55</v>
      </c>
      <c r="E3253" s="23">
        <v>42155</v>
      </c>
      <c r="F3253" s="106">
        <v>1174.55</v>
      </c>
      <c r="G3253" s="31">
        <f t="shared" si="94"/>
        <v>0</v>
      </c>
      <c r="H3253" s="132" t="s">
        <v>9</v>
      </c>
      <c r="I3253" s="3"/>
      <c r="J3253" s="42"/>
      <c r="K3253" s="3"/>
      <c r="M3253" s="20">
        <v>42144</v>
      </c>
      <c r="N3253" s="183">
        <v>21708</v>
      </c>
      <c r="O3253" s="14" t="s">
        <v>1182</v>
      </c>
      <c r="P3253" s="103">
        <v>1678.4</v>
      </c>
      <c r="Q3253" s="23">
        <v>42144</v>
      </c>
      <c r="R3253" s="106">
        <v>1678.4</v>
      </c>
      <c r="S3253" s="31">
        <f t="shared" si="98"/>
        <v>0</v>
      </c>
      <c r="T3253" s="132" t="s">
        <v>9</v>
      </c>
    </row>
    <row r="3254" spans="1:20" x14ac:dyDescent="0.25">
      <c r="A3254" s="20">
        <v>42155</v>
      </c>
      <c r="B3254" s="183">
        <v>22828</v>
      </c>
      <c r="C3254" s="14" t="s">
        <v>25</v>
      </c>
      <c r="D3254" s="103">
        <v>104</v>
      </c>
      <c r="E3254" s="23">
        <v>42155</v>
      </c>
      <c r="F3254" s="106">
        <v>104</v>
      </c>
      <c r="G3254" s="31">
        <f t="shared" si="94"/>
        <v>0</v>
      </c>
      <c r="H3254" s="132" t="s">
        <v>9</v>
      </c>
      <c r="I3254" s="3"/>
      <c r="J3254" s="42"/>
      <c r="K3254" s="3"/>
      <c r="M3254" s="20">
        <v>42144</v>
      </c>
      <c r="N3254" s="183">
        <v>21709</v>
      </c>
      <c r="O3254" s="14" t="s">
        <v>1182</v>
      </c>
      <c r="P3254" s="103">
        <v>721.8</v>
      </c>
      <c r="Q3254" s="23">
        <v>42144</v>
      </c>
      <c r="R3254" s="106">
        <v>721.8</v>
      </c>
      <c r="S3254" s="31">
        <f t="shared" si="98"/>
        <v>0</v>
      </c>
      <c r="T3254" s="132" t="s">
        <v>9</v>
      </c>
    </row>
    <row r="3255" spans="1:20" x14ac:dyDescent="0.25">
      <c r="A3255" s="20">
        <v>42155</v>
      </c>
      <c r="B3255" s="183">
        <v>22829</v>
      </c>
      <c r="C3255" s="14" t="s">
        <v>1338</v>
      </c>
      <c r="D3255" s="103">
        <v>68098.899999999994</v>
      </c>
      <c r="E3255" s="30">
        <v>42172</v>
      </c>
      <c r="F3255" s="144">
        <v>68098.899999999994</v>
      </c>
      <c r="G3255" s="31">
        <f t="shared" si="94"/>
        <v>0</v>
      </c>
      <c r="H3255" s="132" t="s">
        <v>62</v>
      </c>
      <c r="I3255" s="3"/>
      <c r="J3255" s="42"/>
      <c r="K3255" s="3"/>
      <c r="M3255" s="20">
        <v>42145</v>
      </c>
      <c r="N3255" s="183">
        <v>21796</v>
      </c>
      <c r="O3255" s="15" t="s">
        <v>1182</v>
      </c>
      <c r="P3255" s="133">
        <v>13</v>
      </c>
      <c r="Q3255" s="23">
        <v>42145</v>
      </c>
      <c r="R3255" s="118">
        <v>13</v>
      </c>
      <c r="S3255" s="31">
        <f t="shared" si="98"/>
        <v>0</v>
      </c>
      <c r="T3255" s="46" t="s">
        <v>9</v>
      </c>
    </row>
    <row r="3256" spans="1:20" x14ac:dyDescent="0.25">
      <c r="A3256" s="20">
        <v>42155</v>
      </c>
      <c r="B3256" s="183">
        <v>22830</v>
      </c>
      <c r="C3256" s="14" t="s">
        <v>1187</v>
      </c>
      <c r="D3256" s="103">
        <v>1298.7</v>
      </c>
      <c r="E3256" s="23">
        <v>42155</v>
      </c>
      <c r="F3256" s="106">
        <v>1298.7</v>
      </c>
      <c r="G3256" s="31">
        <f t="shared" si="94"/>
        <v>0</v>
      </c>
      <c r="H3256" s="132" t="s">
        <v>62</v>
      </c>
      <c r="I3256" s="3"/>
      <c r="J3256" s="42"/>
      <c r="K3256" s="3"/>
      <c r="M3256" s="20">
        <v>42146</v>
      </c>
      <c r="N3256" s="183">
        <v>21957</v>
      </c>
      <c r="O3256" s="14" t="s">
        <v>1182</v>
      </c>
      <c r="P3256" s="103">
        <v>32</v>
      </c>
      <c r="Q3256" s="65">
        <v>42126</v>
      </c>
      <c r="R3256" s="106">
        <v>32</v>
      </c>
      <c r="S3256" s="31">
        <f t="shared" si="98"/>
        <v>0</v>
      </c>
      <c r="T3256" s="132" t="s">
        <v>9</v>
      </c>
    </row>
    <row r="3257" spans="1:20" x14ac:dyDescent="0.25">
      <c r="A3257" s="20">
        <v>42155</v>
      </c>
      <c r="B3257" s="183">
        <v>22831</v>
      </c>
      <c r="C3257" s="14" t="s">
        <v>900</v>
      </c>
      <c r="D3257" s="103">
        <v>3527</v>
      </c>
      <c r="E3257" s="23">
        <v>42155</v>
      </c>
      <c r="F3257" s="106">
        <v>3527</v>
      </c>
      <c r="G3257" s="31">
        <f t="shared" si="94"/>
        <v>0</v>
      </c>
      <c r="H3257" s="132" t="s">
        <v>9</v>
      </c>
      <c r="I3257" s="3"/>
      <c r="J3257" s="42"/>
      <c r="K3257" s="3"/>
      <c r="M3257" s="20">
        <v>42146</v>
      </c>
      <c r="N3257" s="183">
        <v>21960</v>
      </c>
      <c r="O3257" s="14" t="s">
        <v>1182</v>
      </c>
      <c r="P3257" s="103">
        <v>91.2</v>
      </c>
      <c r="Q3257" s="65">
        <v>42147</v>
      </c>
      <c r="R3257" s="106">
        <v>91.2</v>
      </c>
      <c r="S3257" s="31">
        <f t="shared" si="98"/>
        <v>0</v>
      </c>
      <c r="T3257" s="132" t="s">
        <v>9</v>
      </c>
    </row>
    <row r="3258" spans="1:20" x14ac:dyDescent="0.25">
      <c r="A3258" s="20">
        <v>42155</v>
      </c>
      <c r="B3258" s="183">
        <v>22832</v>
      </c>
      <c r="C3258" s="14" t="s">
        <v>32</v>
      </c>
      <c r="D3258" s="103">
        <v>55746.400000000001</v>
      </c>
      <c r="E3258" s="30">
        <v>42171</v>
      </c>
      <c r="F3258" s="144">
        <v>55746.400000000001</v>
      </c>
      <c r="G3258" s="31">
        <f t="shared" si="94"/>
        <v>0</v>
      </c>
      <c r="H3258" s="132" t="s">
        <v>187</v>
      </c>
      <c r="I3258" s="3"/>
      <c r="J3258" s="42"/>
      <c r="K3258" s="3"/>
      <c r="M3258" s="20">
        <v>42146</v>
      </c>
      <c r="N3258" s="183">
        <v>21961</v>
      </c>
      <c r="O3258" s="14" t="s">
        <v>1182</v>
      </c>
      <c r="P3258" s="103">
        <v>88.8</v>
      </c>
      <c r="Q3258" s="65">
        <v>42147</v>
      </c>
      <c r="R3258" s="106">
        <v>88.8</v>
      </c>
      <c r="S3258" s="31">
        <f t="shared" si="98"/>
        <v>0</v>
      </c>
      <c r="T3258" s="132" t="s">
        <v>9</v>
      </c>
    </row>
    <row r="3259" spans="1:20" x14ac:dyDescent="0.25">
      <c r="A3259" s="20">
        <v>42155</v>
      </c>
      <c r="B3259" s="183">
        <v>22833</v>
      </c>
      <c r="C3259" s="14" t="s">
        <v>32</v>
      </c>
      <c r="D3259" s="103">
        <v>4534.6000000000004</v>
      </c>
      <c r="E3259" s="30">
        <v>42171</v>
      </c>
      <c r="F3259" s="144">
        <v>4534.6000000000004</v>
      </c>
      <c r="G3259" s="31">
        <f t="shared" si="94"/>
        <v>0</v>
      </c>
      <c r="H3259" s="132" t="s">
        <v>9</v>
      </c>
      <c r="I3259" s="3"/>
      <c r="J3259" s="42"/>
      <c r="K3259" s="3"/>
      <c r="M3259" s="20">
        <v>42146</v>
      </c>
      <c r="N3259" s="183">
        <v>21962</v>
      </c>
      <c r="O3259" s="14" t="s">
        <v>1182</v>
      </c>
      <c r="P3259" s="103">
        <v>52.8</v>
      </c>
      <c r="Q3259" s="65">
        <v>42147</v>
      </c>
      <c r="R3259" s="106">
        <v>52.8</v>
      </c>
      <c r="S3259" s="31">
        <f t="shared" si="98"/>
        <v>0</v>
      </c>
      <c r="T3259" s="132" t="s">
        <v>9</v>
      </c>
    </row>
    <row r="3260" spans="1:20" x14ac:dyDescent="0.25">
      <c r="A3260" s="20">
        <v>42155</v>
      </c>
      <c r="B3260" s="183">
        <v>22834</v>
      </c>
      <c r="C3260" s="14" t="s">
        <v>159</v>
      </c>
      <c r="D3260" s="103">
        <v>9080</v>
      </c>
      <c r="E3260" s="23">
        <v>42155</v>
      </c>
      <c r="F3260" s="106">
        <v>9080</v>
      </c>
      <c r="G3260" s="31">
        <f t="shared" si="94"/>
        <v>0</v>
      </c>
      <c r="H3260" s="132" t="s">
        <v>9</v>
      </c>
      <c r="I3260" s="3"/>
      <c r="J3260" s="42"/>
      <c r="K3260" s="3"/>
      <c r="M3260" s="20">
        <v>42147</v>
      </c>
      <c r="N3260" s="183">
        <v>22029</v>
      </c>
      <c r="O3260" s="14" t="s">
        <v>1182</v>
      </c>
      <c r="P3260" s="103">
        <v>64.599999999999994</v>
      </c>
      <c r="Q3260" s="65">
        <v>42147</v>
      </c>
      <c r="R3260" s="106">
        <v>64.599999999999994</v>
      </c>
      <c r="S3260" s="31">
        <f t="shared" si="98"/>
        <v>0</v>
      </c>
      <c r="T3260" s="132" t="s">
        <v>9</v>
      </c>
    </row>
    <row r="3261" spans="1:20" x14ac:dyDescent="0.25">
      <c r="A3261" s="20">
        <v>42155</v>
      </c>
      <c r="B3261" s="183">
        <v>22835</v>
      </c>
      <c r="C3261" s="14" t="s">
        <v>292</v>
      </c>
      <c r="D3261" s="103">
        <v>2200.8000000000002</v>
      </c>
      <c r="E3261" s="23">
        <v>42155</v>
      </c>
      <c r="F3261" s="106">
        <v>2200.8000000000002</v>
      </c>
      <c r="G3261" s="31">
        <f t="shared" si="94"/>
        <v>0</v>
      </c>
      <c r="H3261" s="132" t="s">
        <v>59</v>
      </c>
      <c r="I3261" s="3"/>
      <c r="J3261" s="42"/>
      <c r="K3261" s="3"/>
      <c r="M3261" s="20">
        <v>42148</v>
      </c>
      <c r="N3261" s="183">
        <v>22095</v>
      </c>
      <c r="O3261" s="14" t="s">
        <v>1182</v>
      </c>
      <c r="P3261" s="103">
        <v>340.2</v>
      </c>
      <c r="Q3261" s="65">
        <v>42148</v>
      </c>
      <c r="R3261" s="106">
        <v>340.2</v>
      </c>
      <c r="S3261" s="31">
        <f t="shared" si="98"/>
        <v>0</v>
      </c>
      <c r="T3261" s="132" t="s">
        <v>9</v>
      </c>
    </row>
    <row r="3262" spans="1:20" x14ac:dyDescent="0.25">
      <c r="A3262" s="20">
        <v>42155</v>
      </c>
      <c r="B3262" s="183">
        <v>22836</v>
      </c>
      <c r="C3262" s="14" t="s">
        <v>89</v>
      </c>
      <c r="D3262" s="103">
        <v>2576.8000000000002</v>
      </c>
      <c r="E3262" s="23">
        <v>42155</v>
      </c>
      <c r="F3262" s="106">
        <v>2576.8000000000002</v>
      </c>
      <c r="G3262" s="31">
        <f t="shared" si="94"/>
        <v>0</v>
      </c>
      <c r="H3262" s="132" t="s">
        <v>9</v>
      </c>
      <c r="I3262" s="3"/>
      <c r="J3262" s="42"/>
      <c r="K3262" s="3"/>
      <c r="M3262" s="20">
        <v>42149</v>
      </c>
      <c r="N3262" s="183">
        <v>22178</v>
      </c>
      <c r="O3262" s="14" t="s">
        <v>1182</v>
      </c>
      <c r="P3262" s="103">
        <v>2298.1</v>
      </c>
      <c r="Q3262" s="65">
        <v>42149</v>
      </c>
      <c r="R3262" s="106">
        <v>2298.1</v>
      </c>
      <c r="S3262" s="31">
        <f t="shared" si="98"/>
        <v>0</v>
      </c>
      <c r="T3262" s="132" t="s">
        <v>9</v>
      </c>
    </row>
    <row r="3263" spans="1:20" x14ac:dyDescent="0.25">
      <c r="A3263" s="20">
        <v>42155</v>
      </c>
      <c r="B3263" s="183">
        <v>22837</v>
      </c>
      <c r="C3263" s="14" t="s">
        <v>148</v>
      </c>
      <c r="D3263" s="103">
        <v>4865</v>
      </c>
      <c r="E3263" s="23">
        <v>42155</v>
      </c>
      <c r="F3263" s="106">
        <v>4865</v>
      </c>
      <c r="G3263" s="31">
        <f t="shared" si="94"/>
        <v>0</v>
      </c>
      <c r="H3263" s="132" t="s">
        <v>27</v>
      </c>
      <c r="I3263" s="3"/>
      <c r="J3263" s="42"/>
      <c r="K3263" s="3"/>
      <c r="M3263" s="20">
        <v>42149</v>
      </c>
      <c r="N3263" s="183">
        <v>22193</v>
      </c>
      <c r="O3263" s="14" t="s">
        <v>1182</v>
      </c>
      <c r="P3263" s="103">
        <v>64.8</v>
      </c>
      <c r="Q3263" s="65">
        <v>42149</v>
      </c>
      <c r="R3263" s="106">
        <v>64.8</v>
      </c>
      <c r="S3263" s="31">
        <f t="shared" si="98"/>
        <v>0</v>
      </c>
      <c r="T3263" s="132" t="s">
        <v>9</v>
      </c>
    </row>
    <row r="3264" spans="1:20" x14ac:dyDescent="0.25">
      <c r="A3264" s="20">
        <v>42155</v>
      </c>
      <c r="B3264" s="183">
        <v>22838</v>
      </c>
      <c r="C3264" s="14" t="s">
        <v>102</v>
      </c>
      <c r="D3264" s="103">
        <v>1705.5</v>
      </c>
      <c r="E3264" s="23">
        <v>42155</v>
      </c>
      <c r="F3264" s="106">
        <v>1705.5</v>
      </c>
      <c r="G3264" s="31">
        <f t="shared" si="94"/>
        <v>0</v>
      </c>
      <c r="H3264" s="132" t="s">
        <v>9</v>
      </c>
      <c r="I3264" s="3"/>
      <c r="J3264" s="42"/>
      <c r="K3264" s="3"/>
      <c r="M3264" s="20">
        <v>42150</v>
      </c>
      <c r="N3264" s="183">
        <v>22298</v>
      </c>
      <c r="O3264" s="14" t="s">
        <v>1182</v>
      </c>
      <c r="P3264" s="103">
        <v>66.7</v>
      </c>
      <c r="Q3264" s="65">
        <v>42150</v>
      </c>
      <c r="R3264" s="106">
        <v>66.7</v>
      </c>
      <c r="S3264" s="31">
        <f t="shared" si="98"/>
        <v>0</v>
      </c>
      <c r="T3264" s="132" t="s">
        <v>9</v>
      </c>
    </row>
    <row r="3265" spans="1:20" x14ac:dyDescent="0.25">
      <c r="A3265" s="20">
        <v>42155</v>
      </c>
      <c r="B3265" s="183">
        <v>22839</v>
      </c>
      <c r="C3265" s="14" t="s">
        <v>915</v>
      </c>
      <c r="D3265" s="103">
        <v>388.8</v>
      </c>
      <c r="E3265" s="23">
        <v>42155</v>
      </c>
      <c r="F3265" s="106">
        <v>388.8</v>
      </c>
      <c r="G3265" s="31">
        <f t="shared" si="94"/>
        <v>0</v>
      </c>
      <c r="H3265" s="132" t="s">
        <v>59</v>
      </c>
      <c r="I3265" s="3"/>
      <c r="J3265" s="42"/>
      <c r="K3265" s="3"/>
      <c r="M3265" s="20">
        <v>42151</v>
      </c>
      <c r="N3265" s="183">
        <v>22377</v>
      </c>
      <c r="O3265" s="14" t="s">
        <v>1182</v>
      </c>
      <c r="P3265" s="103">
        <v>2805.7</v>
      </c>
      <c r="Q3265" s="23">
        <v>42151</v>
      </c>
      <c r="R3265" s="106">
        <v>2805.7</v>
      </c>
      <c r="S3265" s="31">
        <f t="shared" si="98"/>
        <v>0</v>
      </c>
      <c r="T3265" s="132" t="s">
        <v>1257</v>
      </c>
    </row>
    <row r="3266" spans="1:20" x14ac:dyDescent="0.25">
      <c r="A3266" s="20">
        <v>42155</v>
      </c>
      <c r="B3266" s="183">
        <v>22840</v>
      </c>
      <c r="C3266" s="14" t="s">
        <v>131</v>
      </c>
      <c r="D3266" s="103">
        <v>5122</v>
      </c>
      <c r="E3266" s="23">
        <v>42155</v>
      </c>
      <c r="F3266" s="106">
        <v>5122</v>
      </c>
      <c r="G3266" s="31">
        <f t="shared" ref="G3266:G3286" si="99">D3266-F3266</f>
        <v>0</v>
      </c>
      <c r="H3266" s="132" t="s">
        <v>1257</v>
      </c>
      <c r="I3266" s="3"/>
      <c r="J3266" s="42"/>
      <c r="K3266" s="3"/>
      <c r="M3266" s="20">
        <v>42152</v>
      </c>
      <c r="N3266" s="183">
        <v>22467</v>
      </c>
      <c r="O3266" s="14" t="s">
        <v>1182</v>
      </c>
      <c r="P3266" s="103">
        <v>2534.4</v>
      </c>
      <c r="Q3266" s="23">
        <v>42152</v>
      </c>
      <c r="R3266" s="106">
        <v>2534.4</v>
      </c>
      <c r="S3266" s="31">
        <f t="shared" si="98"/>
        <v>0</v>
      </c>
      <c r="T3266" s="132" t="s">
        <v>9</v>
      </c>
    </row>
    <row r="3267" spans="1:20" x14ac:dyDescent="0.25">
      <c r="A3267" s="20">
        <v>42155</v>
      </c>
      <c r="B3267" s="183">
        <v>22841</v>
      </c>
      <c r="C3267" s="14" t="s">
        <v>158</v>
      </c>
      <c r="D3267" s="103">
        <v>1515.7</v>
      </c>
      <c r="E3267" s="23">
        <v>42155</v>
      </c>
      <c r="F3267" s="106">
        <v>1515.7</v>
      </c>
      <c r="G3267" s="31">
        <f t="shared" si="99"/>
        <v>0</v>
      </c>
      <c r="H3267" s="132" t="s">
        <v>9</v>
      </c>
      <c r="I3267" s="3"/>
      <c r="J3267" s="42"/>
      <c r="K3267" s="3"/>
      <c r="M3267" s="20">
        <v>42152</v>
      </c>
      <c r="N3267" s="183">
        <v>22500</v>
      </c>
      <c r="O3267" s="14" t="s">
        <v>1182</v>
      </c>
      <c r="P3267" s="103">
        <v>1503.6</v>
      </c>
      <c r="Q3267" s="23">
        <v>42152</v>
      </c>
      <c r="R3267" s="106">
        <v>1503.6</v>
      </c>
      <c r="S3267" s="31">
        <f t="shared" ref="S3267:S3284" si="100">P3267-R3267</f>
        <v>0</v>
      </c>
      <c r="T3267" s="132" t="s">
        <v>9</v>
      </c>
    </row>
    <row r="3268" spans="1:20" x14ac:dyDescent="0.25">
      <c r="A3268" s="20">
        <v>42155</v>
      </c>
      <c r="B3268" s="183">
        <v>22842</v>
      </c>
      <c r="C3268" s="14" t="s">
        <v>141</v>
      </c>
      <c r="D3268" s="103">
        <v>3618.6</v>
      </c>
      <c r="E3268" s="23">
        <v>42155</v>
      </c>
      <c r="F3268" s="106">
        <v>3618.6</v>
      </c>
      <c r="G3268" s="31">
        <f t="shared" si="99"/>
        <v>0</v>
      </c>
      <c r="H3268" s="132" t="s">
        <v>9</v>
      </c>
      <c r="I3268" s="3"/>
      <c r="J3268" s="42"/>
      <c r="K3268" s="3"/>
      <c r="M3268" s="20">
        <v>42153</v>
      </c>
      <c r="N3268" s="183">
        <v>22656</v>
      </c>
      <c r="O3268" s="14" t="s">
        <v>1182</v>
      </c>
      <c r="P3268" s="103">
        <v>11177.6</v>
      </c>
      <c r="Q3268" s="23">
        <v>42153</v>
      </c>
      <c r="R3268" s="106">
        <v>11177.6</v>
      </c>
      <c r="S3268" s="31">
        <f t="shared" si="100"/>
        <v>0</v>
      </c>
      <c r="T3268" s="132" t="s">
        <v>9</v>
      </c>
    </row>
    <row r="3269" spans="1:20" x14ac:dyDescent="0.25">
      <c r="A3269" s="20">
        <v>42155</v>
      </c>
      <c r="B3269" s="183">
        <v>22843</v>
      </c>
      <c r="C3269" s="14" t="s">
        <v>136</v>
      </c>
      <c r="D3269" s="103">
        <v>4586.3999999999996</v>
      </c>
      <c r="E3269" s="23">
        <v>42155</v>
      </c>
      <c r="F3269" s="106">
        <v>4586.3999999999996</v>
      </c>
      <c r="G3269" s="31">
        <f t="shared" si="99"/>
        <v>0</v>
      </c>
      <c r="H3269" s="132" t="s">
        <v>9</v>
      </c>
      <c r="I3269" s="3"/>
      <c r="J3269" s="42"/>
      <c r="K3269" s="3"/>
      <c r="M3269" s="20">
        <v>42153</v>
      </c>
      <c r="N3269" s="183">
        <v>22663</v>
      </c>
      <c r="O3269" s="14" t="s">
        <v>1182</v>
      </c>
      <c r="P3269" s="103">
        <v>328.8</v>
      </c>
      <c r="Q3269" s="23">
        <v>42153</v>
      </c>
      <c r="R3269" s="106">
        <v>328.8</v>
      </c>
      <c r="S3269" s="31">
        <f t="shared" si="100"/>
        <v>0</v>
      </c>
      <c r="T3269" s="132" t="s">
        <v>9</v>
      </c>
    </row>
    <row r="3270" spans="1:20" x14ac:dyDescent="0.25">
      <c r="A3270" s="20">
        <v>42155</v>
      </c>
      <c r="B3270" s="183">
        <v>22844</v>
      </c>
      <c r="C3270" s="14" t="s">
        <v>80</v>
      </c>
      <c r="D3270" s="103">
        <v>6627.2</v>
      </c>
      <c r="E3270" s="23">
        <v>42155</v>
      </c>
      <c r="F3270" s="106">
        <v>6627.2</v>
      </c>
      <c r="G3270" s="31">
        <f t="shared" si="99"/>
        <v>0</v>
      </c>
      <c r="H3270" s="132" t="s">
        <v>1013</v>
      </c>
      <c r="I3270" s="3"/>
      <c r="J3270" s="42"/>
      <c r="K3270" s="3"/>
      <c r="M3270" s="20">
        <v>42154</v>
      </c>
      <c r="N3270" s="183">
        <v>22675</v>
      </c>
      <c r="O3270" s="14" t="s">
        <v>1182</v>
      </c>
      <c r="P3270" s="103">
        <v>3953</v>
      </c>
      <c r="Q3270" s="23">
        <v>42154</v>
      </c>
      <c r="R3270" s="106">
        <v>3953</v>
      </c>
      <c r="S3270" s="31">
        <f t="shared" si="100"/>
        <v>0</v>
      </c>
      <c r="T3270" s="132" t="s">
        <v>9</v>
      </c>
    </row>
    <row r="3271" spans="1:20" x14ac:dyDescent="0.25">
      <c r="A3271" s="20">
        <v>42155</v>
      </c>
      <c r="B3271" s="183">
        <v>22845</v>
      </c>
      <c r="C3271" s="26" t="s">
        <v>218</v>
      </c>
      <c r="D3271" s="153">
        <v>0</v>
      </c>
      <c r="E3271" s="23"/>
      <c r="F3271" s="106"/>
      <c r="G3271" s="31">
        <f t="shared" si="99"/>
        <v>0</v>
      </c>
      <c r="H3271" s="132" t="s">
        <v>13</v>
      </c>
      <c r="I3271" s="3"/>
      <c r="J3271" s="42"/>
      <c r="K3271" s="3"/>
      <c r="M3271" s="20">
        <v>42155</v>
      </c>
      <c r="N3271" s="183">
        <v>22854</v>
      </c>
      <c r="O3271" s="14" t="s">
        <v>1182</v>
      </c>
      <c r="P3271" s="103">
        <v>107.4</v>
      </c>
      <c r="Q3271" s="23">
        <v>42155</v>
      </c>
      <c r="R3271" s="106">
        <v>107.4</v>
      </c>
      <c r="S3271" s="31">
        <f t="shared" si="100"/>
        <v>0</v>
      </c>
      <c r="T3271" s="132" t="s">
        <v>9</v>
      </c>
    </row>
    <row r="3272" spans="1:20" x14ac:dyDescent="0.25">
      <c r="A3272" s="20">
        <v>42155</v>
      </c>
      <c r="B3272" s="183">
        <v>22846</v>
      </c>
      <c r="C3272" s="14" t="s">
        <v>1262</v>
      </c>
      <c r="D3272" s="103">
        <v>27190.15</v>
      </c>
      <c r="E3272" s="30">
        <v>42165</v>
      </c>
      <c r="F3272" s="144">
        <v>27190.15</v>
      </c>
      <c r="G3272" s="31">
        <f t="shared" si="99"/>
        <v>0</v>
      </c>
      <c r="H3272" s="132" t="s">
        <v>1257</v>
      </c>
      <c r="I3272" s="3"/>
      <c r="J3272" s="42"/>
      <c r="K3272" s="3"/>
      <c r="M3272" s="20">
        <v>42126</v>
      </c>
      <c r="N3272" s="183">
        <v>19715</v>
      </c>
      <c r="O3272" s="40" t="s">
        <v>1026</v>
      </c>
      <c r="P3272" s="103">
        <v>7323.6</v>
      </c>
      <c r="Q3272" s="23">
        <v>42126</v>
      </c>
      <c r="R3272" s="106">
        <v>7323.6</v>
      </c>
      <c r="S3272" s="25">
        <f t="shared" si="100"/>
        <v>0</v>
      </c>
      <c r="T3272" s="210" t="s">
        <v>9</v>
      </c>
    </row>
    <row r="3273" spans="1:20" x14ac:dyDescent="0.25">
      <c r="A3273" s="20">
        <v>42155</v>
      </c>
      <c r="B3273" s="183">
        <v>22847</v>
      </c>
      <c r="C3273" s="14" t="s">
        <v>1262</v>
      </c>
      <c r="D3273" s="103">
        <v>3078.8</v>
      </c>
      <c r="E3273" s="30">
        <v>42165</v>
      </c>
      <c r="F3273" s="144">
        <v>3078.8</v>
      </c>
      <c r="G3273" s="31">
        <f t="shared" si="99"/>
        <v>0</v>
      </c>
      <c r="H3273" s="132" t="s">
        <v>1257</v>
      </c>
      <c r="I3273" s="3"/>
      <c r="J3273" s="42"/>
      <c r="K3273" s="3"/>
      <c r="M3273" s="20">
        <v>42130</v>
      </c>
      <c r="N3273" s="183">
        <v>20188</v>
      </c>
      <c r="O3273" s="14" t="s">
        <v>301</v>
      </c>
      <c r="P3273" s="103">
        <v>708.4</v>
      </c>
      <c r="Q3273" s="23">
        <v>42131</v>
      </c>
      <c r="R3273" s="106">
        <v>708.4</v>
      </c>
      <c r="S3273" s="31">
        <f t="shared" si="100"/>
        <v>0</v>
      </c>
      <c r="T3273" s="132" t="s">
        <v>94</v>
      </c>
    </row>
    <row r="3274" spans="1:20" x14ac:dyDescent="0.25">
      <c r="A3274" s="20">
        <v>42155</v>
      </c>
      <c r="B3274" s="183">
        <v>22848</v>
      </c>
      <c r="C3274" s="14" t="s">
        <v>24</v>
      </c>
      <c r="D3274" s="103">
        <v>13212.6</v>
      </c>
      <c r="E3274" s="30">
        <v>42173</v>
      </c>
      <c r="F3274" s="144">
        <v>13212.6</v>
      </c>
      <c r="G3274" s="31">
        <f t="shared" si="99"/>
        <v>0</v>
      </c>
      <c r="H3274" s="132" t="s">
        <v>9</v>
      </c>
      <c r="I3274" s="3"/>
      <c r="J3274" s="42"/>
      <c r="K3274" s="3"/>
      <c r="M3274" s="20">
        <v>42154</v>
      </c>
      <c r="N3274" s="183">
        <v>22757</v>
      </c>
      <c r="O3274" s="14" t="s">
        <v>301</v>
      </c>
      <c r="P3274" s="103">
        <v>1008</v>
      </c>
      <c r="Q3274" s="23">
        <v>42154</v>
      </c>
      <c r="R3274" s="106">
        <v>1008</v>
      </c>
      <c r="S3274" s="31">
        <f t="shared" si="100"/>
        <v>0</v>
      </c>
      <c r="T3274" s="132" t="s">
        <v>1273</v>
      </c>
    </row>
    <row r="3275" spans="1:20" x14ac:dyDescent="0.25">
      <c r="A3275" s="20">
        <v>42155</v>
      </c>
      <c r="B3275" s="183">
        <v>22849</v>
      </c>
      <c r="C3275" s="14" t="s">
        <v>235</v>
      </c>
      <c r="D3275" s="103">
        <v>2310</v>
      </c>
      <c r="E3275" s="23">
        <v>42155</v>
      </c>
      <c r="F3275" s="106">
        <v>2310</v>
      </c>
      <c r="G3275" s="31">
        <f t="shared" si="99"/>
        <v>0</v>
      </c>
      <c r="H3275" s="132" t="s">
        <v>773</v>
      </c>
      <c r="I3275" s="3"/>
      <c r="J3275" s="42"/>
      <c r="K3275" s="3"/>
      <c r="M3275" s="20">
        <v>42131</v>
      </c>
      <c r="N3275" s="183">
        <v>20257</v>
      </c>
      <c r="O3275" s="14" t="s">
        <v>872</v>
      </c>
      <c r="P3275" s="103">
        <v>292.5</v>
      </c>
      <c r="Q3275" s="23">
        <v>42131</v>
      </c>
      <c r="R3275" s="106">
        <v>292.5</v>
      </c>
      <c r="S3275" s="31">
        <f t="shared" si="100"/>
        <v>0</v>
      </c>
      <c r="T3275" s="209" t="s">
        <v>59</v>
      </c>
    </row>
    <row r="3276" spans="1:20" x14ac:dyDescent="0.25">
      <c r="A3276" s="20">
        <v>42155</v>
      </c>
      <c r="B3276" s="183">
        <v>22850</v>
      </c>
      <c r="C3276" s="14" t="s">
        <v>158</v>
      </c>
      <c r="D3276" s="103">
        <v>2822.4</v>
      </c>
      <c r="E3276" s="23">
        <v>42155</v>
      </c>
      <c r="F3276" s="106">
        <v>2822.4</v>
      </c>
      <c r="G3276" s="31">
        <f t="shared" si="99"/>
        <v>0</v>
      </c>
      <c r="H3276" s="132" t="s">
        <v>9</v>
      </c>
      <c r="I3276" s="3"/>
      <c r="J3276" s="42"/>
      <c r="K3276" s="3"/>
      <c r="M3276" s="20">
        <v>42134</v>
      </c>
      <c r="N3276" s="183">
        <v>20626</v>
      </c>
      <c r="O3276" s="14" t="s">
        <v>872</v>
      </c>
      <c r="P3276" s="103">
        <v>495.3</v>
      </c>
      <c r="Q3276" s="23">
        <v>42134</v>
      </c>
      <c r="R3276" s="118">
        <v>495.3</v>
      </c>
      <c r="S3276" s="31">
        <f t="shared" si="100"/>
        <v>0</v>
      </c>
      <c r="T3276" s="28" t="s">
        <v>59</v>
      </c>
    </row>
    <row r="3277" spans="1:20" x14ac:dyDescent="0.25">
      <c r="A3277" s="20">
        <v>42155</v>
      </c>
      <c r="B3277" s="183">
        <v>22851</v>
      </c>
      <c r="C3277" s="14" t="s">
        <v>1101</v>
      </c>
      <c r="D3277" s="103">
        <v>353.8</v>
      </c>
      <c r="E3277" s="23">
        <v>42155</v>
      </c>
      <c r="F3277" s="106">
        <v>353.8</v>
      </c>
      <c r="G3277" s="31">
        <f t="shared" si="99"/>
        <v>0</v>
      </c>
      <c r="H3277" s="132" t="s">
        <v>9</v>
      </c>
      <c r="I3277" s="3"/>
      <c r="J3277" s="42"/>
      <c r="K3277" s="3"/>
      <c r="M3277" s="20">
        <v>42142</v>
      </c>
      <c r="N3277" s="183">
        <v>21439</v>
      </c>
      <c r="O3277" s="14" t="s">
        <v>872</v>
      </c>
      <c r="P3277" s="103">
        <v>636</v>
      </c>
      <c r="Q3277" s="23">
        <v>42142</v>
      </c>
      <c r="R3277" s="106">
        <v>636</v>
      </c>
      <c r="S3277" s="31">
        <f t="shared" si="100"/>
        <v>0</v>
      </c>
      <c r="T3277" s="132" t="s">
        <v>59</v>
      </c>
    </row>
    <row r="3278" spans="1:20" x14ac:dyDescent="0.25">
      <c r="A3278" s="20">
        <v>42155</v>
      </c>
      <c r="B3278" s="183">
        <v>22852</v>
      </c>
      <c r="C3278" s="14" t="s">
        <v>1020</v>
      </c>
      <c r="D3278" s="103">
        <v>2099.7600000000002</v>
      </c>
      <c r="E3278" s="23">
        <v>42155</v>
      </c>
      <c r="F3278" s="106">
        <v>2099.7600000000002</v>
      </c>
      <c r="G3278" s="31">
        <f t="shared" si="99"/>
        <v>0</v>
      </c>
      <c r="H3278" s="132" t="s">
        <v>9</v>
      </c>
      <c r="I3278" s="3"/>
      <c r="J3278" s="42"/>
      <c r="K3278" s="3"/>
      <c r="M3278" s="20">
        <v>42147</v>
      </c>
      <c r="N3278" s="183">
        <v>21997</v>
      </c>
      <c r="O3278" s="14" t="s">
        <v>872</v>
      </c>
      <c r="P3278" s="103">
        <v>619.1</v>
      </c>
      <c r="Q3278" s="65">
        <v>42147</v>
      </c>
      <c r="R3278" s="106">
        <v>619.1</v>
      </c>
      <c r="S3278" s="31">
        <f t="shared" si="100"/>
        <v>0</v>
      </c>
      <c r="T3278" s="132" t="s">
        <v>59</v>
      </c>
    </row>
    <row r="3279" spans="1:20" x14ac:dyDescent="0.25">
      <c r="A3279" s="20">
        <v>42155</v>
      </c>
      <c r="B3279" s="183">
        <v>22853</v>
      </c>
      <c r="C3279" s="14" t="s">
        <v>59</v>
      </c>
      <c r="D3279" s="103">
        <v>196</v>
      </c>
      <c r="E3279" s="23">
        <v>42155</v>
      </c>
      <c r="F3279" s="106">
        <v>196</v>
      </c>
      <c r="G3279" s="31">
        <f t="shared" si="99"/>
        <v>0</v>
      </c>
      <c r="H3279" s="132" t="s">
        <v>9</v>
      </c>
      <c r="I3279" s="3"/>
      <c r="J3279" s="42"/>
      <c r="K3279" s="3"/>
      <c r="M3279" s="20">
        <v>42155</v>
      </c>
      <c r="N3279" s="183">
        <v>22821</v>
      </c>
      <c r="O3279" s="14" t="s">
        <v>872</v>
      </c>
      <c r="P3279" s="103">
        <v>533.4</v>
      </c>
      <c r="Q3279" s="23">
        <v>42155</v>
      </c>
      <c r="R3279" s="106">
        <v>533.4</v>
      </c>
      <c r="S3279" s="31">
        <f t="shared" si="100"/>
        <v>0</v>
      </c>
      <c r="T3279" s="132" t="s">
        <v>59</v>
      </c>
    </row>
    <row r="3280" spans="1:20" x14ac:dyDescent="0.25">
      <c r="A3280" s="20">
        <v>42155</v>
      </c>
      <c r="B3280" s="183">
        <v>22854</v>
      </c>
      <c r="C3280" s="14" t="s">
        <v>1182</v>
      </c>
      <c r="D3280" s="103">
        <v>107.4</v>
      </c>
      <c r="E3280" s="23">
        <v>42155</v>
      </c>
      <c r="F3280" s="106">
        <v>107.4</v>
      </c>
      <c r="G3280" s="31">
        <f t="shared" si="99"/>
        <v>0</v>
      </c>
      <c r="H3280" s="132" t="s">
        <v>9</v>
      </c>
      <c r="I3280" s="3"/>
      <c r="J3280" s="42"/>
      <c r="K3280" s="3"/>
      <c r="M3280" s="20">
        <v>42126</v>
      </c>
      <c r="N3280" s="183">
        <v>19775</v>
      </c>
      <c r="O3280" s="40" t="s">
        <v>579</v>
      </c>
      <c r="P3280" s="103">
        <v>1561.8</v>
      </c>
      <c r="Q3280" s="23">
        <v>42126</v>
      </c>
      <c r="R3280" s="106">
        <v>1561.8</v>
      </c>
      <c r="S3280" s="25">
        <f t="shared" si="100"/>
        <v>0</v>
      </c>
      <c r="T3280" s="210" t="s">
        <v>9</v>
      </c>
    </row>
    <row r="3281" spans="1:20" x14ac:dyDescent="0.25">
      <c r="A3281" s="20">
        <v>42155</v>
      </c>
      <c r="B3281" s="183">
        <v>22855</v>
      </c>
      <c r="C3281" s="14" t="s">
        <v>111</v>
      </c>
      <c r="D3281" s="103">
        <v>58561.120000000003</v>
      </c>
      <c r="E3281" s="30">
        <v>42164</v>
      </c>
      <c r="F3281" s="144">
        <v>58561.120000000003</v>
      </c>
      <c r="G3281" s="31">
        <f t="shared" si="99"/>
        <v>0</v>
      </c>
      <c r="H3281" s="132" t="s">
        <v>773</v>
      </c>
      <c r="I3281" s="3"/>
      <c r="J3281" s="42"/>
      <c r="K3281" s="3"/>
      <c r="M3281" s="20">
        <v>42146</v>
      </c>
      <c r="N3281" s="183">
        <v>21910</v>
      </c>
      <c r="O3281" s="14" t="s">
        <v>579</v>
      </c>
      <c r="P3281" s="103">
        <v>1994.6</v>
      </c>
      <c r="Q3281" s="23">
        <v>42146</v>
      </c>
      <c r="R3281" s="106">
        <v>1994.6</v>
      </c>
      <c r="S3281" s="31">
        <f t="shared" si="100"/>
        <v>0</v>
      </c>
      <c r="T3281" s="132" t="s">
        <v>9</v>
      </c>
    </row>
    <row r="3282" spans="1:20" x14ac:dyDescent="0.25">
      <c r="A3282" s="20">
        <v>42155</v>
      </c>
      <c r="B3282" s="183">
        <v>22856</v>
      </c>
      <c r="C3282" s="14" t="s">
        <v>86</v>
      </c>
      <c r="D3282" s="103">
        <v>212</v>
      </c>
      <c r="E3282" s="23">
        <v>42155</v>
      </c>
      <c r="F3282" s="106">
        <v>212</v>
      </c>
      <c r="G3282" s="31">
        <f t="shared" si="99"/>
        <v>0</v>
      </c>
      <c r="H3282" s="132" t="s">
        <v>9</v>
      </c>
      <c r="I3282" s="3"/>
      <c r="J3282" s="42"/>
      <c r="K3282" s="3"/>
      <c r="M3282" s="20">
        <v>42131</v>
      </c>
      <c r="N3282" s="183">
        <v>20282</v>
      </c>
      <c r="O3282" s="14" t="s">
        <v>179</v>
      </c>
      <c r="P3282" s="103">
        <v>2828.8</v>
      </c>
      <c r="Q3282" s="23">
        <v>42131</v>
      </c>
      <c r="R3282" s="106">
        <v>2828.8</v>
      </c>
      <c r="S3282" s="31">
        <f t="shared" si="100"/>
        <v>0</v>
      </c>
      <c r="T3282" s="209" t="s">
        <v>41</v>
      </c>
    </row>
    <row r="3283" spans="1:20" x14ac:dyDescent="0.25">
      <c r="A3283" s="20">
        <v>42155</v>
      </c>
      <c r="B3283" s="183">
        <v>22857</v>
      </c>
      <c r="C3283" s="14" t="s">
        <v>24</v>
      </c>
      <c r="D3283" s="103">
        <v>8408.4</v>
      </c>
      <c r="E3283" s="30">
        <v>42173</v>
      </c>
      <c r="F3283" s="144">
        <v>8408.4</v>
      </c>
      <c r="G3283" s="31">
        <f t="shared" si="99"/>
        <v>0</v>
      </c>
      <c r="H3283" s="132" t="s">
        <v>59</v>
      </c>
      <c r="I3283" s="3"/>
      <c r="J3283" s="42"/>
      <c r="K3283" s="3"/>
      <c r="M3283" s="20">
        <v>42139</v>
      </c>
      <c r="N3283" s="183">
        <v>21098</v>
      </c>
      <c r="O3283" s="14" t="s">
        <v>179</v>
      </c>
      <c r="P3283" s="103">
        <v>4112.2</v>
      </c>
      <c r="Q3283" s="23">
        <v>42139</v>
      </c>
      <c r="R3283" s="106">
        <v>4112.2</v>
      </c>
      <c r="S3283" s="48">
        <f t="shared" si="100"/>
        <v>0</v>
      </c>
      <c r="T3283" s="132" t="s">
        <v>15</v>
      </c>
    </row>
    <row r="3284" spans="1:20" x14ac:dyDescent="0.25">
      <c r="A3284" s="20">
        <v>42155</v>
      </c>
      <c r="B3284" s="183">
        <v>22858</v>
      </c>
      <c r="C3284" s="14" t="s">
        <v>1425</v>
      </c>
      <c r="D3284" s="103">
        <v>727.2</v>
      </c>
      <c r="E3284" s="23">
        <v>42155</v>
      </c>
      <c r="F3284" s="106">
        <v>727.2</v>
      </c>
      <c r="G3284" s="31">
        <f t="shared" si="99"/>
        <v>0</v>
      </c>
      <c r="H3284" s="132" t="s">
        <v>9</v>
      </c>
      <c r="I3284" s="3"/>
      <c r="J3284" s="42"/>
      <c r="K3284" s="3"/>
      <c r="M3284" s="20">
        <v>42146</v>
      </c>
      <c r="N3284" s="183">
        <v>21904</v>
      </c>
      <c r="O3284" s="14" t="s">
        <v>179</v>
      </c>
      <c r="P3284" s="103">
        <v>4183.1000000000004</v>
      </c>
      <c r="Q3284" s="23">
        <v>42146</v>
      </c>
      <c r="R3284" s="106">
        <v>4183.1000000000004</v>
      </c>
      <c r="S3284" s="31">
        <f t="shared" si="100"/>
        <v>0</v>
      </c>
      <c r="T3284" s="132" t="s">
        <v>15</v>
      </c>
    </row>
    <row r="3285" spans="1:20" x14ac:dyDescent="0.25">
      <c r="A3285" s="20"/>
      <c r="B3285" s="183"/>
      <c r="C3285" s="14" t="s">
        <v>485</v>
      </c>
      <c r="D3285" s="103"/>
      <c r="E3285" s="23"/>
      <c r="F3285" s="106"/>
      <c r="G3285" s="31">
        <f t="shared" si="99"/>
        <v>0</v>
      </c>
      <c r="H3285" s="132"/>
      <c r="I3285" s="3"/>
      <c r="J3285" s="42"/>
      <c r="K3285" s="3"/>
    </row>
    <row r="3286" spans="1:20" ht="16.5" thickBot="1" x14ac:dyDescent="0.3">
      <c r="A3286" s="20"/>
      <c r="B3286" s="183"/>
      <c r="C3286" s="79" t="s">
        <v>485</v>
      </c>
      <c r="D3286" s="133"/>
      <c r="E3286" s="81"/>
      <c r="F3286" s="134"/>
      <c r="G3286" s="25">
        <f t="shared" si="99"/>
        <v>0</v>
      </c>
      <c r="I3286" s="3"/>
      <c r="J3286" s="42"/>
      <c r="K3286" s="3"/>
    </row>
    <row r="3287" spans="1:20" x14ac:dyDescent="0.25">
      <c r="A3287" s="82"/>
      <c r="B3287" s="83"/>
      <c r="C3287" s="84"/>
      <c r="D3287" s="135">
        <f>SUM(D4:D3286)</f>
        <v>50082608.615000047</v>
      </c>
      <c r="E3287" s="86"/>
      <c r="F3287" s="136">
        <f>SUM(F4:F3286)</f>
        <v>49751257.622000061</v>
      </c>
      <c r="G3287" s="87"/>
      <c r="I3287" s="3"/>
      <c r="J3287" s="42"/>
      <c r="K3287" s="3"/>
    </row>
    <row r="3288" spans="1:20" ht="15.75" thickBot="1" x14ac:dyDescent="0.3">
      <c r="A3288" s="82"/>
      <c r="B3288" s="83"/>
      <c r="C3288" s="84"/>
      <c r="D3288" s="137"/>
      <c r="E3288" s="86"/>
      <c r="F3288" s="138"/>
      <c r="G3288" s="87"/>
      <c r="I3288" s="3"/>
      <c r="J3288" s="42"/>
      <c r="K3288" s="3"/>
    </row>
    <row r="3289" spans="1:20" x14ac:dyDescent="0.25">
      <c r="A3289" s="82"/>
      <c r="B3289" s="83"/>
      <c r="C3289" s="84"/>
      <c r="D3289" s="139"/>
      <c r="E3289" s="86"/>
      <c r="F3289" s="140"/>
      <c r="G3289" s="87"/>
      <c r="I3289" s="3"/>
      <c r="J3289" s="42"/>
      <c r="K3289" s="3"/>
    </row>
    <row r="3290" spans="1:20" ht="31.5" x14ac:dyDescent="0.25">
      <c r="A3290" s="82"/>
      <c r="B3290" s="83"/>
      <c r="C3290" s="4"/>
      <c r="D3290" s="211" t="s">
        <v>486</v>
      </c>
      <c r="E3290" s="86"/>
      <c r="F3290" s="142" t="s">
        <v>487</v>
      </c>
      <c r="G3290" s="87"/>
      <c r="I3290" s="3"/>
      <c r="J3290" s="42"/>
      <c r="K3290" s="3"/>
    </row>
    <row r="3291" spans="1:20" x14ac:dyDescent="0.25">
      <c r="A3291" s="82"/>
      <c r="B3291" s="83"/>
      <c r="C3291" s="84"/>
      <c r="D3291" s="139"/>
      <c r="E3291" s="86"/>
      <c r="F3291" s="140"/>
      <c r="G3291" s="87"/>
      <c r="I3291" s="3"/>
      <c r="J3291" s="42"/>
      <c r="K3291" s="3"/>
    </row>
    <row r="3292" spans="1:20" x14ac:dyDescent="0.25">
      <c r="A3292" s="82"/>
      <c r="B3292" s="83"/>
      <c r="C3292" s="84"/>
      <c r="D3292" s="139"/>
      <c r="E3292" s="86"/>
      <c r="F3292" s="140"/>
      <c r="G3292" s="87"/>
      <c r="I3292" s="3"/>
      <c r="J3292" s="42"/>
      <c r="K3292" s="3"/>
    </row>
    <row r="3293" spans="1:20" x14ac:dyDescent="0.25">
      <c r="A3293" s="82"/>
      <c r="B3293" s="83"/>
      <c r="C3293" s="84"/>
      <c r="D3293" s="139"/>
      <c r="E3293" s="86"/>
      <c r="F3293" s="140"/>
      <c r="G3293" s="87"/>
      <c r="I3293" s="3"/>
      <c r="J3293" s="42"/>
      <c r="K3293" s="3"/>
    </row>
    <row r="3294" spans="1:20" ht="21" x14ac:dyDescent="0.35">
      <c r="A3294" s="82"/>
      <c r="B3294" s="83"/>
      <c r="C3294" s="84"/>
      <c r="D3294" s="217">
        <f>D3287-F3287</f>
        <v>331350.99299998581</v>
      </c>
      <c r="E3294" s="218"/>
      <c r="F3294" s="218"/>
      <c r="G3294" s="87"/>
      <c r="I3294" s="3"/>
      <c r="J3294" s="42"/>
      <c r="K3294" s="3"/>
    </row>
    <row r="3295" spans="1:20" x14ac:dyDescent="0.25">
      <c r="A3295" s="82"/>
      <c r="B3295" s="83"/>
      <c r="C3295" s="84"/>
      <c r="D3295" s="139"/>
      <c r="E3295" s="86"/>
      <c r="F3295" s="140"/>
      <c r="G3295" s="87"/>
      <c r="I3295" s="3"/>
      <c r="J3295" s="42"/>
      <c r="K3295" s="3"/>
    </row>
    <row r="3296" spans="1:20" ht="18.75" x14ac:dyDescent="0.3">
      <c r="A3296" s="82"/>
      <c r="B3296" s="83"/>
      <c r="C3296" s="84"/>
      <c r="D3296" s="221" t="s">
        <v>488</v>
      </c>
      <c r="E3296" s="221"/>
      <c r="F3296" s="221"/>
      <c r="G3296" s="87"/>
      <c r="I3296" s="3"/>
      <c r="J3296" s="42"/>
      <c r="K3296" s="3"/>
    </row>
    <row r="3297" spans="1:11" x14ac:dyDescent="0.25">
      <c r="A3297" s="82"/>
      <c r="B3297" s="83"/>
      <c r="C3297" s="84"/>
      <c r="D3297" s="139"/>
      <c r="E3297" s="86"/>
      <c r="F3297" s="140"/>
      <c r="G3297" s="87"/>
      <c r="I3297" s="3"/>
      <c r="J3297" s="42"/>
      <c r="K3297" s="3"/>
    </row>
    <row r="3298" spans="1:11" x14ac:dyDescent="0.25">
      <c r="A3298" s="82"/>
      <c r="B3298" s="83"/>
      <c r="C3298" s="84"/>
      <c r="D3298" s="139"/>
      <c r="E3298" s="86"/>
      <c r="F3298" s="140"/>
      <c r="G3298" s="87"/>
      <c r="I3298" s="3"/>
      <c r="J3298" s="42"/>
      <c r="K3298" s="3"/>
    </row>
    <row r="3299" spans="1:11" x14ac:dyDescent="0.25">
      <c r="A3299" s="82"/>
      <c r="B3299" s="83"/>
      <c r="C3299" s="84"/>
      <c r="D3299" s="139"/>
      <c r="E3299" s="86"/>
      <c r="F3299" s="140"/>
      <c r="G3299" s="87"/>
      <c r="I3299" s="3"/>
      <c r="J3299" s="42"/>
      <c r="K3299" s="3"/>
    </row>
  </sheetData>
  <mergeCells count="3">
    <mergeCell ref="A1:E1"/>
    <mergeCell ref="D3294:F3294"/>
    <mergeCell ref="D3296:F3296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"/>
  <sheetViews>
    <sheetView workbookViewId="0">
      <selection sqref="A1:E1"/>
    </sheetView>
  </sheetViews>
  <sheetFormatPr baseColWidth="10" defaultRowHeight="15" x14ac:dyDescent="0.25"/>
  <cols>
    <col min="1" max="1" width="11.28515625" style="92" customWidth="1"/>
    <col min="2" max="2" width="9.28515625" style="93" customWidth="1"/>
    <col min="3" max="3" width="30.85546875" style="3" customWidth="1"/>
    <col min="4" max="4" width="15.140625" style="42" bestFit="1" customWidth="1"/>
    <col min="5" max="5" width="17" style="95" customWidth="1"/>
    <col min="6" max="6" width="17.85546875" style="143" bestFit="1" customWidth="1"/>
    <col min="7" max="7" width="15.28515625" style="28" customWidth="1"/>
    <col min="8" max="10" width="11.42578125" style="3"/>
  </cols>
  <sheetData>
    <row r="1" spans="1:8" ht="18.75" x14ac:dyDescent="0.3">
      <c r="A1" s="216" t="s">
        <v>534</v>
      </c>
      <c r="B1" s="216"/>
      <c r="C1" s="216"/>
      <c r="D1" s="216"/>
      <c r="E1" s="216"/>
      <c r="F1" s="100"/>
      <c r="G1" s="2"/>
    </row>
    <row r="2" spans="1:8" ht="35.25" thickBot="1" x14ac:dyDescent="0.35">
      <c r="A2" s="5" t="s">
        <v>1</v>
      </c>
      <c r="B2" s="6" t="s">
        <v>2</v>
      </c>
      <c r="C2" s="7" t="s">
        <v>3</v>
      </c>
      <c r="D2" s="101" t="s">
        <v>4</v>
      </c>
      <c r="E2" s="165" t="s">
        <v>5</v>
      </c>
      <c r="F2" s="166" t="s">
        <v>6</v>
      </c>
      <c r="G2" s="11" t="s">
        <v>7</v>
      </c>
    </row>
    <row r="3" spans="1:8" ht="22.5" customHeight="1" thickTop="1" x14ac:dyDescent="0.25">
      <c r="A3" s="12">
        <v>42037</v>
      </c>
      <c r="B3" s="21">
        <v>10852</v>
      </c>
      <c r="C3" s="40" t="s">
        <v>165</v>
      </c>
      <c r="D3" s="105">
        <v>2968</v>
      </c>
      <c r="E3" s="167"/>
      <c r="F3" s="168"/>
      <c r="G3" s="25">
        <f t="shared" ref="G3:G22" si="0">D3-F3</f>
        <v>2968</v>
      </c>
      <c r="H3" s="41" t="s">
        <v>17</v>
      </c>
    </row>
    <row r="4" spans="1:8" ht="22.5" customHeight="1" x14ac:dyDescent="0.25">
      <c r="A4" s="20">
        <v>42041</v>
      </c>
      <c r="B4" s="21">
        <v>11209</v>
      </c>
      <c r="C4" s="14" t="s">
        <v>375</v>
      </c>
      <c r="D4" s="105">
        <v>2982</v>
      </c>
      <c r="E4" s="167"/>
      <c r="F4" s="168"/>
      <c r="G4" s="31">
        <f t="shared" si="0"/>
        <v>2982</v>
      </c>
      <c r="H4" s="39" t="s">
        <v>9</v>
      </c>
    </row>
    <row r="5" spans="1:8" ht="22.5" customHeight="1" x14ac:dyDescent="0.25">
      <c r="A5" s="20">
        <v>42041</v>
      </c>
      <c r="B5" s="21">
        <v>11229</v>
      </c>
      <c r="C5" s="14" t="s">
        <v>60</v>
      </c>
      <c r="D5" s="105">
        <v>5569.2</v>
      </c>
      <c r="E5" s="167"/>
      <c r="F5" s="168"/>
      <c r="G5" s="31">
        <f t="shared" si="0"/>
        <v>5569.2</v>
      </c>
      <c r="H5" s="39" t="s">
        <v>36</v>
      </c>
    </row>
    <row r="6" spans="1:8" ht="22.5" customHeight="1" x14ac:dyDescent="0.25">
      <c r="A6" s="20">
        <v>42045</v>
      </c>
      <c r="B6" s="21">
        <v>11642</v>
      </c>
      <c r="C6" s="14" t="s">
        <v>130</v>
      </c>
      <c r="D6" s="105">
        <v>5273.6</v>
      </c>
      <c r="E6" s="167">
        <v>42048</v>
      </c>
      <c r="F6" s="168">
        <v>2327.4499999999998</v>
      </c>
      <c r="G6" s="55">
        <f t="shared" si="0"/>
        <v>2946.1500000000005</v>
      </c>
      <c r="H6" s="19" t="s">
        <v>17</v>
      </c>
    </row>
    <row r="7" spans="1:8" ht="22.5" customHeight="1" x14ac:dyDescent="0.25">
      <c r="A7" s="20">
        <v>42047</v>
      </c>
      <c r="B7" s="21">
        <v>11850</v>
      </c>
      <c r="C7" s="14" t="s">
        <v>20</v>
      </c>
      <c r="D7" s="105">
        <v>20567.25</v>
      </c>
      <c r="E7" s="167"/>
      <c r="F7" s="168"/>
      <c r="G7" s="31">
        <f t="shared" si="0"/>
        <v>20567.25</v>
      </c>
      <c r="H7" s="19" t="s">
        <v>62</v>
      </c>
    </row>
    <row r="8" spans="1:8" ht="22.5" customHeight="1" x14ac:dyDescent="0.25">
      <c r="A8" s="20">
        <v>42048</v>
      </c>
      <c r="B8" s="21">
        <v>11921</v>
      </c>
      <c r="C8" s="14" t="s">
        <v>43</v>
      </c>
      <c r="D8" s="105">
        <v>3211.8</v>
      </c>
      <c r="E8" s="167"/>
      <c r="F8" s="168"/>
      <c r="G8" s="31">
        <f t="shared" si="0"/>
        <v>3211.8</v>
      </c>
      <c r="H8" s="19" t="s">
        <v>9</v>
      </c>
    </row>
    <row r="9" spans="1:8" ht="22.5" customHeight="1" x14ac:dyDescent="0.25">
      <c r="A9" s="20">
        <v>42051</v>
      </c>
      <c r="B9" s="21">
        <v>12240</v>
      </c>
      <c r="C9" s="14" t="s">
        <v>213</v>
      </c>
      <c r="D9" s="105">
        <v>41822.800000000003</v>
      </c>
      <c r="E9" s="167"/>
      <c r="F9" s="168"/>
      <c r="G9" s="31">
        <f t="shared" si="0"/>
        <v>41822.800000000003</v>
      </c>
      <c r="H9" s="39" t="s">
        <v>94</v>
      </c>
    </row>
    <row r="10" spans="1:8" ht="22.5" customHeight="1" x14ac:dyDescent="0.25">
      <c r="A10" s="20">
        <v>42052</v>
      </c>
      <c r="B10" s="21">
        <v>12294</v>
      </c>
      <c r="C10" s="14" t="s">
        <v>148</v>
      </c>
      <c r="D10" s="105">
        <v>4897</v>
      </c>
      <c r="E10" s="167"/>
      <c r="F10" s="168"/>
      <c r="G10" s="31">
        <f t="shared" si="0"/>
        <v>4897</v>
      </c>
      <c r="H10" s="39" t="s">
        <v>9</v>
      </c>
    </row>
    <row r="11" spans="1:8" ht="22.5" customHeight="1" x14ac:dyDescent="0.25">
      <c r="A11" s="20">
        <v>42052</v>
      </c>
      <c r="B11" s="21">
        <v>12317</v>
      </c>
      <c r="C11" s="14" t="s">
        <v>102</v>
      </c>
      <c r="D11" s="105">
        <v>1914.6</v>
      </c>
      <c r="E11" s="167"/>
      <c r="F11" s="168"/>
      <c r="G11" s="31">
        <f t="shared" si="0"/>
        <v>1914.6</v>
      </c>
      <c r="H11" s="39" t="s">
        <v>62</v>
      </c>
    </row>
    <row r="12" spans="1:8" ht="22.5" customHeight="1" x14ac:dyDescent="0.25">
      <c r="A12" s="20">
        <v>42052</v>
      </c>
      <c r="B12" s="21">
        <v>12351</v>
      </c>
      <c r="C12" s="14" t="s">
        <v>213</v>
      </c>
      <c r="D12" s="105">
        <v>31832.6</v>
      </c>
      <c r="E12" s="167"/>
      <c r="F12" s="168"/>
      <c r="G12" s="31">
        <f t="shared" si="0"/>
        <v>31832.6</v>
      </c>
      <c r="H12" s="39" t="s">
        <v>187</v>
      </c>
    </row>
    <row r="13" spans="1:8" ht="22.5" customHeight="1" x14ac:dyDescent="0.25">
      <c r="A13" s="20">
        <v>42054</v>
      </c>
      <c r="B13" s="21">
        <v>12513</v>
      </c>
      <c r="C13" s="14" t="s">
        <v>229</v>
      </c>
      <c r="D13" s="105">
        <v>8691.64</v>
      </c>
      <c r="E13" s="167">
        <v>42054</v>
      </c>
      <c r="F13" s="134">
        <v>6691.64</v>
      </c>
      <c r="G13" s="125">
        <f t="shared" si="0"/>
        <v>1999.9999999999991</v>
      </c>
      <c r="H13" s="161" t="s">
        <v>9</v>
      </c>
    </row>
    <row r="14" spans="1:8" ht="22.5" customHeight="1" x14ac:dyDescent="0.25">
      <c r="A14" s="20">
        <v>42058</v>
      </c>
      <c r="B14" s="21">
        <v>12886</v>
      </c>
      <c r="C14" s="15" t="s">
        <v>148</v>
      </c>
      <c r="D14" s="122">
        <v>2607.6</v>
      </c>
      <c r="E14" s="169" t="s">
        <v>984</v>
      </c>
      <c r="F14" s="170">
        <f>500+500+500</f>
        <v>1500</v>
      </c>
      <c r="G14" s="55">
        <f t="shared" si="0"/>
        <v>1107.5999999999999</v>
      </c>
      <c r="H14" s="68" t="s">
        <v>59</v>
      </c>
    </row>
    <row r="15" spans="1:8" ht="22.5" customHeight="1" x14ac:dyDescent="0.25">
      <c r="A15" s="20">
        <v>42059</v>
      </c>
      <c r="B15" s="21">
        <v>13055</v>
      </c>
      <c r="C15" s="14" t="s">
        <v>38</v>
      </c>
      <c r="D15" s="105">
        <v>35297.5</v>
      </c>
      <c r="E15" s="167">
        <v>42060</v>
      </c>
      <c r="F15" s="168">
        <v>33362.1</v>
      </c>
      <c r="G15" s="55">
        <f t="shared" si="0"/>
        <v>1935.4000000000015</v>
      </c>
      <c r="H15" s="39" t="s">
        <v>9</v>
      </c>
    </row>
    <row r="16" spans="1:8" ht="22.5" customHeight="1" x14ac:dyDescent="0.25">
      <c r="A16" s="20">
        <v>42061</v>
      </c>
      <c r="B16" s="21">
        <v>13167</v>
      </c>
      <c r="C16" s="14" t="s">
        <v>571</v>
      </c>
      <c r="D16" s="105">
        <v>10482.56</v>
      </c>
      <c r="E16" s="81"/>
      <c r="F16" s="168"/>
      <c r="G16" s="31">
        <f t="shared" si="0"/>
        <v>10482.56</v>
      </c>
      <c r="H16" s="39" t="s">
        <v>15</v>
      </c>
    </row>
    <row r="17" spans="1:8" ht="22.5" customHeight="1" x14ac:dyDescent="0.25">
      <c r="A17" s="20">
        <v>42061</v>
      </c>
      <c r="B17" s="21">
        <v>13245</v>
      </c>
      <c r="C17" s="14" t="s">
        <v>213</v>
      </c>
      <c r="D17" s="105">
        <v>39224</v>
      </c>
      <c r="E17" s="81"/>
      <c r="F17" s="168"/>
      <c r="G17" s="31">
        <f t="shared" si="0"/>
        <v>39224</v>
      </c>
      <c r="H17" s="39" t="s">
        <v>94</v>
      </c>
    </row>
    <row r="18" spans="1:8" ht="22.5" customHeight="1" x14ac:dyDescent="0.25">
      <c r="A18" s="20">
        <v>42061</v>
      </c>
      <c r="B18" s="21">
        <v>13247</v>
      </c>
      <c r="C18" s="14" t="s">
        <v>213</v>
      </c>
      <c r="D18" s="105">
        <v>62416.2</v>
      </c>
      <c r="E18" s="81"/>
      <c r="F18" s="168"/>
      <c r="G18" s="31">
        <f t="shared" si="0"/>
        <v>62416.2</v>
      </c>
      <c r="H18" s="39" t="s">
        <v>94</v>
      </c>
    </row>
    <row r="19" spans="1:8" ht="22.5" customHeight="1" x14ac:dyDescent="0.25">
      <c r="A19" s="20">
        <v>42062</v>
      </c>
      <c r="B19" s="21">
        <v>13396</v>
      </c>
      <c r="C19" s="14" t="s">
        <v>213</v>
      </c>
      <c r="D19" s="105">
        <v>32132.799999999999</v>
      </c>
      <c r="E19" s="81"/>
      <c r="F19" s="168"/>
      <c r="G19" s="31">
        <f t="shared" si="0"/>
        <v>32132.799999999999</v>
      </c>
      <c r="H19" s="39" t="s">
        <v>94</v>
      </c>
    </row>
    <row r="20" spans="1:8" ht="22.5" customHeight="1" x14ac:dyDescent="0.25">
      <c r="A20" s="20">
        <v>42062</v>
      </c>
      <c r="B20" s="21">
        <v>13401</v>
      </c>
      <c r="C20" s="14" t="s">
        <v>367</v>
      </c>
      <c r="D20" s="105">
        <v>229822</v>
      </c>
      <c r="E20" s="81"/>
      <c r="F20" s="168"/>
      <c r="G20" s="31">
        <f t="shared" si="0"/>
        <v>229822</v>
      </c>
      <c r="H20" s="39" t="s">
        <v>9</v>
      </c>
    </row>
    <row r="21" spans="1:8" ht="15.75" x14ac:dyDescent="0.25">
      <c r="A21" s="20"/>
      <c r="B21" s="77"/>
      <c r="C21" s="79" t="s">
        <v>485</v>
      </c>
      <c r="D21" s="133"/>
      <c r="E21" s="81"/>
      <c r="F21" s="134"/>
      <c r="G21" s="25">
        <f t="shared" si="0"/>
        <v>0</v>
      </c>
    </row>
    <row r="22" spans="1:8" ht="16.5" thickBot="1" x14ac:dyDescent="0.3">
      <c r="A22" s="20"/>
      <c r="B22" s="77"/>
      <c r="C22" s="79" t="s">
        <v>485</v>
      </c>
      <c r="D22" s="133"/>
      <c r="E22" s="81"/>
      <c r="F22" s="134"/>
      <c r="G22" s="25">
        <f t="shared" si="0"/>
        <v>0</v>
      </c>
    </row>
    <row r="23" spans="1:8" x14ac:dyDescent="0.25">
      <c r="A23" s="82"/>
      <c r="B23" s="83"/>
      <c r="C23" s="84"/>
      <c r="D23" s="135">
        <f>SUM(D3:D22)</f>
        <v>541713.14999999991</v>
      </c>
      <c r="E23" s="86"/>
      <c r="F23" s="136">
        <f>SUM(F3:F22)</f>
        <v>43881.19</v>
      </c>
      <c r="G23" s="87"/>
    </row>
    <row r="24" spans="1:8" ht="15.75" thickBot="1" x14ac:dyDescent="0.3">
      <c r="A24" s="82"/>
      <c r="B24" s="83"/>
      <c r="C24" s="84"/>
      <c r="D24" s="137"/>
      <c r="E24" s="86"/>
      <c r="F24" s="138"/>
      <c r="G24" s="87"/>
    </row>
    <row r="25" spans="1:8" x14ac:dyDescent="0.25">
      <c r="A25" s="82"/>
      <c r="B25" s="83"/>
      <c r="C25" s="84"/>
      <c r="D25" s="139"/>
      <c r="E25" s="86"/>
      <c r="F25" s="140"/>
      <c r="G25" s="87"/>
    </row>
    <row r="26" spans="1:8" ht="31.5" x14ac:dyDescent="0.25">
      <c r="A26" s="82"/>
      <c r="B26" s="83"/>
      <c r="C26" s="4"/>
      <c r="D26" s="141" t="s">
        <v>486</v>
      </c>
      <c r="E26" s="86"/>
      <c r="F26" s="142" t="s">
        <v>487</v>
      </c>
      <c r="G26" s="87"/>
    </row>
    <row r="27" spans="1:8" x14ac:dyDescent="0.25">
      <c r="A27" s="82"/>
      <c r="B27" s="83"/>
      <c r="C27" s="84"/>
      <c r="D27" s="139"/>
      <c r="E27" s="86"/>
      <c r="F27" s="140"/>
      <c r="G27" s="87"/>
    </row>
    <row r="28" spans="1:8" x14ac:dyDescent="0.25">
      <c r="A28" s="82"/>
      <c r="B28" s="83"/>
      <c r="C28" s="84"/>
      <c r="D28" s="139"/>
      <c r="E28" s="86"/>
      <c r="F28" s="140"/>
      <c r="G28" s="87"/>
    </row>
    <row r="29" spans="1:8" x14ac:dyDescent="0.25">
      <c r="A29" s="82"/>
      <c r="B29" s="83"/>
      <c r="C29" s="84"/>
      <c r="D29" s="139"/>
      <c r="E29" s="86"/>
      <c r="F29" s="140"/>
      <c r="G29" s="87"/>
    </row>
    <row r="30" spans="1:8" ht="21" x14ac:dyDescent="0.35">
      <c r="A30" s="82"/>
      <c r="B30" s="83"/>
      <c r="C30" s="84"/>
      <c r="D30" s="217">
        <f>D23-F23</f>
        <v>497831.9599999999</v>
      </c>
      <c r="E30" s="218"/>
      <c r="F30" s="218"/>
      <c r="G30" s="87"/>
    </row>
    <row r="31" spans="1:8" x14ac:dyDescent="0.25">
      <c r="A31" s="82"/>
      <c r="B31" s="83"/>
      <c r="C31" s="84"/>
      <c r="D31" s="139"/>
      <c r="E31" s="86"/>
      <c r="F31" s="140"/>
      <c r="G31" s="87"/>
    </row>
    <row r="32" spans="1:8" ht="18.75" x14ac:dyDescent="0.3">
      <c r="A32" s="82"/>
      <c r="B32" s="83"/>
      <c r="C32" s="84"/>
      <c r="D32" s="219" t="s">
        <v>488</v>
      </c>
      <c r="E32" s="219"/>
      <c r="F32" s="219"/>
      <c r="G32" s="87"/>
    </row>
    <row r="33" spans="1:7" x14ac:dyDescent="0.25">
      <c r="A33" s="82"/>
      <c r="B33" s="83"/>
      <c r="C33" s="84"/>
      <c r="D33" s="139"/>
      <c r="E33" s="86"/>
      <c r="F33" s="140"/>
      <c r="G33" s="87"/>
    </row>
    <row r="34" spans="1:7" x14ac:dyDescent="0.25">
      <c r="A34" s="82"/>
      <c r="B34" s="83"/>
      <c r="C34" s="84"/>
      <c r="D34" s="139"/>
      <c r="E34" s="86"/>
      <c r="F34" s="140"/>
      <c r="G34" s="87"/>
    </row>
    <row r="35" spans="1:7" x14ac:dyDescent="0.25">
      <c r="A35" s="82"/>
      <c r="B35" s="83"/>
      <c r="C35" s="84"/>
      <c r="D35" s="139"/>
      <c r="E35" s="86"/>
      <c r="F35" s="140"/>
      <c r="G35" s="87"/>
    </row>
  </sheetData>
  <mergeCells count="3">
    <mergeCell ref="A1:E1"/>
    <mergeCell ref="D30:F30"/>
    <mergeCell ref="D32:F32"/>
  </mergeCells>
  <pageMargins left="0.70866141732283472" right="0.70866141732283472" top="0.15748031496062992" bottom="0.19685039370078741" header="0.31496062992125984" footer="0.31496062992125984"/>
  <pageSetup scale="85" orientation="landscape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ENERO 2015</vt:lpstr>
      <vt:lpstr>FEBRERO 2015</vt:lpstr>
      <vt:lpstr>MARZO    2015  </vt:lpstr>
      <vt:lpstr>A B R I L  2015</vt:lpstr>
      <vt:lpstr>MAYO   2015</vt:lpstr>
      <vt:lpstr>Hoja6</vt:lpstr>
      <vt:lpstr>Hoja7</vt:lpstr>
      <vt:lpstr>Hoja1</vt:lpstr>
      <vt:lpstr>Hoja2</vt:lpstr>
      <vt:lpstr>Hoja3</vt:lpstr>
      <vt:lpstr>Hoja8</vt:lpstr>
      <vt:lpstr>Hoja9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2015-06-02T16:58:05Z</cp:lastPrinted>
  <dcterms:created xsi:type="dcterms:W3CDTF">2015-02-07T21:53:23Z</dcterms:created>
  <dcterms:modified xsi:type="dcterms:W3CDTF">2015-07-14T21:45:11Z</dcterms:modified>
</cp:coreProperties>
</file>